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travelfoodservices-my.sharepoint.com/personal/suraj_kumbhar_travelfoodservices_com/Documents/Downloads/"/>
    </mc:Choice>
  </mc:AlternateContent>
  <bookViews>
    <workbookView xWindow="0" yWindow="0" windowWidth="15360" windowHeight="7620" firstSheet="2" activeTab="2"/>
  </bookViews>
  <sheets>
    <sheet name="Summary_Old" sheetId="16" state="hidden" r:id="rId1"/>
    <sheet name="Sheet1" sheetId="19" state="hidden" r:id="rId2"/>
    <sheet name="Capex Summary" sheetId="18" r:id="rId3"/>
    <sheet name="PO Tracker summary" sheetId="21" r:id="rId4"/>
    <sheet name="Sheet2" sheetId="20" state="hidden" r:id="rId5"/>
    <sheet name="Capex breakup" sheetId="17" r:id="rId6"/>
    <sheet name="PO Tracker" sheetId="22" r:id="rId7"/>
    <sheet name="Summary_Old outlets" sheetId="4" state="hidden" r:id="rId8"/>
    <sheet name="Details_OLD2" sheetId="15" state="hidden" r:id="rId9"/>
    <sheet name="Details_Old" sheetId="2" state="hidden" r:id="rId10"/>
    <sheet name="Table 1_Hide" sheetId="14" state="hidden" r:id="rId11"/>
  </sheets>
  <externalReferences>
    <externalReference r:id="rId12"/>
    <externalReference r:id="rId13"/>
    <externalReference r:id="rId14"/>
  </externalReferences>
  <definedNames>
    <definedName name="__xlnm.Print_Area" localSheetId="5">#REF!</definedName>
    <definedName name="__xlnm.Print_Area" localSheetId="9">#REF!</definedName>
    <definedName name="__xlnm.Print_Area" localSheetId="8">#REF!</definedName>
    <definedName name="__xlnm.Print_Area" localSheetId="6">#REF!</definedName>
    <definedName name="__xlnm.Print_Area">#REF!</definedName>
    <definedName name="_CAP1" localSheetId="5">#REF!</definedName>
    <definedName name="_CAP1">#REF!</definedName>
    <definedName name="_CAP2" localSheetId="5">#REF!</definedName>
    <definedName name="_CAP2">#REF!</definedName>
    <definedName name="_CAP3" localSheetId="5">#REF!</definedName>
    <definedName name="_CAP3">#REF!</definedName>
    <definedName name="_xlnm._FilterDatabase" localSheetId="6" hidden="1">'PO Tracker'!$B$43:$XFD$448</definedName>
    <definedName name="_xlnm._FilterDatabase" localSheetId="7" hidden="1">'Summary_Old outlets'!$B$2:$AC$49</definedName>
    <definedName name="asdas" localSheetId="5">#REF!</definedName>
    <definedName name="asdas">#REF!</definedName>
    <definedName name="asdsa" localSheetId="5">#REF!</definedName>
    <definedName name="asdsa">#REF!</definedName>
    <definedName name="capex1" localSheetId="5">#REF!</definedName>
    <definedName name="capex1">#REF!</definedName>
    <definedName name="CLength">[1]Admin!$D$9</definedName>
    <definedName name="Grow">[1]Admin!$F$15:$F$24</definedName>
    <definedName name="https___travelfoodservices_my.sharepoint.com_personal_suraj_kumbhar_travelfoodservices_com_Documents_Suraj_20Kumbhar_20Working_Semolina_20Capex_20trackers_LKO_20POs_SKPL_001004_23_24_LKO_Cafeccino_NSA_20DESIGN_20STUDIO_Consultant.pdf">'PO Tracker'!$N$44,'PO Tracker'!$F$44,'PO Tracker'!$N$44</definedName>
    <definedName name="LGrow">[1]Admin!$D$12</definedName>
    <definedName name="master" localSheetId="5">#REF!</definedName>
    <definedName name="master">#REF!</definedName>
    <definedName name="matrix" localSheetId="5">#REF!</definedName>
    <definedName name="matrix">#REF!</definedName>
    <definedName name="OutPutStart">'[2]Base Input'!$F$41</definedName>
    <definedName name="PAXGrow">[1]Admin!$D$15:$D$24</definedName>
    <definedName name="PAYB" localSheetId="5">#REF!</definedName>
    <definedName name="PAYB">#REF!</definedName>
    <definedName name="PLCO">'[2]Base Input'!$B$13</definedName>
    <definedName name="_xlnm.Print_Area" localSheetId="4">Sheet2!$A$1:$M$35</definedName>
    <definedName name="rentx" localSheetId="5">#REF!</definedName>
    <definedName name="rentx">#REF!</definedName>
    <definedName name="store" localSheetId="5">#REF!</definedName>
    <definedName name="store">#REF!</definedName>
    <definedName name="TaxRate">[1]Admin!$G$5</definedName>
    <definedName name="WACC">[1]Admin!$H$5</definedName>
    <definedName name="WCapital">[1]Admin!$I$5</definedName>
    <definedName name="XRate">[1]Admin!$F$5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5" i="18" l="1"/>
  <c r="O43" i="18"/>
  <c r="O42" i="18"/>
  <c r="O41" i="18"/>
  <c r="O40" i="18"/>
  <c r="O39" i="18"/>
  <c r="L37" i="18" l="1"/>
  <c r="H442" i="22" l="1"/>
  <c r="I442" i="22" s="1"/>
  <c r="H441" i="22"/>
  <c r="I441" i="22" s="1"/>
  <c r="H440" i="22"/>
  <c r="I440" i="22" s="1"/>
  <c r="H439" i="22"/>
  <c r="I439" i="22" s="1"/>
  <c r="H438" i="22"/>
  <c r="I438" i="22" s="1"/>
  <c r="H437" i="22"/>
  <c r="I437" i="22" s="1"/>
  <c r="H436" i="22"/>
  <c r="I436" i="22" s="1"/>
  <c r="H435" i="22"/>
  <c r="I435" i="22" s="1"/>
  <c r="H434" i="22"/>
  <c r="I434" i="22" s="1"/>
  <c r="H433" i="22"/>
  <c r="I433" i="22" s="1"/>
  <c r="H432" i="22"/>
  <c r="I432" i="22" s="1"/>
  <c r="H431" i="22"/>
  <c r="I431" i="22" s="1"/>
  <c r="H430" i="22"/>
  <c r="I430" i="22" s="1"/>
  <c r="H429" i="22"/>
  <c r="I429" i="22" s="1"/>
  <c r="H428" i="22"/>
  <c r="I428" i="22" s="1"/>
  <c r="H427" i="22"/>
  <c r="I427" i="22" s="1"/>
  <c r="H426" i="22"/>
  <c r="I426" i="22" s="1"/>
  <c r="H425" i="22"/>
  <c r="I425" i="22" s="1"/>
  <c r="H424" i="22"/>
  <c r="I424" i="22" s="1"/>
  <c r="H423" i="22"/>
  <c r="I423" i="22" s="1"/>
  <c r="H422" i="22"/>
  <c r="I422" i="22" s="1"/>
  <c r="H421" i="22"/>
  <c r="I421" i="22" s="1"/>
  <c r="H420" i="22"/>
  <c r="I420" i="22" s="1"/>
  <c r="H419" i="22"/>
  <c r="I419" i="22" s="1"/>
  <c r="H418" i="22"/>
  <c r="I418" i="22" s="1"/>
  <c r="H417" i="22"/>
  <c r="I417" i="22" s="1"/>
  <c r="H416" i="22"/>
  <c r="I416" i="22" s="1"/>
  <c r="H415" i="22"/>
  <c r="I415" i="22" s="1"/>
  <c r="H414" i="22"/>
  <c r="I414" i="22" s="1"/>
  <c r="H413" i="22"/>
  <c r="I413" i="22" s="1"/>
  <c r="H412" i="22"/>
  <c r="I412" i="22" s="1"/>
  <c r="H411" i="22"/>
  <c r="I411" i="22" s="1"/>
  <c r="H410" i="22"/>
  <c r="I410" i="22" s="1"/>
  <c r="H409" i="22"/>
  <c r="I409" i="22" s="1"/>
  <c r="H408" i="22"/>
  <c r="I408" i="22" s="1"/>
  <c r="H407" i="22"/>
  <c r="I407" i="22" s="1"/>
  <c r="H406" i="22"/>
  <c r="I406" i="22" s="1"/>
  <c r="H405" i="22"/>
  <c r="I405" i="22" s="1"/>
  <c r="H404" i="22"/>
  <c r="I404" i="22" s="1"/>
  <c r="H403" i="22"/>
  <c r="I403" i="22" s="1"/>
  <c r="H402" i="22"/>
  <c r="I402" i="22" s="1"/>
  <c r="H401" i="22"/>
  <c r="I401" i="22" s="1"/>
  <c r="H400" i="22"/>
  <c r="I400" i="22" s="1"/>
  <c r="H399" i="22"/>
  <c r="I399" i="22" s="1"/>
  <c r="H398" i="22"/>
  <c r="I398" i="22" s="1"/>
  <c r="H397" i="22"/>
  <c r="I397" i="22" s="1"/>
  <c r="H396" i="22"/>
  <c r="I396" i="22" s="1"/>
  <c r="H395" i="22"/>
  <c r="I395" i="22" s="1"/>
  <c r="H394" i="22"/>
  <c r="I394" i="22" s="1"/>
  <c r="H393" i="22"/>
  <c r="I393" i="22" s="1"/>
  <c r="H392" i="22"/>
  <c r="I392" i="22" s="1"/>
  <c r="H391" i="22"/>
  <c r="I391" i="22" s="1"/>
  <c r="H390" i="22"/>
  <c r="I390" i="22" s="1"/>
  <c r="J389" i="22"/>
  <c r="H389" i="22"/>
  <c r="I389" i="22" s="1"/>
  <c r="J388" i="22"/>
  <c r="H388" i="22"/>
  <c r="I388" i="22" s="1"/>
  <c r="J387" i="22"/>
  <c r="H387" i="22" s="1"/>
  <c r="I387" i="22" s="1"/>
  <c r="J386" i="22"/>
  <c r="H386" i="22" s="1"/>
  <c r="I386" i="22" s="1"/>
  <c r="J385" i="22"/>
  <c r="H385" i="22" s="1"/>
  <c r="I385" i="22" s="1"/>
  <c r="J384" i="22"/>
  <c r="H384" i="22" s="1"/>
  <c r="I384" i="22" s="1"/>
  <c r="H383" i="22"/>
  <c r="I383" i="22" s="1"/>
  <c r="H382" i="22"/>
  <c r="I382" i="22" s="1"/>
  <c r="H381" i="22"/>
  <c r="I381" i="22" s="1"/>
  <c r="H380" i="22"/>
  <c r="I380" i="22" s="1"/>
  <c r="H379" i="22"/>
  <c r="I379" i="22" s="1"/>
  <c r="H378" i="22"/>
  <c r="I378" i="22" s="1"/>
  <c r="H377" i="22"/>
  <c r="I377" i="22" s="1"/>
  <c r="H376" i="22"/>
  <c r="I376" i="22" s="1"/>
  <c r="H375" i="22"/>
  <c r="I375" i="22" s="1"/>
  <c r="H374" i="22"/>
  <c r="I374" i="22" s="1"/>
  <c r="H373" i="22"/>
  <c r="I373" i="22" s="1"/>
  <c r="H372" i="22"/>
  <c r="I372" i="22" s="1"/>
  <c r="H371" i="22"/>
  <c r="I371" i="22" s="1"/>
  <c r="H370" i="22"/>
  <c r="I370" i="22" s="1"/>
  <c r="H369" i="22"/>
  <c r="I369" i="22" s="1"/>
  <c r="H368" i="22"/>
  <c r="I368" i="22" s="1"/>
  <c r="H367" i="22"/>
  <c r="I367" i="22" s="1"/>
  <c r="H366" i="22"/>
  <c r="I366" i="22" s="1"/>
  <c r="H365" i="22"/>
  <c r="I365" i="22" s="1"/>
  <c r="H364" i="22"/>
  <c r="I364" i="22" s="1"/>
  <c r="H363" i="22"/>
  <c r="I363" i="22" s="1"/>
  <c r="H362" i="22"/>
  <c r="I362" i="22" s="1"/>
  <c r="H361" i="22"/>
  <c r="I361" i="22" s="1"/>
  <c r="H360" i="22"/>
  <c r="I360" i="22" s="1"/>
  <c r="H359" i="22"/>
  <c r="I359" i="22" s="1"/>
  <c r="H358" i="22"/>
  <c r="I358" i="22" s="1"/>
  <c r="H357" i="22"/>
  <c r="I357" i="22" s="1"/>
  <c r="H356" i="22"/>
  <c r="I356" i="22" s="1"/>
  <c r="H355" i="22"/>
  <c r="I355" i="22" s="1"/>
  <c r="H354" i="22"/>
  <c r="I354" i="22" s="1"/>
  <c r="H353" i="22"/>
  <c r="I353" i="22" s="1"/>
  <c r="H352" i="22"/>
  <c r="I352" i="22" s="1"/>
  <c r="H351" i="22"/>
  <c r="I351" i="22" s="1"/>
  <c r="H350" i="22"/>
  <c r="I350" i="22" s="1"/>
  <c r="H349" i="22"/>
  <c r="I349" i="22" s="1"/>
  <c r="H348" i="22"/>
  <c r="I348" i="22" s="1"/>
  <c r="H347" i="22"/>
  <c r="I347" i="22" s="1"/>
  <c r="H346" i="22"/>
  <c r="I346" i="22" s="1"/>
  <c r="I345" i="22"/>
  <c r="J345" i="22" s="1"/>
  <c r="I344" i="22"/>
  <c r="J344" i="22" s="1"/>
  <c r="I343" i="22"/>
  <c r="J343" i="22" s="1"/>
  <c r="I342" i="22"/>
  <c r="J342" i="22" s="1"/>
  <c r="I341" i="22"/>
  <c r="J341" i="22" s="1"/>
  <c r="I340" i="22"/>
  <c r="J340" i="22" s="1"/>
  <c r="I339" i="22"/>
  <c r="J339" i="22" s="1"/>
  <c r="I338" i="22"/>
  <c r="J338" i="22" s="1"/>
  <c r="I337" i="22"/>
  <c r="J337" i="22" s="1"/>
  <c r="I336" i="22"/>
  <c r="J336" i="22" s="1"/>
  <c r="I335" i="22"/>
  <c r="J335" i="22" s="1"/>
  <c r="I334" i="22"/>
  <c r="J334" i="22" s="1"/>
  <c r="J333" i="22"/>
  <c r="H333" i="22"/>
  <c r="I333" i="22" s="1"/>
  <c r="J332" i="22"/>
  <c r="H332" i="22" s="1"/>
  <c r="I332" i="22" s="1"/>
  <c r="J331" i="22"/>
  <c r="H331" i="22" s="1"/>
  <c r="I331" i="22" s="1"/>
  <c r="H330" i="22"/>
  <c r="I330" i="22" s="1"/>
  <c r="H329" i="22"/>
  <c r="I329" i="22" s="1"/>
  <c r="H328" i="22"/>
  <c r="I328" i="22" s="1"/>
  <c r="H327" i="22"/>
  <c r="I327" i="22" s="1"/>
  <c r="H326" i="22"/>
  <c r="I326" i="22" s="1"/>
  <c r="H325" i="22"/>
  <c r="I325" i="22" s="1"/>
  <c r="H324" i="22"/>
  <c r="I324" i="22" s="1"/>
  <c r="H323" i="22"/>
  <c r="I323" i="22" s="1"/>
  <c r="H322" i="22"/>
  <c r="I322" i="22" s="1"/>
  <c r="H321" i="22"/>
  <c r="I321" i="22" s="1"/>
  <c r="H320" i="22"/>
  <c r="I320" i="22" s="1"/>
  <c r="H319" i="22"/>
  <c r="I319" i="22" s="1"/>
  <c r="H318" i="22"/>
  <c r="I318" i="22" s="1"/>
  <c r="H317" i="22"/>
  <c r="I317" i="22" s="1"/>
  <c r="H316" i="22"/>
  <c r="I316" i="22" s="1"/>
  <c r="H315" i="22"/>
  <c r="I315" i="22" s="1"/>
  <c r="H314" i="22"/>
  <c r="I314" i="22" s="1"/>
  <c r="H313" i="22"/>
  <c r="I313" i="22" s="1"/>
  <c r="J312" i="22"/>
  <c r="H312" i="22"/>
  <c r="I312" i="22" s="1"/>
  <c r="J311" i="22"/>
  <c r="H311" i="22"/>
  <c r="I311" i="22" s="1"/>
  <c r="H310" i="22"/>
  <c r="I310" i="22" s="1"/>
  <c r="H309" i="22"/>
  <c r="I309" i="22" s="1"/>
  <c r="H308" i="22"/>
  <c r="I308" i="22" s="1"/>
  <c r="H307" i="22"/>
  <c r="I307" i="22" s="1"/>
  <c r="H306" i="22"/>
  <c r="I306" i="22" s="1"/>
  <c r="H305" i="22"/>
  <c r="I305" i="22" s="1"/>
  <c r="J304" i="22"/>
  <c r="H304" i="22" s="1"/>
  <c r="I304" i="22" s="1"/>
  <c r="H303" i="22"/>
  <c r="I303" i="22" s="1"/>
  <c r="H302" i="22"/>
  <c r="I302" i="22" s="1"/>
  <c r="H301" i="22"/>
  <c r="I301" i="22" s="1"/>
  <c r="H300" i="22"/>
  <c r="I300" i="22" s="1"/>
  <c r="H299" i="22"/>
  <c r="I299" i="22" s="1"/>
  <c r="H298" i="22"/>
  <c r="I298" i="22" s="1"/>
  <c r="H297" i="22"/>
  <c r="I297" i="22" s="1"/>
  <c r="H296" i="22"/>
  <c r="I296" i="22" s="1"/>
  <c r="H295" i="22"/>
  <c r="I295" i="22" s="1"/>
  <c r="H294" i="22"/>
  <c r="I294" i="22" s="1"/>
  <c r="H293" i="22"/>
  <c r="I293" i="22" s="1"/>
  <c r="H292" i="22"/>
  <c r="I292" i="22" s="1"/>
  <c r="H291" i="22"/>
  <c r="I291" i="22" s="1"/>
  <c r="H290" i="22"/>
  <c r="I290" i="22" s="1"/>
  <c r="H289" i="22"/>
  <c r="I289" i="22" s="1"/>
  <c r="H288" i="22"/>
  <c r="I288" i="22" s="1"/>
  <c r="H287" i="22"/>
  <c r="I287" i="22" s="1"/>
  <c r="H286" i="22"/>
  <c r="I286" i="22" s="1"/>
  <c r="J285" i="22"/>
  <c r="H285" i="22" s="1"/>
  <c r="I285" i="22" s="1"/>
  <c r="H284" i="22"/>
  <c r="I284" i="22" s="1"/>
  <c r="I283" i="22"/>
  <c r="J283" i="22" s="1"/>
  <c r="I282" i="22"/>
  <c r="J282" i="22" s="1"/>
  <c r="J281" i="22"/>
  <c r="I280" i="22"/>
  <c r="J280" i="22" s="1"/>
  <c r="I279" i="22"/>
  <c r="J279" i="22" s="1"/>
  <c r="J278" i="22"/>
  <c r="I277" i="22"/>
  <c r="J277" i="22" s="1"/>
  <c r="I276" i="22"/>
  <c r="J276" i="22" s="1"/>
  <c r="J275" i="22"/>
  <c r="I274" i="22"/>
  <c r="J274" i="22" s="1"/>
  <c r="H274" i="22"/>
  <c r="H273" i="22"/>
  <c r="I272" i="22"/>
  <c r="H272" i="22"/>
  <c r="I271" i="22"/>
  <c r="J271" i="22" s="1"/>
  <c r="I270" i="22"/>
  <c r="J270" i="22" s="1"/>
  <c r="I269" i="22"/>
  <c r="J269" i="22" s="1"/>
  <c r="J268" i="22"/>
  <c r="I268" i="22"/>
  <c r="J267" i="22"/>
  <c r="I267" i="22"/>
  <c r="J266" i="22"/>
  <c r="I265" i="22"/>
  <c r="J265" i="22" s="1"/>
  <c r="J264" i="22"/>
  <c r="J263" i="22"/>
  <c r="I262" i="22"/>
  <c r="J262" i="22" s="1"/>
  <c r="J261" i="22"/>
  <c r="I261" i="22"/>
  <c r="J260" i="22"/>
  <c r="J259" i="22"/>
  <c r="J258" i="22"/>
  <c r="J257" i="22"/>
  <c r="J256" i="22"/>
  <c r="J255" i="22"/>
  <c r="J254" i="22"/>
  <c r="J253" i="22"/>
  <c r="J252" i="22"/>
  <c r="J251" i="22"/>
  <c r="J250" i="22"/>
  <c r="J249" i="22"/>
  <c r="J248" i="22"/>
  <c r="I247" i="22"/>
  <c r="J247" i="22" s="1"/>
  <c r="I246" i="22"/>
  <c r="J246" i="22" s="1"/>
  <c r="I245" i="22"/>
  <c r="J245" i="22" s="1"/>
  <c r="I244" i="22"/>
  <c r="J244" i="22" s="1"/>
  <c r="I243" i="22"/>
  <c r="J243" i="22" s="1"/>
  <c r="I242" i="22"/>
  <c r="J242" i="22" s="1"/>
  <c r="I241" i="22"/>
  <c r="J241" i="22" s="1"/>
  <c r="I240" i="22"/>
  <c r="J240" i="22" s="1"/>
  <c r="I239" i="22"/>
  <c r="J239" i="22" s="1"/>
  <c r="I238" i="22"/>
  <c r="J238" i="22" s="1"/>
  <c r="I237" i="22"/>
  <c r="J237" i="22" s="1"/>
  <c r="I236" i="22"/>
  <c r="J236" i="22" s="1"/>
  <c r="I235" i="22"/>
  <c r="J235" i="22" s="1"/>
  <c r="I234" i="22"/>
  <c r="J234" i="22" s="1"/>
  <c r="I233" i="22"/>
  <c r="J233" i="22" s="1"/>
  <c r="I232" i="22"/>
  <c r="J232" i="22" s="1"/>
  <c r="I231" i="22"/>
  <c r="J231" i="22" s="1"/>
  <c r="I230" i="22"/>
  <c r="J230" i="22" s="1"/>
  <c r="I229" i="22"/>
  <c r="J229" i="22" s="1"/>
  <c r="I228" i="22"/>
  <c r="J228" i="22" s="1"/>
  <c r="I227" i="22"/>
  <c r="J227" i="22" s="1"/>
  <c r="I226" i="22"/>
  <c r="J226" i="22" s="1"/>
  <c r="I225" i="22"/>
  <c r="J225" i="22" s="1"/>
  <c r="I224" i="22"/>
  <c r="J224" i="22" s="1"/>
  <c r="I223" i="22"/>
  <c r="J223" i="22" s="1"/>
  <c r="I222" i="22"/>
  <c r="J222" i="22" s="1"/>
  <c r="I221" i="22"/>
  <c r="J221" i="22" s="1"/>
  <c r="I220" i="22"/>
  <c r="J220" i="22" s="1"/>
  <c r="I219" i="22"/>
  <c r="J219" i="22" s="1"/>
  <c r="I218" i="22"/>
  <c r="J218" i="22" s="1"/>
  <c r="I217" i="22"/>
  <c r="J217" i="22" s="1"/>
  <c r="I216" i="22"/>
  <c r="J216" i="22" s="1"/>
  <c r="I215" i="22"/>
  <c r="J215" i="22" s="1"/>
  <c r="I214" i="22"/>
  <c r="J214" i="22" s="1"/>
  <c r="I213" i="22"/>
  <c r="J213" i="22" s="1"/>
  <c r="I212" i="22"/>
  <c r="J212" i="22" s="1"/>
  <c r="I211" i="22"/>
  <c r="J211" i="22" s="1"/>
  <c r="I210" i="22"/>
  <c r="J210" i="22" s="1"/>
  <c r="I209" i="22"/>
  <c r="J209" i="22" s="1"/>
  <c r="I208" i="22"/>
  <c r="J208" i="22" s="1"/>
  <c r="I207" i="22"/>
  <c r="J207" i="22" s="1"/>
  <c r="I206" i="22"/>
  <c r="J206" i="22" s="1"/>
  <c r="I205" i="22"/>
  <c r="J205" i="22" s="1"/>
  <c r="I204" i="22"/>
  <c r="J204" i="22" s="1"/>
  <c r="I203" i="22"/>
  <c r="J203" i="22" s="1"/>
  <c r="I202" i="22"/>
  <c r="J202" i="22" s="1"/>
  <c r="I201" i="22"/>
  <c r="J201" i="22" s="1"/>
  <c r="I200" i="22"/>
  <c r="J200" i="22" s="1"/>
  <c r="I199" i="22"/>
  <c r="J199" i="22" s="1"/>
  <c r="I198" i="22"/>
  <c r="J198" i="22" s="1"/>
  <c r="I197" i="22"/>
  <c r="J197" i="22" s="1"/>
  <c r="I196" i="22"/>
  <c r="J196" i="22" s="1"/>
  <c r="I195" i="22"/>
  <c r="J195" i="22" s="1"/>
  <c r="I194" i="22"/>
  <c r="J194" i="22" s="1"/>
  <c r="I193" i="22"/>
  <c r="J193" i="22" s="1"/>
  <c r="I192" i="22"/>
  <c r="J192" i="22" s="1"/>
  <c r="I191" i="22"/>
  <c r="J191" i="22" s="1"/>
  <c r="I190" i="22"/>
  <c r="J190" i="22" s="1"/>
  <c r="I189" i="22"/>
  <c r="J189" i="22" s="1"/>
  <c r="I188" i="22"/>
  <c r="J188" i="22" s="1"/>
  <c r="I187" i="22"/>
  <c r="J187" i="22" s="1"/>
  <c r="I186" i="22"/>
  <c r="J186" i="22" s="1"/>
  <c r="I185" i="22"/>
  <c r="J185" i="22" s="1"/>
  <c r="I184" i="22"/>
  <c r="J184" i="22" s="1"/>
  <c r="I183" i="22"/>
  <c r="J183" i="22" s="1"/>
  <c r="H182" i="22"/>
  <c r="I181" i="22"/>
  <c r="J181" i="22" s="1"/>
  <c r="I180" i="22"/>
  <c r="J180" i="22" s="1"/>
  <c r="H179" i="22"/>
  <c r="I178" i="22"/>
  <c r="J178" i="22" s="1"/>
  <c r="H177" i="22"/>
  <c r="I176" i="22"/>
  <c r="J176" i="22" s="1"/>
  <c r="I175" i="22"/>
  <c r="J175" i="22" s="1"/>
  <c r="I174" i="22"/>
  <c r="J174" i="22" s="1"/>
  <c r="I173" i="22"/>
  <c r="J173" i="22" s="1"/>
  <c r="I172" i="22"/>
  <c r="J172" i="22" s="1"/>
  <c r="I171" i="22"/>
  <c r="J171" i="22" s="1"/>
  <c r="I170" i="22"/>
  <c r="J170" i="22" s="1"/>
  <c r="I169" i="22"/>
  <c r="J169" i="22" s="1"/>
  <c r="I168" i="22"/>
  <c r="J168" i="22" s="1"/>
  <c r="I167" i="22"/>
  <c r="J167" i="22" s="1"/>
  <c r="I166" i="22"/>
  <c r="J166" i="22" s="1"/>
  <c r="I165" i="22"/>
  <c r="J165" i="22" s="1"/>
  <c r="I164" i="22"/>
  <c r="J164" i="22" s="1"/>
  <c r="I163" i="22"/>
  <c r="J163" i="22" s="1"/>
  <c r="H163" i="22"/>
  <c r="H162" i="22"/>
  <c r="H161" i="22"/>
  <c r="H160" i="22"/>
  <c r="I160" i="22" s="1"/>
  <c r="J160" i="22" s="1"/>
  <c r="I159" i="22"/>
  <c r="J159" i="22" s="1"/>
  <c r="I158" i="22"/>
  <c r="J158" i="22" s="1"/>
  <c r="I157" i="22"/>
  <c r="J157" i="22" s="1"/>
  <c r="I156" i="22"/>
  <c r="H156" i="22"/>
  <c r="I155" i="22"/>
  <c r="J155" i="22" s="1"/>
  <c r="H154" i="22"/>
  <c r="I153" i="22"/>
  <c r="H153" i="22"/>
  <c r="I152" i="22"/>
  <c r="J152" i="22" s="1"/>
  <c r="I151" i="22"/>
  <c r="J151" i="22" s="1"/>
  <c r="I150" i="22"/>
  <c r="J150" i="22" s="1"/>
  <c r="H149" i="22"/>
  <c r="I148" i="22"/>
  <c r="J148" i="22" s="1"/>
  <c r="I147" i="22"/>
  <c r="J147" i="22" s="1"/>
  <c r="I146" i="22"/>
  <c r="J146" i="22" s="1"/>
  <c r="I145" i="22"/>
  <c r="J145" i="22" s="1"/>
  <c r="I144" i="22"/>
  <c r="J144" i="22" s="1"/>
  <c r="I143" i="22"/>
  <c r="J143" i="22" s="1"/>
  <c r="I142" i="22"/>
  <c r="H142" i="22"/>
  <c r="H141" i="22"/>
  <c r="I141" i="22" s="1"/>
  <c r="J141" i="22" s="1"/>
  <c r="I140" i="22"/>
  <c r="J140" i="22" s="1"/>
  <c r="I139" i="22"/>
  <c r="J139" i="22" s="1"/>
  <c r="I138" i="22"/>
  <c r="J138" i="22" s="1"/>
  <c r="I137" i="22"/>
  <c r="J137" i="22" s="1"/>
  <c r="I136" i="22"/>
  <c r="J136" i="22" s="1"/>
  <c r="I135" i="22"/>
  <c r="J135" i="22" s="1"/>
  <c r="I134" i="22"/>
  <c r="J134" i="22" s="1"/>
  <c r="H133" i="22"/>
  <c r="H132" i="22"/>
  <c r="I132" i="22" s="1"/>
  <c r="J132" i="22" s="1"/>
  <c r="I131" i="22"/>
  <c r="J131" i="22" s="1"/>
  <c r="I130" i="22"/>
  <c r="J130" i="22" s="1"/>
  <c r="I129" i="22"/>
  <c r="J129" i="22" s="1"/>
  <c r="I128" i="22"/>
  <c r="J128" i="22" s="1"/>
  <c r="I127" i="22"/>
  <c r="J127" i="22" s="1"/>
  <c r="I126" i="22"/>
  <c r="J126" i="22" s="1"/>
  <c r="I125" i="22"/>
  <c r="J125" i="22" s="1"/>
  <c r="I124" i="22"/>
  <c r="J124" i="22" s="1"/>
  <c r="I123" i="22"/>
  <c r="J123" i="22" s="1"/>
  <c r="I122" i="22"/>
  <c r="J122" i="22" s="1"/>
  <c r="I121" i="22"/>
  <c r="J121" i="22" s="1"/>
  <c r="I120" i="22"/>
  <c r="J120" i="22" s="1"/>
  <c r="I119" i="22"/>
  <c r="J119" i="22" s="1"/>
  <c r="I118" i="22"/>
  <c r="J118" i="22" s="1"/>
  <c r="I117" i="22"/>
  <c r="J117" i="22" s="1"/>
  <c r="I116" i="22"/>
  <c r="J116" i="22" s="1"/>
  <c r="I115" i="22"/>
  <c r="J115" i="22" s="1"/>
  <c r="I114" i="22"/>
  <c r="J114" i="22" s="1"/>
  <c r="I113" i="22"/>
  <c r="J113" i="22" s="1"/>
  <c r="I112" i="22"/>
  <c r="J112" i="22" s="1"/>
  <c r="I111" i="22"/>
  <c r="J111" i="22" s="1"/>
  <c r="H110" i="22"/>
  <c r="I109" i="22"/>
  <c r="J109" i="22" s="1"/>
  <c r="H108" i="22"/>
  <c r="H107" i="22"/>
  <c r="I106" i="22"/>
  <c r="J106" i="22" s="1"/>
  <c r="H105" i="22"/>
  <c r="I104" i="22"/>
  <c r="J104" i="22" s="1"/>
  <c r="I103" i="22"/>
  <c r="J103" i="22" s="1"/>
  <c r="I102" i="22"/>
  <c r="J102" i="22" s="1"/>
  <c r="I101" i="22"/>
  <c r="J101" i="22" s="1"/>
  <c r="H100" i="22"/>
  <c r="H99" i="22"/>
  <c r="I99" i="22" s="1"/>
  <c r="J99" i="22" s="1"/>
  <c r="I98" i="22"/>
  <c r="J98" i="22" s="1"/>
  <c r="I97" i="22"/>
  <c r="J97" i="22" s="1"/>
  <c r="I96" i="22"/>
  <c r="J96" i="22" s="1"/>
  <c r="I95" i="22"/>
  <c r="J95" i="22" s="1"/>
  <c r="I94" i="22"/>
  <c r="J94" i="22" s="1"/>
  <c r="I93" i="22"/>
  <c r="J93" i="22" s="1"/>
  <c r="I92" i="22"/>
  <c r="J92" i="22" s="1"/>
  <c r="I91" i="22"/>
  <c r="H91" i="22"/>
  <c r="H90" i="22"/>
  <c r="I90" i="22" s="1"/>
  <c r="J90" i="22" s="1"/>
  <c r="I89" i="22"/>
  <c r="J89" i="22" s="1"/>
  <c r="H89" i="22"/>
  <c r="H88" i="22"/>
  <c r="H87" i="22"/>
  <c r="H86" i="22"/>
  <c r="I86" i="22" s="1"/>
  <c r="J86" i="22" s="1"/>
  <c r="I85" i="22"/>
  <c r="J85" i="22" s="1"/>
  <c r="H85" i="22"/>
  <c r="H84" i="22"/>
  <c r="I83" i="22"/>
  <c r="H83" i="22"/>
  <c r="I82" i="22"/>
  <c r="J82" i="22" s="1"/>
  <c r="I81" i="22"/>
  <c r="J81" i="22" s="1"/>
  <c r="I80" i="22"/>
  <c r="J80" i="22" s="1"/>
  <c r="I79" i="22"/>
  <c r="J79" i="22" s="1"/>
  <c r="I78" i="22"/>
  <c r="J78" i="22" s="1"/>
  <c r="I77" i="22"/>
  <c r="J77" i="22" s="1"/>
  <c r="I76" i="22"/>
  <c r="J76" i="22" s="1"/>
  <c r="H75" i="22"/>
  <c r="I74" i="22"/>
  <c r="J74" i="22" s="1"/>
  <c r="I73" i="22"/>
  <c r="J73" i="22" s="1"/>
  <c r="I72" i="22"/>
  <c r="J72" i="22" s="1"/>
  <c r="I71" i="22"/>
  <c r="J71" i="22" s="1"/>
  <c r="I70" i="22"/>
  <c r="J70" i="22" s="1"/>
  <c r="I69" i="22"/>
  <c r="J69" i="22" s="1"/>
  <c r="I68" i="22"/>
  <c r="J68" i="22" s="1"/>
  <c r="I67" i="22"/>
  <c r="J67" i="22" s="1"/>
  <c r="I66" i="22"/>
  <c r="J66" i="22" s="1"/>
  <c r="I65" i="22"/>
  <c r="J65" i="22" s="1"/>
  <c r="I64" i="22"/>
  <c r="J64" i="22" s="1"/>
  <c r="I63" i="22"/>
  <c r="J63" i="22" s="1"/>
  <c r="I62" i="22"/>
  <c r="J62" i="22" s="1"/>
  <c r="I61" i="22"/>
  <c r="J61" i="22" s="1"/>
  <c r="I60" i="22"/>
  <c r="J60" i="22" s="1"/>
  <c r="I59" i="22"/>
  <c r="J59" i="22" s="1"/>
  <c r="I58" i="22"/>
  <c r="J58" i="22" s="1"/>
  <c r="I57" i="22"/>
  <c r="J57" i="22" s="1"/>
  <c r="H57" i="22"/>
  <c r="H56" i="22"/>
  <c r="I55" i="22"/>
  <c r="J55" i="22" s="1"/>
  <c r="I54" i="22"/>
  <c r="J54" i="22" s="1"/>
  <c r="I53" i="22"/>
  <c r="J53" i="22" s="1"/>
  <c r="I52" i="22"/>
  <c r="J52" i="22" s="1"/>
  <c r="I51" i="22"/>
  <c r="J51" i="22" s="1"/>
  <c r="I50" i="22"/>
  <c r="J50" i="22" s="1"/>
  <c r="I49" i="22"/>
  <c r="J49" i="22" s="1"/>
  <c r="I48" i="22"/>
  <c r="J48" i="22" s="1"/>
  <c r="I47" i="22"/>
  <c r="J47" i="22" s="1"/>
  <c r="I46" i="22"/>
  <c r="J46" i="22" s="1"/>
  <c r="I45" i="22"/>
  <c r="J45" i="22" s="1"/>
  <c r="I44" i="22"/>
  <c r="J44" i="22" s="1"/>
  <c r="J83" i="22" l="1"/>
  <c r="J142" i="22"/>
  <c r="J272" i="22"/>
  <c r="J91" i="22"/>
  <c r="J156" i="22"/>
  <c r="J153" i="22"/>
  <c r="I84" i="22"/>
  <c r="J84" i="22" s="1"/>
  <c r="I154" i="22"/>
  <c r="J154" i="22" s="1"/>
  <c r="I182" i="22"/>
  <c r="J182" i="22" s="1"/>
  <c r="I273" i="22"/>
  <c r="J273" i="22" s="1"/>
  <c r="I100" i="22"/>
  <c r="J100" i="22" s="1"/>
  <c r="I107" i="22"/>
  <c r="J107" i="22" s="1"/>
  <c r="I110" i="22"/>
  <c r="J110" i="22" s="1"/>
  <c r="I133" i="22"/>
  <c r="J133" i="22" s="1"/>
  <c r="I161" i="22"/>
  <c r="J161" i="22" s="1"/>
  <c r="I179" i="22"/>
  <c r="J179" i="22" s="1"/>
  <c r="I87" i="22"/>
  <c r="J87" i="22" s="1"/>
  <c r="I56" i="22"/>
  <c r="J56" i="22" s="1"/>
  <c r="I75" i="22"/>
  <c r="J75" i="22" s="1"/>
  <c r="I88" i="22"/>
  <c r="J88" i="22" s="1"/>
  <c r="I105" i="22"/>
  <c r="J105" i="22" s="1"/>
  <c r="I108" i="22"/>
  <c r="J108" i="22" s="1"/>
  <c r="I149" i="22"/>
  <c r="J149" i="22" s="1"/>
  <c r="I162" i="22"/>
  <c r="J162" i="22" s="1"/>
  <c r="I177" i="22"/>
  <c r="J177" i="22" s="1"/>
  <c r="O14" i="18" l="1"/>
  <c r="O17" i="18"/>
  <c r="O18" i="18"/>
  <c r="O19" i="18"/>
  <c r="O21" i="18"/>
  <c r="O22" i="18"/>
  <c r="O26" i="18"/>
  <c r="O29" i="18"/>
  <c r="O31" i="18"/>
  <c r="O35" i="18"/>
  <c r="DN60" i="17" l="1"/>
  <c r="DN58" i="17"/>
  <c r="DN54" i="17"/>
  <c r="DN53" i="17"/>
  <c r="DN52" i="17"/>
  <c r="DN51" i="17"/>
  <c r="DN50" i="17"/>
  <c r="DN49" i="17"/>
  <c r="DN48" i="17"/>
  <c r="DN47" i="17"/>
  <c r="DN46" i="17"/>
  <c r="DN42" i="17"/>
  <c r="DN41" i="17"/>
  <c r="DN40" i="17"/>
  <c r="DN39" i="17"/>
  <c r="DN38" i="17"/>
  <c r="DN37" i="17"/>
  <c r="DN36" i="17"/>
  <c r="DN34" i="17"/>
  <c r="DN33" i="17"/>
  <c r="DN32" i="17"/>
  <c r="DN31" i="17"/>
  <c r="DN30" i="17"/>
  <c r="DN25" i="17"/>
  <c r="DN23" i="17"/>
  <c r="DN22" i="17"/>
  <c r="DN21" i="17"/>
  <c r="DN17" i="17"/>
  <c r="DN16" i="17"/>
  <c r="DN15" i="17"/>
  <c r="DN14" i="17"/>
  <c r="DN13" i="17"/>
  <c r="DN12" i="17"/>
  <c r="DN11" i="17"/>
  <c r="DN10" i="17"/>
  <c r="DN9" i="17"/>
  <c r="FO9" i="17" l="1"/>
  <c r="M35" i="18"/>
  <c r="K37" i="18"/>
  <c r="K45" i="18" s="1"/>
  <c r="DM26" i="17" l="1"/>
  <c r="G32" i="21" l="1"/>
  <c r="HO67" i="17" l="1"/>
  <c r="HO66" i="17"/>
  <c r="HO65" i="17"/>
  <c r="HO61" i="17"/>
  <c r="HO60" i="17"/>
  <c r="HO59" i="17"/>
  <c r="HO58" i="17"/>
  <c r="HO54" i="17"/>
  <c r="HO53" i="17"/>
  <c r="HO52" i="17"/>
  <c r="HO51" i="17"/>
  <c r="HO50" i="17"/>
  <c r="HO49" i="17"/>
  <c r="HO48" i="17"/>
  <c r="HO47" i="17"/>
  <c r="HO46" i="17"/>
  <c r="HO42" i="17"/>
  <c r="HO41" i="17"/>
  <c r="HO40" i="17"/>
  <c r="HO39" i="17"/>
  <c r="HO38" i="17"/>
  <c r="HO37" i="17"/>
  <c r="HO36" i="17"/>
  <c r="HO35" i="17"/>
  <c r="HO34" i="17"/>
  <c r="HO33" i="17"/>
  <c r="HO32" i="17"/>
  <c r="HO31" i="17"/>
  <c r="HO30" i="17"/>
  <c r="HO26" i="17"/>
  <c r="HO25" i="17"/>
  <c r="HO24" i="17"/>
  <c r="HO22" i="17"/>
  <c r="HO17" i="17"/>
  <c r="HO16" i="17"/>
  <c r="HO15" i="17"/>
  <c r="HO14" i="17"/>
  <c r="HO13" i="17"/>
  <c r="HO12" i="17"/>
  <c r="HO11" i="17"/>
  <c r="HO10" i="17"/>
  <c r="FV18" i="17"/>
  <c r="FV24" i="17"/>
  <c r="FV27" i="17" s="1"/>
  <c r="FV71" i="17" s="1"/>
  <c r="FV3" i="17" s="1"/>
  <c r="FV4" i="17" s="1"/>
  <c r="FV43" i="17"/>
  <c r="FV55" i="17"/>
  <c r="FV62" i="17"/>
  <c r="FV65" i="17"/>
  <c r="FV68" i="17"/>
  <c r="CM67" i="17" l="1"/>
  <c r="CM66" i="17"/>
  <c r="CM65" i="17"/>
  <c r="CM61" i="17"/>
  <c r="CM60" i="17"/>
  <c r="CM59" i="17"/>
  <c r="CM58" i="17"/>
  <c r="CM54" i="17"/>
  <c r="CM53" i="17"/>
  <c r="CM52" i="17"/>
  <c r="CM51" i="17"/>
  <c r="CM50" i="17"/>
  <c r="CM49" i="17"/>
  <c r="CM48" i="17"/>
  <c r="CM47" i="17"/>
  <c r="CM46" i="17"/>
  <c r="CM42" i="17"/>
  <c r="CM41" i="17"/>
  <c r="CM40" i="17"/>
  <c r="CM39" i="17"/>
  <c r="CM38" i="17"/>
  <c r="CM37" i="17"/>
  <c r="CM36" i="17"/>
  <c r="CM35" i="17"/>
  <c r="CM34" i="17"/>
  <c r="CM33" i="17"/>
  <c r="CM32" i="17"/>
  <c r="CM31" i="17"/>
  <c r="CM30" i="17"/>
  <c r="CM26" i="17"/>
  <c r="CM25" i="17"/>
  <c r="CM24" i="17"/>
  <c r="CM22" i="17"/>
  <c r="CM21" i="17"/>
  <c r="CM17" i="17"/>
  <c r="CM16" i="17"/>
  <c r="CM15" i="17"/>
  <c r="CM14" i="17"/>
  <c r="CM13" i="17"/>
  <c r="CM12" i="17"/>
  <c r="CM11" i="17"/>
  <c r="CM10" i="17"/>
  <c r="CM9" i="17"/>
  <c r="BS67" i="17"/>
  <c r="BS66" i="17"/>
  <c r="BS65" i="17"/>
  <c r="BS61" i="17"/>
  <c r="BS60" i="17"/>
  <c r="BS59" i="17"/>
  <c r="BS58" i="17"/>
  <c r="BS54" i="17"/>
  <c r="BS53" i="17"/>
  <c r="BS52" i="17"/>
  <c r="BS51" i="17"/>
  <c r="BS50" i="17"/>
  <c r="BS49" i="17"/>
  <c r="BS48" i="17"/>
  <c r="BS47" i="17"/>
  <c r="BS46" i="17"/>
  <c r="BS42" i="17"/>
  <c r="BS41" i="17"/>
  <c r="BS40" i="17"/>
  <c r="BS39" i="17"/>
  <c r="BS38" i="17"/>
  <c r="BS37" i="17"/>
  <c r="BS36" i="17"/>
  <c r="BS35" i="17"/>
  <c r="BS34" i="17"/>
  <c r="BS33" i="17"/>
  <c r="BS32" i="17"/>
  <c r="BS31" i="17"/>
  <c r="BS30" i="17"/>
  <c r="BS26" i="17"/>
  <c r="BS25" i="17"/>
  <c r="BS24" i="17"/>
  <c r="BS23" i="17"/>
  <c r="BS22" i="17"/>
  <c r="BS21" i="17"/>
  <c r="BS17" i="17"/>
  <c r="BS16" i="17"/>
  <c r="BS15" i="17"/>
  <c r="BS14" i="17"/>
  <c r="BS13" i="17"/>
  <c r="BS12" i="17"/>
  <c r="BS11" i="17"/>
  <c r="BS10" i="17"/>
  <c r="BS9" i="17"/>
  <c r="AO67" i="17"/>
  <c r="AP67" i="17" s="1"/>
  <c r="AO66" i="17"/>
  <c r="AP66" i="17" s="1"/>
  <c r="AO61" i="17"/>
  <c r="AP61" i="17" s="1"/>
  <c r="AO60" i="17"/>
  <c r="AP60" i="17" s="1"/>
  <c r="AO58" i="17"/>
  <c r="AP58" i="17" s="1"/>
  <c r="AO54" i="17"/>
  <c r="AP54" i="17" s="1"/>
  <c r="AO53" i="17"/>
  <c r="AP53" i="17" s="1"/>
  <c r="AO52" i="17"/>
  <c r="AP52" i="17" s="1"/>
  <c r="AO51" i="17"/>
  <c r="AP51" i="17" s="1"/>
  <c r="AO50" i="17"/>
  <c r="AP50" i="17" s="1"/>
  <c r="AO49" i="17"/>
  <c r="AP49" i="17" s="1"/>
  <c r="AO48" i="17"/>
  <c r="AO47" i="17"/>
  <c r="AP47" i="17" s="1"/>
  <c r="AO46" i="17"/>
  <c r="AO42" i="17"/>
  <c r="AO41" i="17"/>
  <c r="AP41" i="17" s="1"/>
  <c r="AO40" i="17"/>
  <c r="AO39" i="17"/>
  <c r="AO38" i="17"/>
  <c r="AO37" i="17"/>
  <c r="AP37" i="17" s="1"/>
  <c r="AO36" i="17"/>
  <c r="AO35" i="17"/>
  <c r="AO34" i="17"/>
  <c r="AP34" i="17" s="1"/>
  <c r="AO33" i="17"/>
  <c r="AO32" i="17"/>
  <c r="AO31" i="17"/>
  <c r="AO30" i="17"/>
  <c r="AO26" i="17"/>
  <c r="AP26" i="17" s="1"/>
  <c r="AO25" i="17"/>
  <c r="AP25" i="17" s="1"/>
  <c r="AO22" i="17"/>
  <c r="AP22" i="17" s="1"/>
  <c r="AO17" i="17"/>
  <c r="AP17" i="17" s="1"/>
  <c r="AO16" i="17"/>
  <c r="AP16" i="17" s="1"/>
  <c r="AO15" i="17"/>
  <c r="AP15" i="17" s="1"/>
  <c r="AO14" i="17"/>
  <c r="AP14" i="17" s="1"/>
  <c r="AO13" i="17"/>
  <c r="AP13" i="17" s="1"/>
  <c r="AO12" i="17"/>
  <c r="AP12" i="17" s="1"/>
  <c r="AO11" i="17"/>
  <c r="AP11" i="17" s="1"/>
  <c r="AO10" i="17"/>
  <c r="AP10" i="17" s="1"/>
  <c r="AE67" i="17"/>
  <c r="AE66" i="17"/>
  <c r="AE61" i="17"/>
  <c r="AE60" i="17"/>
  <c r="AE59" i="17"/>
  <c r="AE58" i="17"/>
  <c r="AE54" i="17"/>
  <c r="AE53" i="17"/>
  <c r="AE52" i="17"/>
  <c r="AE51" i="17"/>
  <c r="AE50" i="17"/>
  <c r="AE49" i="17"/>
  <c r="AE48" i="17"/>
  <c r="AE47" i="17"/>
  <c r="AE46" i="17"/>
  <c r="AE42" i="17"/>
  <c r="AE41" i="17"/>
  <c r="AE40" i="17"/>
  <c r="AE39" i="17"/>
  <c r="AE38" i="17"/>
  <c r="AE37" i="17"/>
  <c r="AE36" i="17"/>
  <c r="AE35" i="17"/>
  <c r="AE34" i="17"/>
  <c r="AE33" i="17"/>
  <c r="AE32" i="17"/>
  <c r="AE31" i="17"/>
  <c r="AE30" i="17"/>
  <c r="AE26" i="17"/>
  <c r="AE25" i="17"/>
  <c r="AE22" i="17"/>
  <c r="AE17" i="17"/>
  <c r="AE16" i="17"/>
  <c r="AE15" i="17"/>
  <c r="AE14" i="17"/>
  <c r="AE13" i="17"/>
  <c r="AE12" i="17"/>
  <c r="AE11" i="17"/>
  <c r="AE10" i="17"/>
  <c r="K67" i="17"/>
  <c r="K66" i="17"/>
  <c r="K61" i="17"/>
  <c r="K60" i="17"/>
  <c r="K59" i="17"/>
  <c r="K58" i="17"/>
  <c r="K54" i="17"/>
  <c r="K53" i="17"/>
  <c r="K52" i="17"/>
  <c r="K51" i="17"/>
  <c r="K50" i="17"/>
  <c r="K49" i="17"/>
  <c r="K48" i="17"/>
  <c r="K47" i="17"/>
  <c r="K46" i="17"/>
  <c r="K42" i="17"/>
  <c r="K41" i="17"/>
  <c r="K40" i="17"/>
  <c r="K39" i="17"/>
  <c r="K38" i="17"/>
  <c r="K37" i="17"/>
  <c r="K36" i="17"/>
  <c r="K35" i="17"/>
  <c r="K34" i="17"/>
  <c r="K33" i="17"/>
  <c r="K32" i="17"/>
  <c r="K31" i="17"/>
  <c r="K30" i="17"/>
  <c r="K26" i="17"/>
  <c r="K25" i="17"/>
  <c r="K24" i="17"/>
  <c r="K23" i="17"/>
  <c r="K22" i="17"/>
  <c r="K21" i="17"/>
  <c r="K17" i="17"/>
  <c r="K16" i="17"/>
  <c r="K15" i="17"/>
  <c r="K14" i="17"/>
  <c r="K13" i="17"/>
  <c r="K12" i="17"/>
  <c r="K11" i="17"/>
  <c r="K10" i="17"/>
  <c r="AO55" i="17" l="1"/>
  <c r="AO43" i="17"/>
  <c r="AP46" i="17"/>
  <c r="K27" i="17"/>
  <c r="K55" i="17"/>
  <c r="K62" i="17"/>
  <c r="K43" i="17"/>
  <c r="FO68" i="17" l="1"/>
  <c r="FN68" i="17"/>
  <c r="FO65" i="17"/>
  <c r="FO38" i="17"/>
  <c r="FO34" i="17"/>
  <c r="FO24" i="17"/>
  <c r="FO18" i="17"/>
  <c r="FN18" i="17"/>
  <c r="FO11" i="17"/>
  <c r="N32" i="18"/>
  <c r="N33" i="18"/>
  <c r="N34" i="18"/>
  <c r="AO59" i="17"/>
  <c r="K65" i="17"/>
  <c r="G34" i="21"/>
  <c r="P33" i="18" s="1"/>
  <c r="G33" i="21"/>
  <c r="P32" i="18" s="1"/>
  <c r="AO21" i="17"/>
  <c r="AP21" i="17" s="1"/>
  <c r="AE21" i="17"/>
  <c r="HO21" i="17"/>
  <c r="G16" i="21"/>
  <c r="G21" i="21"/>
  <c r="P40" i="18" s="1"/>
  <c r="G27" i="21"/>
  <c r="AO9" i="17"/>
  <c r="AO24" i="17"/>
  <c r="HO23" i="17"/>
  <c r="AE23" i="17"/>
  <c r="AO23" i="17"/>
  <c r="AE9" i="17"/>
  <c r="HO9" i="17"/>
  <c r="I26" i="22"/>
  <c r="I25" i="22"/>
  <c r="I24" i="22"/>
  <c r="I23" i="22"/>
  <c r="I22" i="22"/>
  <c r="I21" i="22"/>
  <c r="I20" i="22"/>
  <c r="J19" i="22"/>
  <c r="J5" i="22" s="1"/>
  <c r="H19" i="22"/>
  <c r="I19" i="22" s="1"/>
  <c r="I16" i="22"/>
  <c r="I15" i="22"/>
  <c r="H14" i="22"/>
  <c r="I14" i="22" s="1"/>
  <c r="H13" i="22"/>
  <c r="I13" i="22" s="1"/>
  <c r="H12" i="22"/>
  <c r="I12" i="22" s="1"/>
  <c r="H11" i="22"/>
  <c r="I11" i="22" s="1"/>
  <c r="H10" i="22"/>
  <c r="I10" i="22" s="1"/>
  <c r="F5" i="22"/>
  <c r="F17" i="22" s="1"/>
  <c r="D5" i="22"/>
  <c r="F37" i="21"/>
  <c r="E37" i="21"/>
  <c r="G28" i="21"/>
  <c r="G8" i="21"/>
  <c r="L31" i="18"/>
  <c r="L32" i="18"/>
  <c r="L33" i="18"/>
  <c r="L34" i="18"/>
  <c r="L35" i="18"/>
  <c r="O34" i="18" l="1"/>
  <c r="M34" i="18"/>
  <c r="O33" i="18"/>
  <c r="M33" i="18"/>
  <c r="O32" i="18"/>
  <c r="M32" i="18"/>
  <c r="G26" i="21"/>
  <c r="AE24" i="17"/>
  <c r="P24" i="18"/>
  <c r="P42" i="18"/>
  <c r="K28" i="21"/>
  <c r="K21" i="21"/>
  <c r="K8" i="21"/>
  <c r="G9" i="21"/>
  <c r="CM23" i="17"/>
  <c r="AO65" i="17"/>
  <c r="AO68" i="17" s="1"/>
  <c r="AP68" i="17" s="1"/>
  <c r="AO27" i="17"/>
  <c r="AP9" i="17"/>
  <c r="AO18" i="17"/>
  <c r="AE65" i="17"/>
  <c r="AP59" i="17"/>
  <c r="AO62" i="17"/>
  <c r="AP62" i="17" s="1"/>
  <c r="H5" i="22"/>
  <c r="I5" i="22" s="1"/>
  <c r="AH5" i="22" s="1"/>
  <c r="AH8" i="22" s="1"/>
  <c r="K68" i="17"/>
  <c r="G14" i="21"/>
  <c r="G12" i="21"/>
  <c r="G20" i="21"/>
  <c r="G25" i="21"/>
  <c r="K9" i="17"/>
  <c r="G18" i="21"/>
  <c r="G24" i="21"/>
  <c r="G13" i="21"/>
  <c r="G7" i="21"/>
  <c r="G6" i="21"/>
  <c r="G23" i="21"/>
  <c r="G11" i="21"/>
  <c r="G22" i="21"/>
  <c r="H16" i="21"/>
  <c r="G29" i="21"/>
  <c r="H27" i="21"/>
  <c r="G31" i="21"/>
  <c r="H21" i="21"/>
  <c r="G17" i="21"/>
  <c r="G15" i="21"/>
  <c r="H28" i="21"/>
  <c r="H8" i="21"/>
  <c r="G30" i="21"/>
  <c r="G19" i="21"/>
  <c r="P31" i="18" l="1"/>
  <c r="P25" i="18"/>
  <c r="P12" i="18"/>
  <c r="G35" i="21"/>
  <c r="P34" i="18" s="1"/>
  <c r="H26" i="21"/>
  <c r="G10" i="21"/>
  <c r="AH9" i="22"/>
  <c r="AH6" i="22"/>
  <c r="AH7" i="22"/>
  <c r="P13" i="18"/>
  <c r="K14" i="21"/>
  <c r="P16" i="18"/>
  <c r="P7" i="18"/>
  <c r="P10" i="18"/>
  <c r="P9" i="18"/>
  <c r="P5" i="18"/>
  <c r="P8" i="18"/>
  <c r="H9" i="21"/>
  <c r="P27" i="18"/>
  <c r="P28" i="18"/>
  <c r="K24" i="21"/>
  <c r="P23" i="18"/>
  <c r="P39" i="18"/>
  <c r="P30" i="18"/>
  <c r="P41" i="18"/>
  <c r="P43" i="18"/>
  <c r="AP65" i="17"/>
  <c r="AP18" i="17"/>
  <c r="AO71" i="17"/>
  <c r="H18" i="21"/>
  <c r="P11" i="18"/>
  <c r="H12" i="21"/>
  <c r="H14" i="21"/>
  <c r="K18" i="17"/>
  <c r="H7" i="21"/>
  <c r="H6" i="21"/>
  <c r="H24" i="21"/>
  <c r="H25" i="21"/>
  <c r="H23" i="21"/>
  <c r="H20" i="21"/>
  <c r="H11" i="21"/>
  <c r="H13" i="21"/>
  <c r="P4" i="18"/>
  <c r="H19" i="21"/>
  <c r="H30" i="21"/>
  <c r="G5" i="21"/>
  <c r="H9" i="22"/>
  <c r="I9" i="22" s="1"/>
  <c r="J41" i="22"/>
  <c r="J42" i="22"/>
  <c r="G39" i="21" s="1"/>
  <c r="H29" i="21"/>
  <c r="H15" i="21"/>
  <c r="H22" i="21"/>
  <c r="H31" i="21"/>
  <c r="H17" i="21"/>
  <c r="H10" i="21" l="1"/>
  <c r="P20" i="18"/>
  <c r="P6" i="18"/>
  <c r="AO3" i="17"/>
  <c r="J5" i="21" s="1"/>
  <c r="K5" i="21" s="1"/>
  <c r="K71" i="17"/>
  <c r="K3" i="17" s="1"/>
  <c r="J18" i="21" s="1"/>
  <c r="K18" i="21" s="1"/>
  <c r="G37" i="21"/>
  <c r="H5" i="21"/>
  <c r="H17" i="22"/>
  <c r="J30" i="22"/>
  <c r="P37" i="18" l="1"/>
  <c r="P45" i="18" s="1"/>
  <c r="H37" i="21"/>
  <c r="G40" i="21"/>
  <c r="L8" i="20"/>
  <c r="L10" i="20"/>
  <c r="L11" i="20"/>
  <c r="L12" i="20"/>
  <c r="L13" i="20"/>
  <c r="L14" i="20"/>
  <c r="L19" i="20"/>
  <c r="L20" i="20"/>
  <c r="L21" i="20"/>
  <c r="L24" i="20"/>
  <c r="L25" i="20"/>
  <c r="F29" i="20"/>
  <c r="G29" i="20" s="1"/>
  <c r="G28" i="20"/>
  <c r="I24" i="20"/>
  <c r="G24" i="20"/>
  <c r="G23" i="20"/>
  <c r="G22" i="20"/>
  <c r="G21" i="20"/>
  <c r="G20" i="20"/>
  <c r="G19" i="20"/>
  <c r="G18" i="20"/>
  <c r="G17" i="20"/>
  <c r="G16" i="20"/>
  <c r="G15" i="20"/>
  <c r="G14" i="20"/>
  <c r="G13" i="20"/>
  <c r="G12" i="20"/>
  <c r="F11" i="20"/>
  <c r="G11" i="20" s="1"/>
  <c r="G10" i="20"/>
  <c r="J9" i="20"/>
  <c r="G9" i="20"/>
  <c r="G8" i="20"/>
  <c r="J7" i="20"/>
  <c r="G7" i="20"/>
  <c r="G6" i="20"/>
  <c r="G5" i="20"/>
  <c r="G4" i="20"/>
  <c r="G35" i="20" l="1"/>
  <c r="F35" i="20"/>
  <c r="M31" i="18" l="1"/>
  <c r="G15" i="18" l="1"/>
  <c r="N15" i="18" s="1"/>
  <c r="O15" i="18" s="1"/>
  <c r="L43" i="18"/>
  <c r="L14" i="18"/>
  <c r="L17" i="18"/>
  <c r="L18" i="18"/>
  <c r="L30" i="18"/>
  <c r="L19" i="18"/>
  <c r="L21" i="18"/>
  <c r="L22" i="18"/>
  <c r="L26" i="18"/>
  <c r="M15" i="18" l="1"/>
  <c r="FI67" i="17"/>
  <c r="FI66" i="17"/>
  <c r="FI65" i="17"/>
  <c r="FI61" i="17"/>
  <c r="FI60" i="17"/>
  <c r="FI59" i="17"/>
  <c r="FI58" i="17"/>
  <c r="FI55" i="17"/>
  <c r="FI54" i="17"/>
  <c r="FI53" i="17"/>
  <c r="FI52" i="17"/>
  <c r="FI51" i="17"/>
  <c r="FI50" i="17"/>
  <c r="FI49" i="17"/>
  <c r="FI48" i="17"/>
  <c r="FI47" i="17"/>
  <c r="FI46" i="17"/>
  <c r="FI42" i="17"/>
  <c r="FI41" i="17"/>
  <c r="FI40" i="17"/>
  <c r="FI39" i="17"/>
  <c r="FI38" i="17"/>
  <c r="FI37" i="17"/>
  <c r="FI36" i="17"/>
  <c r="FI35" i="17"/>
  <c r="FI34" i="17"/>
  <c r="FI33" i="17"/>
  <c r="FI32" i="17"/>
  <c r="FI31" i="17"/>
  <c r="FI30" i="17"/>
  <c r="FI26" i="17"/>
  <c r="FI25" i="17"/>
  <c r="FI24" i="17"/>
  <c r="FI23" i="17"/>
  <c r="FI22" i="17"/>
  <c r="FI21" i="17"/>
  <c r="FI17" i="17"/>
  <c r="FI16" i="17"/>
  <c r="FI15" i="17"/>
  <c r="FI14" i="17"/>
  <c r="FI13" i="17"/>
  <c r="FI12" i="17"/>
  <c r="FI11" i="17"/>
  <c r="FI10" i="17"/>
  <c r="FI9" i="17"/>
  <c r="Z67" i="17"/>
  <c r="Z66" i="17"/>
  <c r="Z65" i="17"/>
  <c r="Z61" i="17"/>
  <c r="Z60" i="17"/>
  <c r="Z59" i="17"/>
  <c r="Z58" i="17"/>
  <c r="Z55" i="17"/>
  <c r="Z54" i="17"/>
  <c r="Z53" i="17"/>
  <c r="Z52" i="17"/>
  <c r="Z51" i="17"/>
  <c r="Z50" i="17"/>
  <c r="Z49" i="17"/>
  <c r="Z48" i="17"/>
  <c r="Z47" i="17"/>
  <c r="Z46" i="17"/>
  <c r="Z42" i="17"/>
  <c r="Z41" i="17"/>
  <c r="Z40" i="17"/>
  <c r="Z39" i="17"/>
  <c r="Z38" i="17"/>
  <c r="Z37" i="17"/>
  <c r="Z36" i="17"/>
  <c r="Z35" i="17"/>
  <c r="Z34" i="17"/>
  <c r="Z33" i="17"/>
  <c r="Z32" i="17"/>
  <c r="Z31" i="17"/>
  <c r="Z30" i="17"/>
  <c r="Z26" i="17"/>
  <c r="Z25" i="17"/>
  <c r="Z24" i="17"/>
  <c r="Z12" i="17"/>
  <c r="Z9" i="17"/>
  <c r="HB12" i="17" l="1"/>
  <c r="HB11" i="17"/>
  <c r="HB9" i="17"/>
  <c r="U26" i="18" l="1"/>
  <c r="U22" i="18"/>
  <c r="U21" i="18"/>
  <c r="U19" i="18"/>
  <c r="U18" i="18"/>
  <c r="U17" i="18"/>
  <c r="U14" i="18"/>
  <c r="BO67" i="17" l="1"/>
  <c r="BO66" i="17"/>
  <c r="BO50" i="17"/>
  <c r="BO23" i="17"/>
  <c r="BO46" i="17" l="1"/>
  <c r="GF68" i="17"/>
  <c r="GG67" i="17"/>
  <c r="GH67" i="17" s="1"/>
  <c r="GG66" i="17"/>
  <c r="GG65" i="17"/>
  <c r="GF62" i="17"/>
  <c r="GG61" i="17"/>
  <c r="GG60" i="17"/>
  <c r="GG59" i="17"/>
  <c r="GG58" i="17"/>
  <c r="GF55" i="17"/>
  <c r="GG53" i="17"/>
  <c r="GG52" i="17"/>
  <c r="GG51" i="17"/>
  <c r="GG50" i="17"/>
  <c r="GG49" i="17"/>
  <c r="GG48" i="17"/>
  <c r="GG47" i="17"/>
  <c r="GG46" i="17"/>
  <c r="GG55" i="17" s="1"/>
  <c r="GF43" i="17"/>
  <c r="GG42" i="17"/>
  <c r="GG41" i="17"/>
  <c r="GG40" i="17"/>
  <c r="GG39" i="17"/>
  <c r="GG38" i="17"/>
  <c r="GG37" i="17"/>
  <c r="GG36" i="17"/>
  <c r="GG35" i="17"/>
  <c r="GG34" i="17"/>
  <c r="GG33" i="17"/>
  <c r="GG32" i="17"/>
  <c r="GG31" i="17"/>
  <c r="GG30" i="17"/>
  <c r="GF27" i="17"/>
  <c r="GG26" i="17"/>
  <c r="GG25" i="17"/>
  <c r="GG24" i="17"/>
  <c r="GG23" i="17"/>
  <c r="GG22" i="17"/>
  <c r="GG21" i="17"/>
  <c r="GF18" i="17"/>
  <c r="GG17" i="17"/>
  <c r="GG16" i="17"/>
  <c r="GH16" i="17" s="1"/>
  <c r="GG15" i="17"/>
  <c r="GG14" i="17"/>
  <c r="GG13" i="17"/>
  <c r="GG12" i="17"/>
  <c r="GG11" i="17"/>
  <c r="GG10" i="17"/>
  <c r="GG9" i="17"/>
  <c r="GG2" i="17"/>
  <c r="L40" i="18"/>
  <c r="L27" i="18"/>
  <c r="L25" i="18"/>
  <c r="L24" i="18"/>
  <c r="L23" i="18"/>
  <c r="L20" i="18"/>
  <c r="L42" i="18"/>
  <c r="L41" i="18"/>
  <c r="L13" i="18"/>
  <c r="L12" i="18"/>
  <c r="L16" i="18"/>
  <c r="L11" i="18"/>
  <c r="L10" i="18"/>
  <c r="L9" i="18"/>
  <c r="L8" i="18"/>
  <c r="L7" i="18"/>
  <c r="L6" i="18"/>
  <c r="L5" i="18"/>
  <c r="L39" i="18"/>
  <c r="L4" i="18" l="1"/>
  <c r="N28" i="18"/>
  <c r="L28" i="18"/>
  <c r="L45" i="18" s="1"/>
  <c r="GG62" i="17"/>
  <c r="GH26" i="17"/>
  <c r="GH17" i="17"/>
  <c r="GH37" i="17"/>
  <c r="GH10" i="17"/>
  <c r="GF71" i="17"/>
  <c r="GF3" i="17" s="1"/>
  <c r="GF4" i="17" s="1"/>
  <c r="GH30" i="17"/>
  <c r="GH38" i="17"/>
  <c r="GH48" i="17"/>
  <c r="GH59" i="17"/>
  <c r="GH11" i="17"/>
  <c r="GG27" i="17"/>
  <c r="GG43" i="17"/>
  <c r="GH39" i="17"/>
  <c r="GH49" i="17"/>
  <c r="GH60" i="17"/>
  <c r="GH36" i="17"/>
  <c r="GG18" i="17"/>
  <c r="GH22" i="17"/>
  <c r="GH40" i="17"/>
  <c r="GH61" i="17"/>
  <c r="GH23" i="17"/>
  <c r="GH41" i="17"/>
  <c r="GH14" i="17"/>
  <c r="GH24" i="17"/>
  <c r="GH34" i="17"/>
  <c r="GH42" i="17"/>
  <c r="GH52" i="17"/>
  <c r="GH65" i="17"/>
  <c r="GH47" i="17"/>
  <c r="GH12" i="17"/>
  <c r="GH32" i="17"/>
  <c r="GH50" i="17"/>
  <c r="GH13" i="17"/>
  <c r="GH33" i="17"/>
  <c r="GH51" i="17"/>
  <c r="GH15" i="17"/>
  <c r="GH25" i="17"/>
  <c r="GH35" i="17"/>
  <c r="GH53" i="17"/>
  <c r="GH66" i="17"/>
  <c r="GH31" i="17"/>
  <c r="GH21" i="17"/>
  <c r="GH46" i="17"/>
  <c r="GH9" i="17"/>
  <c r="GH58" i="17"/>
  <c r="GG68" i="17"/>
  <c r="U28" i="18" l="1"/>
  <c r="O28" i="18"/>
  <c r="M28" i="18"/>
  <c r="Q28" i="18"/>
  <c r="GG71" i="17"/>
  <c r="GG3" i="17" s="1"/>
  <c r="GG4" i="17" s="1"/>
  <c r="I28" i="18"/>
  <c r="G28" i="18"/>
  <c r="R28" i="18" s="1"/>
  <c r="F9" i="18"/>
  <c r="F37" i="18" s="1"/>
  <c r="F45" i="18" s="1"/>
  <c r="F30" i="18"/>
  <c r="J40" i="18"/>
  <c r="G40" i="18"/>
  <c r="BP2" i="17" s="1"/>
  <c r="J6" i="18"/>
  <c r="G6" i="18"/>
  <c r="BP31" i="17" l="1"/>
  <c r="BQ31" i="17" s="1"/>
  <c r="BP49" i="17"/>
  <c r="BQ49" i="17" s="1"/>
  <c r="BP59" i="17"/>
  <c r="BQ59" i="17" s="1"/>
  <c r="BP61" i="17"/>
  <c r="BQ61" i="17" s="1"/>
  <c r="BP48" i="17"/>
  <c r="BP53" i="17"/>
  <c r="BQ53" i="17" s="1"/>
  <c r="BP38" i="17"/>
  <c r="BQ38" i="17" s="1"/>
  <c r="BP51" i="17"/>
  <c r="BQ51" i="17" s="1"/>
  <c r="BP15" i="17"/>
  <c r="BQ15" i="17" s="1"/>
  <c r="BP14" i="17"/>
  <c r="BQ14" i="17" s="1"/>
  <c r="BP50" i="17"/>
  <c r="BQ50" i="17" s="1"/>
  <c r="BP66" i="17"/>
  <c r="BQ66" i="17" s="1"/>
  <c r="BP24" i="17"/>
  <c r="BQ24" i="17" s="1"/>
  <c r="BP40" i="17"/>
  <c r="BQ40" i="17" s="1"/>
  <c r="BP41" i="17"/>
  <c r="BQ41" i="17" s="1"/>
  <c r="BP60" i="17"/>
  <c r="BQ60" i="17" s="1"/>
  <c r="BP33" i="17"/>
  <c r="BQ33" i="17" s="1"/>
  <c r="BP10" i="17"/>
  <c r="BQ10" i="17" s="1"/>
  <c r="BP13" i="17"/>
  <c r="BQ13" i="17" s="1"/>
  <c r="BP26" i="17"/>
  <c r="BQ26" i="17" s="1"/>
  <c r="BP42" i="17"/>
  <c r="BQ42" i="17" s="1"/>
  <c r="BP25" i="17"/>
  <c r="BQ25" i="17" s="1"/>
  <c r="BP37" i="17"/>
  <c r="BQ37" i="17" s="1"/>
  <c r="BP35" i="17"/>
  <c r="BQ35" i="17" s="1"/>
  <c r="BP23" i="17"/>
  <c r="BQ23" i="17" s="1"/>
  <c r="BP67" i="17"/>
  <c r="BQ67" i="17" s="1"/>
  <c r="BP30" i="17"/>
  <c r="BP54" i="17"/>
  <c r="BQ54" i="17" s="1"/>
  <c r="BP52" i="17"/>
  <c r="BQ52" i="17" s="1"/>
  <c r="BP16" i="17"/>
  <c r="BQ16" i="17" s="1"/>
  <c r="BP47" i="17"/>
  <c r="BQ47" i="17" s="1"/>
  <c r="BP32" i="17"/>
  <c r="BQ32" i="17" s="1"/>
  <c r="BP58" i="17"/>
  <c r="BQ2" i="17"/>
  <c r="BP9" i="17"/>
  <c r="BP65" i="17"/>
  <c r="BP11" i="17"/>
  <c r="BQ11" i="17" s="1"/>
  <c r="BP36" i="17"/>
  <c r="BQ36" i="17" s="1"/>
  <c r="BP17" i="17"/>
  <c r="BQ17" i="17" s="1"/>
  <c r="BP21" i="17"/>
  <c r="BP12" i="17"/>
  <c r="BQ12" i="17" s="1"/>
  <c r="BP22" i="17"/>
  <c r="BQ22" i="17" s="1"/>
  <c r="BP34" i="17"/>
  <c r="BQ34" i="17" s="1"/>
  <c r="BP39" i="17"/>
  <c r="BQ39" i="17" s="1"/>
  <c r="BP46" i="17"/>
  <c r="HI68" i="17"/>
  <c r="HJ67" i="17"/>
  <c r="HL66" i="17"/>
  <c r="HJ62" i="17"/>
  <c r="HI62" i="17"/>
  <c r="HJ56" i="17"/>
  <c r="HI56" i="17"/>
  <c r="HL50" i="17"/>
  <c r="HI27" i="17"/>
  <c r="HJ26" i="17"/>
  <c r="HJ25" i="17"/>
  <c r="HJ23" i="17"/>
  <c r="HJ22" i="17"/>
  <c r="HJ21" i="17"/>
  <c r="HJ18" i="17"/>
  <c r="HI18" i="17"/>
  <c r="GY68" i="17"/>
  <c r="GZ67" i="17"/>
  <c r="HB66" i="17"/>
  <c r="GY62" i="17"/>
  <c r="GZ62" i="17"/>
  <c r="GY56" i="17"/>
  <c r="GZ56" i="17"/>
  <c r="GY27" i="17"/>
  <c r="GZ26" i="17"/>
  <c r="GZ25" i="17"/>
  <c r="GZ23" i="17"/>
  <c r="GZ22" i="17"/>
  <c r="GZ21" i="17"/>
  <c r="GY18" i="17"/>
  <c r="GZ18" i="17"/>
  <c r="GP68" i="17"/>
  <c r="GQ67" i="17"/>
  <c r="GQ66" i="17"/>
  <c r="GQ65" i="17"/>
  <c r="GP62" i="17"/>
  <c r="GQ61" i="17"/>
  <c r="GQ60" i="17"/>
  <c r="GQ59" i="17"/>
  <c r="GQ58" i="17"/>
  <c r="GP55" i="17"/>
  <c r="GQ53" i="17"/>
  <c r="GQ52" i="17"/>
  <c r="GQ51" i="17"/>
  <c r="GQ50" i="17"/>
  <c r="GQ49" i="17"/>
  <c r="GQ48" i="17"/>
  <c r="GQ47" i="17"/>
  <c r="GQ46" i="17"/>
  <c r="GP43" i="17"/>
  <c r="GQ42" i="17"/>
  <c r="GQ41" i="17"/>
  <c r="GQ40" i="17"/>
  <c r="GQ39" i="17"/>
  <c r="GQ38" i="17"/>
  <c r="GQ37" i="17"/>
  <c r="GQ36" i="17"/>
  <c r="GQ35" i="17"/>
  <c r="GQ34" i="17"/>
  <c r="GQ33" i="17"/>
  <c r="GQ32" i="17"/>
  <c r="GQ31" i="17"/>
  <c r="GQ30" i="17"/>
  <c r="GP27" i="17"/>
  <c r="GQ26" i="17"/>
  <c r="GQ25" i="17"/>
  <c r="GQ24" i="17"/>
  <c r="GQ23" i="17"/>
  <c r="GQ22" i="17"/>
  <c r="GQ21" i="17"/>
  <c r="GP18" i="17"/>
  <c r="GQ17" i="17"/>
  <c r="GQ16" i="17"/>
  <c r="GQ15" i="17"/>
  <c r="GQ14" i="17"/>
  <c r="GQ13" i="17"/>
  <c r="GQ12" i="17"/>
  <c r="GQ11" i="17"/>
  <c r="GQ10" i="17"/>
  <c r="GQ9" i="17"/>
  <c r="GQ2" i="17"/>
  <c r="GR67" i="17" s="1"/>
  <c r="GJ53" i="17"/>
  <c r="GK53" i="17" s="1"/>
  <c r="GI10" i="17"/>
  <c r="HF40" i="17" l="1"/>
  <c r="HF61" i="17"/>
  <c r="HF31" i="17"/>
  <c r="HF17" i="17"/>
  <c r="HF60" i="17"/>
  <c r="HF49" i="17"/>
  <c r="HF38" i="17"/>
  <c r="HF30" i="17"/>
  <c r="HF16" i="17"/>
  <c r="HF59" i="17"/>
  <c r="HF48" i="17"/>
  <c r="HF37" i="17"/>
  <c r="HF26" i="17"/>
  <c r="HF15" i="17"/>
  <c r="HF42" i="17"/>
  <c r="HF12" i="17"/>
  <c r="HF58" i="17"/>
  <c r="HF47" i="17"/>
  <c r="HF36" i="17"/>
  <c r="HF25" i="17"/>
  <c r="HF14" i="17"/>
  <c r="HF54" i="17"/>
  <c r="HF46" i="17"/>
  <c r="HF24" i="17"/>
  <c r="HF13" i="17"/>
  <c r="HF53" i="17"/>
  <c r="HF34" i="17"/>
  <c r="HF35" i="17"/>
  <c r="HF67" i="17"/>
  <c r="HF23" i="17"/>
  <c r="HF66" i="17"/>
  <c r="HF52" i="17"/>
  <c r="HF41" i="17"/>
  <c r="HF33" i="17"/>
  <c r="HF22" i="17"/>
  <c r="HF11" i="17"/>
  <c r="HF65" i="17"/>
  <c r="HF51" i="17"/>
  <c r="HF32" i="17"/>
  <c r="HF21" i="17"/>
  <c r="HF10" i="17"/>
  <c r="HF50" i="17"/>
  <c r="HF39" i="17"/>
  <c r="HF9" i="17"/>
  <c r="GV51" i="17"/>
  <c r="GW51" i="17" s="1"/>
  <c r="GV39" i="17"/>
  <c r="GW39" i="17" s="1"/>
  <c r="GV9" i="17"/>
  <c r="GV60" i="17"/>
  <c r="GW60" i="17" s="1"/>
  <c r="GV49" i="17"/>
  <c r="GW49" i="17" s="1"/>
  <c r="GV38" i="17"/>
  <c r="GW38" i="17" s="1"/>
  <c r="GV30" i="17"/>
  <c r="GV16" i="17"/>
  <c r="GV59" i="17"/>
  <c r="GV48" i="17"/>
  <c r="GW48" i="17" s="1"/>
  <c r="GV37" i="17"/>
  <c r="GW37" i="17" s="1"/>
  <c r="GV26" i="17"/>
  <c r="GV15" i="17"/>
  <c r="GV46" i="17"/>
  <c r="GV24" i="17"/>
  <c r="GV61" i="17"/>
  <c r="GW61" i="17" s="1"/>
  <c r="GV35" i="17"/>
  <c r="GV50" i="17"/>
  <c r="GW50" i="17" s="1"/>
  <c r="GV58" i="17"/>
  <c r="GV47" i="17"/>
  <c r="GW47" i="17" s="1"/>
  <c r="GV36" i="17"/>
  <c r="GW36" i="17" s="1"/>
  <c r="GV25" i="17"/>
  <c r="GW25" i="17" s="1"/>
  <c r="GV14" i="17"/>
  <c r="GV54" i="17"/>
  <c r="GW54" i="17" s="1"/>
  <c r="GV13" i="17"/>
  <c r="GV17" i="17"/>
  <c r="GV67" i="17"/>
  <c r="GW67" i="17" s="1"/>
  <c r="GV53" i="17"/>
  <c r="GW53" i="17" s="1"/>
  <c r="GV42" i="17"/>
  <c r="GW42" i="17" s="1"/>
  <c r="GV34" i="17"/>
  <c r="GW34" i="17" s="1"/>
  <c r="GV23" i="17"/>
  <c r="GW23" i="17" s="1"/>
  <c r="GV12" i="17"/>
  <c r="GV66" i="17"/>
  <c r="GW66" i="17" s="1"/>
  <c r="GV52" i="17"/>
  <c r="GW52" i="17" s="1"/>
  <c r="GV41" i="17"/>
  <c r="GW41" i="17" s="1"/>
  <c r="GV33" i="17"/>
  <c r="GW33" i="17" s="1"/>
  <c r="GV22" i="17"/>
  <c r="GW22" i="17" s="1"/>
  <c r="GV11" i="17"/>
  <c r="GV65" i="17"/>
  <c r="GV40" i="17"/>
  <c r="GW40" i="17" s="1"/>
  <c r="GV32" i="17"/>
  <c r="GW32" i="17" s="1"/>
  <c r="GV21" i="17"/>
  <c r="GV10" i="17"/>
  <c r="GV31" i="17"/>
  <c r="GW31" i="17" s="1"/>
  <c r="GM65" i="17"/>
  <c r="GM51" i="17"/>
  <c r="GM40" i="17"/>
  <c r="GM32" i="17"/>
  <c r="GM21" i="17"/>
  <c r="GM10" i="17"/>
  <c r="GM47" i="17"/>
  <c r="GM52" i="17"/>
  <c r="GM61" i="17"/>
  <c r="GM50" i="17"/>
  <c r="GM39" i="17"/>
  <c r="GM31" i="17"/>
  <c r="GM17" i="17"/>
  <c r="GM9" i="17"/>
  <c r="GM36" i="17"/>
  <c r="GM66" i="17"/>
  <c r="GM60" i="17"/>
  <c r="GM49" i="17"/>
  <c r="GM38" i="17"/>
  <c r="GM30" i="17"/>
  <c r="GM16" i="17"/>
  <c r="GM25" i="17"/>
  <c r="GM33" i="17"/>
  <c r="GM59" i="17"/>
  <c r="GM48" i="17"/>
  <c r="GM37" i="17"/>
  <c r="GM26" i="17"/>
  <c r="GM15" i="17"/>
  <c r="GM58" i="17"/>
  <c r="GM14" i="17"/>
  <c r="GM11" i="17"/>
  <c r="GM54" i="17"/>
  <c r="GM46" i="17"/>
  <c r="GM35" i="17"/>
  <c r="GM24" i="17"/>
  <c r="GM13" i="17"/>
  <c r="GM53" i="17"/>
  <c r="GM23" i="17"/>
  <c r="GM22" i="17"/>
  <c r="GM67" i="17"/>
  <c r="GM42" i="17"/>
  <c r="GM34" i="17"/>
  <c r="GM12" i="17"/>
  <c r="GM41" i="17"/>
  <c r="BQ48" i="17"/>
  <c r="K9" i="20"/>
  <c r="L9" i="20" s="1"/>
  <c r="GR9" i="17"/>
  <c r="GR60" i="17"/>
  <c r="BQ21" i="17"/>
  <c r="BQ27" i="17" s="1"/>
  <c r="BP27" i="17"/>
  <c r="BP55" i="17"/>
  <c r="BQ46" i="17"/>
  <c r="BQ65" i="17"/>
  <c r="BQ68" i="17" s="1"/>
  <c r="BP68" i="17"/>
  <c r="BQ9" i="17"/>
  <c r="BQ18" i="17" s="1"/>
  <c r="BP18" i="17"/>
  <c r="BQ30" i="17"/>
  <c r="BQ43" i="17" s="1"/>
  <c r="BP43" i="17"/>
  <c r="BP62" i="17"/>
  <c r="BQ58" i="17"/>
  <c r="BQ62" i="17" s="1"/>
  <c r="GI16" i="17"/>
  <c r="GR31" i="17"/>
  <c r="GR39" i="17"/>
  <c r="GQ62" i="17"/>
  <c r="GI67" i="17"/>
  <c r="GJ67" i="17" s="1"/>
  <c r="GK67" i="17" s="1"/>
  <c r="GR50" i="17"/>
  <c r="GR25" i="17"/>
  <c r="GI13" i="17"/>
  <c r="GJ13" i="17" s="1"/>
  <c r="GK13" i="17" s="1"/>
  <c r="GI15" i="17"/>
  <c r="GJ15" i="17" s="1"/>
  <c r="GK15" i="17" s="1"/>
  <c r="GR10" i="17"/>
  <c r="GR58" i="17"/>
  <c r="GR30" i="17"/>
  <c r="GR35" i="17"/>
  <c r="GR15" i="17"/>
  <c r="GQ43" i="17"/>
  <c r="GR14" i="17"/>
  <c r="GR22" i="17"/>
  <c r="GR16" i="17"/>
  <c r="GR32" i="17"/>
  <c r="GR37" i="17"/>
  <c r="GP71" i="17"/>
  <c r="GP3" i="17" s="1"/>
  <c r="GP4" i="17" s="1"/>
  <c r="GI66" i="17"/>
  <c r="GJ66" i="17" s="1"/>
  <c r="GK66" i="17" s="1"/>
  <c r="GR17" i="17"/>
  <c r="GR38" i="17"/>
  <c r="GQ55" i="17"/>
  <c r="GR53" i="17"/>
  <c r="HI71" i="17"/>
  <c r="GR11" i="17"/>
  <c r="GR26" i="17"/>
  <c r="GR33" i="17"/>
  <c r="GJ23" i="17"/>
  <c r="GK23" i="17" s="1"/>
  <c r="GR12" i="17"/>
  <c r="GR21" i="17"/>
  <c r="GR34" i="17"/>
  <c r="GR48" i="17"/>
  <c r="GQ68" i="17"/>
  <c r="GR13" i="17"/>
  <c r="GQ27" i="17"/>
  <c r="GR66" i="17"/>
  <c r="GR36" i="17"/>
  <c r="HJ68" i="17"/>
  <c r="HJ27" i="17"/>
  <c r="HJ71" i="17" s="1"/>
  <c r="GY71" i="17"/>
  <c r="GZ27" i="17"/>
  <c r="HB50" i="17"/>
  <c r="GZ68" i="17"/>
  <c r="GQ18" i="17"/>
  <c r="GR24" i="17"/>
  <c r="GR47" i="17"/>
  <c r="GR52" i="17"/>
  <c r="GR49" i="17"/>
  <c r="GR59" i="17"/>
  <c r="GR23" i="17"/>
  <c r="GR40" i="17"/>
  <c r="GR42" i="17"/>
  <c r="GR46" i="17"/>
  <c r="GR51" i="17"/>
  <c r="GR61" i="17"/>
  <c r="GR65" i="17"/>
  <c r="GR41" i="17"/>
  <c r="GJ11" i="17"/>
  <c r="GK11" i="17" s="1"/>
  <c r="GJ22" i="17"/>
  <c r="GK22" i="17" s="1"/>
  <c r="GJ10" i="17"/>
  <c r="GK10" i="17" s="1"/>
  <c r="GJ58" i="17"/>
  <c r="GK58" i="17" s="1"/>
  <c r="GJ51" i="17"/>
  <c r="GK51" i="17" s="1"/>
  <c r="GJ16" i="17"/>
  <c r="GK16" i="17" s="1"/>
  <c r="GJ50" i="17"/>
  <c r="GK50" i="17" s="1"/>
  <c r="GJ24" i="17"/>
  <c r="GK24" i="17" s="1"/>
  <c r="GJ32" i="17"/>
  <c r="GK32" i="17" s="1"/>
  <c r="GJ36" i="17"/>
  <c r="GK36" i="17" s="1"/>
  <c r="GJ42" i="17"/>
  <c r="GK42" i="17" s="1"/>
  <c r="GJ60" i="17"/>
  <c r="GK60" i="17" s="1"/>
  <c r="GK2" i="17"/>
  <c r="GJ48" i="17"/>
  <c r="GK48" i="17" s="1"/>
  <c r="GI46" i="17"/>
  <c r="GJ46" i="17" s="1"/>
  <c r="GJ30" i="17"/>
  <c r="GJ12" i="17"/>
  <c r="GK12" i="17" s="1"/>
  <c r="GI14" i="17"/>
  <c r="GJ14" i="17" s="1"/>
  <c r="GK14" i="17" s="1"/>
  <c r="GJ17" i="17"/>
  <c r="GK17" i="17" s="1"/>
  <c r="GJ21" i="17"/>
  <c r="GJ52" i="17"/>
  <c r="GK52" i="17" s="1"/>
  <c r="GJ35" i="17"/>
  <c r="GK35" i="17" s="1"/>
  <c r="GJ39" i="17"/>
  <c r="GK39" i="17" s="1"/>
  <c r="GJ59" i="17"/>
  <c r="GK59" i="17" s="1"/>
  <c r="GJ61" i="17"/>
  <c r="GK61" i="17" s="1"/>
  <c r="GJ25" i="17"/>
  <c r="GK25" i="17" s="1"/>
  <c r="GJ31" i="17"/>
  <c r="GK31" i="17" s="1"/>
  <c r="GJ33" i="17"/>
  <c r="GK33" i="17" s="1"/>
  <c r="GJ37" i="17"/>
  <c r="GK37" i="17" s="1"/>
  <c r="GJ41" i="17"/>
  <c r="GK41" i="17" s="1"/>
  <c r="GJ9" i="17"/>
  <c r="GJ47" i="17"/>
  <c r="GK47" i="17" s="1"/>
  <c r="GJ49" i="17"/>
  <c r="GK49" i="17" s="1"/>
  <c r="GJ65" i="17"/>
  <c r="GJ26" i="17"/>
  <c r="GK26" i="17" s="1"/>
  <c r="GJ34" i="17"/>
  <c r="GK34" i="17" s="1"/>
  <c r="GJ38" i="17"/>
  <c r="GK38" i="17" s="1"/>
  <c r="GJ40" i="17"/>
  <c r="GK40" i="17" s="1"/>
  <c r="GJ54" i="17"/>
  <c r="GK54" i="17" s="1"/>
  <c r="FY6" i="17"/>
  <c r="FW67" i="17"/>
  <c r="FW66" i="17"/>
  <c r="FW65" i="17"/>
  <c r="FW61" i="17"/>
  <c r="FW60" i="17"/>
  <c r="FW59" i="17"/>
  <c r="FW58" i="17"/>
  <c r="FW53" i="17"/>
  <c r="FW52" i="17"/>
  <c r="FW51" i="17"/>
  <c r="FW50" i="17"/>
  <c r="FW49" i="17"/>
  <c r="FW48" i="17"/>
  <c r="FW47" i="17"/>
  <c r="FW46" i="17"/>
  <c r="FW42" i="17"/>
  <c r="FW41" i="17"/>
  <c r="FW40" i="17"/>
  <c r="FW39" i="17"/>
  <c r="FW38" i="17"/>
  <c r="FW37" i="17"/>
  <c r="FW36" i="17"/>
  <c r="FW35" i="17"/>
  <c r="FW34" i="17"/>
  <c r="FW33" i="17"/>
  <c r="FW32" i="17"/>
  <c r="FW31" i="17"/>
  <c r="FW30" i="17"/>
  <c r="FW26" i="17"/>
  <c r="FW25" i="17"/>
  <c r="FW24" i="17"/>
  <c r="FW23" i="17"/>
  <c r="FW22" i="17"/>
  <c r="FW21" i="17"/>
  <c r="FW17" i="17"/>
  <c r="FW16" i="17"/>
  <c r="FW15" i="17"/>
  <c r="FW14" i="17"/>
  <c r="FW13" i="17"/>
  <c r="FW12" i="17"/>
  <c r="FW11" i="17"/>
  <c r="FW10" i="17"/>
  <c r="FW9" i="17"/>
  <c r="FW2" i="17"/>
  <c r="FX52" i="17" s="1"/>
  <c r="FJ6" i="17"/>
  <c r="FG68" i="17"/>
  <c r="FH67" i="17"/>
  <c r="FH66" i="17"/>
  <c r="FH65" i="17"/>
  <c r="FG62" i="17"/>
  <c r="FH60" i="17"/>
  <c r="FH59" i="17"/>
  <c r="FH58" i="17"/>
  <c r="FG56" i="17"/>
  <c r="FH55" i="17"/>
  <c r="FH53" i="17"/>
  <c r="FH52" i="17"/>
  <c r="FH51" i="17"/>
  <c r="FH50" i="17"/>
  <c r="FH49" i="17"/>
  <c r="FH48" i="17"/>
  <c r="FH47" i="17"/>
  <c r="FH46" i="17"/>
  <c r="FG43" i="17"/>
  <c r="FH42" i="17"/>
  <c r="FH41" i="17"/>
  <c r="FH40" i="17"/>
  <c r="FH39" i="17"/>
  <c r="FH38" i="17"/>
  <c r="FH37" i="17"/>
  <c r="FH36" i="17"/>
  <c r="FH35" i="17"/>
  <c r="FH34" i="17"/>
  <c r="FH33" i="17"/>
  <c r="FH32" i="17"/>
  <c r="FH31" i="17"/>
  <c r="FH30" i="17"/>
  <c r="FG27" i="17"/>
  <c r="FH26" i="17"/>
  <c r="FH25" i="17"/>
  <c r="FH24" i="17"/>
  <c r="FH23" i="17"/>
  <c r="FH22" i="17"/>
  <c r="FH21" i="17"/>
  <c r="FG18" i="17"/>
  <c r="FH17" i="17"/>
  <c r="FH16" i="17"/>
  <c r="FH15" i="17"/>
  <c r="FH14" i="17"/>
  <c r="FH13" i="17"/>
  <c r="FH12" i="17"/>
  <c r="FH11" i="17"/>
  <c r="FH10" i="17"/>
  <c r="FH9" i="17"/>
  <c r="FG2" i="17"/>
  <c r="FH2" i="17" s="1"/>
  <c r="EX68" i="17"/>
  <c r="EW68" i="17"/>
  <c r="EZ67" i="17"/>
  <c r="EZ66" i="17"/>
  <c r="EX62" i="17"/>
  <c r="EW62" i="17"/>
  <c r="EX55" i="17"/>
  <c r="EW55" i="17"/>
  <c r="EZ50" i="17"/>
  <c r="EZ46" i="17"/>
  <c r="EX43" i="17"/>
  <c r="EW43" i="17"/>
  <c r="EX27" i="17"/>
  <c r="EW27" i="17"/>
  <c r="EZ26" i="17"/>
  <c r="EZ25" i="17"/>
  <c r="EX18" i="17"/>
  <c r="EW18" i="17"/>
  <c r="EZ17" i="17"/>
  <c r="EZ16" i="17"/>
  <c r="EZ15" i="17"/>
  <c r="EZ14" i="17"/>
  <c r="EZ13" i="17"/>
  <c r="EZ10" i="17"/>
  <c r="EX2" i="17"/>
  <c r="EP6" i="17"/>
  <c r="EM68" i="17"/>
  <c r="EM62" i="17"/>
  <c r="EN62" i="17"/>
  <c r="EM55" i="17"/>
  <c r="EM43" i="17"/>
  <c r="EP39" i="17"/>
  <c r="EM27" i="17"/>
  <c r="EM18" i="17"/>
  <c r="EN2" i="17"/>
  <c r="GV62" i="17" l="1"/>
  <c r="GV27" i="17"/>
  <c r="GV43" i="17"/>
  <c r="HO68" i="17"/>
  <c r="HO62" i="17"/>
  <c r="HO18" i="17"/>
  <c r="HO27" i="17"/>
  <c r="HO55" i="17"/>
  <c r="HO43" i="17"/>
  <c r="HF62" i="17"/>
  <c r="HF55" i="17"/>
  <c r="HF27" i="17"/>
  <c r="HF43" i="17"/>
  <c r="HF18" i="17"/>
  <c r="HF68" i="17"/>
  <c r="GV55" i="17"/>
  <c r="GW55" i="17" s="1"/>
  <c r="GW46" i="17"/>
  <c r="GW58" i="17"/>
  <c r="GW30" i="17"/>
  <c r="GV18" i="17"/>
  <c r="GW21" i="17"/>
  <c r="GW65" i="17"/>
  <c r="GV68" i="17"/>
  <c r="GW68" i="17" s="1"/>
  <c r="GC65" i="17"/>
  <c r="GC51" i="17"/>
  <c r="GC40" i="17"/>
  <c r="GC32" i="17"/>
  <c r="GC21" i="17"/>
  <c r="GC10" i="17"/>
  <c r="GN53" i="17"/>
  <c r="GN31" i="17"/>
  <c r="GN15" i="17"/>
  <c r="GC31" i="17"/>
  <c r="GC16" i="17"/>
  <c r="GN59" i="17"/>
  <c r="GN49" i="17"/>
  <c r="GN39" i="17"/>
  <c r="GN35" i="17"/>
  <c r="GN25" i="17"/>
  <c r="GC61" i="17"/>
  <c r="GC49" i="17"/>
  <c r="GN52" i="17"/>
  <c r="GN48" i="17"/>
  <c r="GN42" i="17"/>
  <c r="GN38" i="17"/>
  <c r="GN34" i="17"/>
  <c r="GN24" i="17"/>
  <c r="GN14" i="17"/>
  <c r="GN10" i="17"/>
  <c r="GC59" i="17"/>
  <c r="GC48" i="17"/>
  <c r="GC37" i="17"/>
  <c r="GC26" i="17"/>
  <c r="GC15" i="17"/>
  <c r="GC58" i="17"/>
  <c r="GC36" i="17"/>
  <c r="GC25" i="17"/>
  <c r="GC14" i="17"/>
  <c r="GC53" i="17"/>
  <c r="GC34" i="17"/>
  <c r="GN66" i="17"/>
  <c r="GN50" i="17"/>
  <c r="GN40" i="17"/>
  <c r="GN26" i="17"/>
  <c r="GN16" i="17"/>
  <c r="GC52" i="17"/>
  <c r="GC33" i="17"/>
  <c r="GN11" i="17"/>
  <c r="GC17" i="17"/>
  <c r="GC30" i="17"/>
  <c r="GC47" i="17"/>
  <c r="GC67" i="17"/>
  <c r="GC23" i="17"/>
  <c r="GN60" i="17"/>
  <c r="GN32" i="17"/>
  <c r="GN12" i="17"/>
  <c r="GC41" i="17"/>
  <c r="GC11" i="17"/>
  <c r="GC50" i="17"/>
  <c r="GC9" i="17"/>
  <c r="GC38" i="17"/>
  <c r="GN67" i="17"/>
  <c r="GN61" i="17"/>
  <c r="GN51" i="17"/>
  <c r="GN47" i="17"/>
  <c r="GN41" i="17"/>
  <c r="GN37" i="17"/>
  <c r="GN33" i="17"/>
  <c r="GN23" i="17"/>
  <c r="GN17" i="17"/>
  <c r="GN13" i="17"/>
  <c r="GC54" i="17"/>
  <c r="GC46" i="17"/>
  <c r="GC35" i="17"/>
  <c r="GC24" i="17"/>
  <c r="GC13" i="17"/>
  <c r="GC42" i="17"/>
  <c r="GC12" i="17"/>
  <c r="GN54" i="17"/>
  <c r="GN36" i="17"/>
  <c r="GN22" i="17"/>
  <c r="GC66" i="17"/>
  <c r="GC22" i="17"/>
  <c r="GC39" i="17"/>
  <c r="GC60" i="17"/>
  <c r="FS65" i="17"/>
  <c r="FS51" i="17"/>
  <c r="FS40" i="17"/>
  <c r="FS32" i="17"/>
  <c r="FS21" i="17"/>
  <c r="FS10" i="17"/>
  <c r="FS50" i="17"/>
  <c r="FS17" i="17"/>
  <c r="FS60" i="17"/>
  <c r="FS16" i="17"/>
  <c r="FS48" i="17"/>
  <c r="FS49" i="17"/>
  <c r="FS25" i="17"/>
  <c r="FS15" i="17"/>
  <c r="FS59" i="17"/>
  <c r="FS47" i="17"/>
  <c r="FS36" i="17"/>
  <c r="FS54" i="17"/>
  <c r="FS46" i="17"/>
  <c r="FS35" i="17"/>
  <c r="FS24" i="17"/>
  <c r="FS13" i="17"/>
  <c r="FS61" i="17"/>
  <c r="FS31" i="17"/>
  <c r="FS38" i="17"/>
  <c r="FS26" i="17"/>
  <c r="FS58" i="17"/>
  <c r="FS67" i="17"/>
  <c r="FS53" i="17"/>
  <c r="FS42" i="17"/>
  <c r="FS34" i="17"/>
  <c r="FS23" i="17"/>
  <c r="FS12" i="17"/>
  <c r="FS66" i="17"/>
  <c r="FS52" i="17"/>
  <c r="FS41" i="17"/>
  <c r="FS33" i="17"/>
  <c r="FS22" i="17"/>
  <c r="FS11" i="17"/>
  <c r="FS39" i="17"/>
  <c r="FS9" i="17"/>
  <c r="FS30" i="17"/>
  <c r="FS37" i="17"/>
  <c r="FS14" i="17"/>
  <c r="FD61" i="17"/>
  <c r="FD50" i="17"/>
  <c r="FD39" i="17"/>
  <c r="FD31" i="17"/>
  <c r="FD17" i="17"/>
  <c r="FD9" i="17"/>
  <c r="FD47" i="17"/>
  <c r="FD54" i="17"/>
  <c r="FD13" i="17"/>
  <c r="FD53" i="17"/>
  <c r="FD12" i="17"/>
  <c r="FD33" i="17"/>
  <c r="FD60" i="17"/>
  <c r="FD49" i="17"/>
  <c r="FD38" i="17"/>
  <c r="FD30" i="17"/>
  <c r="FD16" i="17"/>
  <c r="FD15" i="17"/>
  <c r="FD36" i="17"/>
  <c r="FD35" i="17"/>
  <c r="FD67" i="17"/>
  <c r="FD23" i="17"/>
  <c r="FD66" i="17"/>
  <c r="FD22" i="17"/>
  <c r="FD65" i="17"/>
  <c r="FD21" i="17"/>
  <c r="FD59" i="17"/>
  <c r="FD48" i="17"/>
  <c r="FD37" i="17"/>
  <c r="FD26" i="17"/>
  <c r="FD14" i="17"/>
  <c r="FD46" i="17"/>
  <c r="FD42" i="17"/>
  <c r="FD52" i="17"/>
  <c r="FD51" i="17"/>
  <c r="FD10" i="17"/>
  <c r="FD58" i="17"/>
  <c r="FD25" i="17"/>
  <c r="FD24" i="17"/>
  <c r="FD34" i="17"/>
  <c r="FD41" i="17"/>
  <c r="FD11" i="17"/>
  <c r="FD40" i="17"/>
  <c r="FD32" i="17"/>
  <c r="ET65" i="17"/>
  <c r="ET51" i="17"/>
  <c r="ET40" i="17"/>
  <c r="ET32" i="17"/>
  <c r="ET21" i="17"/>
  <c r="ET10" i="17"/>
  <c r="ET61" i="17"/>
  <c r="ET9" i="17"/>
  <c r="ET60" i="17"/>
  <c r="ET49" i="17"/>
  <c r="ET38" i="17"/>
  <c r="ET30" i="17"/>
  <c r="ET16" i="17"/>
  <c r="ET59" i="17"/>
  <c r="ET37" i="17"/>
  <c r="ET26" i="17"/>
  <c r="ET15" i="17"/>
  <c r="ET42" i="17"/>
  <c r="ET34" i="17"/>
  <c r="ET33" i="17"/>
  <c r="ET11" i="17"/>
  <c r="ET31" i="17"/>
  <c r="ET48" i="17"/>
  <c r="ET23" i="17"/>
  <c r="ET66" i="17"/>
  <c r="ET22" i="17"/>
  <c r="ET17" i="17"/>
  <c r="ET58" i="17"/>
  <c r="ET47" i="17"/>
  <c r="ET36" i="17"/>
  <c r="ET25" i="17"/>
  <c r="ET14" i="17"/>
  <c r="ET53" i="17"/>
  <c r="ET12" i="17"/>
  <c r="ET41" i="17"/>
  <c r="ET39" i="17"/>
  <c r="ET54" i="17"/>
  <c r="ET46" i="17"/>
  <c r="ET35" i="17"/>
  <c r="ET24" i="17"/>
  <c r="ET13" i="17"/>
  <c r="ET67" i="17"/>
  <c r="ET52" i="17"/>
  <c r="ET50" i="17"/>
  <c r="BQ55" i="17"/>
  <c r="BQ71" i="17" s="1"/>
  <c r="BQ3" i="17" s="1"/>
  <c r="BQ4" i="17" s="1"/>
  <c r="FX59" i="17"/>
  <c r="BP71" i="17"/>
  <c r="BP3" i="17" s="1"/>
  <c r="BP4" i="17" s="1"/>
  <c r="FX21" i="17"/>
  <c r="FX12" i="17"/>
  <c r="FX22" i="17"/>
  <c r="GJ55" i="17"/>
  <c r="FX31" i="17"/>
  <c r="FX39" i="17"/>
  <c r="FX49" i="17"/>
  <c r="FX13" i="17"/>
  <c r="FY13" i="17" s="1"/>
  <c r="FX33" i="17"/>
  <c r="FG71" i="17"/>
  <c r="FG3" i="17" s="1"/>
  <c r="FG4" i="17" s="1"/>
  <c r="FX23" i="17"/>
  <c r="FX15" i="17"/>
  <c r="FY15" i="17" s="1"/>
  <c r="FX35" i="17"/>
  <c r="GQ71" i="17"/>
  <c r="GQ3" i="17" s="1"/>
  <c r="GQ4" i="17" s="1"/>
  <c r="FX25" i="17"/>
  <c r="FX17" i="17"/>
  <c r="FX11" i="17"/>
  <c r="FH68" i="17"/>
  <c r="FX41" i="17"/>
  <c r="FX61" i="17"/>
  <c r="GZ71" i="17"/>
  <c r="FX24" i="17"/>
  <c r="FX66" i="17"/>
  <c r="FY66" i="17" s="1"/>
  <c r="EW71" i="17"/>
  <c r="EW3" i="17" s="1"/>
  <c r="FX50" i="17"/>
  <c r="FY50" i="17" s="1"/>
  <c r="FX37" i="17"/>
  <c r="FX47" i="17"/>
  <c r="FX67" i="17"/>
  <c r="FY67" i="17" s="1"/>
  <c r="FH43" i="17"/>
  <c r="EX71" i="17"/>
  <c r="EX3" i="17" s="1"/>
  <c r="FH62" i="17"/>
  <c r="FX14" i="17"/>
  <c r="FY14" i="17" s="1"/>
  <c r="FW43" i="17"/>
  <c r="FX48" i="17"/>
  <c r="FW62" i="17"/>
  <c r="GK62" i="17"/>
  <c r="GJ62" i="17"/>
  <c r="GK9" i="17"/>
  <c r="GK18" i="17" s="1"/>
  <c r="GJ18" i="17"/>
  <c r="GJ43" i="17"/>
  <c r="GK30" i="17"/>
  <c r="GK43" i="17" s="1"/>
  <c r="GK46" i="17"/>
  <c r="GK55" i="17" s="1"/>
  <c r="GJ27" i="17"/>
  <c r="GK21" i="17"/>
  <c r="GK27" i="17" s="1"/>
  <c r="GJ68" i="17"/>
  <c r="GK65" i="17"/>
  <c r="GK68" i="17" s="1"/>
  <c r="FX65" i="17"/>
  <c r="FW68" i="17"/>
  <c r="FW27" i="17"/>
  <c r="FW55" i="17"/>
  <c r="FX9" i="17"/>
  <c r="FX16" i="17"/>
  <c r="FY16" i="17" s="1"/>
  <c r="FW18" i="17"/>
  <c r="FX51" i="17"/>
  <c r="FX53" i="17"/>
  <c r="FX26" i="17"/>
  <c r="FX30" i="17"/>
  <c r="FX32" i="17"/>
  <c r="FX34" i="17"/>
  <c r="FX36" i="17"/>
  <c r="FX38" i="17"/>
  <c r="FX40" i="17"/>
  <c r="FX42" i="17"/>
  <c r="FX46" i="17"/>
  <c r="FY46" i="17" s="1"/>
  <c r="FX58" i="17"/>
  <c r="FX60" i="17"/>
  <c r="FX10" i="17"/>
  <c r="FY10" i="17" s="1"/>
  <c r="FH18" i="17"/>
  <c r="FH27" i="17"/>
  <c r="FH56" i="17"/>
  <c r="EP14" i="17"/>
  <c r="EP16" i="17"/>
  <c r="EP46" i="17"/>
  <c r="EP13" i="17"/>
  <c r="EP25" i="17"/>
  <c r="EP66" i="17"/>
  <c r="EP10" i="17"/>
  <c r="EP50" i="17"/>
  <c r="EN18" i="17"/>
  <c r="EM71" i="17"/>
  <c r="EM3" i="17" s="1"/>
  <c r="EN43" i="17"/>
  <c r="EN68" i="17"/>
  <c r="EN27" i="17"/>
  <c r="EN55" i="17"/>
  <c r="EP67" i="17"/>
  <c r="EP15" i="17"/>
  <c r="EP17" i="17"/>
  <c r="HO71" i="17" l="1"/>
  <c r="HO3" i="17" s="1"/>
  <c r="J17" i="21" s="1"/>
  <c r="K17" i="21" s="1"/>
  <c r="HF71" i="17"/>
  <c r="HF3" i="17" s="1"/>
  <c r="J6" i="21" s="1"/>
  <c r="K6" i="21" s="1"/>
  <c r="GV71" i="17"/>
  <c r="GM55" i="17"/>
  <c r="GN55" i="17" s="1"/>
  <c r="GN46" i="17"/>
  <c r="GN65" i="17"/>
  <c r="GM68" i="17"/>
  <c r="GN68" i="17" s="1"/>
  <c r="GN58" i="17"/>
  <c r="GM62" i="17"/>
  <c r="GN62" i="17" s="1"/>
  <c r="GM43" i="17"/>
  <c r="GN43" i="17" s="1"/>
  <c r="GN30" i="17"/>
  <c r="GM18" i="17"/>
  <c r="GN9" i="17"/>
  <c r="GN21" i="17"/>
  <c r="GM27" i="17"/>
  <c r="GN27" i="17" s="1"/>
  <c r="GC18" i="17"/>
  <c r="GC68" i="17"/>
  <c r="GC62" i="17"/>
  <c r="GC55" i="17"/>
  <c r="GC27" i="17"/>
  <c r="GC43" i="17"/>
  <c r="FS68" i="17"/>
  <c r="FS55" i="17"/>
  <c r="FS27" i="17"/>
  <c r="FS18" i="17"/>
  <c r="FS62" i="17"/>
  <c r="FS43" i="17"/>
  <c r="FD68" i="17"/>
  <c r="FD62" i="17"/>
  <c r="FD43" i="17"/>
  <c r="FD55" i="17"/>
  <c r="FD18" i="17"/>
  <c r="FD27" i="17"/>
  <c r="M40" i="18"/>
  <c r="N40" i="18" s="1"/>
  <c r="GJ71" i="17"/>
  <c r="GJ3" i="17" s="1"/>
  <c r="GK71" i="17"/>
  <c r="GK3" i="17" s="1"/>
  <c r="GK4" i="17" s="1"/>
  <c r="FW71" i="17"/>
  <c r="FW3" i="17" s="1"/>
  <c r="FW4" i="17" s="1"/>
  <c r="FH71" i="17"/>
  <c r="FH3" i="17" s="1"/>
  <c r="FH4" i="17" s="1"/>
  <c r="EN71" i="17"/>
  <c r="EN3" i="17" s="1"/>
  <c r="GV3" i="17" l="1"/>
  <c r="J27" i="21" s="1"/>
  <c r="K27" i="21" s="1"/>
  <c r="GM71" i="17"/>
  <c r="GN18" i="17"/>
  <c r="GC71" i="17"/>
  <c r="GC3" i="17" s="1"/>
  <c r="FS71" i="17"/>
  <c r="FS3" i="17" s="1"/>
  <c r="J16" i="21" s="1"/>
  <c r="K16" i="21" s="1"/>
  <c r="FD71" i="17"/>
  <c r="FD3" i="17" s="1"/>
  <c r="J20" i="21" s="1"/>
  <c r="K20" i="21" s="1"/>
  <c r="U40" i="18"/>
  <c r="R40" i="18"/>
  <c r="Q40" i="18"/>
  <c r="GJ4" i="17"/>
  <c r="M23" i="18"/>
  <c r="N23" i="18" s="1"/>
  <c r="O23" i="18" s="1"/>
  <c r="J10" i="21" l="1"/>
  <c r="K10" i="21" s="1"/>
  <c r="GN71" i="17"/>
  <c r="GM3" i="17"/>
  <c r="J29" i="21" s="1"/>
  <c r="K29" i="21" s="1"/>
  <c r="U23" i="18"/>
  <c r="Q23" i="18"/>
  <c r="ED67" i="17" l="1"/>
  <c r="ED66" i="17"/>
  <c r="EC65" i="17"/>
  <c r="ED65" i="17" s="1"/>
  <c r="EC62" i="17"/>
  <c r="ED61" i="17"/>
  <c r="ED60" i="17"/>
  <c r="ED59" i="17"/>
  <c r="ED58" i="17"/>
  <c r="EC55" i="17"/>
  <c r="ED53" i="17"/>
  <c r="ED52" i="17"/>
  <c r="ED51" i="17"/>
  <c r="ED50" i="17"/>
  <c r="ED49" i="17"/>
  <c r="ED48" i="17"/>
  <c r="EE48" i="17" s="1"/>
  <c r="ED47" i="17"/>
  <c r="ED46" i="17"/>
  <c r="EC43" i="17"/>
  <c r="ED42" i="17"/>
  <c r="ED41" i="17"/>
  <c r="ED40" i="17"/>
  <c r="ED39" i="17"/>
  <c r="ED38" i="17"/>
  <c r="ED37" i="17"/>
  <c r="ED36" i="17"/>
  <c r="ED35" i="17"/>
  <c r="ED34" i="17"/>
  <c r="ED33" i="17"/>
  <c r="ED32" i="17"/>
  <c r="ED31" i="17"/>
  <c r="ED30" i="17"/>
  <c r="ED26" i="17"/>
  <c r="ED25" i="17"/>
  <c r="EC24" i="17"/>
  <c r="ED24" i="17" s="1"/>
  <c r="ED23" i="17"/>
  <c r="ED22" i="17"/>
  <c r="ED21" i="17"/>
  <c r="EE21" i="17" s="1"/>
  <c r="EC18" i="17"/>
  <c r="ED17" i="17"/>
  <c r="ED16" i="17"/>
  <c r="ED15" i="17"/>
  <c r="ED14" i="17"/>
  <c r="ED13" i="17"/>
  <c r="ED12" i="17"/>
  <c r="EE12" i="17" s="1"/>
  <c r="ED11" i="17"/>
  <c r="ED10" i="17"/>
  <c r="EE10" i="17" s="1"/>
  <c r="EF10" i="17" s="1"/>
  <c r="ED9" i="17"/>
  <c r="ED2" i="17"/>
  <c r="EJ65" i="17" l="1"/>
  <c r="EJ51" i="17"/>
  <c r="EJ40" i="17"/>
  <c r="EJ32" i="17"/>
  <c r="EJ21" i="17"/>
  <c r="EJ10" i="17"/>
  <c r="EJ50" i="17"/>
  <c r="EJ39" i="17"/>
  <c r="EJ17" i="17"/>
  <c r="EJ9" i="17"/>
  <c r="EJ36" i="17"/>
  <c r="EJ33" i="17"/>
  <c r="EJ61" i="17"/>
  <c r="EJ31" i="17"/>
  <c r="EJ47" i="17"/>
  <c r="EJ60" i="17"/>
  <c r="EJ49" i="17"/>
  <c r="EJ38" i="17"/>
  <c r="EJ30" i="17"/>
  <c r="EJ16" i="17"/>
  <c r="EJ48" i="17"/>
  <c r="EJ37" i="17"/>
  <c r="EJ26" i="17"/>
  <c r="EJ58" i="17"/>
  <c r="EJ14" i="17"/>
  <c r="EJ66" i="17"/>
  <c r="EJ59" i="17"/>
  <c r="EJ15" i="17"/>
  <c r="EJ25" i="17"/>
  <c r="EJ22" i="17"/>
  <c r="EJ54" i="17"/>
  <c r="EJ46" i="17"/>
  <c r="EJ35" i="17"/>
  <c r="EJ24" i="17"/>
  <c r="EJ13" i="17"/>
  <c r="EJ12" i="17"/>
  <c r="EJ41" i="17"/>
  <c r="EJ67" i="17"/>
  <c r="EJ53" i="17"/>
  <c r="EJ42" i="17"/>
  <c r="EJ34" i="17"/>
  <c r="EJ23" i="17"/>
  <c r="EJ52" i="17"/>
  <c r="EJ11" i="17"/>
  <c r="EE14" i="17"/>
  <c r="EF14" i="17" s="1"/>
  <c r="EE60" i="17"/>
  <c r="ED18" i="17"/>
  <c r="EC27" i="17"/>
  <c r="EC71" i="17" s="1"/>
  <c r="EC3" i="17" s="1"/>
  <c r="EC4" i="17" s="1"/>
  <c r="EE37" i="17"/>
  <c r="EE47" i="17"/>
  <c r="EE35" i="17"/>
  <c r="EE66" i="17"/>
  <c r="EF66" i="17" s="1"/>
  <c r="EE16" i="17"/>
  <c r="EF16" i="17" s="1"/>
  <c r="ED27" i="17"/>
  <c r="EE17" i="17"/>
  <c r="ED43" i="17"/>
  <c r="EE39" i="17"/>
  <c r="EE49" i="17"/>
  <c r="EE23" i="17"/>
  <c r="EF23" i="17" s="1"/>
  <c r="EE50" i="17"/>
  <c r="EF50" i="17" s="1"/>
  <c r="EE61" i="17"/>
  <c r="ED62" i="17"/>
  <c r="EE33" i="17"/>
  <c r="EE41" i="17"/>
  <c r="EE52" i="17"/>
  <c r="EE65" i="17"/>
  <c r="ED68" i="17"/>
  <c r="EC68" i="17"/>
  <c r="EE25" i="17"/>
  <c r="EE31" i="17"/>
  <c r="ED55" i="17"/>
  <c r="EE59" i="17"/>
  <c r="EE9" i="17"/>
  <c r="EE11" i="17"/>
  <c r="EE13" i="17"/>
  <c r="EF13" i="17" s="1"/>
  <c r="EE22" i="17"/>
  <c r="EE51" i="17"/>
  <c r="EE53" i="17"/>
  <c r="EE67" i="17"/>
  <c r="EF67" i="17" s="1"/>
  <c r="EE15" i="17"/>
  <c r="EF15" i="17" s="1"/>
  <c r="EE24" i="17"/>
  <c r="EE26" i="17"/>
  <c r="EE30" i="17"/>
  <c r="EE32" i="17"/>
  <c r="EE34" i="17"/>
  <c r="EE36" i="17"/>
  <c r="EE38" i="17"/>
  <c r="EE40" i="17"/>
  <c r="EE42" i="17"/>
  <c r="EE46" i="17"/>
  <c r="EF46" i="17" s="1"/>
  <c r="EE58" i="17"/>
  <c r="DT67" i="17"/>
  <c r="DT66" i="17"/>
  <c r="DS65" i="17"/>
  <c r="DS68" i="17" s="1"/>
  <c r="DS62" i="17"/>
  <c r="DT61" i="17"/>
  <c r="DT60" i="17"/>
  <c r="DT59" i="17"/>
  <c r="DT58" i="17"/>
  <c r="DS55" i="17"/>
  <c r="DT53" i="17"/>
  <c r="DT52" i="17"/>
  <c r="DT51" i="17"/>
  <c r="DT50" i="17"/>
  <c r="DT49" i="17"/>
  <c r="DT48" i="17"/>
  <c r="DT47" i="17"/>
  <c r="DT46" i="17"/>
  <c r="DS43" i="17"/>
  <c r="DT42" i="17"/>
  <c r="DT41" i="17"/>
  <c r="DT40" i="17"/>
  <c r="DT39" i="17"/>
  <c r="DT38" i="17"/>
  <c r="DT37" i="17"/>
  <c r="DT36" i="17"/>
  <c r="DT35" i="17"/>
  <c r="DT34" i="17"/>
  <c r="DT33" i="17"/>
  <c r="DT32" i="17"/>
  <c r="DT31" i="17"/>
  <c r="DT30" i="17"/>
  <c r="DT26" i="17"/>
  <c r="DT25" i="17"/>
  <c r="DS24" i="17"/>
  <c r="DT24" i="17" s="1"/>
  <c r="DT23" i="17"/>
  <c r="DT22" i="17"/>
  <c r="DT21" i="17"/>
  <c r="DS18" i="17"/>
  <c r="DT17" i="17"/>
  <c r="DT16" i="17"/>
  <c r="DT15" i="17"/>
  <c r="DT14" i="17"/>
  <c r="DT13" i="17"/>
  <c r="DU13" i="17" s="1"/>
  <c r="DT12" i="17"/>
  <c r="DT11" i="17"/>
  <c r="DU11" i="17" s="1"/>
  <c r="DT10" i="17"/>
  <c r="DT9" i="17"/>
  <c r="DT2" i="17"/>
  <c r="ET43" i="17" l="1"/>
  <c r="ET27" i="17"/>
  <c r="ET68" i="17"/>
  <c r="ET55" i="17"/>
  <c r="ET18" i="17"/>
  <c r="ET62" i="17"/>
  <c r="DZ65" i="17"/>
  <c r="DZ9" i="17"/>
  <c r="DZ60" i="17"/>
  <c r="DZ49" i="17"/>
  <c r="DZ38" i="17"/>
  <c r="DZ30" i="17"/>
  <c r="DZ16" i="17"/>
  <c r="DZ48" i="17"/>
  <c r="DZ37" i="17"/>
  <c r="DZ26" i="17"/>
  <c r="DZ15" i="17"/>
  <c r="DZ47" i="17"/>
  <c r="DZ36" i="17"/>
  <c r="DZ14" i="17"/>
  <c r="DZ35" i="17"/>
  <c r="DZ24" i="17"/>
  <c r="DZ40" i="17"/>
  <c r="DZ10" i="17"/>
  <c r="DZ61" i="17"/>
  <c r="DZ17" i="17"/>
  <c r="DZ59" i="17"/>
  <c r="DZ58" i="17"/>
  <c r="DZ25" i="17"/>
  <c r="DZ46" i="17"/>
  <c r="DZ13" i="17"/>
  <c r="DZ32" i="17"/>
  <c r="DZ39" i="17"/>
  <c r="DZ54" i="17"/>
  <c r="DZ67" i="17"/>
  <c r="DZ53" i="17"/>
  <c r="DZ42" i="17"/>
  <c r="DZ34" i="17"/>
  <c r="DZ23" i="17"/>
  <c r="DZ12" i="17"/>
  <c r="DZ66" i="17"/>
  <c r="DZ52" i="17"/>
  <c r="DZ41" i="17"/>
  <c r="DZ33" i="17"/>
  <c r="DZ22" i="17"/>
  <c r="DZ11" i="17"/>
  <c r="DZ51" i="17"/>
  <c r="DZ21" i="17"/>
  <c r="DZ50" i="17"/>
  <c r="DZ31" i="17"/>
  <c r="DU14" i="17"/>
  <c r="DU24" i="17"/>
  <c r="ED71" i="17"/>
  <c r="ED3" i="17" s="1"/>
  <c r="ED4" i="17" s="1"/>
  <c r="DT62" i="17"/>
  <c r="DU53" i="17"/>
  <c r="DT65" i="17"/>
  <c r="DU65" i="17" s="1"/>
  <c r="DU23" i="17"/>
  <c r="DU52" i="17"/>
  <c r="DU36" i="17"/>
  <c r="DU16" i="17"/>
  <c r="DU47" i="17"/>
  <c r="DU66" i="17"/>
  <c r="DT18" i="17"/>
  <c r="DU17" i="17"/>
  <c r="DU48" i="17"/>
  <c r="DU67" i="17"/>
  <c r="DU10" i="17"/>
  <c r="DU49" i="17"/>
  <c r="DT27" i="17"/>
  <c r="DT43" i="17"/>
  <c r="DU50" i="17"/>
  <c r="DU12" i="17"/>
  <c r="DU22" i="17"/>
  <c r="DU51" i="17"/>
  <c r="DS27" i="17"/>
  <c r="DS71" i="17" s="1"/>
  <c r="DS3" i="17" s="1"/>
  <c r="DS4" i="17" s="1"/>
  <c r="DU30" i="17"/>
  <c r="DU38" i="17"/>
  <c r="DU46" i="17"/>
  <c r="DU58" i="17"/>
  <c r="DU32" i="17"/>
  <c r="DU42" i="17"/>
  <c r="DU21" i="17"/>
  <c r="DU25" i="17"/>
  <c r="DU31" i="17"/>
  <c r="DU35" i="17"/>
  <c r="DU41" i="17"/>
  <c r="DU9" i="17"/>
  <c r="DU26" i="17"/>
  <c r="DU34" i="17"/>
  <c r="DU40" i="17"/>
  <c r="DU60" i="17"/>
  <c r="DU33" i="17"/>
  <c r="DU37" i="17"/>
  <c r="DU39" i="17"/>
  <c r="DT55" i="17"/>
  <c r="DU59" i="17"/>
  <c r="DU61" i="17"/>
  <c r="DU15" i="17"/>
  <c r="ET71" i="17" l="1"/>
  <c r="ET3" i="17" s="1"/>
  <c r="J19" i="21" s="1"/>
  <c r="K19" i="21" s="1"/>
  <c r="EJ27" i="17"/>
  <c r="EJ62" i="17"/>
  <c r="EJ18" i="17"/>
  <c r="EJ43" i="17"/>
  <c r="EJ55" i="17"/>
  <c r="EJ68" i="17"/>
  <c r="DT68" i="17"/>
  <c r="DT71" i="17" s="1"/>
  <c r="DT3" i="17" s="1"/>
  <c r="DT4" i="17" s="1"/>
  <c r="EJ71" i="17" l="1"/>
  <c r="EJ3" i="17" s="1"/>
  <c r="J13" i="21" s="1"/>
  <c r="K13" i="21" s="1"/>
  <c r="DJ68" i="17"/>
  <c r="DK67" i="17"/>
  <c r="DK66" i="17"/>
  <c r="DK65" i="17"/>
  <c r="DJ62" i="17"/>
  <c r="DK61" i="17"/>
  <c r="DK60" i="17"/>
  <c r="DK59" i="17"/>
  <c r="DK58" i="17"/>
  <c r="DJ55" i="17"/>
  <c r="DK53" i="17"/>
  <c r="DK52" i="17"/>
  <c r="DK51" i="17"/>
  <c r="DK50" i="17"/>
  <c r="DK49" i="17"/>
  <c r="DK48" i="17"/>
  <c r="DK47" i="17"/>
  <c r="DK46" i="17"/>
  <c r="DJ43" i="17"/>
  <c r="DK42" i="17"/>
  <c r="DK41" i="17"/>
  <c r="DK40" i="17"/>
  <c r="DK39" i="17"/>
  <c r="DK38" i="17"/>
  <c r="DK37" i="17"/>
  <c r="DK36" i="17"/>
  <c r="DK35" i="17"/>
  <c r="DK34" i="17"/>
  <c r="DK33" i="17"/>
  <c r="DK32" i="17"/>
  <c r="DK31" i="17"/>
  <c r="DK30" i="17"/>
  <c r="DJ27" i="17"/>
  <c r="DK26" i="17"/>
  <c r="DK25" i="17"/>
  <c r="DK24" i="17"/>
  <c r="DK23" i="17"/>
  <c r="DK22" i="17"/>
  <c r="DK21" i="17"/>
  <c r="DJ18" i="17"/>
  <c r="DK17" i="17"/>
  <c r="DK16" i="17"/>
  <c r="DK15" i="17"/>
  <c r="DK14" i="17"/>
  <c r="DK13" i="17"/>
  <c r="DK12" i="17"/>
  <c r="DK11" i="17"/>
  <c r="DK10" i="17"/>
  <c r="DK9" i="17"/>
  <c r="DK2" i="17"/>
  <c r="DA67" i="17"/>
  <c r="DA66" i="17"/>
  <c r="CZ65" i="17"/>
  <c r="DA65" i="17" s="1"/>
  <c r="CZ62" i="17"/>
  <c r="DA61" i="17"/>
  <c r="DA60" i="17"/>
  <c r="DA59" i="17"/>
  <c r="DA58" i="17"/>
  <c r="CZ55" i="17"/>
  <c r="DA53" i="17"/>
  <c r="DA52" i="17"/>
  <c r="DA51" i="17"/>
  <c r="DA50" i="17"/>
  <c r="DA49" i="17"/>
  <c r="DA48" i="17"/>
  <c r="DA47" i="17"/>
  <c r="DA46" i="17"/>
  <c r="CZ43" i="17"/>
  <c r="DA42" i="17"/>
  <c r="DA41" i="17"/>
  <c r="DA40" i="17"/>
  <c r="DA39" i="17"/>
  <c r="DA38" i="17"/>
  <c r="DA37" i="17"/>
  <c r="DA36" i="17"/>
  <c r="DA35" i="17"/>
  <c r="DA34" i="17"/>
  <c r="DA33" i="17"/>
  <c r="DA32" i="17"/>
  <c r="DA31" i="17"/>
  <c r="DA30" i="17"/>
  <c r="DA26" i="17"/>
  <c r="DA25" i="17"/>
  <c r="CZ24" i="17"/>
  <c r="DA24" i="17" s="1"/>
  <c r="DA23" i="17"/>
  <c r="DA22" i="17"/>
  <c r="DA21" i="17"/>
  <c r="CZ18" i="17"/>
  <c r="DA17" i="17"/>
  <c r="DA16" i="17"/>
  <c r="DA15" i="17"/>
  <c r="DA14" i="17"/>
  <c r="DB14" i="17" s="1"/>
  <c r="DC14" i="17" s="1"/>
  <c r="DA13" i="17"/>
  <c r="DA12" i="17"/>
  <c r="DA11" i="17"/>
  <c r="DA10" i="17"/>
  <c r="DA9" i="17"/>
  <c r="DA2" i="17"/>
  <c r="DB50" i="17" s="1"/>
  <c r="DC50" i="17" s="1"/>
  <c r="CS6" i="17"/>
  <c r="CP68" i="17"/>
  <c r="CQ67" i="17"/>
  <c r="CQ66" i="17"/>
  <c r="CQ65" i="17"/>
  <c r="CP62" i="17"/>
  <c r="CQ61" i="17"/>
  <c r="CQ60" i="17"/>
  <c r="CQ59" i="17"/>
  <c r="CQ58" i="17"/>
  <c r="CP55" i="17"/>
  <c r="CQ53" i="17"/>
  <c r="CQ52" i="17"/>
  <c r="CQ51" i="17"/>
  <c r="CQ50" i="17"/>
  <c r="CQ49" i="17"/>
  <c r="CQ48" i="17"/>
  <c r="CQ47" i="17"/>
  <c r="CQ46" i="17"/>
  <c r="CP43" i="17"/>
  <c r="CQ42" i="17"/>
  <c r="CQ41" i="17"/>
  <c r="CQ40" i="17"/>
  <c r="CQ39" i="17"/>
  <c r="CQ38" i="17"/>
  <c r="CQ37" i="17"/>
  <c r="CQ36" i="17"/>
  <c r="CQ35" i="17"/>
  <c r="CQ34" i="17"/>
  <c r="CQ33" i="17"/>
  <c r="CQ32" i="17"/>
  <c r="CQ31" i="17"/>
  <c r="CQ30" i="17"/>
  <c r="CP27" i="17"/>
  <c r="CQ26" i="17"/>
  <c r="CQ25" i="17"/>
  <c r="CQ24" i="17"/>
  <c r="CQ23" i="17"/>
  <c r="CQ22" i="17"/>
  <c r="CQ21" i="17"/>
  <c r="CP18" i="17"/>
  <c r="CQ17" i="17"/>
  <c r="CQ16" i="17"/>
  <c r="CQ15" i="17"/>
  <c r="CQ14" i="17"/>
  <c r="CQ13" i="17"/>
  <c r="CQ12" i="17"/>
  <c r="CQ11" i="17"/>
  <c r="CQ10" i="17"/>
  <c r="CQ9" i="17"/>
  <c r="CQ2" i="17"/>
  <c r="CF24" i="17"/>
  <c r="CF65" i="17"/>
  <c r="DP51" i="17" l="1"/>
  <c r="EA39" i="17"/>
  <c r="EA25" i="17"/>
  <c r="DP61" i="17"/>
  <c r="DP31" i="17"/>
  <c r="DP9" i="17"/>
  <c r="DP34" i="17"/>
  <c r="DP39" i="17"/>
  <c r="DP12" i="17"/>
  <c r="DP60" i="17"/>
  <c r="DP49" i="17"/>
  <c r="DP38" i="17"/>
  <c r="DP30" i="17"/>
  <c r="DP16" i="17"/>
  <c r="DP48" i="17"/>
  <c r="DP26" i="17"/>
  <c r="DP58" i="17"/>
  <c r="DP25" i="17"/>
  <c r="DP24" i="17"/>
  <c r="DP42" i="17"/>
  <c r="EA42" i="17"/>
  <c r="EA38" i="17"/>
  <c r="EA34" i="17"/>
  <c r="DP59" i="17"/>
  <c r="DQ59" i="17" s="1"/>
  <c r="DP37" i="17"/>
  <c r="DP15" i="17"/>
  <c r="DP47" i="17"/>
  <c r="DP14" i="17"/>
  <c r="EA41" i="17"/>
  <c r="DP35" i="17"/>
  <c r="DP23" i="17"/>
  <c r="DP36" i="17"/>
  <c r="EA37" i="17"/>
  <c r="DP46" i="17"/>
  <c r="DP13" i="17"/>
  <c r="DP53" i="17"/>
  <c r="DP54" i="17"/>
  <c r="EA26" i="17"/>
  <c r="EA22" i="17"/>
  <c r="DP66" i="17"/>
  <c r="DP52" i="17"/>
  <c r="DP41" i="17"/>
  <c r="DP33" i="17"/>
  <c r="DP22" i="17"/>
  <c r="DP11" i="17"/>
  <c r="DP65" i="17"/>
  <c r="DP40" i="17"/>
  <c r="DP32" i="17"/>
  <c r="DP21" i="17"/>
  <c r="DP10" i="17"/>
  <c r="DP50" i="17"/>
  <c r="DP17" i="17"/>
  <c r="DP67" i="17"/>
  <c r="DG65" i="17"/>
  <c r="DG51" i="17"/>
  <c r="DG40" i="17"/>
  <c r="DG32" i="17"/>
  <c r="DG21" i="17"/>
  <c r="DG17" i="17"/>
  <c r="DG61" i="17"/>
  <c r="DG60" i="17"/>
  <c r="DG49" i="17"/>
  <c r="DG38" i="17"/>
  <c r="DG30" i="17"/>
  <c r="DG16" i="17"/>
  <c r="DG59" i="17"/>
  <c r="DG48" i="17"/>
  <c r="DG37" i="17"/>
  <c r="DG26" i="17"/>
  <c r="DG15" i="17"/>
  <c r="DG47" i="17"/>
  <c r="DG25" i="17"/>
  <c r="DG14" i="17"/>
  <c r="DG33" i="17"/>
  <c r="DG50" i="17"/>
  <c r="DG36" i="17"/>
  <c r="DG41" i="17"/>
  <c r="DG22" i="17"/>
  <c r="DG39" i="17"/>
  <c r="DG58" i="17"/>
  <c r="DG66" i="17"/>
  <c r="DG10" i="17"/>
  <c r="DG9" i="17"/>
  <c r="DG54" i="17"/>
  <c r="DG46" i="17"/>
  <c r="DG35" i="17"/>
  <c r="DG24" i="17"/>
  <c r="DG13" i="17"/>
  <c r="DG67" i="17"/>
  <c r="DG53" i="17"/>
  <c r="DG42" i="17"/>
  <c r="DG34" i="17"/>
  <c r="DG23" i="17"/>
  <c r="DG12" i="17"/>
  <c r="DG52" i="17"/>
  <c r="DG11" i="17"/>
  <c r="DG31" i="17"/>
  <c r="CW51" i="17"/>
  <c r="CW61" i="17"/>
  <c r="CW17" i="17"/>
  <c r="CW37" i="17"/>
  <c r="CW60" i="17"/>
  <c r="CW49" i="17"/>
  <c r="CW38" i="17"/>
  <c r="CW30" i="17"/>
  <c r="CW16" i="17"/>
  <c r="CW15" i="17"/>
  <c r="CW58" i="17"/>
  <c r="CW47" i="17"/>
  <c r="CW36" i="17"/>
  <c r="CW25" i="17"/>
  <c r="CW14" i="17"/>
  <c r="CW53" i="17"/>
  <c r="CW34" i="17"/>
  <c r="CW12" i="17"/>
  <c r="CW10" i="17"/>
  <c r="CW39" i="17"/>
  <c r="CW59" i="17"/>
  <c r="CW54" i="17"/>
  <c r="CW46" i="17"/>
  <c r="CW35" i="17"/>
  <c r="CW24" i="17"/>
  <c r="CW13" i="17"/>
  <c r="CW67" i="17"/>
  <c r="CW42" i="17"/>
  <c r="CW23" i="17"/>
  <c r="CW26" i="17"/>
  <c r="CW66" i="17"/>
  <c r="CW52" i="17"/>
  <c r="CW41" i="17"/>
  <c r="CW33" i="17"/>
  <c r="CW22" i="17"/>
  <c r="CW11" i="17"/>
  <c r="CW65" i="17"/>
  <c r="CW40" i="17"/>
  <c r="CW32" i="17"/>
  <c r="CW21" i="17"/>
  <c r="CW50" i="17"/>
  <c r="CW31" i="17"/>
  <c r="CW48" i="17"/>
  <c r="CW9" i="17"/>
  <c r="DL26" i="17"/>
  <c r="DL10" i="17"/>
  <c r="DB12" i="17"/>
  <c r="DL23" i="17"/>
  <c r="DM23" i="17" s="1"/>
  <c r="DL14" i="17"/>
  <c r="DM14" i="17" s="1"/>
  <c r="DB13" i="17"/>
  <c r="DC13" i="17" s="1"/>
  <c r="DB33" i="17"/>
  <c r="DB41" i="17"/>
  <c r="DB51" i="17"/>
  <c r="DK62" i="17"/>
  <c r="DB26" i="17"/>
  <c r="DB67" i="17"/>
  <c r="DC67" i="17" s="1"/>
  <c r="CZ27" i="17"/>
  <c r="DB37" i="17"/>
  <c r="DA62" i="17"/>
  <c r="DL61" i="17"/>
  <c r="DB36" i="17"/>
  <c r="DB46" i="17"/>
  <c r="DC46" i="17" s="1"/>
  <c r="DB10" i="17"/>
  <c r="DC10" i="17" s="1"/>
  <c r="DB16" i="17"/>
  <c r="DC16" i="17" s="1"/>
  <c r="DB11" i="17"/>
  <c r="DL66" i="17"/>
  <c r="DM66" i="17" s="1"/>
  <c r="DK68" i="17"/>
  <c r="DA18" i="17"/>
  <c r="DB15" i="17"/>
  <c r="DC15" i="17" s="1"/>
  <c r="DB25" i="17"/>
  <c r="DB35" i="17"/>
  <c r="DB53" i="17"/>
  <c r="DB66" i="17"/>
  <c r="DC66" i="17" s="1"/>
  <c r="DL12" i="17"/>
  <c r="DL22" i="17"/>
  <c r="DM22" i="17" s="1"/>
  <c r="DL38" i="17"/>
  <c r="DL67" i="17"/>
  <c r="DM67" i="17" s="1"/>
  <c r="DB47" i="17"/>
  <c r="DB30" i="17"/>
  <c r="DB59" i="17"/>
  <c r="DL15" i="17"/>
  <c r="DM15" i="17" s="1"/>
  <c r="CQ18" i="17"/>
  <c r="CQ55" i="17"/>
  <c r="CQ62" i="17"/>
  <c r="DA43" i="17"/>
  <c r="DB39" i="17"/>
  <c r="DB49" i="17"/>
  <c r="DL51" i="17"/>
  <c r="DB22" i="17"/>
  <c r="DB32" i="17"/>
  <c r="DB40" i="17"/>
  <c r="DB61" i="17"/>
  <c r="DB34" i="17"/>
  <c r="DB42" i="17"/>
  <c r="DL11" i="17"/>
  <c r="DL59" i="17"/>
  <c r="DJ71" i="17"/>
  <c r="DJ3" i="17" s="1"/>
  <c r="DJ4" i="17" s="1"/>
  <c r="DK55" i="17"/>
  <c r="DK43" i="17"/>
  <c r="DK27" i="17"/>
  <c r="DL21" i="17"/>
  <c r="DK18" i="17"/>
  <c r="DL16" i="17"/>
  <c r="DM16" i="17" s="1"/>
  <c r="DL34" i="17"/>
  <c r="DL46" i="17"/>
  <c r="DM46" i="17" s="1"/>
  <c r="DL52" i="17"/>
  <c r="DL13" i="17"/>
  <c r="DL17" i="17"/>
  <c r="DM17" i="17" s="1"/>
  <c r="DL30" i="17"/>
  <c r="DL40" i="17"/>
  <c r="DL48" i="17"/>
  <c r="DL53" i="17"/>
  <c r="DL24" i="17"/>
  <c r="DL36" i="17"/>
  <c r="DL25" i="17"/>
  <c r="DM25" i="17" s="1"/>
  <c r="DL49" i="17"/>
  <c r="DL65" i="17"/>
  <c r="DL9" i="17"/>
  <c r="DL32" i="17"/>
  <c r="DL42" i="17"/>
  <c r="DL31" i="17"/>
  <c r="DL33" i="17"/>
  <c r="DL35" i="17"/>
  <c r="DL37" i="17"/>
  <c r="DL39" i="17"/>
  <c r="DL58" i="17"/>
  <c r="DL60" i="17"/>
  <c r="DM60" i="17" s="1"/>
  <c r="DL41" i="17"/>
  <c r="DL50" i="17"/>
  <c r="DL47" i="17"/>
  <c r="DM47" i="17" s="1"/>
  <c r="DB65" i="17"/>
  <c r="DA68" i="17"/>
  <c r="DB24" i="17"/>
  <c r="DA27" i="17"/>
  <c r="DB17" i="17"/>
  <c r="DB21" i="17"/>
  <c r="DB23" i="17"/>
  <c r="DC23" i="17" s="1"/>
  <c r="DB52" i="17"/>
  <c r="CZ68" i="17"/>
  <c r="CZ71" i="17" s="1"/>
  <c r="CZ3" i="17" s="1"/>
  <c r="CZ4" i="17" s="1"/>
  <c r="DB31" i="17"/>
  <c r="DA55" i="17"/>
  <c r="DB9" i="17"/>
  <c r="DB38" i="17"/>
  <c r="DB58" i="17"/>
  <c r="DB60" i="17"/>
  <c r="DB48" i="17"/>
  <c r="CQ43" i="17"/>
  <c r="CP71" i="17"/>
  <c r="CP3" i="17" s="1"/>
  <c r="CQ27" i="17"/>
  <c r="CQ68" i="17"/>
  <c r="CW18" i="17" l="1"/>
  <c r="CW68" i="17"/>
  <c r="DZ55" i="17"/>
  <c r="DZ62" i="17"/>
  <c r="DZ27" i="17"/>
  <c r="DZ43" i="17"/>
  <c r="DZ18" i="17"/>
  <c r="DZ68" i="17"/>
  <c r="DP62" i="17"/>
  <c r="DP27" i="17"/>
  <c r="DP68" i="17"/>
  <c r="DP43" i="17"/>
  <c r="CW62" i="17"/>
  <c r="DP55" i="17"/>
  <c r="DP18" i="17"/>
  <c r="DG43" i="17"/>
  <c r="CW27" i="17"/>
  <c r="CW43" i="17"/>
  <c r="DG62" i="17"/>
  <c r="DG55" i="17"/>
  <c r="CW55" i="17"/>
  <c r="DG27" i="17"/>
  <c r="DG18" i="17"/>
  <c r="DG68" i="17"/>
  <c r="DK71" i="17"/>
  <c r="DK3" i="17" s="1"/>
  <c r="DK4" i="17" s="1"/>
  <c r="DA71" i="17"/>
  <c r="DA3" i="17" s="1"/>
  <c r="DA4" i="17" s="1"/>
  <c r="CQ71" i="17"/>
  <c r="CQ3" i="17" s="1"/>
  <c r="DZ71" i="17" l="1"/>
  <c r="DZ3" i="17" s="1"/>
  <c r="J30" i="21" s="1"/>
  <c r="K30" i="21" s="1"/>
  <c r="CW71" i="17"/>
  <c r="CW3" i="17" s="1"/>
  <c r="J23" i="21" s="1"/>
  <c r="K23" i="21" s="1"/>
  <c r="DP71" i="17"/>
  <c r="DP3" i="17" s="1"/>
  <c r="J26" i="21" s="1"/>
  <c r="K26" i="21" s="1"/>
  <c r="DG71" i="17"/>
  <c r="DG3" i="17" s="1"/>
  <c r="J12" i="21" s="1"/>
  <c r="K12" i="21" s="1"/>
  <c r="CF68" i="17"/>
  <c r="CG67" i="17"/>
  <c r="CG66" i="17"/>
  <c r="CG65" i="17"/>
  <c r="CG61" i="17"/>
  <c r="CF62" i="17"/>
  <c r="CG60" i="17"/>
  <c r="CG59" i="17"/>
  <c r="CG58" i="17"/>
  <c r="CF55" i="17"/>
  <c r="CG53" i="17"/>
  <c r="CG52" i="17"/>
  <c r="CG51" i="17"/>
  <c r="CG50" i="17"/>
  <c r="CG49" i="17"/>
  <c r="CG48" i="17"/>
  <c r="CG47" i="17"/>
  <c r="CG46" i="17"/>
  <c r="CF43" i="17"/>
  <c r="CG42" i="17"/>
  <c r="CG41" i="17"/>
  <c r="CG40" i="17"/>
  <c r="CG39" i="17"/>
  <c r="CG38" i="17"/>
  <c r="CG37" i="17"/>
  <c r="CG36" i="17"/>
  <c r="CG35" i="17"/>
  <c r="CG34" i="17"/>
  <c r="CG33" i="17"/>
  <c r="CG32" i="17"/>
  <c r="CG31" i="17"/>
  <c r="CG30" i="17"/>
  <c r="CF27" i="17"/>
  <c r="CG26" i="17"/>
  <c r="CG25" i="17"/>
  <c r="CG24" i="17"/>
  <c r="CG23" i="17"/>
  <c r="CG22" i="17"/>
  <c r="CG21" i="17"/>
  <c r="CF18" i="17"/>
  <c r="CG17" i="17"/>
  <c r="CG16" i="17"/>
  <c r="CG15" i="17"/>
  <c r="CG14" i="17"/>
  <c r="CG13" i="17"/>
  <c r="CG12" i="17"/>
  <c r="CG11" i="17"/>
  <c r="CG10" i="17"/>
  <c r="CG9" i="17"/>
  <c r="CG2" i="17"/>
  <c r="CH25" i="17" s="1"/>
  <c r="CG68" i="17" l="1"/>
  <c r="CH9" i="17"/>
  <c r="CH65" i="17"/>
  <c r="CH36" i="17"/>
  <c r="CH51" i="17"/>
  <c r="CH33" i="17"/>
  <c r="CH38" i="17"/>
  <c r="CH39" i="17"/>
  <c r="CH23" i="17"/>
  <c r="CI23" i="17" s="1"/>
  <c r="CH11" i="17"/>
  <c r="CH17" i="17"/>
  <c r="CH24" i="17"/>
  <c r="CH14" i="17"/>
  <c r="CI14" i="17" s="1"/>
  <c r="CH10" i="17"/>
  <c r="CI10" i="17" s="1"/>
  <c r="CH16" i="17"/>
  <c r="CI16" i="17" s="1"/>
  <c r="CH26" i="17"/>
  <c r="CH50" i="17"/>
  <c r="CI50" i="17" s="1"/>
  <c r="CH12" i="17"/>
  <c r="CH34" i="17"/>
  <c r="CH47" i="17"/>
  <c r="CH52" i="17"/>
  <c r="CH60" i="17"/>
  <c r="CH66" i="17"/>
  <c r="CI66" i="17" s="1"/>
  <c r="CH21" i="17"/>
  <c r="CH35" i="17"/>
  <c r="CH40" i="17"/>
  <c r="CH67" i="17"/>
  <c r="CI67" i="17" s="1"/>
  <c r="CH13" i="17"/>
  <c r="CI13" i="17" s="1"/>
  <c r="CH41" i="17"/>
  <c r="CH48" i="17"/>
  <c r="CH53" i="17"/>
  <c r="CH61" i="17"/>
  <c r="CH49" i="17"/>
  <c r="CH15" i="17"/>
  <c r="CI15" i="17" s="1"/>
  <c r="CH22" i="17"/>
  <c r="CH32" i="17"/>
  <c r="CH37" i="17"/>
  <c r="CH42" i="17"/>
  <c r="CH59" i="17"/>
  <c r="CG62" i="17"/>
  <c r="CG55" i="17"/>
  <c r="CG43" i="17"/>
  <c r="CH30" i="17"/>
  <c r="CF71" i="17"/>
  <c r="CF3" i="17" s="1"/>
  <c r="CF4" i="17" s="1"/>
  <c r="CG18" i="17"/>
  <c r="CH46" i="17"/>
  <c r="CI46" i="17" s="1"/>
  <c r="CH58" i="17"/>
  <c r="CG27" i="17"/>
  <c r="CH31" i="17"/>
  <c r="CG71" i="17" l="1"/>
  <c r="CG3" i="17" s="1"/>
  <c r="CG4" i="17" s="1"/>
  <c r="BY6" i="17"/>
  <c r="CC61" i="17" l="1"/>
  <c r="CC50" i="17"/>
  <c r="CC39" i="17"/>
  <c r="CC30" i="17"/>
  <c r="CC14" i="17"/>
  <c r="CC60" i="17"/>
  <c r="CC49" i="17"/>
  <c r="CC38" i="17"/>
  <c r="CC26" i="17"/>
  <c r="CC13" i="17"/>
  <c r="CC32" i="17"/>
  <c r="CC59" i="17"/>
  <c r="CC48" i="17"/>
  <c r="CC37" i="17"/>
  <c r="CC25" i="17"/>
  <c r="CC12" i="17"/>
  <c r="CC41" i="17"/>
  <c r="CC66" i="17"/>
  <c r="CC51" i="17"/>
  <c r="CC40" i="17"/>
  <c r="CC31" i="17"/>
  <c r="CC15" i="17"/>
  <c r="CC58" i="17"/>
  <c r="CC47" i="17"/>
  <c r="CC36" i="17"/>
  <c r="CC22" i="17"/>
  <c r="CC11" i="17"/>
  <c r="CC54" i="17"/>
  <c r="CC46" i="17"/>
  <c r="CC35" i="17"/>
  <c r="CC21" i="17"/>
  <c r="CC10" i="17"/>
  <c r="CC53" i="17"/>
  <c r="CC42" i="17"/>
  <c r="CC34" i="17"/>
  <c r="CC17" i="17"/>
  <c r="CC67" i="17"/>
  <c r="CC52" i="17"/>
  <c r="CC16" i="17"/>
  <c r="CC24" i="17"/>
  <c r="CC9" i="17"/>
  <c r="CC23" i="17"/>
  <c r="CC65" i="17"/>
  <c r="CC33" i="17"/>
  <c r="BV68" i="17"/>
  <c r="BW67" i="17"/>
  <c r="BW66" i="17"/>
  <c r="BW65" i="17"/>
  <c r="BV61" i="17"/>
  <c r="BV62" i="17" s="1"/>
  <c r="BW60" i="17"/>
  <c r="BW59" i="17"/>
  <c r="BW58" i="17"/>
  <c r="BV55" i="17"/>
  <c r="BW53" i="17"/>
  <c r="BW52" i="17"/>
  <c r="BW51" i="17"/>
  <c r="BW50" i="17"/>
  <c r="BW49" i="17"/>
  <c r="BW48" i="17"/>
  <c r="BW47" i="17"/>
  <c r="BW46" i="17"/>
  <c r="BW42" i="17"/>
  <c r="BW41" i="17"/>
  <c r="BW40" i="17"/>
  <c r="BW39" i="17"/>
  <c r="BW38" i="17"/>
  <c r="BW37" i="17"/>
  <c r="BW36" i="17"/>
  <c r="BW35" i="17"/>
  <c r="BW34" i="17"/>
  <c r="BV33" i="17"/>
  <c r="BV43" i="17" s="1"/>
  <c r="BW32" i="17"/>
  <c r="BW31" i="17"/>
  <c r="BW30" i="17"/>
  <c r="BV27" i="17"/>
  <c r="BW26" i="17"/>
  <c r="BW25" i="17"/>
  <c r="BW24" i="17"/>
  <c r="BW23" i="17"/>
  <c r="BW22" i="17"/>
  <c r="BW21" i="17"/>
  <c r="BV18" i="17"/>
  <c r="BW17" i="17"/>
  <c r="BW16" i="17"/>
  <c r="BW15" i="17"/>
  <c r="BW14" i="17"/>
  <c r="BW13" i="17"/>
  <c r="BW12" i="17"/>
  <c r="BW11" i="17"/>
  <c r="BW10" i="17"/>
  <c r="BW9" i="17"/>
  <c r="BW2" i="17"/>
  <c r="BE6" i="17"/>
  <c r="BB68" i="17"/>
  <c r="BC67" i="17"/>
  <c r="BC66" i="17"/>
  <c r="BC65" i="17"/>
  <c r="BB61" i="17"/>
  <c r="BB62" i="17" s="1"/>
  <c r="BC60" i="17"/>
  <c r="BC59" i="17"/>
  <c r="BC58" i="17"/>
  <c r="BB55" i="17"/>
  <c r="BC53" i="17"/>
  <c r="BC52" i="17"/>
  <c r="BC51" i="17"/>
  <c r="BC50" i="17"/>
  <c r="BC49" i="17"/>
  <c r="BC48" i="17"/>
  <c r="BC47" i="17"/>
  <c r="BC46" i="17"/>
  <c r="BC42" i="17"/>
  <c r="BC41" i="17"/>
  <c r="BC40" i="17"/>
  <c r="BC39" i="17"/>
  <c r="BC38" i="17"/>
  <c r="BC37" i="17"/>
  <c r="BC36" i="17"/>
  <c r="BC35" i="17"/>
  <c r="BC34" i="17"/>
  <c r="BB33" i="17"/>
  <c r="BC33" i="17" s="1"/>
  <c r="BC32" i="17"/>
  <c r="BC31" i="17"/>
  <c r="BC30" i="17"/>
  <c r="BB27" i="17"/>
  <c r="BC26" i="17"/>
  <c r="BC25" i="17"/>
  <c r="BC24" i="17"/>
  <c r="BC23" i="17"/>
  <c r="BC22" i="17"/>
  <c r="BC21" i="17"/>
  <c r="BB18" i="17"/>
  <c r="BC17" i="17"/>
  <c r="BC16" i="17"/>
  <c r="BC15" i="17"/>
  <c r="BC14" i="17"/>
  <c r="BC13" i="17"/>
  <c r="BC12" i="17"/>
  <c r="BC11" i="17"/>
  <c r="BC10" i="17"/>
  <c r="BC9" i="17"/>
  <c r="BC2" i="17"/>
  <c r="AV42" i="17"/>
  <c r="AW42" i="17" s="1"/>
  <c r="AU67" i="17"/>
  <c r="AU26" i="17"/>
  <c r="AR68" i="17"/>
  <c r="AS66" i="17"/>
  <c r="AS65" i="17"/>
  <c r="AR61" i="17"/>
  <c r="AS61" i="17" s="1"/>
  <c r="AS60" i="17"/>
  <c r="AS59" i="17"/>
  <c r="AR55" i="17"/>
  <c r="AS53" i="17"/>
  <c r="AS52" i="17"/>
  <c r="AS51" i="17"/>
  <c r="AS50" i="17"/>
  <c r="AS49" i="17"/>
  <c r="AS48" i="17"/>
  <c r="AS47" i="17"/>
  <c r="AS46" i="17"/>
  <c r="AR43" i="17"/>
  <c r="AS41" i="17"/>
  <c r="AS40" i="17"/>
  <c r="AS39" i="17"/>
  <c r="AS38" i="17"/>
  <c r="AS37" i="17"/>
  <c r="AS36" i="17"/>
  <c r="AS35" i="17"/>
  <c r="AS34" i="17"/>
  <c r="AS33" i="17"/>
  <c r="AS32" i="17"/>
  <c r="AS31" i="17"/>
  <c r="AS30" i="17"/>
  <c r="AR27" i="17"/>
  <c r="AS25" i="17"/>
  <c r="AS24" i="17"/>
  <c r="AS23" i="17"/>
  <c r="AS22" i="17"/>
  <c r="AS21" i="17"/>
  <c r="AR18" i="17"/>
  <c r="AS17" i="17"/>
  <c r="AS16" i="17"/>
  <c r="AS15" i="17"/>
  <c r="AS14" i="17"/>
  <c r="AS13" i="17"/>
  <c r="AS11" i="17"/>
  <c r="AS10" i="17"/>
  <c r="AS9" i="17"/>
  <c r="AR2" i="17"/>
  <c r="AS2" i="17" s="1"/>
  <c r="CC62" i="17" l="1"/>
  <c r="CC43" i="17"/>
  <c r="CC68" i="17"/>
  <c r="CC27" i="17"/>
  <c r="CC55" i="17"/>
  <c r="CM62" i="17"/>
  <c r="CM27" i="17"/>
  <c r="CM68" i="17"/>
  <c r="CC18" i="17"/>
  <c r="CM18" i="17"/>
  <c r="CM43" i="17"/>
  <c r="CM55" i="17"/>
  <c r="BI65" i="17"/>
  <c r="BI51" i="17"/>
  <c r="BI40" i="17"/>
  <c r="BI32" i="17"/>
  <c r="BI21" i="17"/>
  <c r="BI10" i="17"/>
  <c r="BT59" i="17"/>
  <c r="BT53" i="17"/>
  <c r="BT49" i="17"/>
  <c r="BT39" i="17"/>
  <c r="BT35" i="17"/>
  <c r="BT31" i="17"/>
  <c r="BT25" i="17"/>
  <c r="BT15" i="17"/>
  <c r="BT11" i="17"/>
  <c r="BI61" i="17"/>
  <c r="BI50" i="17"/>
  <c r="BI39" i="17"/>
  <c r="BI31" i="17"/>
  <c r="BI17" i="17"/>
  <c r="BI9" i="17"/>
  <c r="BI42" i="17"/>
  <c r="BI23" i="17"/>
  <c r="BI60" i="17"/>
  <c r="BI49" i="17"/>
  <c r="BI38" i="17"/>
  <c r="BI30" i="17"/>
  <c r="BI16" i="17"/>
  <c r="BI67" i="17"/>
  <c r="BT52" i="17"/>
  <c r="BT48" i="17"/>
  <c r="BT42" i="17"/>
  <c r="BT38" i="17"/>
  <c r="BT34" i="17"/>
  <c r="BT24" i="17"/>
  <c r="BT14" i="17"/>
  <c r="BT10" i="17"/>
  <c r="BI59" i="17"/>
  <c r="BI48" i="17"/>
  <c r="BI37" i="17"/>
  <c r="BI26" i="17"/>
  <c r="BI15" i="17"/>
  <c r="BT66" i="17"/>
  <c r="BT60" i="17"/>
  <c r="BT54" i="17"/>
  <c r="BT50" i="17"/>
  <c r="BT40" i="17"/>
  <c r="BT36" i="17"/>
  <c r="BT32" i="17"/>
  <c r="BT26" i="17"/>
  <c r="BT22" i="17"/>
  <c r="BT16" i="17"/>
  <c r="BT12" i="17"/>
  <c r="BI66" i="17"/>
  <c r="BI52" i="17"/>
  <c r="BI41" i="17"/>
  <c r="BI33" i="17"/>
  <c r="BI22" i="17"/>
  <c r="BI11" i="17"/>
  <c r="BI58" i="17"/>
  <c r="BI47" i="17"/>
  <c r="BI36" i="17"/>
  <c r="BI25" i="17"/>
  <c r="BI14" i="17"/>
  <c r="BT67" i="17"/>
  <c r="BT61" i="17"/>
  <c r="BT51" i="17"/>
  <c r="BT47" i="17"/>
  <c r="BT41" i="17"/>
  <c r="BT37" i="17"/>
  <c r="BT33" i="17"/>
  <c r="BT23" i="17"/>
  <c r="BT17" i="17"/>
  <c r="BT13" i="17"/>
  <c r="BI54" i="17"/>
  <c r="BI46" i="17"/>
  <c r="BI35" i="17"/>
  <c r="BI24" i="17"/>
  <c r="BI13" i="17"/>
  <c r="BI53" i="17"/>
  <c r="BI34" i="17"/>
  <c r="BI12" i="17"/>
  <c r="AY65" i="17"/>
  <c r="AY51" i="17"/>
  <c r="AZ51" i="17" s="1"/>
  <c r="AY15" i="17"/>
  <c r="AZ15" i="17" s="1"/>
  <c r="AY41" i="17"/>
  <c r="AZ41" i="17" s="1"/>
  <c r="AY33" i="17"/>
  <c r="AZ33" i="17" s="1"/>
  <c r="AY22" i="17"/>
  <c r="AY61" i="17"/>
  <c r="AZ61" i="17" s="1"/>
  <c r="AY50" i="17"/>
  <c r="AZ50" i="17" s="1"/>
  <c r="AY14" i="17"/>
  <c r="AZ14" i="17" s="1"/>
  <c r="AY40" i="17"/>
  <c r="AZ40" i="17" s="1"/>
  <c r="AY32" i="17"/>
  <c r="AZ32" i="17" s="1"/>
  <c r="AY21" i="17"/>
  <c r="AY60" i="17"/>
  <c r="AY49" i="17"/>
  <c r="AY13" i="17"/>
  <c r="AZ13" i="17" s="1"/>
  <c r="AY39" i="17"/>
  <c r="AZ39" i="17" s="1"/>
  <c r="AY31" i="17"/>
  <c r="AZ31" i="17" s="1"/>
  <c r="AY66" i="17"/>
  <c r="AZ66" i="17" s="1"/>
  <c r="AY52" i="17"/>
  <c r="AZ52" i="17" s="1"/>
  <c r="AY42" i="17"/>
  <c r="AZ42" i="17" s="1"/>
  <c r="AY34" i="17"/>
  <c r="AZ34" i="17" s="1"/>
  <c r="AY23" i="17"/>
  <c r="AZ23" i="17" s="1"/>
  <c r="AY59" i="17"/>
  <c r="AY48" i="17"/>
  <c r="AY12" i="17"/>
  <c r="AZ12" i="17" s="1"/>
  <c r="AY38" i="17"/>
  <c r="AY30" i="17"/>
  <c r="AY58" i="17"/>
  <c r="AY47" i="17"/>
  <c r="AZ47" i="17" s="1"/>
  <c r="AY11" i="17"/>
  <c r="AZ11" i="17" s="1"/>
  <c r="AY37" i="17"/>
  <c r="AY26" i="17"/>
  <c r="AZ26" i="17" s="1"/>
  <c r="AY16" i="17"/>
  <c r="AZ16" i="17" s="1"/>
  <c r="AY54" i="17"/>
  <c r="AZ54" i="17" s="1"/>
  <c r="AY46" i="17"/>
  <c r="AY10" i="17"/>
  <c r="AZ10" i="17" s="1"/>
  <c r="AY36" i="17"/>
  <c r="AY25" i="17"/>
  <c r="AZ25" i="17" s="1"/>
  <c r="AY67" i="17"/>
  <c r="AZ67" i="17" s="1"/>
  <c r="AY53" i="17"/>
  <c r="AZ53" i="17" s="1"/>
  <c r="AY17" i="17"/>
  <c r="AZ17" i="17" s="1"/>
  <c r="AY9" i="17"/>
  <c r="AY35" i="17"/>
  <c r="AZ35" i="17" s="1"/>
  <c r="AY24" i="17"/>
  <c r="BD40" i="17"/>
  <c r="BD52" i="17"/>
  <c r="BX30" i="17"/>
  <c r="BX38" i="17"/>
  <c r="BX12" i="17"/>
  <c r="BX47" i="17"/>
  <c r="BX14" i="17"/>
  <c r="BY14" i="17" s="1"/>
  <c r="BD16" i="17"/>
  <c r="BE16" i="17" s="1"/>
  <c r="BD26" i="17"/>
  <c r="BX34" i="17"/>
  <c r="BX59" i="17"/>
  <c r="BD50" i="17"/>
  <c r="BE50" i="17" s="1"/>
  <c r="BX37" i="17"/>
  <c r="BX58" i="17"/>
  <c r="BX41" i="17"/>
  <c r="BX51" i="17"/>
  <c r="BX65" i="17"/>
  <c r="AT47" i="17"/>
  <c r="BC61" i="17"/>
  <c r="BD61" i="17" s="1"/>
  <c r="BX35" i="17"/>
  <c r="BX66" i="17"/>
  <c r="BY66" i="17" s="1"/>
  <c r="AT16" i="17"/>
  <c r="AU16" i="17" s="1"/>
  <c r="AV16" i="17" s="1"/>
  <c r="AW16" i="17" s="1"/>
  <c r="BX26" i="17"/>
  <c r="BD35" i="17"/>
  <c r="BD42" i="17"/>
  <c r="BC68" i="17"/>
  <c r="AR62" i="17"/>
  <c r="BD46" i="17"/>
  <c r="BE46" i="17" s="1"/>
  <c r="AS68" i="17"/>
  <c r="BX21" i="17"/>
  <c r="BX31" i="17"/>
  <c r="BX48" i="17"/>
  <c r="BD36" i="17"/>
  <c r="BD38" i="17"/>
  <c r="BD48" i="17"/>
  <c r="BD59" i="17"/>
  <c r="BX22" i="17"/>
  <c r="BX32" i="17"/>
  <c r="BX39" i="17"/>
  <c r="BX49" i="17"/>
  <c r="BX13" i="17"/>
  <c r="BY13" i="17" s="1"/>
  <c r="BX40" i="17"/>
  <c r="AV48" i="17"/>
  <c r="BD15" i="17"/>
  <c r="BE15" i="17" s="1"/>
  <c r="BD25" i="17"/>
  <c r="BD34" i="17"/>
  <c r="BD47" i="17"/>
  <c r="BD53" i="17"/>
  <c r="AT37" i="17"/>
  <c r="BC18" i="17"/>
  <c r="BD17" i="17"/>
  <c r="BD41" i="17"/>
  <c r="BX36" i="17"/>
  <c r="BD10" i="17"/>
  <c r="BE10" i="17" s="1"/>
  <c r="BD30" i="17"/>
  <c r="BC55" i="17"/>
  <c r="BD66" i="17"/>
  <c r="BE66" i="17" s="1"/>
  <c r="BX15" i="17"/>
  <c r="BY15" i="17" s="1"/>
  <c r="BX23" i="17"/>
  <c r="BX67" i="17"/>
  <c r="BY67" i="17" s="1"/>
  <c r="BD11" i="17"/>
  <c r="BC27" i="17"/>
  <c r="BD37" i="17"/>
  <c r="BD67" i="17"/>
  <c r="BE67" i="17" s="1"/>
  <c r="BW18" i="17"/>
  <c r="BX24" i="17"/>
  <c r="AS27" i="17"/>
  <c r="AS43" i="17"/>
  <c r="BD12" i="17"/>
  <c r="BD22" i="17"/>
  <c r="BD32" i="17"/>
  <c r="BB43" i="17"/>
  <c r="BB71" i="17" s="1"/>
  <c r="BB3" i="17" s="1"/>
  <c r="BB4" i="17" s="1"/>
  <c r="BX10" i="17"/>
  <c r="BY10" i="17" s="1"/>
  <c r="BX16" i="17"/>
  <c r="BY16" i="17" s="1"/>
  <c r="BX25" i="17"/>
  <c r="BX42" i="17"/>
  <c r="BX50" i="17"/>
  <c r="BY50" i="17" s="1"/>
  <c r="BD13" i="17"/>
  <c r="BE13" i="17" s="1"/>
  <c r="BD23" i="17"/>
  <c r="BD33" i="17"/>
  <c r="BD51" i="17"/>
  <c r="BD60" i="17"/>
  <c r="BX11" i="17"/>
  <c r="BX17" i="17"/>
  <c r="BX46" i="17"/>
  <c r="BY46" i="17" s="1"/>
  <c r="BD14" i="17"/>
  <c r="BE14" i="17" s="1"/>
  <c r="BD24" i="17"/>
  <c r="BD39" i="17"/>
  <c r="AV21" i="17"/>
  <c r="AW21" i="17" s="1"/>
  <c r="AV67" i="17"/>
  <c r="AW67" i="17" s="1"/>
  <c r="AV25" i="17"/>
  <c r="AW25" i="17" s="1"/>
  <c r="AV12" i="17"/>
  <c r="AW12" i="17" s="1"/>
  <c r="AV26" i="17"/>
  <c r="AW26" i="17" s="1"/>
  <c r="AV54" i="17"/>
  <c r="AW54" i="17" s="1"/>
  <c r="AV49" i="17"/>
  <c r="AW49" i="17" s="1"/>
  <c r="AV35" i="17"/>
  <c r="AW35" i="17" s="1"/>
  <c r="AV59" i="17"/>
  <c r="AW59" i="17" s="1"/>
  <c r="AV41" i="17"/>
  <c r="AW41" i="17" s="1"/>
  <c r="AV60" i="17"/>
  <c r="AW60" i="17" s="1"/>
  <c r="BV71" i="17"/>
  <c r="BV3" i="17" s="1"/>
  <c r="BV4" i="17" s="1"/>
  <c r="BX53" i="17"/>
  <c r="BX60" i="17"/>
  <c r="BX9" i="17"/>
  <c r="BW27" i="17"/>
  <c r="BW33" i="17"/>
  <c r="BX33" i="17" s="1"/>
  <c r="BW61" i="17"/>
  <c r="BX61" i="17" s="1"/>
  <c r="BW55" i="17"/>
  <c r="BW68" i="17"/>
  <c r="BX52" i="17"/>
  <c r="AV9" i="17"/>
  <c r="AW9" i="17" s="1"/>
  <c r="AV22" i="17"/>
  <c r="AW22" i="17" s="1"/>
  <c r="AV32" i="17"/>
  <c r="AW32" i="17" s="1"/>
  <c r="AV52" i="17"/>
  <c r="AW52" i="17" s="1"/>
  <c r="AW2" i="17"/>
  <c r="AV40" i="17"/>
  <c r="AW40" i="17" s="1"/>
  <c r="AV53" i="17"/>
  <c r="AW53" i="17" s="1"/>
  <c r="BC43" i="17"/>
  <c r="BD21" i="17"/>
  <c r="BD31" i="17"/>
  <c r="BD65" i="17"/>
  <c r="BD49" i="17"/>
  <c r="AV11" i="17"/>
  <c r="AW11" i="17" s="1"/>
  <c r="AV17" i="17"/>
  <c r="AW17" i="17" s="1"/>
  <c r="AV31" i="17"/>
  <c r="AW31" i="17" s="1"/>
  <c r="AV58" i="17"/>
  <c r="AW58" i="17" s="1"/>
  <c r="AV36" i="17"/>
  <c r="AW36" i="17" s="1"/>
  <c r="AV65" i="17"/>
  <c r="AW65" i="17" s="1"/>
  <c r="BD58" i="17"/>
  <c r="BD9" i="17"/>
  <c r="AV47" i="17"/>
  <c r="AW47" i="17" s="1"/>
  <c r="AV39" i="17"/>
  <c r="AW39" i="17" s="1"/>
  <c r="AV51" i="17"/>
  <c r="AW51" i="17" s="1"/>
  <c r="AV61" i="17"/>
  <c r="AW61" i="17" s="1"/>
  <c r="AV24" i="17"/>
  <c r="AW24" i="17" s="1"/>
  <c r="AV33" i="17"/>
  <c r="AW33" i="17" s="1"/>
  <c r="AV37" i="17"/>
  <c r="AW37" i="17" s="1"/>
  <c r="AV30" i="17"/>
  <c r="AV34" i="17"/>
  <c r="AW34" i="17" s="1"/>
  <c r="AV38" i="17"/>
  <c r="AW38" i="17" s="1"/>
  <c r="AS55" i="17"/>
  <c r="AS62" i="17"/>
  <c r="AS18" i="17"/>
  <c r="AR71" i="17"/>
  <c r="AR3" i="17" s="1"/>
  <c r="AR4" i="17" s="1"/>
  <c r="AT23" i="17"/>
  <c r="AU23" i="17" s="1"/>
  <c r="AV23" i="17" s="1"/>
  <c r="AW23" i="17" s="1"/>
  <c r="AT53" i="17"/>
  <c r="AT13" i="17"/>
  <c r="AU13" i="17" s="1"/>
  <c r="AV13" i="17" s="1"/>
  <c r="AW13" i="17" s="1"/>
  <c r="AT66" i="17"/>
  <c r="AU66" i="17" s="1"/>
  <c r="AV66" i="17" s="1"/>
  <c r="AW66" i="17" s="1"/>
  <c r="AT38" i="17"/>
  <c r="AT30" i="17"/>
  <c r="AT17" i="17"/>
  <c r="AT60" i="17"/>
  <c r="AT52" i="17"/>
  <c r="AT48" i="17"/>
  <c r="AT12" i="17"/>
  <c r="AT34" i="17"/>
  <c r="AT11" i="17"/>
  <c r="AT49" i="17"/>
  <c r="AT32" i="17"/>
  <c r="AT31" i="17"/>
  <c r="AT10" i="17"/>
  <c r="AU10" i="17" s="1"/>
  <c r="AV10" i="17" s="1"/>
  <c r="AW10" i="17" s="1"/>
  <c r="AT22" i="17"/>
  <c r="AT50" i="17"/>
  <c r="AU50" i="17" s="1"/>
  <c r="AV50" i="17" s="1"/>
  <c r="AW50" i="17" s="1"/>
  <c r="AT24" i="17"/>
  <c r="AT39" i="17"/>
  <c r="AT40" i="17"/>
  <c r="AT61" i="17"/>
  <c r="AT33" i="17"/>
  <c r="AT41" i="17"/>
  <c r="AT51" i="17"/>
  <c r="AT65" i="17"/>
  <c r="AT14" i="17"/>
  <c r="AU14" i="17" s="1"/>
  <c r="AV14" i="17" s="1"/>
  <c r="AW14" i="17" s="1"/>
  <c r="AT35" i="17"/>
  <c r="AT15" i="17"/>
  <c r="AU15" i="17" s="1"/>
  <c r="AV15" i="17" s="1"/>
  <c r="AW15" i="17" s="1"/>
  <c r="AT25" i="17"/>
  <c r="AT36" i="17"/>
  <c r="AT9" i="17"/>
  <c r="AT46" i="17"/>
  <c r="AU46" i="17" s="1"/>
  <c r="AV46" i="17" s="1"/>
  <c r="AT21" i="17"/>
  <c r="AT59" i="17"/>
  <c r="AZ22" i="17" l="1"/>
  <c r="AZ60" i="17"/>
  <c r="AZ59" i="17"/>
  <c r="AZ49" i="17"/>
  <c r="AZ38" i="17"/>
  <c r="AZ37" i="17"/>
  <c r="AZ36" i="17"/>
  <c r="AW48" i="17"/>
  <c r="AZ48" i="17" s="1"/>
  <c r="K28" i="20"/>
  <c r="L28" i="20" s="1"/>
  <c r="AZ24" i="17"/>
  <c r="CC71" i="17"/>
  <c r="CC3" i="17" s="1"/>
  <c r="J15" i="21" s="1"/>
  <c r="K15" i="21" s="1"/>
  <c r="CM71" i="17"/>
  <c r="CM3" i="17" s="1"/>
  <c r="J9" i="21" s="1"/>
  <c r="K9" i="21" s="1"/>
  <c r="BT21" i="17"/>
  <c r="BS27" i="17"/>
  <c r="BT27" i="17" s="1"/>
  <c r="BT65" i="17"/>
  <c r="BS68" i="17"/>
  <c r="BT68" i="17" s="1"/>
  <c r="BS43" i="17"/>
  <c r="BT43" i="17" s="1"/>
  <c r="BT30" i="17"/>
  <c r="BS18" i="17"/>
  <c r="BT9" i="17"/>
  <c r="BT58" i="17"/>
  <c r="BS62" i="17"/>
  <c r="BT62" i="17" s="1"/>
  <c r="BT46" i="17"/>
  <c r="BS55" i="17"/>
  <c r="BT55" i="17" s="1"/>
  <c r="AY55" i="17"/>
  <c r="AZ46" i="17"/>
  <c r="AZ21" i="17"/>
  <c r="AY27" i="17"/>
  <c r="BI27" i="17"/>
  <c r="BI68" i="17"/>
  <c r="AZ9" i="17"/>
  <c r="AY18" i="17"/>
  <c r="BI62" i="17"/>
  <c r="BI18" i="17"/>
  <c r="AZ58" i="17"/>
  <c r="AY62" i="17"/>
  <c r="BI43" i="17"/>
  <c r="AY43" i="17"/>
  <c r="AZ30" i="17"/>
  <c r="BI55" i="17"/>
  <c r="AZ65" i="17"/>
  <c r="AY68" i="17"/>
  <c r="AW46" i="17"/>
  <c r="AV55" i="17"/>
  <c r="BC62" i="17"/>
  <c r="BC71" i="17"/>
  <c r="BC3" i="17" s="1"/>
  <c r="BC4" i="17" s="1"/>
  <c r="BW43" i="17"/>
  <c r="AS71" i="17"/>
  <c r="AS3" i="17" s="1"/>
  <c r="AS4" i="17" s="1"/>
  <c r="AW27" i="17"/>
  <c r="BW62" i="17"/>
  <c r="BW71" i="17" s="1"/>
  <c r="BW3" i="17" s="1"/>
  <c r="BW4" i="17" s="1"/>
  <c r="AW68" i="17"/>
  <c r="AV27" i="17"/>
  <c r="AV18" i="17"/>
  <c r="AW18" i="17"/>
  <c r="AV68" i="17"/>
  <c r="AW62" i="17"/>
  <c r="AV43" i="17"/>
  <c r="AW30" i="17"/>
  <c r="AW43" i="17" s="1"/>
  <c r="AV62" i="17"/>
  <c r="AZ62" i="17" l="1"/>
  <c r="AZ43" i="17"/>
  <c r="AW55" i="17"/>
  <c r="AZ55" i="17" s="1"/>
  <c r="AZ27" i="17"/>
  <c r="AZ68" i="17"/>
  <c r="BS71" i="17"/>
  <c r="BT18" i="17"/>
  <c r="AZ18" i="17"/>
  <c r="AY71" i="17"/>
  <c r="BI71" i="17"/>
  <c r="BI3" i="17" s="1"/>
  <c r="J11" i="21" s="1"/>
  <c r="K11" i="21" s="1"/>
  <c r="AW71" i="17"/>
  <c r="AW3" i="17" s="1"/>
  <c r="AW4" i="17" s="1"/>
  <c r="AV71" i="17"/>
  <c r="AV3" i="17" s="1"/>
  <c r="AZ71" i="17" l="1"/>
  <c r="AY3" i="17"/>
  <c r="J22" i="21" s="1"/>
  <c r="K22" i="21" s="1"/>
  <c r="BT71" i="17"/>
  <c r="BS3" i="17"/>
  <c r="AV4" i="17"/>
  <c r="M43" i="18"/>
  <c r="AH68" i="17"/>
  <c r="AI67" i="17"/>
  <c r="AI66" i="17"/>
  <c r="AI65" i="17"/>
  <c r="AH62" i="17"/>
  <c r="AI61" i="17"/>
  <c r="AI60" i="17"/>
  <c r="AI59" i="17"/>
  <c r="AI58" i="17"/>
  <c r="AH55" i="17"/>
  <c r="AI53" i="17"/>
  <c r="AI52" i="17"/>
  <c r="AI51" i="17"/>
  <c r="AI50" i="17"/>
  <c r="AI49" i="17"/>
  <c r="AI48" i="17"/>
  <c r="AI47" i="17"/>
  <c r="AI46" i="17"/>
  <c r="AH43" i="17"/>
  <c r="AI42" i="17"/>
  <c r="AI41" i="17"/>
  <c r="AI40" i="17"/>
  <c r="AI39" i="17"/>
  <c r="AI38" i="17"/>
  <c r="AI37" i="17"/>
  <c r="AI36" i="17"/>
  <c r="AI35" i="17"/>
  <c r="AI34" i="17"/>
  <c r="AI33" i="17"/>
  <c r="AI32" i="17"/>
  <c r="AI31" i="17"/>
  <c r="AI30" i="17"/>
  <c r="AH27" i="17"/>
  <c r="AI26" i="17"/>
  <c r="AI25" i="17"/>
  <c r="AI24" i="17"/>
  <c r="AI23" i="17"/>
  <c r="AI22" i="17"/>
  <c r="AI21" i="17"/>
  <c r="AH18" i="17"/>
  <c r="AI17" i="17"/>
  <c r="AI16" i="17"/>
  <c r="AI15" i="17"/>
  <c r="AI14" i="17"/>
  <c r="AI13" i="17"/>
  <c r="AI12" i="17"/>
  <c r="AI11" i="17"/>
  <c r="AI10" i="17"/>
  <c r="AI9" i="17"/>
  <c r="AI2" i="17"/>
  <c r="AJ36" i="17" s="1"/>
  <c r="X68" i="17"/>
  <c r="Y67" i="17"/>
  <c r="Y66" i="17"/>
  <c r="Y65" i="17"/>
  <c r="X62" i="17"/>
  <c r="Y60" i="17"/>
  <c r="Y59" i="17"/>
  <c r="Y58" i="17"/>
  <c r="X56" i="17"/>
  <c r="Y55" i="17"/>
  <c r="Y53" i="17"/>
  <c r="Y52" i="17"/>
  <c r="Y51" i="17"/>
  <c r="Y50" i="17"/>
  <c r="Y49" i="17"/>
  <c r="Y48" i="17"/>
  <c r="Y47" i="17"/>
  <c r="Y46" i="17"/>
  <c r="X43" i="17"/>
  <c r="Y42" i="17"/>
  <c r="Y41" i="17"/>
  <c r="Y40" i="17"/>
  <c r="Y39" i="17"/>
  <c r="Y38" i="17"/>
  <c r="Y37" i="17"/>
  <c r="Y36" i="17"/>
  <c r="Y35" i="17"/>
  <c r="Y34" i="17"/>
  <c r="Y33" i="17"/>
  <c r="Y32" i="17"/>
  <c r="Y31" i="17"/>
  <c r="Y30" i="17"/>
  <c r="X27" i="17"/>
  <c r="Y26" i="17"/>
  <c r="Y25" i="17"/>
  <c r="Y24" i="17"/>
  <c r="Y23" i="17"/>
  <c r="Y22" i="17"/>
  <c r="Y21" i="17"/>
  <c r="X18" i="17"/>
  <c r="Y17" i="17"/>
  <c r="Y16" i="17"/>
  <c r="Y15" i="17"/>
  <c r="Y14" i="17"/>
  <c r="Y13" i="17"/>
  <c r="Y12" i="17"/>
  <c r="Y11" i="17"/>
  <c r="Y10" i="17"/>
  <c r="Y9" i="17"/>
  <c r="X2" i="17"/>
  <c r="Y2" i="17" s="1"/>
  <c r="N43" i="18" l="1"/>
  <c r="AJ17" i="17"/>
  <c r="AK17" i="17" s="1"/>
  <c r="AJ11" i="17"/>
  <c r="AJ12" i="17"/>
  <c r="AJ13" i="17"/>
  <c r="AK13" i="17" s="1"/>
  <c r="AJ32" i="17"/>
  <c r="AJ39" i="17"/>
  <c r="AJ23" i="17"/>
  <c r="AJ33" i="17"/>
  <c r="AJ49" i="17"/>
  <c r="AJ60" i="17"/>
  <c r="AJ15" i="17"/>
  <c r="AK15" i="17" s="1"/>
  <c r="AJ34" i="17"/>
  <c r="AJ35" i="17"/>
  <c r="AJ41" i="17"/>
  <c r="AJ26" i="17"/>
  <c r="AK26" i="17" s="1"/>
  <c r="AJ37" i="17"/>
  <c r="AJ30" i="17"/>
  <c r="AJ38" i="17"/>
  <c r="AI55" i="17"/>
  <c r="AJ31" i="17"/>
  <c r="AJ16" i="17"/>
  <c r="AK16" i="17" s="1"/>
  <c r="AJ24" i="17"/>
  <c r="AJ47" i="17"/>
  <c r="AJ53" i="17"/>
  <c r="Y68" i="17"/>
  <c r="AJ25" i="17"/>
  <c r="AK25" i="17" s="1"/>
  <c r="AJ40" i="17"/>
  <c r="AJ48" i="17"/>
  <c r="AJ61" i="17"/>
  <c r="AH71" i="17"/>
  <c r="AH3" i="17" s="1"/>
  <c r="AH4" i="17" s="1"/>
  <c r="AJ50" i="17"/>
  <c r="AK50" i="17" s="1"/>
  <c r="AJ65" i="17"/>
  <c r="AI27" i="17"/>
  <c r="AJ42" i="17"/>
  <c r="AJ51" i="17"/>
  <c r="AI62" i="17"/>
  <c r="AJ66" i="17"/>
  <c r="AK66" i="17" s="1"/>
  <c r="Y62" i="17"/>
  <c r="AJ10" i="17"/>
  <c r="AK10" i="17" s="1"/>
  <c r="AJ67" i="17"/>
  <c r="AK67" i="17" s="1"/>
  <c r="AI18" i="17"/>
  <c r="AJ14" i="17"/>
  <c r="AK14" i="17" s="1"/>
  <c r="AJ22" i="17"/>
  <c r="AJ52" i="17"/>
  <c r="AJ59" i="17"/>
  <c r="AJ21" i="17"/>
  <c r="AJ46" i="17"/>
  <c r="AK46" i="17" s="1"/>
  <c r="AJ9" i="17"/>
  <c r="AI68" i="17"/>
  <c r="AI43" i="17"/>
  <c r="AJ58" i="17"/>
  <c r="X71" i="17"/>
  <c r="X3" i="17" s="1"/>
  <c r="X4" i="17" s="1"/>
  <c r="Y27" i="17"/>
  <c r="Y43" i="17"/>
  <c r="Y56" i="17"/>
  <c r="Y18" i="17"/>
  <c r="Q43" i="18" l="1"/>
  <c r="U43" i="18"/>
  <c r="AI71" i="17"/>
  <c r="AI3" i="17" s="1"/>
  <c r="AI4" i="17" s="1"/>
  <c r="Y71" i="17"/>
  <c r="Y3" i="17" s="1"/>
  <c r="Y4" i="17" s="1"/>
  <c r="Q6" i="17" l="1"/>
  <c r="N68" i="17"/>
  <c r="O67" i="17"/>
  <c r="O66" i="17"/>
  <c r="O65" i="17"/>
  <c r="N62" i="17"/>
  <c r="O61" i="17"/>
  <c r="O60" i="17"/>
  <c r="O59" i="17"/>
  <c r="O58" i="17"/>
  <c r="N55" i="17"/>
  <c r="O53" i="17"/>
  <c r="O52" i="17"/>
  <c r="O51" i="17"/>
  <c r="O50" i="17"/>
  <c r="O49" i="17"/>
  <c r="O48" i="17"/>
  <c r="O47" i="17"/>
  <c r="O46" i="17"/>
  <c r="N43" i="17"/>
  <c r="O42" i="17"/>
  <c r="O41" i="17"/>
  <c r="O40" i="17"/>
  <c r="Q39" i="17"/>
  <c r="O39" i="17"/>
  <c r="O38" i="17"/>
  <c r="O37" i="17"/>
  <c r="O36" i="17"/>
  <c r="O35" i="17"/>
  <c r="O34" i="17"/>
  <c r="O33" i="17"/>
  <c r="O32" i="17"/>
  <c r="O31" i="17"/>
  <c r="O30" i="17"/>
  <c r="N27" i="17"/>
  <c r="O26" i="17"/>
  <c r="O25" i="17"/>
  <c r="O24" i="17"/>
  <c r="O23" i="17"/>
  <c r="O22" i="17"/>
  <c r="O21" i="17"/>
  <c r="N18" i="17"/>
  <c r="O17" i="17"/>
  <c r="O16" i="17"/>
  <c r="O15" i="17"/>
  <c r="O14" i="17"/>
  <c r="O13" i="17"/>
  <c r="O12" i="17"/>
  <c r="O11" i="17"/>
  <c r="O10" i="17"/>
  <c r="O9" i="17"/>
  <c r="O2" i="17"/>
  <c r="U60" i="17" l="1"/>
  <c r="U49" i="17"/>
  <c r="U38" i="17"/>
  <c r="U30" i="17"/>
  <c r="U16" i="17"/>
  <c r="U65" i="17"/>
  <c r="U10" i="17"/>
  <c r="AF25" i="17"/>
  <c r="AF15" i="17"/>
  <c r="AF11" i="17"/>
  <c r="U59" i="17"/>
  <c r="U48" i="17"/>
  <c r="U37" i="17"/>
  <c r="U26" i="17"/>
  <c r="U15" i="17"/>
  <c r="U58" i="17"/>
  <c r="U47" i="17"/>
  <c r="U36" i="17"/>
  <c r="U25" i="17"/>
  <c r="U14" i="17"/>
  <c r="U51" i="17"/>
  <c r="AF38" i="17"/>
  <c r="AF34" i="17"/>
  <c r="AF14" i="17"/>
  <c r="AF10" i="17"/>
  <c r="U54" i="17"/>
  <c r="U46" i="17"/>
  <c r="U35" i="17"/>
  <c r="U24" i="17"/>
  <c r="U13" i="17"/>
  <c r="U21" i="17"/>
  <c r="U67" i="17"/>
  <c r="U53" i="17"/>
  <c r="U42" i="17"/>
  <c r="U34" i="17"/>
  <c r="U23" i="17"/>
  <c r="U12" i="17"/>
  <c r="U32" i="17"/>
  <c r="AF41" i="17"/>
  <c r="AF37" i="17"/>
  <c r="AF17" i="17"/>
  <c r="AF13" i="17"/>
  <c r="U66" i="17"/>
  <c r="U52" i="17"/>
  <c r="U41" i="17"/>
  <c r="U33" i="17"/>
  <c r="U22" i="17"/>
  <c r="U11" i="17"/>
  <c r="U40" i="17"/>
  <c r="AF50" i="17"/>
  <c r="AF26" i="17"/>
  <c r="AF22" i="17"/>
  <c r="AF16" i="17"/>
  <c r="AF12" i="17"/>
  <c r="U61" i="17"/>
  <c r="U50" i="17"/>
  <c r="U39" i="17"/>
  <c r="U31" i="17"/>
  <c r="U17" i="17"/>
  <c r="U9" i="17"/>
  <c r="P33" i="17"/>
  <c r="P24" i="17"/>
  <c r="P65" i="17"/>
  <c r="P17" i="17"/>
  <c r="Q17" i="17" s="1"/>
  <c r="P16" i="17"/>
  <c r="Q16" i="17" s="1"/>
  <c r="P38" i="17"/>
  <c r="O62" i="17"/>
  <c r="P11" i="17"/>
  <c r="P10" i="17"/>
  <c r="Q10" i="17" s="1"/>
  <c r="P32" i="17"/>
  <c r="P37" i="17"/>
  <c r="P25" i="17"/>
  <c r="Q25" i="17" s="1"/>
  <c r="P66" i="17"/>
  <c r="Q66" i="17" s="1"/>
  <c r="P67" i="17"/>
  <c r="Q67" i="17" s="1"/>
  <c r="P49" i="17"/>
  <c r="P59" i="17"/>
  <c r="P46" i="17"/>
  <c r="P50" i="17"/>
  <c r="Q50" i="17" s="1"/>
  <c r="P51" i="17"/>
  <c r="P12" i="17"/>
  <c r="P39" i="17"/>
  <c r="P60" i="17"/>
  <c r="P13" i="17"/>
  <c r="Q13" i="17" s="1"/>
  <c r="P26" i="17"/>
  <c r="Q26" i="17" s="1"/>
  <c r="P34" i="17"/>
  <c r="P52" i="17"/>
  <c r="O18" i="17"/>
  <c r="P22" i="17"/>
  <c r="N71" i="17"/>
  <c r="N3" i="17" s="1"/>
  <c r="N4" i="17" s="1"/>
  <c r="P35" i="17"/>
  <c r="P47" i="17"/>
  <c r="P53" i="17"/>
  <c r="P61" i="17"/>
  <c r="P9" i="17"/>
  <c r="P15" i="17"/>
  <c r="Q15" i="17" s="1"/>
  <c r="P30" i="17"/>
  <c r="O55" i="17"/>
  <c r="O43" i="17"/>
  <c r="P36" i="17"/>
  <c r="P41" i="17"/>
  <c r="P48" i="17"/>
  <c r="O68" i="17"/>
  <c r="O27" i="17"/>
  <c r="P58" i="17"/>
  <c r="P31" i="17"/>
  <c r="P14" i="17"/>
  <c r="Q14" i="17" s="1"/>
  <c r="P21" i="17"/>
  <c r="P23" i="17"/>
  <c r="Q23" i="17" s="1"/>
  <c r="P40" i="17"/>
  <c r="P42" i="17"/>
  <c r="U18" i="17" l="1"/>
  <c r="U62" i="17"/>
  <c r="AE27" i="17"/>
  <c r="AE68" i="17"/>
  <c r="AE18" i="17"/>
  <c r="AF58" i="17"/>
  <c r="AE62" i="17"/>
  <c r="U68" i="17"/>
  <c r="U27" i="17"/>
  <c r="AE43" i="17"/>
  <c r="U43" i="17"/>
  <c r="AE55" i="17"/>
  <c r="U55" i="17"/>
  <c r="O71" i="17"/>
  <c r="O3" i="17" s="1"/>
  <c r="O4" i="17" s="1"/>
  <c r="U71" i="17" l="1"/>
  <c r="U3" i="17" s="1"/>
  <c r="J25" i="21" s="1"/>
  <c r="K25" i="21" s="1"/>
  <c r="AE71" i="17"/>
  <c r="AE3" i="17" s="1"/>
  <c r="D55" i="17"/>
  <c r="J7" i="21" l="1"/>
  <c r="K7" i="21" s="1"/>
  <c r="G27" i="18"/>
  <c r="HM2" i="17" s="1"/>
  <c r="G26" i="18"/>
  <c r="G25" i="18"/>
  <c r="HC2" i="17" s="1"/>
  <c r="G24" i="18"/>
  <c r="GT2" i="17" s="1"/>
  <c r="G23" i="18"/>
  <c r="R23" i="18" s="1"/>
  <c r="G22" i="18"/>
  <c r="G21" i="18"/>
  <c r="G20" i="18"/>
  <c r="FZ2" i="17" s="1"/>
  <c r="G19" i="18"/>
  <c r="G42" i="18"/>
  <c r="FK2" i="17" s="1"/>
  <c r="FN2" i="17" s="1"/>
  <c r="G30" i="18"/>
  <c r="FA2" i="17" s="1"/>
  <c r="G18" i="18"/>
  <c r="G17" i="18"/>
  <c r="G41" i="18"/>
  <c r="G16" i="18"/>
  <c r="G14" i="18"/>
  <c r="G13" i="18"/>
  <c r="G12" i="18"/>
  <c r="DN2" i="17" s="1"/>
  <c r="DN24" i="17" s="1"/>
  <c r="G11" i="18"/>
  <c r="DD2" i="17" s="1"/>
  <c r="G10" i="18"/>
  <c r="CT2" i="17" s="1"/>
  <c r="G9" i="18"/>
  <c r="CJ2" i="17" s="1"/>
  <c r="G8" i="18"/>
  <c r="BZ2" i="17" s="1"/>
  <c r="G7" i="18"/>
  <c r="BF2" i="17" s="1"/>
  <c r="G43" i="18"/>
  <c r="R43" i="18" s="1"/>
  <c r="G5" i="18"/>
  <c r="AB2" i="17" s="1"/>
  <c r="AB23" i="17" s="1"/>
  <c r="G39" i="18"/>
  <c r="R2" i="17" s="1"/>
  <c r="G4" i="18"/>
  <c r="GT26" i="17" l="1"/>
  <c r="GT35" i="17"/>
  <c r="GT59" i="17"/>
  <c r="GT24" i="17"/>
  <c r="FO2" i="17"/>
  <c r="FQ2" i="17"/>
  <c r="FR2" i="17" s="1"/>
  <c r="H2" i="17"/>
  <c r="H22" i="17" s="1"/>
  <c r="G37" i="18"/>
  <c r="G45" i="18" s="1"/>
  <c r="DW2" i="17"/>
  <c r="AB65" i="17"/>
  <c r="AB48" i="17"/>
  <c r="K6" i="20" s="1"/>
  <c r="L6" i="20" s="1"/>
  <c r="AB33" i="17"/>
  <c r="AC33" i="17" s="1"/>
  <c r="AF33" i="17" s="1"/>
  <c r="AB46" i="17"/>
  <c r="AB60" i="17"/>
  <c r="AC60" i="17" s="1"/>
  <c r="AF60" i="17" s="1"/>
  <c r="AB47" i="17"/>
  <c r="AC47" i="17" s="1"/>
  <c r="AF47" i="17" s="1"/>
  <c r="AB32" i="17"/>
  <c r="AC32" i="17" s="1"/>
  <c r="AF32" i="17" s="1"/>
  <c r="AB31" i="17"/>
  <c r="AC31" i="17" s="1"/>
  <c r="AF31" i="17" s="1"/>
  <c r="AB9" i="17"/>
  <c r="AC9" i="17" s="1"/>
  <c r="AF9" i="17" s="1"/>
  <c r="AB59" i="17"/>
  <c r="AC59" i="17" s="1"/>
  <c r="AF59" i="17" s="1"/>
  <c r="AB54" i="17"/>
  <c r="AC54" i="17" s="1"/>
  <c r="AF54" i="17" s="1"/>
  <c r="AB42" i="17"/>
  <c r="AC42" i="17" s="1"/>
  <c r="AF42" i="17" s="1"/>
  <c r="AB30" i="17"/>
  <c r="AB40" i="17"/>
  <c r="AC40" i="17" s="1"/>
  <c r="AF40" i="17" s="1"/>
  <c r="AB53" i="17"/>
  <c r="AC53" i="17" s="1"/>
  <c r="AF53" i="17" s="1"/>
  <c r="AB52" i="17"/>
  <c r="AC52" i="17" s="1"/>
  <c r="AF52" i="17" s="1"/>
  <c r="AB39" i="17"/>
  <c r="AC39" i="17" s="1"/>
  <c r="AF39" i="17" s="1"/>
  <c r="AB35" i="17"/>
  <c r="AC35" i="17" s="1"/>
  <c r="AF35" i="17" s="1"/>
  <c r="AB51" i="17"/>
  <c r="AC51" i="17" s="1"/>
  <c r="AF51" i="17" s="1"/>
  <c r="AB36" i="17"/>
  <c r="AC36" i="17" s="1"/>
  <c r="AF36" i="17" s="1"/>
  <c r="AB49" i="17"/>
  <c r="AC49" i="17" s="1"/>
  <c r="AF49" i="17" s="1"/>
  <c r="DD12" i="17"/>
  <c r="DE12" i="17" s="1"/>
  <c r="DH12" i="17" s="1"/>
  <c r="DD25" i="17"/>
  <c r="DE25" i="17" s="1"/>
  <c r="DH25" i="17" s="1"/>
  <c r="DD61" i="17"/>
  <c r="DE61" i="17" s="1"/>
  <c r="DH61" i="17" s="1"/>
  <c r="DD53" i="17"/>
  <c r="DE53" i="17" s="1"/>
  <c r="DH53" i="17" s="1"/>
  <c r="DD34" i="17"/>
  <c r="DE34" i="17" s="1"/>
  <c r="DH34" i="17" s="1"/>
  <c r="DD52" i="17"/>
  <c r="DE52" i="17" s="1"/>
  <c r="DH52" i="17" s="1"/>
  <c r="DD31" i="17"/>
  <c r="DE31" i="17" s="1"/>
  <c r="DH31" i="17" s="1"/>
  <c r="DD9" i="17"/>
  <c r="DD36" i="17"/>
  <c r="DE36" i="17" s="1"/>
  <c r="DH36" i="17" s="1"/>
  <c r="DD54" i="17"/>
  <c r="DE54" i="17" s="1"/>
  <c r="DH54" i="17" s="1"/>
  <c r="DD32" i="17"/>
  <c r="DE32" i="17" s="1"/>
  <c r="DH32" i="17" s="1"/>
  <c r="DD48" i="17"/>
  <c r="DE48" i="17" s="1"/>
  <c r="DH48" i="17" s="1"/>
  <c r="DD33" i="17"/>
  <c r="DE33" i="17" s="1"/>
  <c r="DH33" i="17" s="1"/>
  <c r="DD47" i="17"/>
  <c r="DE47" i="17" s="1"/>
  <c r="DH47" i="17" s="1"/>
  <c r="DD38" i="17"/>
  <c r="DE38" i="17" s="1"/>
  <c r="DH38" i="17" s="1"/>
  <c r="DD22" i="17"/>
  <c r="DE22" i="17" s="1"/>
  <c r="DH22" i="17" s="1"/>
  <c r="DD21" i="17"/>
  <c r="DD35" i="17"/>
  <c r="DE35" i="17" s="1"/>
  <c r="DH35" i="17" s="1"/>
  <c r="DD49" i="17"/>
  <c r="DE49" i="17" s="1"/>
  <c r="DH49" i="17" s="1"/>
  <c r="DD40" i="17"/>
  <c r="DE40" i="17" s="1"/>
  <c r="DH40" i="17" s="1"/>
  <c r="DD41" i="17"/>
  <c r="DE41" i="17" s="1"/>
  <c r="DH41" i="17" s="1"/>
  <c r="DD13" i="17"/>
  <c r="DE13" i="17" s="1"/>
  <c r="DH13" i="17" s="1"/>
  <c r="DD60" i="17"/>
  <c r="DE60" i="17" s="1"/>
  <c r="DH60" i="17" s="1"/>
  <c r="DD37" i="17"/>
  <c r="DE37" i="17" s="1"/>
  <c r="DH37" i="17" s="1"/>
  <c r="DD65" i="17"/>
  <c r="DD24" i="17"/>
  <c r="DE24" i="17" s="1"/>
  <c r="DH24" i="17" s="1"/>
  <c r="DD42" i="17"/>
  <c r="DE42" i="17" s="1"/>
  <c r="DH42" i="17" s="1"/>
  <c r="DE2" i="17"/>
  <c r="DD39" i="17"/>
  <c r="DE39" i="17" s="1"/>
  <c r="DH39" i="17" s="1"/>
  <c r="DD11" i="17"/>
  <c r="DE11" i="17" s="1"/>
  <c r="DH11" i="17" s="1"/>
  <c r="DD26" i="17"/>
  <c r="DE26" i="17" s="1"/>
  <c r="DH26" i="17" s="1"/>
  <c r="DD30" i="17"/>
  <c r="DD14" i="17"/>
  <c r="DE14" i="17" s="1"/>
  <c r="DH14" i="17" s="1"/>
  <c r="DD17" i="17"/>
  <c r="DE17" i="17" s="1"/>
  <c r="DH17" i="17" s="1"/>
  <c r="DD50" i="17"/>
  <c r="DE50" i="17" s="1"/>
  <c r="DH50" i="17" s="1"/>
  <c r="DD59" i="17"/>
  <c r="DE59" i="17" s="1"/>
  <c r="DH59" i="17" s="1"/>
  <c r="DD51" i="17"/>
  <c r="DE51" i="17" s="1"/>
  <c r="DH51" i="17" s="1"/>
  <c r="DD58" i="17"/>
  <c r="DD10" i="17"/>
  <c r="DE10" i="17" s="1"/>
  <c r="DH10" i="17" s="1"/>
  <c r="DD15" i="17"/>
  <c r="DE15" i="17" s="1"/>
  <c r="DH15" i="17" s="1"/>
  <c r="DD67" i="17"/>
  <c r="DE67" i="17" s="1"/>
  <c r="DH67" i="17" s="1"/>
  <c r="DD23" i="17"/>
  <c r="DE23" i="17" s="1"/>
  <c r="DH23" i="17" s="1"/>
  <c r="DD16" i="17"/>
  <c r="DE16" i="17" s="1"/>
  <c r="DH16" i="17" s="1"/>
  <c r="DD66" i="17"/>
  <c r="DE66" i="17" s="1"/>
  <c r="DH66" i="17" s="1"/>
  <c r="DD46" i="17"/>
  <c r="HC60" i="17"/>
  <c r="HD60" i="17" s="1"/>
  <c r="HG60" i="17" s="1"/>
  <c r="HC46" i="17"/>
  <c r="HC48" i="17"/>
  <c r="HC12" i="17"/>
  <c r="HD12" i="17" s="1"/>
  <c r="HG12" i="17" s="1"/>
  <c r="HC39" i="17"/>
  <c r="HD39" i="17" s="1"/>
  <c r="HG39" i="17" s="1"/>
  <c r="HC21" i="17"/>
  <c r="HD21" i="17" s="1"/>
  <c r="HG21" i="17" s="1"/>
  <c r="HC36" i="17"/>
  <c r="HD36" i="17" s="1"/>
  <c r="HG36" i="17" s="1"/>
  <c r="HC52" i="17"/>
  <c r="HD52" i="17" s="1"/>
  <c r="HG52" i="17" s="1"/>
  <c r="HC41" i="17"/>
  <c r="HD41" i="17" s="1"/>
  <c r="HG41" i="17" s="1"/>
  <c r="HC10" i="17"/>
  <c r="HD10" i="17" s="1"/>
  <c r="HG10" i="17" s="1"/>
  <c r="HC35" i="17"/>
  <c r="HD35" i="17" s="1"/>
  <c r="HG35" i="17" s="1"/>
  <c r="HC66" i="17"/>
  <c r="HD66" i="17" s="1"/>
  <c r="HG66" i="17" s="1"/>
  <c r="HC58" i="17"/>
  <c r="HD58" i="17" s="1"/>
  <c r="HG58" i="17" s="1"/>
  <c r="HC51" i="17"/>
  <c r="HD51" i="17" s="1"/>
  <c r="HG51" i="17" s="1"/>
  <c r="HC59" i="17"/>
  <c r="HD59" i="17" s="1"/>
  <c r="HG59" i="17" s="1"/>
  <c r="HC34" i="17"/>
  <c r="HD34" i="17" s="1"/>
  <c r="HG34" i="17" s="1"/>
  <c r="HC33" i="17"/>
  <c r="HD33" i="17" s="1"/>
  <c r="HG33" i="17" s="1"/>
  <c r="HC11" i="17"/>
  <c r="HD11" i="17" s="1"/>
  <c r="HG11" i="17" s="1"/>
  <c r="HC13" i="17"/>
  <c r="HD13" i="17" s="1"/>
  <c r="HG13" i="17" s="1"/>
  <c r="HC54" i="17"/>
  <c r="HD54" i="17" s="1"/>
  <c r="HG54" i="17" s="1"/>
  <c r="HC65" i="17"/>
  <c r="HD65" i="17" s="1"/>
  <c r="HG65" i="17" s="1"/>
  <c r="HC24" i="17"/>
  <c r="HD24" i="17" s="1"/>
  <c r="HG24" i="17" s="1"/>
  <c r="HC32" i="17"/>
  <c r="HD32" i="17" s="1"/>
  <c r="HG32" i="17" s="1"/>
  <c r="HC14" i="17"/>
  <c r="HD14" i="17" s="1"/>
  <c r="HG14" i="17" s="1"/>
  <c r="HD2" i="17"/>
  <c r="HC49" i="17"/>
  <c r="HD49" i="17" s="1"/>
  <c r="HG49" i="17" s="1"/>
  <c r="HC37" i="17"/>
  <c r="HD37" i="17" s="1"/>
  <c r="HG37" i="17" s="1"/>
  <c r="HC47" i="17"/>
  <c r="HD47" i="17" s="1"/>
  <c r="HG47" i="17" s="1"/>
  <c r="HC40" i="17"/>
  <c r="HD40" i="17" s="1"/>
  <c r="HG40" i="17" s="1"/>
  <c r="HC15" i="17"/>
  <c r="HD15" i="17" s="1"/>
  <c r="HG15" i="17" s="1"/>
  <c r="HC16" i="17"/>
  <c r="HD16" i="17" s="1"/>
  <c r="HG16" i="17" s="1"/>
  <c r="HC17" i="17"/>
  <c r="HD17" i="17" s="1"/>
  <c r="HG17" i="17" s="1"/>
  <c r="HC9" i="17"/>
  <c r="HC30" i="17"/>
  <c r="HC42" i="17"/>
  <c r="HD42" i="17" s="1"/>
  <c r="HG42" i="17" s="1"/>
  <c r="HC31" i="17"/>
  <c r="HD31" i="17" s="1"/>
  <c r="HG31" i="17" s="1"/>
  <c r="HC38" i="17"/>
  <c r="HD38" i="17" s="1"/>
  <c r="HG38" i="17" s="1"/>
  <c r="HC53" i="17"/>
  <c r="HD53" i="17" s="1"/>
  <c r="HG53" i="17" s="1"/>
  <c r="HC50" i="17"/>
  <c r="HD50" i="17" s="1"/>
  <c r="HG50" i="17" s="1"/>
  <c r="DX25" i="17"/>
  <c r="DX22" i="17"/>
  <c r="DX37" i="17"/>
  <c r="DX34" i="17"/>
  <c r="DX26" i="17"/>
  <c r="DX39" i="17"/>
  <c r="DX41" i="17"/>
  <c r="DX38" i="17"/>
  <c r="DX42" i="17"/>
  <c r="FK33" i="17"/>
  <c r="FQ9" i="17"/>
  <c r="FT9" i="17" s="1"/>
  <c r="FK21" i="17"/>
  <c r="FK39" i="17"/>
  <c r="FK40" i="17"/>
  <c r="FK54" i="17"/>
  <c r="FQ54" i="17" s="1"/>
  <c r="FL2" i="17"/>
  <c r="FK42" i="17"/>
  <c r="FK11" i="17"/>
  <c r="FQ11" i="17" s="1"/>
  <c r="FZ48" i="17"/>
  <c r="GA48" i="17" s="1"/>
  <c r="GD48" i="17" s="1"/>
  <c r="FZ12" i="17"/>
  <c r="GA12" i="17" s="1"/>
  <c r="GD12" i="17" s="1"/>
  <c r="FZ9" i="17"/>
  <c r="FZ33" i="17"/>
  <c r="GA33" i="17" s="1"/>
  <c r="GD33" i="17" s="1"/>
  <c r="FZ47" i="17"/>
  <c r="GA47" i="17" s="1"/>
  <c r="GD47" i="17" s="1"/>
  <c r="FZ53" i="17"/>
  <c r="GA53" i="17" s="1"/>
  <c r="GD53" i="17" s="1"/>
  <c r="FZ32" i="17"/>
  <c r="GA32" i="17" s="1"/>
  <c r="GD32" i="17" s="1"/>
  <c r="FZ17" i="17"/>
  <c r="GA17" i="17" s="1"/>
  <c r="GD17" i="17" s="1"/>
  <c r="FZ15" i="17"/>
  <c r="GA15" i="17" s="1"/>
  <c r="GD15" i="17" s="1"/>
  <c r="FZ35" i="17"/>
  <c r="GA35" i="17" s="1"/>
  <c r="GD35" i="17" s="1"/>
  <c r="FZ49" i="17"/>
  <c r="GA49" i="17" s="1"/>
  <c r="GD49" i="17" s="1"/>
  <c r="FZ34" i="17"/>
  <c r="GA34" i="17" s="1"/>
  <c r="GD34" i="17" s="1"/>
  <c r="GA2" i="17"/>
  <c r="FZ13" i="17"/>
  <c r="GA13" i="17" s="1"/>
  <c r="GD13" i="17" s="1"/>
  <c r="FZ21" i="17"/>
  <c r="FZ37" i="17"/>
  <c r="GA37" i="17" s="1"/>
  <c r="GD37" i="17" s="1"/>
  <c r="FZ36" i="17"/>
  <c r="GA36" i="17" s="1"/>
  <c r="GD36" i="17" s="1"/>
  <c r="FZ59" i="17"/>
  <c r="GA59" i="17" s="1"/>
  <c r="GD59" i="17" s="1"/>
  <c r="FZ42" i="17"/>
  <c r="GA42" i="17" s="1"/>
  <c r="GD42" i="17" s="1"/>
  <c r="FZ61" i="17"/>
  <c r="GA61" i="17" s="1"/>
  <c r="GD61" i="17" s="1"/>
  <c r="FZ26" i="17"/>
  <c r="GA26" i="17" s="1"/>
  <c r="GD26" i="17" s="1"/>
  <c r="FZ67" i="17"/>
  <c r="GA67" i="17" s="1"/>
  <c r="GD67" i="17" s="1"/>
  <c r="FZ52" i="17"/>
  <c r="GA52" i="17" s="1"/>
  <c r="GD52" i="17" s="1"/>
  <c r="FZ39" i="17"/>
  <c r="GA39" i="17" s="1"/>
  <c r="GD39" i="17" s="1"/>
  <c r="FZ38" i="17"/>
  <c r="GA38" i="17" s="1"/>
  <c r="GD38" i="17" s="1"/>
  <c r="FZ14" i="17"/>
  <c r="GA14" i="17" s="1"/>
  <c r="GD14" i="17" s="1"/>
  <c r="FZ11" i="17"/>
  <c r="GA11" i="17" s="1"/>
  <c r="GD11" i="17" s="1"/>
  <c r="FZ25" i="17"/>
  <c r="GA25" i="17" s="1"/>
  <c r="GD25" i="17" s="1"/>
  <c r="FZ41" i="17"/>
  <c r="GA41" i="17" s="1"/>
  <c r="GD41" i="17" s="1"/>
  <c r="FZ65" i="17"/>
  <c r="FZ40" i="17"/>
  <c r="GA40" i="17" s="1"/>
  <c r="GD40" i="17" s="1"/>
  <c r="FZ24" i="17"/>
  <c r="GA24" i="17" s="1"/>
  <c r="GD24" i="17" s="1"/>
  <c r="FZ50" i="17"/>
  <c r="GA50" i="17" s="1"/>
  <c r="GD50" i="17" s="1"/>
  <c r="FZ22" i="17"/>
  <c r="GA22" i="17" s="1"/>
  <c r="GD22" i="17" s="1"/>
  <c r="FZ54" i="17"/>
  <c r="GA54" i="17" s="1"/>
  <c r="GD54" i="17" s="1"/>
  <c r="FZ23" i="17"/>
  <c r="GA23" i="17" s="1"/>
  <c r="GD23" i="17" s="1"/>
  <c r="FZ60" i="17"/>
  <c r="GA60" i="17" s="1"/>
  <c r="GD60" i="17" s="1"/>
  <c r="FZ31" i="17"/>
  <c r="GA31" i="17" s="1"/>
  <c r="GD31" i="17" s="1"/>
  <c r="FZ51" i="17"/>
  <c r="GA51" i="17" s="1"/>
  <c r="GD51" i="17" s="1"/>
  <c r="FZ30" i="17"/>
  <c r="FZ58" i="17"/>
  <c r="FZ16" i="17"/>
  <c r="GA16" i="17" s="1"/>
  <c r="GD16" i="17" s="1"/>
  <c r="FZ66" i="17"/>
  <c r="GA66" i="17" s="1"/>
  <c r="GD66" i="17" s="1"/>
  <c r="FZ10" i="17"/>
  <c r="GA10" i="17" s="1"/>
  <c r="GD10" i="17" s="1"/>
  <c r="FZ46" i="17"/>
  <c r="GU2" i="17"/>
  <c r="GW9" i="17"/>
  <c r="BF60" i="17"/>
  <c r="BG60" i="17" s="1"/>
  <c r="BJ60" i="17" s="1"/>
  <c r="BF32" i="17"/>
  <c r="BG32" i="17" s="1"/>
  <c r="BJ32" i="17" s="1"/>
  <c r="BF52" i="17"/>
  <c r="BG52" i="17" s="1"/>
  <c r="BJ52" i="17" s="1"/>
  <c r="BF30" i="17"/>
  <c r="BF22" i="17"/>
  <c r="BG22" i="17" s="1"/>
  <c r="BJ22" i="17" s="1"/>
  <c r="BF9" i="17"/>
  <c r="BF17" i="17"/>
  <c r="BG17" i="17" s="1"/>
  <c r="BJ17" i="17" s="1"/>
  <c r="BF15" i="17"/>
  <c r="BG15" i="17" s="1"/>
  <c r="BJ15" i="17" s="1"/>
  <c r="BF65" i="17"/>
  <c r="BF46" i="17"/>
  <c r="BF34" i="17"/>
  <c r="BG34" i="17" s="1"/>
  <c r="BJ34" i="17" s="1"/>
  <c r="BG2" i="17"/>
  <c r="BF66" i="17"/>
  <c r="BG66" i="17" s="1"/>
  <c r="BJ66" i="17" s="1"/>
  <c r="BF61" i="17"/>
  <c r="BG61" i="17" s="1"/>
  <c r="BJ61" i="17" s="1"/>
  <c r="BF16" i="17"/>
  <c r="BG16" i="17" s="1"/>
  <c r="BJ16" i="17" s="1"/>
  <c r="BF50" i="17"/>
  <c r="BG50" i="17" s="1"/>
  <c r="BJ50" i="17" s="1"/>
  <c r="BF38" i="17"/>
  <c r="BG38" i="17" s="1"/>
  <c r="BJ38" i="17" s="1"/>
  <c r="BF25" i="17"/>
  <c r="BG25" i="17" s="1"/>
  <c r="BJ25" i="17" s="1"/>
  <c r="BF49" i="17"/>
  <c r="BG49" i="17" s="1"/>
  <c r="BJ49" i="17" s="1"/>
  <c r="BF26" i="17"/>
  <c r="BG26" i="17" s="1"/>
  <c r="BJ26" i="17" s="1"/>
  <c r="BF39" i="17"/>
  <c r="BG39" i="17" s="1"/>
  <c r="BJ39" i="17" s="1"/>
  <c r="BF33" i="17"/>
  <c r="BG33" i="17" s="1"/>
  <c r="BJ33" i="17" s="1"/>
  <c r="BF12" i="17"/>
  <c r="BG12" i="17" s="1"/>
  <c r="BJ12" i="17" s="1"/>
  <c r="BF42" i="17"/>
  <c r="BG42" i="17" s="1"/>
  <c r="BJ42" i="17" s="1"/>
  <c r="BF48" i="17"/>
  <c r="BF11" i="17"/>
  <c r="BG11" i="17" s="1"/>
  <c r="BJ11" i="17" s="1"/>
  <c r="BF37" i="17"/>
  <c r="BG37" i="17" s="1"/>
  <c r="BJ37" i="17" s="1"/>
  <c r="BF21" i="17"/>
  <c r="BF54" i="17"/>
  <c r="BG54" i="17" s="1"/>
  <c r="BJ54" i="17" s="1"/>
  <c r="BF47" i="17"/>
  <c r="BG47" i="17" s="1"/>
  <c r="BJ47" i="17" s="1"/>
  <c r="BF51" i="17"/>
  <c r="BG51" i="17" s="1"/>
  <c r="BJ51" i="17" s="1"/>
  <c r="BF24" i="17"/>
  <c r="BG24" i="17" s="1"/>
  <c r="BJ24" i="17" s="1"/>
  <c r="BF53" i="17"/>
  <c r="BG53" i="17" s="1"/>
  <c r="BJ53" i="17" s="1"/>
  <c r="BF41" i="17"/>
  <c r="BG41" i="17" s="1"/>
  <c r="BJ41" i="17" s="1"/>
  <c r="BF36" i="17"/>
  <c r="BG36" i="17" s="1"/>
  <c r="BJ36" i="17" s="1"/>
  <c r="BF35" i="17"/>
  <c r="BG35" i="17" s="1"/>
  <c r="BJ35" i="17" s="1"/>
  <c r="BF40" i="17"/>
  <c r="BG40" i="17" s="1"/>
  <c r="BJ40" i="17" s="1"/>
  <c r="BF58" i="17"/>
  <c r="BF31" i="17"/>
  <c r="BG31" i="17" s="1"/>
  <c r="BJ31" i="17" s="1"/>
  <c r="BF59" i="17"/>
  <c r="BG59" i="17" s="1"/>
  <c r="BJ59" i="17" s="1"/>
  <c r="BF14" i="17"/>
  <c r="BG14" i="17" s="1"/>
  <c r="BJ14" i="17" s="1"/>
  <c r="BF13" i="17"/>
  <c r="BG13" i="17" s="1"/>
  <c r="BJ13" i="17" s="1"/>
  <c r="BF67" i="17"/>
  <c r="BG67" i="17" s="1"/>
  <c r="BJ67" i="17" s="1"/>
  <c r="BF23" i="17"/>
  <c r="BG23" i="17" s="1"/>
  <c r="BJ23" i="17" s="1"/>
  <c r="BF10" i="17"/>
  <c r="BG10" i="17" s="1"/>
  <c r="BJ10" i="17" s="1"/>
  <c r="EQ2" i="17"/>
  <c r="EG2" i="17"/>
  <c r="CT65" i="17"/>
  <c r="CT67" i="17"/>
  <c r="CU67" i="17" s="1"/>
  <c r="CX67" i="17" s="1"/>
  <c r="CT66" i="17"/>
  <c r="CU66" i="17" s="1"/>
  <c r="CX66" i="17" s="1"/>
  <c r="CT32" i="17"/>
  <c r="CU32" i="17" s="1"/>
  <c r="CX32" i="17" s="1"/>
  <c r="CT52" i="17"/>
  <c r="CU52" i="17" s="1"/>
  <c r="CX52" i="17" s="1"/>
  <c r="CT59" i="17"/>
  <c r="CU59" i="17" s="1"/>
  <c r="CX59" i="17" s="1"/>
  <c r="CT49" i="17"/>
  <c r="CU49" i="17" s="1"/>
  <c r="CX49" i="17" s="1"/>
  <c r="CT47" i="17"/>
  <c r="CU47" i="17" s="1"/>
  <c r="CX47" i="17" s="1"/>
  <c r="CT41" i="17"/>
  <c r="CU41" i="17" s="1"/>
  <c r="CX41" i="17" s="1"/>
  <c r="CT23" i="17"/>
  <c r="CU23" i="17" s="1"/>
  <c r="CX23" i="17" s="1"/>
  <c r="CT34" i="17"/>
  <c r="CU34" i="17" s="1"/>
  <c r="CX34" i="17" s="1"/>
  <c r="CT25" i="17"/>
  <c r="CU25" i="17" s="1"/>
  <c r="CX25" i="17" s="1"/>
  <c r="CT61" i="17"/>
  <c r="CU61" i="17" s="1"/>
  <c r="CX61" i="17" s="1"/>
  <c r="CT11" i="17"/>
  <c r="CU11" i="17" s="1"/>
  <c r="CX11" i="17" s="1"/>
  <c r="CT60" i="17"/>
  <c r="CU60" i="17" s="1"/>
  <c r="CX60" i="17" s="1"/>
  <c r="CT9" i="17"/>
  <c r="CT14" i="17"/>
  <c r="CU14" i="17" s="1"/>
  <c r="CX14" i="17" s="1"/>
  <c r="CT40" i="17"/>
  <c r="CU40" i="17" s="1"/>
  <c r="CX40" i="17" s="1"/>
  <c r="CT31" i="17"/>
  <c r="CU31" i="17" s="1"/>
  <c r="CX31" i="17" s="1"/>
  <c r="CT26" i="17"/>
  <c r="CU26" i="17" s="1"/>
  <c r="CX26" i="17" s="1"/>
  <c r="CT22" i="17"/>
  <c r="CU22" i="17" s="1"/>
  <c r="CX22" i="17" s="1"/>
  <c r="CT48" i="17"/>
  <c r="CU48" i="17" s="1"/>
  <c r="CX48" i="17" s="1"/>
  <c r="CT17" i="17"/>
  <c r="CU17" i="17" s="1"/>
  <c r="CX17" i="17" s="1"/>
  <c r="CT24" i="17"/>
  <c r="CU24" i="17" s="1"/>
  <c r="CX24" i="17" s="1"/>
  <c r="CT15" i="17"/>
  <c r="CU15" i="17" s="1"/>
  <c r="CX15" i="17" s="1"/>
  <c r="CT46" i="17"/>
  <c r="CT54" i="17"/>
  <c r="CU54" i="17" s="1"/>
  <c r="CX54" i="17" s="1"/>
  <c r="CT33" i="17"/>
  <c r="CU33" i="17" s="1"/>
  <c r="CX33" i="17" s="1"/>
  <c r="CT36" i="17"/>
  <c r="CU36" i="17" s="1"/>
  <c r="CX36" i="17" s="1"/>
  <c r="CT51" i="17"/>
  <c r="CU51" i="17" s="1"/>
  <c r="CX51" i="17" s="1"/>
  <c r="CT53" i="17"/>
  <c r="CU53" i="17" s="1"/>
  <c r="CX53" i="17" s="1"/>
  <c r="CT12" i="17"/>
  <c r="CU12" i="17" s="1"/>
  <c r="CX12" i="17" s="1"/>
  <c r="CU2" i="17"/>
  <c r="CT50" i="17"/>
  <c r="CU50" i="17" s="1"/>
  <c r="CX50" i="17" s="1"/>
  <c r="CT30" i="17"/>
  <c r="CT35" i="17"/>
  <c r="CU35" i="17" s="1"/>
  <c r="CX35" i="17" s="1"/>
  <c r="CT42" i="17"/>
  <c r="CU42" i="17" s="1"/>
  <c r="CX42" i="17" s="1"/>
  <c r="CT39" i="17"/>
  <c r="CU39" i="17" s="1"/>
  <c r="CX39" i="17" s="1"/>
  <c r="CT21" i="17"/>
  <c r="CT13" i="17"/>
  <c r="CU13" i="17" s="1"/>
  <c r="CX13" i="17" s="1"/>
  <c r="CT38" i="17"/>
  <c r="CU38" i="17" s="1"/>
  <c r="CX38" i="17" s="1"/>
  <c r="CT37" i="17"/>
  <c r="CU37" i="17" s="1"/>
  <c r="CX37" i="17" s="1"/>
  <c r="CT58" i="17"/>
  <c r="CT10" i="17"/>
  <c r="CU10" i="17" s="1"/>
  <c r="CX10" i="17" s="1"/>
  <c r="CT16" i="17"/>
  <c r="CU16" i="17" s="1"/>
  <c r="CX16" i="17" s="1"/>
  <c r="R61" i="17"/>
  <c r="S61" i="17" s="1"/>
  <c r="V61" i="17" s="1"/>
  <c r="R31" i="17"/>
  <c r="S31" i="17" s="1"/>
  <c r="V31" i="17" s="1"/>
  <c r="R42" i="17"/>
  <c r="S42" i="17" s="1"/>
  <c r="V42" i="17" s="1"/>
  <c r="R48" i="17"/>
  <c r="R54" i="17"/>
  <c r="S54" i="17" s="1"/>
  <c r="V54" i="17" s="1"/>
  <c r="R22" i="17"/>
  <c r="S22" i="17" s="1"/>
  <c r="V22" i="17" s="1"/>
  <c r="R32" i="17"/>
  <c r="S32" i="17" s="1"/>
  <c r="V32" i="17" s="1"/>
  <c r="R60" i="17"/>
  <c r="S60" i="17" s="1"/>
  <c r="V60" i="17" s="1"/>
  <c r="R37" i="17"/>
  <c r="S37" i="17" s="1"/>
  <c r="V37" i="17" s="1"/>
  <c r="R9" i="17"/>
  <c r="R65" i="17"/>
  <c r="R58" i="17"/>
  <c r="R30" i="17"/>
  <c r="R24" i="17"/>
  <c r="S24" i="17" s="1"/>
  <c r="V24" i="17" s="1"/>
  <c r="R21" i="17"/>
  <c r="R38" i="17"/>
  <c r="S38" i="17" s="1"/>
  <c r="V38" i="17" s="1"/>
  <c r="R53" i="17"/>
  <c r="S53" i="17" s="1"/>
  <c r="V53" i="17" s="1"/>
  <c r="R51" i="17"/>
  <c r="S51" i="17" s="1"/>
  <c r="V51" i="17" s="1"/>
  <c r="R59" i="17"/>
  <c r="S59" i="17" s="1"/>
  <c r="V59" i="17" s="1"/>
  <c r="R33" i="17"/>
  <c r="S33" i="17" s="1"/>
  <c r="V33" i="17" s="1"/>
  <c r="R66" i="17"/>
  <c r="S66" i="17" s="1"/>
  <c r="V66" i="17" s="1"/>
  <c r="R39" i="17"/>
  <c r="S39" i="17" s="1"/>
  <c r="V39" i="17" s="1"/>
  <c r="S2" i="17"/>
  <c r="R11" i="17"/>
  <c r="S11" i="17" s="1"/>
  <c r="V11" i="17" s="1"/>
  <c r="R34" i="17"/>
  <c r="S34" i="17" s="1"/>
  <c r="V34" i="17" s="1"/>
  <c r="R40" i="17"/>
  <c r="S40" i="17" s="1"/>
  <c r="V40" i="17" s="1"/>
  <c r="R49" i="17"/>
  <c r="S49" i="17" s="1"/>
  <c r="V49" i="17" s="1"/>
  <c r="R12" i="17"/>
  <c r="S12" i="17" s="1"/>
  <c r="V12" i="17" s="1"/>
  <c r="R35" i="17"/>
  <c r="S35" i="17" s="1"/>
  <c r="V35" i="17" s="1"/>
  <c r="R36" i="17"/>
  <c r="S36" i="17" s="1"/>
  <c r="V36" i="17" s="1"/>
  <c r="R41" i="17"/>
  <c r="S41" i="17" s="1"/>
  <c r="V41" i="17" s="1"/>
  <c r="R14" i="17"/>
  <c r="S14" i="17" s="1"/>
  <c r="V14" i="17" s="1"/>
  <c r="R67" i="17"/>
  <c r="S67" i="17" s="1"/>
  <c r="V67" i="17" s="1"/>
  <c r="R16" i="17"/>
  <c r="S16" i="17" s="1"/>
  <c r="V16" i="17" s="1"/>
  <c r="R52" i="17"/>
  <c r="S52" i="17" s="1"/>
  <c r="V52" i="17" s="1"/>
  <c r="R25" i="17"/>
  <c r="S25" i="17" s="1"/>
  <c r="V25" i="17" s="1"/>
  <c r="R47" i="17"/>
  <c r="S47" i="17" s="1"/>
  <c r="V47" i="17" s="1"/>
  <c r="R50" i="17"/>
  <c r="S50" i="17" s="1"/>
  <c r="V50" i="17" s="1"/>
  <c r="R23" i="17"/>
  <c r="S23" i="17" s="1"/>
  <c r="V23" i="17" s="1"/>
  <c r="R17" i="17"/>
  <c r="S17" i="17" s="1"/>
  <c r="V17" i="17" s="1"/>
  <c r="R10" i="17"/>
  <c r="S10" i="17" s="1"/>
  <c r="V10" i="17" s="1"/>
  <c r="R13" i="17"/>
  <c r="S13" i="17" s="1"/>
  <c r="V13" i="17" s="1"/>
  <c r="R15" i="17"/>
  <c r="S15" i="17" s="1"/>
  <c r="V15" i="17" s="1"/>
  <c r="R26" i="17"/>
  <c r="S26" i="17" s="1"/>
  <c r="V26" i="17" s="1"/>
  <c r="R46" i="17"/>
  <c r="DQ58" i="17"/>
  <c r="DQ11" i="17"/>
  <c r="DQ21" i="17"/>
  <c r="DO2" i="17"/>
  <c r="DQ31" i="17"/>
  <c r="DQ12" i="17"/>
  <c r="DQ53" i="17"/>
  <c r="DQ49" i="17"/>
  <c r="DQ42" i="17"/>
  <c r="DQ32" i="17"/>
  <c r="DN65" i="17"/>
  <c r="DQ65" i="17" s="1"/>
  <c r="DQ14" i="17"/>
  <c r="DQ10" i="17"/>
  <c r="DQ40" i="17"/>
  <c r="DQ34" i="17"/>
  <c r="DQ30" i="17"/>
  <c r="DQ23" i="17"/>
  <c r="DQ36" i="17"/>
  <c r="DQ9" i="17"/>
  <c r="DQ38" i="17"/>
  <c r="DQ33" i="17"/>
  <c r="DQ54" i="17"/>
  <c r="DQ37" i="17"/>
  <c r="DQ41" i="17"/>
  <c r="DN66" i="17"/>
  <c r="DQ66" i="17" s="1"/>
  <c r="DQ39" i="17"/>
  <c r="DQ17" i="17"/>
  <c r="DQ46" i="17"/>
  <c r="DQ15" i="17"/>
  <c r="DQ48" i="17"/>
  <c r="DQ51" i="17"/>
  <c r="DN67" i="17"/>
  <c r="DQ67" i="17" s="1"/>
  <c r="DQ25" i="17"/>
  <c r="DQ16" i="17"/>
  <c r="DQ47" i="17"/>
  <c r="DQ13" i="17"/>
  <c r="DQ52" i="17"/>
  <c r="DQ22" i="17"/>
  <c r="DQ60" i="17"/>
  <c r="DQ50" i="17"/>
  <c r="AL33" i="17"/>
  <c r="AM33" i="17" s="1"/>
  <c r="AP33" i="17" s="1"/>
  <c r="AL17" i="17"/>
  <c r="AM17" i="17" s="1"/>
  <c r="AL54" i="17"/>
  <c r="AM54" i="17" s="1"/>
  <c r="AL51" i="17"/>
  <c r="AM51" i="17" s="1"/>
  <c r="AL30" i="17"/>
  <c r="AL58" i="17"/>
  <c r="AL52" i="17"/>
  <c r="AM52" i="17" s="1"/>
  <c r="AL34" i="17"/>
  <c r="AM34" i="17" s="1"/>
  <c r="AL32" i="17"/>
  <c r="AM32" i="17" s="1"/>
  <c r="AP32" i="17" s="1"/>
  <c r="AL40" i="17"/>
  <c r="AM40" i="17" s="1"/>
  <c r="AP40" i="17" s="1"/>
  <c r="AL11" i="17"/>
  <c r="AM11" i="17" s="1"/>
  <c r="AL49" i="17"/>
  <c r="AM49" i="17" s="1"/>
  <c r="AL22" i="17"/>
  <c r="AM22" i="17" s="1"/>
  <c r="AL41" i="17"/>
  <c r="AM41" i="17" s="1"/>
  <c r="AL39" i="17"/>
  <c r="AM39" i="17" s="1"/>
  <c r="AP39" i="17" s="1"/>
  <c r="AL12" i="17"/>
  <c r="AM12" i="17" s="1"/>
  <c r="AL38" i="17"/>
  <c r="AM38" i="17" s="1"/>
  <c r="AP38" i="17" s="1"/>
  <c r="AL53" i="17"/>
  <c r="AM53" i="17" s="1"/>
  <c r="AL37" i="17"/>
  <c r="AM37" i="17" s="1"/>
  <c r="AM2" i="17"/>
  <c r="AL36" i="17"/>
  <c r="AM36" i="17" s="1"/>
  <c r="AP36" i="17" s="1"/>
  <c r="AL24" i="17"/>
  <c r="AM24" i="17" s="1"/>
  <c r="AP24" i="17" s="1"/>
  <c r="AL13" i="17"/>
  <c r="AM13" i="17" s="1"/>
  <c r="AL31" i="17"/>
  <c r="AM31" i="17" s="1"/>
  <c r="AP31" i="17" s="1"/>
  <c r="AL59" i="17"/>
  <c r="AM59" i="17" s="1"/>
  <c r="AL61" i="17"/>
  <c r="AM61" i="17" s="1"/>
  <c r="AL65" i="17"/>
  <c r="AL35" i="17"/>
  <c r="AM35" i="17" s="1"/>
  <c r="AP35" i="17" s="1"/>
  <c r="AL42" i="17"/>
  <c r="AM42" i="17" s="1"/>
  <c r="AP42" i="17" s="1"/>
  <c r="AL9" i="17"/>
  <c r="AL47" i="17"/>
  <c r="AM47" i="17" s="1"/>
  <c r="AL21" i="17"/>
  <c r="AL48" i="17"/>
  <c r="AL60" i="17"/>
  <c r="AM60" i="17" s="1"/>
  <c r="AL14" i="17"/>
  <c r="AM14" i="17" s="1"/>
  <c r="AL66" i="17"/>
  <c r="AM66" i="17" s="1"/>
  <c r="AL46" i="17"/>
  <c r="AL10" i="17"/>
  <c r="AM10" i="17" s="1"/>
  <c r="AL16" i="17"/>
  <c r="AM16" i="17" s="1"/>
  <c r="AL26" i="17"/>
  <c r="AM26" i="17" s="1"/>
  <c r="AL23" i="17"/>
  <c r="AM23" i="17" s="1"/>
  <c r="AP23" i="17" s="1"/>
  <c r="AL25" i="17"/>
  <c r="AM25" i="17" s="1"/>
  <c r="AL67" i="17"/>
  <c r="AM67" i="17" s="1"/>
  <c r="AL50" i="17"/>
  <c r="AM50" i="17" s="1"/>
  <c r="AL15" i="17"/>
  <c r="AM15" i="17" s="1"/>
  <c r="BZ61" i="17"/>
  <c r="CA61" i="17" s="1"/>
  <c r="CD61" i="17" s="1"/>
  <c r="BZ30" i="17"/>
  <c r="BZ51" i="17"/>
  <c r="CA51" i="17" s="1"/>
  <c r="CD51" i="17" s="1"/>
  <c r="BZ24" i="17"/>
  <c r="CA24" i="17" s="1"/>
  <c r="CD24" i="17" s="1"/>
  <c r="BZ42" i="17"/>
  <c r="CA42" i="17" s="1"/>
  <c r="CD42" i="17" s="1"/>
  <c r="BZ12" i="17"/>
  <c r="CA12" i="17" s="1"/>
  <c r="CD12" i="17" s="1"/>
  <c r="BZ41" i="17"/>
  <c r="CA41" i="17" s="1"/>
  <c r="CD41" i="17" s="1"/>
  <c r="BZ9" i="17"/>
  <c r="BZ38" i="17"/>
  <c r="CA38" i="17" s="1"/>
  <c r="CD38" i="17" s="1"/>
  <c r="BZ47" i="17"/>
  <c r="CA47" i="17" s="1"/>
  <c r="CD47" i="17" s="1"/>
  <c r="BZ37" i="17"/>
  <c r="CA37" i="17" s="1"/>
  <c r="CD37" i="17" s="1"/>
  <c r="BZ34" i="17"/>
  <c r="CA34" i="17" s="1"/>
  <c r="CD34" i="17" s="1"/>
  <c r="BZ33" i="17"/>
  <c r="CA33" i="17" s="1"/>
  <c r="CD33" i="17" s="1"/>
  <c r="BZ14" i="17"/>
  <c r="CA14" i="17" s="1"/>
  <c r="CD14" i="17" s="1"/>
  <c r="CA2" i="17"/>
  <c r="BZ21" i="17"/>
  <c r="BZ48" i="17"/>
  <c r="CA48" i="17" s="1"/>
  <c r="CD48" i="17" s="1"/>
  <c r="BZ25" i="17"/>
  <c r="CA25" i="17" s="1"/>
  <c r="CD25" i="17" s="1"/>
  <c r="BZ26" i="17"/>
  <c r="CA26" i="17" s="1"/>
  <c r="CD26" i="17" s="1"/>
  <c r="BZ54" i="17"/>
  <c r="CA54" i="17" s="1"/>
  <c r="CD54" i="17" s="1"/>
  <c r="BZ60" i="17"/>
  <c r="CA60" i="17" s="1"/>
  <c r="CD60" i="17" s="1"/>
  <c r="BZ31" i="17"/>
  <c r="CA31" i="17" s="1"/>
  <c r="CD31" i="17" s="1"/>
  <c r="BZ32" i="17"/>
  <c r="CA32" i="17" s="1"/>
  <c r="CD32" i="17" s="1"/>
  <c r="BZ59" i="17"/>
  <c r="CA59" i="17" s="1"/>
  <c r="CD59" i="17" s="1"/>
  <c r="BZ35" i="17"/>
  <c r="CA35" i="17" s="1"/>
  <c r="CD35" i="17" s="1"/>
  <c r="BZ36" i="17"/>
  <c r="CA36" i="17" s="1"/>
  <c r="CD36" i="17" s="1"/>
  <c r="BZ11" i="17"/>
  <c r="CA11" i="17" s="1"/>
  <c r="CD11" i="17" s="1"/>
  <c r="BZ49" i="17"/>
  <c r="CA49" i="17" s="1"/>
  <c r="CD49" i="17" s="1"/>
  <c r="BZ39" i="17"/>
  <c r="CA39" i="17" s="1"/>
  <c r="CD39" i="17" s="1"/>
  <c r="BZ22" i="17"/>
  <c r="CA22" i="17" s="1"/>
  <c r="CD22" i="17" s="1"/>
  <c r="BZ40" i="17"/>
  <c r="CA40" i="17" s="1"/>
  <c r="CD40" i="17" s="1"/>
  <c r="BZ17" i="17"/>
  <c r="CA17" i="17" s="1"/>
  <c r="CD17" i="17" s="1"/>
  <c r="BZ53" i="17"/>
  <c r="CA53" i="17" s="1"/>
  <c r="CD53" i="17" s="1"/>
  <c r="BZ52" i="17"/>
  <c r="CA52" i="17" s="1"/>
  <c r="CD52" i="17" s="1"/>
  <c r="BZ58" i="17"/>
  <c r="BZ65" i="17"/>
  <c r="BZ46" i="17"/>
  <c r="BZ10" i="17"/>
  <c r="CA10" i="17" s="1"/>
  <c r="CD10" i="17" s="1"/>
  <c r="BZ16" i="17"/>
  <c r="CA16" i="17" s="1"/>
  <c r="CD16" i="17" s="1"/>
  <c r="BZ50" i="17"/>
  <c r="CA50" i="17" s="1"/>
  <c r="CD50" i="17" s="1"/>
  <c r="BZ66" i="17"/>
  <c r="CA66" i="17" s="1"/>
  <c r="CD66" i="17" s="1"/>
  <c r="BZ23" i="17"/>
  <c r="CA23" i="17" s="1"/>
  <c r="CD23" i="17" s="1"/>
  <c r="BZ13" i="17"/>
  <c r="CA13" i="17" s="1"/>
  <c r="CD13" i="17" s="1"/>
  <c r="BZ67" i="17"/>
  <c r="CA67" i="17" s="1"/>
  <c r="CD67" i="17" s="1"/>
  <c r="BZ15" i="17"/>
  <c r="CA15" i="17" s="1"/>
  <c r="CD15" i="17" s="1"/>
  <c r="CJ33" i="17"/>
  <c r="CK33" i="17" s="1"/>
  <c r="CN33" i="17" s="1"/>
  <c r="CJ22" i="17"/>
  <c r="CK22" i="17" s="1"/>
  <c r="CN22" i="17" s="1"/>
  <c r="CJ9" i="17"/>
  <c r="CJ21" i="17"/>
  <c r="CJ41" i="17"/>
  <c r="CK41" i="17" s="1"/>
  <c r="CN41" i="17" s="1"/>
  <c r="CJ24" i="17"/>
  <c r="CK24" i="17" s="1"/>
  <c r="CN24" i="17" s="1"/>
  <c r="CJ59" i="17"/>
  <c r="CK59" i="17" s="1"/>
  <c r="CN59" i="17" s="1"/>
  <c r="CJ51" i="17"/>
  <c r="CK51" i="17" s="1"/>
  <c r="CN51" i="17" s="1"/>
  <c r="CJ26" i="17"/>
  <c r="CK26" i="17" s="1"/>
  <c r="CN26" i="17" s="1"/>
  <c r="CJ32" i="17"/>
  <c r="CK32" i="17" s="1"/>
  <c r="CN32" i="17" s="1"/>
  <c r="CJ48" i="17"/>
  <c r="CK48" i="17" s="1"/>
  <c r="CN48" i="17" s="1"/>
  <c r="CJ25" i="17"/>
  <c r="CK25" i="17" s="1"/>
  <c r="CN25" i="17" s="1"/>
  <c r="CJ49" i="17"/>
  <c r="CK49" i="17" s="1"/>
  <c r="CN49" i="17" s="1"/>
  <c r="CJ35" i="17"/>
  <c r="CK35" i="17" s="1"/>
  <c r="CN35" i="17" s="1"/>
  <c r="CJ11" i="17"/>
  <c r="CK11" i="17" s="1"/>
  <c r="CN11" i="17" s="1"/>
  <c r="CJ37" i="17"/>
  <c r="CK37" i="17" s="1"/>
  <c r="CN37" i="17" s="1"/>
  <c r="CJ65" i="17"/>
  <c r="CJ61" i="17"/>
  <c r="CK61" i="17" s="1"/>
  <c r="CN61" i="17" s="1"/>
  <c r="CJ30" i="17"/>
  <c r="CJ52" i="17"/>
  <c r="CK52" i="17" s="1"/>
  <c r="CN52" i="17" s="1"/>
  <c r="CJ47" i="17"/>
  <c r="CK47" i="17" s="1"/>
  <c r="CN47" i="17" s="1"/>
  <c r="CJ39" i="17"/>
  <c r="CK39" i="17" s="1"/>
  <c r="CN39" i="17" s="1"/>
  <c r="CJ12" i="17"/>
  <c r="CK12" i="17" s="1"/>
  <c r="CN12" i="17" s="1"/>
  <c r="CJ31" i="17"/>
  <c r="CK31" i="17" s="1"/>
  <c r="CN31" i="17" s="1"/>
  <c r="CJ53" i="17"/>
  <c r="CK53" i="17" s="1"/>
  <c r="CN53" i="17" s="1"/>
  <c r="CJ17" i="17"/>
  <c r="CK17" i="17" s="1"/>
  <c r="CN17" i="17" s="1"/>
  <c r="CJ38" i="17"/>
  <c r="CK38" i="17" s="1"/>
  <c r="CN38" i="17" s="1"/>
  <c r="CK2" i="17"/>
  <c r="CJ36" i="17"/>
  <c r="CK36" i="17" s="1"/>
  <c r="CN36" i="17" s="1"/>
  <c r="CJ40" i="17"/>
  <c r="CK40" i="17" s="1"/>
  <c r="CN40" i="17" s="1"/>
  <c r="CJ54" i="17"/>
  <c r="CK54" i="17" s="1"/>
  <c r="CN54" i="17" s="1"/>
  <c r="CJ34" i="17"/>
  <c r="CK34" i="17" s="1"/>
  <c r="CN34" i="17" s="1"/>
  <c r="CJ42" i="17"/>
  <c r="CK42" i="17" s="1"/>
  <c r="CN42" i="17" s="1"/>
  <c r="CJ58" i="17"/>
  <c r="CJ60" i="17"/>
  <c r="CK60" i="17" s="1"/>
  <c r="CN60" i="17" s="1"/>
  <c r="CJ16" i="17"/>
  <c r="CK16" i="17" s="1"/>
  <c r="CN16" i="17" s="1"/>
  <c r="CJ67" i="17"/>
  <c r="CK67" i="17" s="1"/>
  <c r="CN67" i="17" s="1"/>
  <c r="CJ50" i="17"/>
  <c r="CK50" i="17" s="1"/>
  <c r="CN50" i="17" s="1"/>
  <c r="CJ15" i="17"/>
  <c r="CK15" i="17" s="1"/>
  <c r="CN15" i="17" s="1"/>
  <c r="CJ14" i="17"/>
  <c r="CK14" i="17" s="1"/>
  <c r="CN14" i="17" s="1"/>
  <c r="CJ10" i="17"/>
  <c r="CK10" i="17" s="1"/>
  <c r="CN10" i="17" s="1"/>
  <c r="CJ66" i="17"/>
  <c r="CK66" i="17" s="1"/>
  <c r="CN66" i="17" s="1"/>
  <c r="CJ13" i="17"/>
  <c r="CK13" i="17" s="1"/>
  <c r="CN13" i="17" s="1"/>
  <c r="CJ46" i="17"/>
  <c r="CJ23" i="17"/>
  <c r="CK23" i="17" s="1"/>
  <c r="CN23" i="17" s="1"/>
  <c r="FA61" i="17"/>
  <c r="FB61" i="17" s="1"/>
  <c r="FE61" i="17" s="1"/>
  <c r="FA13" i="17"/>
  <c r="FB13" i="17" s="1"/>
  <c r="FE13" i="17" s="1"/>
  <c r="FA47" i="17"/>
  <c r="FB47" i="17" s="1"/>
  <c r="FE47" i="17" s="1"/>
  <c r="FA39" i="17"/>
  <c r="FB39" i="17" s="1"/>
  <c r="FE39" i="17" s="1"/>
  <c r="FA40" i="17"/>
  <c r="FB40" i="17" s="1"/>
  <c r="FE40" i="17" s="1"/>
  <c r="FA36" i="17"/>
  <c r="FB36" i="17" s="1"/>
  <c r="FE36" i="17" s="1"/>
  <c r="FA17" i="17"/>
  <c r="FB17" i="17" s="1"/>
  <c r="FE17" i="17" s="1"/>
  <c r="FA34" i="17"/>
  <c r="FB34" i="17" s="1"/>
  <c r="FE34" i="17" s="1"/>
  <c r="FA21" i="17"/>
  <c r="FB2" i="17"/>
  <c r="FA59" i="17"/>
  <c r="FB59" i="17" s="1"/>
  <c r="FE59" i="17" s="1"/>
  <c r="FA50" i="17"/>
  <c r="FB50" i="17" s="1"/>
  <c r="FE50" i="17" s="1"/>
  <c r="FA52" i="17"/>
  <c r="FB52" i="17" s="1"/>
  <c r="FE52" i="17" s="1"/>
  <c r="FA48" i="17"/>
  <c r="FA22" i="17"/>
  <c r="FB22" i="17" s="1"/>
  <c r="FE22" i="17" s="1"/>
  <c r="FA26" i="17"/>
  <c r="FB26" i="17" s="1"/>
  <c r="FE26" i="17" s="1"/>
  <c r="FA42" i="17"/>
  <c r="FB42" i="17" s="1"/>
  <c r="FE42" i="17" s="1"/>
  <c r="FA31" i="17"/>
  <c r="FB31" i="17" s="1"/>
  <c r="FE31" i="17" s="1"/>
  <c r="FA66" i="17"/>
  <c r="FB66" i="17" s="1"/>
  <c r="FE66" i="17" s="1"/>
  <c r="FA25" i="17"/>
  <c r="FB25" i="17" s="1"/>
  <c r="FE25" i="17" s="1"/>
  <c r="FA9" i="17"/>
  <c r="FA67" i="17"/>
  <c r="FB67" i="17" s="1"/>
  <c r="FE67" i="17" s="1"/>
  <c r="FA10" i="17"/>
  <c r="FB10" i="17" s="1"/>
  <c r="FE10" i="17" s="1"/>
  <c r="FA51" i="17"/>
  <c r="FB51" i="17" s="1"/>
  <c r="FE51" i="17" s="1"/>
  <c r="FA11" i="17"/>
  <c r="FB11" i="17" s="1"/>
  <c r="FE11" i="17" s="1"/>
  <c r="FA41" i="17"/>
  <c r="FB41" i="17" s="1"/>
  <c r="FE41" i="17" s="1"/>
  <c r="FA32" i="17"/>
  <c r="FB32" i="17" s="1"/>
  <c r="FE32" i="17" s="1"/>
  <c r="FA54" i="17"/>
  <c r="FB54" i="17" s="1"/>
  <c r="FE54" i="17" s="1"/>
  <c r="FA15" i="17"/>
  <c r="FB15" i="17" s="1"/>
  <c r="FE15" i="17" s="1"/>
  <c r="FA35" i="17"/>
  <c r="FB35" i="17" s="1"/>
  <c r="FE35" i="17" s="1"/>
  <c r="FA60" i="17"/>
  <c r="FB60" i="17" s="1"/>
  <c r="FE60" i="17" s="1"/>
  <c r="FA33" i="17"/>
  <c r="FB33" i="17" s="1"/>
  <c r="FE33" i="17" s="1"/>
  <c r="FA53" i="17"/>
  <c r="FB53" i="17" s="1"/>
  <c r="FE53" i="17" s="1"/>
  <c r="FA46" i="17"/>
  <c r="FA38" i="17"/>
  <c r="FB38" i="17" s="1"/>
  <c r="FE38" i="17" s="1"/>
  <c r="FA65" i="17"/>
  <c r="FA37" i="17"/>
  <c r="FB37" i="17" s="1"/>
  <c r="FE37" i="17" s="1"/>
  <c r="FA58" i="17"/>
  <c r="FA23" i="17"/>
  <c r="FB23" i="17" s="1"/>
  <c r="FE23" i="17" s="1"/>
  <c r="FA16" i="17"/>
  <c r="FB16" i="17" s="1"/>
  <c r="FE16" i="17" s="1"/>
  <c r="FA14" i="17"/>
  <c r="FB14" i="17" s="1"/>
  <c r="FE14" i="17" s="1"/>
  <c r="FA24" i="17"/>
  <c r="FB24" i="17" s="1"/>
  <c r="FE24" i="17" s="1"/>
  <c r="FA49" i="17"/>
  <c r="FB49" i="17" s="1"/>
  <c r="FE49" i="17" s="1"/>
  <c r="FA12" i="17"/>
  <c r="FB12" i="17" s="1"/>
  <c r="FE12" i="17" s="1"/>
  <c r="FA30" i="17"/>
  <c r="HM48" i="17"/>
  <c r="HP48" i="17" s="1"/>
  <c r="HM51" i="17"/>
  <c r="HM9" i="17"/>
  <c r="HP9" i="17" s="1"/>
  <c r="HM11" i="17"/>
  <c r="HM21" i="17"/>
  <c r="HP21" i="17" s="1"/>
  <c r="HM15" i="17"/>
  <c r="HM53" i="17"/>
  <c r="HM58" i="17"/>
  <c r="HP58" i="17" s="1"/>
  <c r="HM40" i="17"/>
  <c r="HM66" i="17"/>
  <c r="HM41" i="17"/>
  <c r="HM16" i="17"/>
  <c r="HM50" i="17"/>
  <c r="HM34" i="17"/>
  <c r="HM42" i="17"/>
  <c r="HM47" i="17"/>
  <c r="HM59" i="17"/>
  <c r="HM31" i="17"/>
  <c r="HM52" i="17"/>
  <c r="HM54" i="17"/>
  <c r="HM35" i="17"/>
  <c r="HM13" i="17"/>
  <c r="HM24" i="17"/>
  <c r="HM65" i="17"/>
  <c r="HP65" i="17" s="1"/>
  <c r="HN2" i="17"/>
  <c r="HM39" i="17"/>
  <c r="HM17" i="17"/>
  <c r="HM46" i="17"/>
  <c r="HP46" i="17" s="1"/>
  <c r="HM10" i="17"/>
  <c r="HM60" i="17"/>
  <c r="HM49" i="17"/>
  <c r="HM14" i="17"/>
  <c r="HM30" i="17"/>
  <c r="HP30" i="17" s="1"/>
  <c r="HM38" i="17"/>
  <c r="HM33" i="17"/>
  <c r="HM36" i="17"/>
  <c r="HM37" i="17"/>
  <c r="HM12" i="17"/>
  <c r="HM32" i="17"/>
  <c r="AC34" i="17"/>
  <c r="AC22" i="17"/>
  <c r="AB61" i="17"/>
  <c r="AC61" i="17" s="1"/>
  <c r="AF61" i="17" s="1"/>
  <c r="AC12" i="17"/>
  <c r="AC11" i="17"/>
  <c r="AC65" i="17"/>
  <c r="AF65" i="17" s="1"/>
  <c r="AC48" i="17"/>
  <c r="AF48" i="17" s="1"/>
  <c r="AC37" i="17"/>
  <c r="AC2" i="17"/>
  <c r="AC41" i="17"/>
  <c r="AC38" i="17"/>
  <c r="H31" i="17"/>
  <c r="H9" i="17"/>
  <c r="FN21" i="17" l="1"/>
  <c r="H38" i="17"/>
  <c r="H42" i="17"/>
  <c r="FN40" i="17"/>
  <c r="FO40" i="17" s="1"/>
  <c r="H61" i="17"/>
  <c r="H53" i="17"/>
  <c r="H54" i="17"/>
  <c r="I54" i="17" s="1"/>
  <c r="L54" i="17" s="1"/>
  <c r="FN33" i="17"/>
  <c r="FO33" i="17" s="1"/>
  <c r="GU24" i="17"/>
  <c r="GT27" i="17"/>
  <c r="H32" i="17"/>
  <c r="H12" i="17"/>
  <c r="H41" i="17"/>
  <c r="FN42" i="17"/>
  <c r="FO42" i="17" s="1"/>
  <c r="GU59" i="17"/>
  <c r="GU62" i="17" s="1"/>
  <c r="GT62" i="17"/>
  <c r="GW62" i="17" s="1"/>
  <c r="GW59" i="17"/>
  <c r="H11" i="17"/>
  <c r="H65" i="17"/>
  <c r="GU35" i="17"/>
  <c r="GU43" i="17" s="1"/>
  <c r="GT43" i="17"/>
  <c r="GW43" i="17" s="1"/>
  <c r="DN35" i="17"/>
  <c r="GW35" i="17"/>
  <c r="FQ39" i="17"/>
  <c r="FR39" i="17" s="1"/>
  <c r="FN39" i="17"/>
  <c r="FO39" i="17" s="1"/>
  <c r="H37" i="17"/>
  <c r="H40" i="17"/>
  <c r="GU26" i="17"/>
  <c r="GW26" i="17" s="1"/>
  <c r="DN26" i="17"/>
  <c r="H59" i="17"/>
  <c r="H60" i="17"/>
  <c r="H35" i="17"/>
  <c r="H21" i="17"/>
  <c r="H24" i="17"/>
  <c r="H34" i="17"/>
  <c r="H36" i="17"/>
  <c r="H33" i="17"/>
  <c r="H30" i="17"/>
  <c r="H58" i="17"/>
  <c r="DW61" i="17"/>
  <c r="DX61" i="17" s="1"/>
  <c r="EA61" i="17" s="1"/>
  <c r="DW23" i="17"/>
  <c r="DX23" i="17" s="1"/>
  <c r="EA23" i="17" s="1"/>
  <c r="AM48" i="17"/>
  <c r="AP48" i="17" s="1"/>
  <c r="K7" i="20"/>
  <c r="L7" i="20" s="1"/>
  <c r="HN33" i="17"/>
  <c r="HP33" i="17"/>
  <c r="HN59" i="17"/>
  <c r="HP59" i="17"/>
  <c r="HN40" i="17"/>
  <c r="HP40" i="17"/>
  <c r="HN14" i="17"/>
  <c r="HP14" i="17"/>
  <c r="HN47" i="17"/>
  <c r="HP47" i="17"/>
  <c r="HN49" i="17"/>
  <c r="HP49" i="17"/>
  <c r="HN24" i="17"/>
  <c r="HP24" i="17"/>
  <c r="HN42" i="17"/>
  <c r="HP42" i="17"/>
  <c r="HN53" i="17"/>
  <c r="HP53" i="17"/>
  <c r="HN12" i="17"/>
  <c r="HP12" i="17"/>
  <c r="HN60" i="17"/>
  <c r="HP60" i="17"/>
  <c r="HN13" i="17"/>
  <c r="HP13" i="17"/>
  <c r="HN34" i="17"/>
  <c r="HP34" i="17"/>
  <c r="HN15" i="17"/>
  <c r="HP15" i="17"/>
  <c r="HN32" i="17"/>
  <c r="HP32" i="17"/>
  <c r="HN37" i="17"/>
  <c r="HP37" i="17"/>
  <c r="HN10" i="17"/>
  <c r="HP10" i="17"/>
  <c r="HN35" i="17"/>
  <c r="HP35" i="17"/>
  <c r="HN50" i="17"/>
  <c r="HP50" i="17"/>
  <c r="HN36" i="17"/>
  <c r="HP36" i="17"/>
  <c r="HN54" i="17"/>
  <c r="HP54" i="17"/>
  <c r="HN16" i="17"/>
  <c r="HP16" i="17"/>
  <c r="HN11" i="17"/>
  <c r="HP11" i="17"/>
  <c r="HN17" i="17"/>
  <c r="HP17" i="17"/>
  <c r="HN52" i="17"/>
  <c r="HP52" i="17"/>
  <c r="HN41" i="17"/>
  <c r="HP41" i="17"/>
  <c r="HN38" i="17"/>
  <c r="HP38" i="17"/>
  <c r="HN39" i="17"/>
  <c r="HP39" i="17"/>
  <c r="HN31" i="17"/>
  <c r="HP31" i="17"/>
  <c r="HN66" i="17"/>
  <c r="HP66" i="17"/>
  <c r="HN51" i="17"/>
  <c r="HP51" i="17"/>
  <c r="GW12" i="17"/>
  <c r="GW14" i="17"/>
  <c r="GW15" i="17"/>
  <c r="GW16" i="17"/>
  <c r="GW17" i="17"/>
  <c r="GW10" i="17"/>
  <c r="GW11" i="17"/>
  <c r="GW13" i="17"/>
  <c r="FR11" i="17"/>
  <c r="FT11" i="17"/>
  <c r="FR54" i="17"/>
  <c r="FT54" i="17"/>
  <c r="DX2" i="17"/>
  <c r="FR9" i="17"/>
  <c r="DW50" i="17"/>
  <c r="DX50" i="17" s="1"/>
  <c r="EA50" i="17" s="1"/>
  <c r="DW47" i="17"/>
  <c r="DX47" i="17" s="1"/>
  <c r="EA47" i="17" s="1"/>
  <c r="DW51" i="17"/>
  <c r="DX51" i="17" s="1"/>
  <c r="EA51" i="17" s="1"/>
  <c r="DW14" i="17"/>
  <c r="DX14" i="17" s="1"/>
  <c r="EA14" i="17" s="1"/>
  <c r="DW10" i="17"/>
  <c r="DX10" i="17" s="1"/>
  <c r="EA10" i="17" s="1"/>
  <c r="DW52" i="17"/>
  <c r="DX52" i="17" s="1"/>
  <c r="EA52" i="17" s="1"/>
  <c r="DW13" i="17"/>
  <c r="DX13" i="17" s="1"/>
  <c r="EA13" i="17" s="1"/>
  <c r="DW12" i="17"/>
  <c r="DX12" i="17" s="1"/>
  <c r="EA12" i="17" s="1"/>
  <c r="DW58" i="17"/>
  <c r="DX58" i="17" s="1"/>
  <c r="EA58" i="17" s="1"/>
  <c r="DW15" i="17"/>
  <c r="DX15" i="17" s="1"/>
  <c r="EA15" i="17" s="1"/>
  <c r="DW16" i="17"/>
  <c r="DX16" i="17" s="1"/>
  <c r="EA16" i="17" s="1"/>
  <c r="DW66" i="17"/>
  <c r="DX66" i="17" s="1"/>
  <c r="EA66" i="17" s="1"/>
  <c r="DW46" i="17"/>
  <c r="DX46" i="17" s="1"/>
  <c r="EA46" i="17" s="1"/>
  <c r="DW17" i="17"/>
  <c r="DX17" i="17" s="1"/>
  <c r="EA17" i="17" s="1"/>
  <c r="DW53" i="17"/>
  <c r="DX53" i="17" s="1"/>
  <c r="EA53" i="17" s="1"/>
  <c r="DW11" i="17"/>
  <c r="DX11" i="17" s="1"/>
  <c r="EA11" i="17" s="1"/>
  <c r="HD48" i="17"/>
  <c r="HG48" i="17" s="1"/>
  <c r="K22" i="20"/>
  <c r="L22" i="20" s="1"/>
  <c r="HN48" i="17"/>
  <c r="K23" i="20"/>
  <c r="L23" i="20" s="1"/>
  <c r="FB48" i="17"/>
  <c r="FE48" i="17" s="1"/>
  <c r="K29" i="20"/>
  <c r="L29" i="20" s="1"/>
  <c r="S48" i="17"/>
  <c r="V48" i="17" s="1"/>
  <c r="K5" i="20"/>
  <c r="L5" i="20" s="1"/>
  <c r="DW67" i="17"/>
  <c r="DX67" i="17" s="1"/>
  <c r="EA67" i="17" s="1"/>
  <c r="DW59" i="17"/>
  <c r="DX59" i="17" s="1"/>
  <c r="EA59" i="17" s="1"/>
  <c r="DW9" i="17"/>
  <c r="DW21" i="17"/>
  <c r="DX21" i="17" s="1"/>
  <c r="EA21" i="17" s="1"/>
  <c r="DW33" i="17"/>
  <c r="DX33" i="17" s="1"/>
  <c r="EA33" i="17" s="1"/>
  <c r="DW48" i="17"/>
  <c r="DW30" i="17"/>
  <c r="DX30" i="17" s="1"/>
  <c r="EA30" i="17" s="1"/>
  <c r="DW49" i="17"/>
  <c r="DX49" i="17" s="1"/>
  <c r="EA49" i="17" s="1"/>
  <c r="DW31" i="17"/>
  <c r="DX31" i="17" s="1"/>
  <c r="EA31" i="17" s="1"/>
  <c r="DW35" i="17"/>
  <c r="DX35" i="17" s="1"/>
  <c r="EA35" i="17" s="1"/>
  <c r="DW36" i="17"/>
  <c r="DX36" i="17" s="1"/>
  <c r="EA36" i="17" s="1"/>
  <c r="DW65" i="17"/>
  <c r="DW60" i="17"/>
  <c r="DX60" i="17" s="1"/>
  <c r="EA60" i="17" s="1"/>
  <c r="DW32" i="17"/>
  <c r="DX32" i="17" s="1"/>
  <c r="EA32" i="17" s="1"/>
  <c r="DW40" i="17"/>
  <c r="DX40" i="17" s="1"/>
  <c r="EA40" i="17" s="1"/>
  <c r="DW54" i="17"/>
  <c r="DX54" i="17" s="1"/>
  <c r="EA54" i="17" s="1"/>
  <c r="DW24" i="17"/>
  <c r="DX24" i="17" s="1"/>
  <c r="EA24" i="17" s="1"/>
  <c r="AL55" i="17"/>
  <c r="AB55" i="17"/>
  <c r="CJ55" i="17"/>
  <c r="R55" i="17"/>
  <c r="DD55" i="17"/>
  <c r="FZ55" i="17"/>
  <c r="HC55" i="17"/>
  <c r="DN55" i="17"/>
  <c r="DQ55" i="17" s="1"/>
  <c r="CT55" i="17"/>
  <c r="BZ55" i="17"/>
  <c r="FA55" i="17"/>
  <c r="BG48" i="17"/>
  <c r="BJ48" i="17" s="1"/>
  <c r="BF55" i="17"/>
  <c r="HM55" i="17"/>
  <c r="HP55" i="17" s="1"/>
  <c r="CA65" i="17"/>
  <c r="BZ68" i="17"/>
  <c r="S65" i="17"/>
  <c r="R68" i="17"/>
  <c r="CT18" i="17"/>
  <c r="CU9" i="17"/>
  <c r="EG12" i="17"/>
  <c r="EH12" i="17" s="1"/>
  <c r="EK12" i="17" s="1"/>
  <c r="EG10" i="17"/>
  <c r="EH10" i="17" s="1"/>
  <c r="EK10" i="17" s="1"/>
  <c r="EG26" i="17"/>
  <c r="EH26" i="17" s="1"/>
  <c r="EK26" i="17" s="1"/>
  <c r="EG54" i="17"/>
  <c r="EH54" i="17" s="1"/>
  <c r="EK54" i="17" s="1"/>
  <c r="EG37" i="17"/>
  <c r="EH37" i="17" s="1"/>
  <c r="EK37" i="17" s="1"/>
  <c r="EG22" i="17"/>
  <c r="EH22" i="17" s="1"/>
  <c r="EK22" i="17" s="1"/>
  <c r="EG53" i="17"/>
  <c r="EH53" i="17" s="1"/>
  <c r="EK53" i="17" s="1"/>
  <c r="EG17" i="17"/>
  <c r="EH17" i="17" s="1"/>
  <c r="EK17" i="17" s="1"/>
  <c r="EG30" i="17"/>
  <c r="EG58" i="17"/>
  <c r="EG39" i="17"/>
  <c r="EH39" i="17" s="1"/>
  <c r="EK39" i="17" s="1"/>
  <c r="EG47" i="17"/>
  <c r="EH47" i="17" s="1"/>
  <c r="EK47" i="17" s="1"/>
  <c r="EG51" i="17"/>
  <c r="EH51" i="17" s="1"/>
  <c r="EK51" i="17" s="1"/>
  <c r="EH2" i="17"/>
  <c r="EG21" i="17"/>
  <c r="EG32" i="17"/>
  <c r="EH32" i="17" s="1"/>
  <c r="EK32" i="17" s="1"/>
  <c r="EG60" i="17"/>
  <c r="EH60" i="17" s="1"/>
  <c r="EK60" i="17" s="1"/>
  <c r="EG41" i="17"/>
  <c r="EH41" i="17" s="1"/>
  <c r="EK41" i="17" s="1"/>
  <c r="EG49" i="17"/>
  <c r="EH49" i="17" s="1"/>
  <c r="EK49" i="17" s="1"/>
  <c r="EG34" i="17"/>
  <c r="EH34" i="17" s="1"/>
  <c r="EK34" i="17" s="1"/>
  <c r="EG59" i="17"/>
  <c r="EH59" i="17" s="1"/>
  <c r="EK59" i="17" s="1"/>
  <c r="EG24" i="17"/>
  <c r="EH24" i="17" s="1"/>
  <c r="EK24" i="17" s="1"/>
  <c r="EG11" i="17"/>
  <c r="EH11" i="17" s="1"/>
  <c r="EK11" i="17" s="1"/>
  <c r="EG36" i="17"/>
  <c r="EH36" i="17" s="1"/>
  <c r="EK36" i="17" s="1"/>
  <c r="EG48" i="17"/>
  <c r="EG25" i="17"/>
  <c r="EH25" i="17" s="1"/>
  <c r="EK25" i="17" s="1"/>
  <c r="EG61" i="17"/>
  <c r="EH61" i="17" s="1"/>
  <c r="EK61" i="17" s="1"/>
  <c r="EG9" i="17"/>
  <c r="EG16" i="17"/>
  <c r="EH16" i="17" s="1"/>
  <c r="EK16" i="17" s="1"/>
  <c r="EG35" i="17"/>
  <c r="EH35" i="17" s="1"/>
  <c r="EK35" i="17" s="1"/>
  <c r="EG38" i="17"/>
  <c r="EH38" i="17" s="1"/>
  <c r="EK38" i="17" s="1"/>
  <c r="EG31" i="17"/>
  <c r="EH31" i="17" s="1"/>
  <c r="EK31" i="17" s="1"/>
  <c r="EG65" i="17"/>
  <c r="EG42" i="17"/>
  <c r="EH42" i="17" s="1"/>
  <c r="EK42" i="17" s="1"/>
  <c r="EG14" i="17"/>
  <c r="EH14" i="17" s="1"/>
  <c r="EK14" i="17" s="1"/>
  <c r="EG40" i="17"/>
  <c r="EH40" i="17" s="1"/>
  <c r="EK40" i="17" s="1"/>
  <c r="EG52" i="17"/>
  <c r="EH52" i="17" s="1"/>
  <c r="EK52" i="17" s="1"/>
  <c r="EG33" i="17"/>
  <c r="EH33" i="17" s="1"/>
  <c r="EK33" i="17" s="1"/>
  <c r="EG15" i="17"/>
  <c r="EH15" i="17" s="1"/>
  <c r="EK15" i="17" s="1"/>
  <c r="EG13" i="17"/>
  <c r="EH13" i="17" s="1"/>
  <c r="EK13" i="17" s="1"/>
  <c r="EG23" i="17"/>
  <c r="EH23" i="17" s="1"/>
  <c r="EK23" i="17" s="1"/>
  <c r="EG46" i="17"/>
  <c r="EG67" i="17"/>
  <c r="EH67" i="17" s="1"/>
  <c r="EK67" i="17" s="1"/>
  <c r="EG50" i="17"/>
  <c r="EH50" i="17" s="1"/>
  <c r="EK50" i="17" s="1"/>
  <c r="EG66" i="17"/>
  <c r="EH66" i="17" s="1"/>
  <c r="EK66" i="17" s="1"/>
  <c r="FZ62" i="17"/>
  <c r="GA58" i="17"/>
  <c r="DD43" i="17"/>
  <c r="DE30" i="17"/>
  <c r="DD18" i="17"/>
  <c r="DE9" i="17"/>
  <c r="BZ62" i="17"/>
  <c r="CA58" i="17"/>
  <c r="AM21" i="17"/>
  <c r="AM27" i="17" s="1"/>
  <c r="AP27" i="17" s="1"/>
  <c r="AL27" i="17"/>
  <c r="DN43" i="17"/>
  <c r="DQ43" i="17" s="1"/>
  <c r="S9" i="17"/>
  <c r="R18" i="17"/>
  <c r="CT27" i="17"/>
  <c r="CU21" i="17"/>
  <c r="EQ22" i="17"/>
  <c r="ER22" i="17" s="1"/>
  <c r="EU22" i="17" s="1"/>
  <c r="EQ52" i="17"/>
  <c r="ER52" i="17" s="1"/>
  <c r="EU52" i="17" s="1"/>
  <c r="EQ59" i="17"/>
  <c r="ER59" i="17" s="1"/>
  <c r="EU59" i="17" s="1"/>
  <c r="EQ11" i="17"/>
  <c r="ER11" i="17" s="1"/>
  <c r="EU11" i="17" s="1"/>
  <c r="EQ24" i="17"/>
  <c r="ER24" i="17" s="1"/>
  <c r="EU24" i="17" s="1"/>
  <c r="EQ21" i="17"/>
  <c r="EQ47" i="17"/>
  <c r="ER47" i="17" s="1"/>
  <c r="EU47" i="17" s="1"/>
  <c r="EQ9" i="17"/>
  <c r="EQ40" i="17"/>
  <c r="ER40" i="17" s="1"/>
  <c r="EU40" i="17" s="1"/>
  <c r="EQ33" i="17"/>
  <c r="ER33" i="17" s="1"/>
  <c r="EU33" i="17" s="1"/>
  <c r="EQ49" i="17"/>
  <c r="ER49" i="17" s="1"/>
  <c r="EU49" i="17" s="1"/>
  <c r="EQ48" i="17"/>
  <c r="EQ58" i="17"/>
  <c r="EQ51" i="17"/>
  <c r="ER51" i="17" s="1"/>
  <c r="EU51" i="17" s="1"/>
  <c r="EQ34" i="17"/>
  <c r="ER34" i="17" s="1"/>
  <c r="EU34" i="17" s="1"/>
  <c r="EQ42" i="17"/>
  <c r="ER42" i="17" s="1"/>
  <c r="EU42" i="17" s="1"/>
  <c r="EQ35" i="17"/>
  <c r="ER35" i="17" s="1"/>
  <c r="EU35" i="17" s="1"/>
  <c r="EQ32" i="17"/>
  <c r="ER32" i="17" s="1"/>
  <c r="EU32" i="17" s="1"/>
  <c r="EQ60" i="17"/>
  <c r="ER60" i="17" s="1"/>
  <c r="EU60" i="17" s="1"/>
  <c r="EQ61" i="17"/>
  <c r="ER61" i="17" s="1"/>
  <c r="EU61" i="17" s="1"/>
  <c r="EQ23" i="17"/>
  <c r="ER23" i="17" s="1"/>
  <c r="EU23" i="17" s="1"/>
  <c r="EQ41" i="17"/>
  <c r="ER41" i="17" s="1"/>
  <c r="EU41" i="17" s="1"/>
  <c r="EQ53" i="17"/>
  <c r="ER53" i="17" s="1"/>
  <c r="EU53" i="17" s="1"/>
  <c r="EQ54" i="17"/>
  <c r="ER54" i="17" s="1"/>
  <c r="EU54" i="17" s="1"/>
  <c r="EQ37" i="17"/>
  <c r="ER37" i="17" s="1"/>
  <c r="EU37" i="17" s="1"/>
  <c r="EQ30" i="17"/>
  <c r="EQ38" i="17"/>
  <c r="ER38" i="17" s="1"/>
  <c r="EU38" i="17" s="1"/>
  <c r="EQ12" i="17"/>
  <c r="ER12" i="17" s="1"/>
  <c r="EU12" i="17" s="1"/>
  <c r="ER2" i="17"/>
  <c r="EQ13" i="17"/>
  <c r="ER13" i="17" s="1"/>
  <c r="EU13" i="17" s="1"/>
  <c r="EQ36" i="17"/>
  <c r="ER36" i="17" s="1"/>
  <c r="EU36" i="17" s="1"/>
  <c r="EQ65" i="17"/>
  <c r="EQ31" i="17"/>
  <c r="ER31" i="17" s="1"/>
  <c r="EU31" i="17" s="1"/>
  <c r="EQ39" i="17"/>
  <c r="ER39" i="17" s="1"/>
  <c r="EU39" i="17" s="1"/>
  <c r="EQ16" i="17"/>
  <c r="ER16" i="17" s="1"/>
  <c r="EU16" i="17" s="1"/>
  <c r="EQ50" i="17"/>
  <c r="ER50" i="17" s="1"/>
  <c r="EU50" i="17" s="1"/>
  <c r="EQ15" i="17"/>
  <c r="ER15" i="17" s="1"/>
  <c r="EU15" i="17" s="1"/>
  <c r="EQ14" i="17"/>
  <c r="ER14" i="17" s="1"/>
  <c r="EU14" i="17" s="1"/>
  <c r="EQ67" i="17"/>
  <c r="ER67" i="17" s="1"/>
  <c r="EU67" i="17" s="1"/>
  <c r="EQ26" i="17"/>
  <c r="ER26" i="17" s="1"/>
  <c r="EU26" i="17" s="1"/>
  <c r="EQ25" i="17"/>
  <c r="ER25" i="17" s="1"/>
  <c r="EU25" i="17" s="1"/>
  <c r="EQ17" i="17"/>
  <c r="ER17" i="17" s="1"/>
  <c r="EU17" i="17" s="1"/>
  <c r="EQ10" i="17"/>
  <c r="ER10" i="17" s="1"/>
  <c r="EU10" i="17" s="1"/>
  <c r="EQ46" i="17"/>
  <c r="EQ66" i="17"/>
  <c r="ER66" i="17" s="1"/>
  <c r="EU66" i="17" s="1"/>
  <c r="BG58" i="17"/>
  <c r="BF62" i="17"/>
  <c r="BG9" i="17"/>
  <c r="BF18" i="17"/>
  <c r="GA30" i="17"/>
  <c r="FZ43" i="17"/>
  <c r="HD30" i="17"/>
  <c r="HC43" i="17"/>
  <c r="HD46" i="17"/>
  <c r="HG46" i="17" s="1"/>
  <c r="CA30" i="17"/>
  <c r="BZ43" i="17"/>
  <c r="DN27" i="17"/>
  <c r="DQ27" i="17" s="1"/>
  <c r="GW18" i="17"/>
  <c r="GA21" i="17"/>
  <c r="FZ27" i="17"/>
  <c r="HD9" i="17"/>
  <c r="HC18" i="17"/>
  <c r="DE58" i="17"/>
  <c r="DD62" i="17"/>
  <c r="AM9" i="17"/>
  <c r="AM18" i="17" s="1"/>
  <c r="AL18" i="17"/>
  <c r="AM58" i="17"/>
  <c r="AM62" i="17" s="1"/>
  <c r="AL62" i="17"/>
  <c r="BF27" i="17"/>
  <c r="BG21" i="17"/>
  <c r="BG30" i="17"/>
  <c r="BF43" i="17"/>
  <c r="GA65" i="17"/>
  <c r="FZ68" i="17"/>
  <c r="DE46" i="17"/>
  <c r="BZ27" i="17"/>
  <c r="CA21" i="17"/>
  <c r="CA9" i="17"/>
  <c r="BZ18" i="17"/>
  <c r="AM46" i="17"/>
  <c r="AM55" i="17" s="1"/>
  <c r="AP55" i="17" s="1"/>
  <c r="AM30" i="17"/>
  <c r="AL43" i="17"/>
  <c r="S21" i="17"/>
  <c r="R27" i="17"/>
  <c r="GA46" i="17"/>
  <c r="DN62" i="17"/>
  <c r="DQ62" i="17" s="1"/>
  <c r="CU58" i="17"/>
  <c r="CT62" i="17"/>
  <c r="CT43" i="17"/>
  <c r="CU30" i="17"/>
  <c r="BG46" i="17"/>
  <c r="BJ46" i="17" s="1"/>
  <c r="AM65" i="17"/>
  <c r="AM68" i="17" s="1"/>
  <c r="AL68" i="17"/>
  <c r="DN18" i="17"/>
  <c r="DQ18" i="17" s="1"/>
  <c r="S46" i="17"/>
  <c r="V46" i="17" s="1"/>
  <c r="R43" i="17"/>
  <c r="S30" i="17"/>
  <c r="CU46" i="17"/>
  <c r="BG65" i="17"/>
  <c r="BF68" i="17"/>
  <c r="GA9" i="17"/>
  <c r="FZ18" i="17"/>
  <c r="CA46" i="17"/>
  <c r="DN68" i="17"/>
  <c r="DQ68" i="17" s="1"/>
  <c r="S58" i="17"/>
  <c r="R62" i="17"/>
  <c r="CU65" i="17"/>
  <c r="CT68" i="17"/>
  <c r="DD68" i="17"/>
  <c r="DE65" i="17"/>
  <c r="DE21" i="17"/>
  <c r="DD27" i="17"/>
  <c r="CK65" i="17"/>
  <c r="CJ68" i="17"/>
  <c r="CK46" i="17"/>
  <c r="CK21" i="17"/>
  <c r="CJ27" i="17"/>
  <c r="CK30" i="17"/>
  <c r="CJ43" i="17"/>
  <c r="CK9" i="17"/>
  <c r="CJ18" i="17"/>
  <c r="CK58" i="17"/>
  <c r="CJ62" i="17"/>
  <c r="FB46" i="17"/>
  <c r="FE46" i="17" s="1"/>
  <c r="FB58" i="17"/>
  <c r="FA62" i="17"/>
  <c r="FA68" i="17"/>
  <c r="FB65" i="17"/>
  <c r="FB30" i="17"/>
  <c r="FA43" i="17"/>
  <c r="FB9" i="17"/>
  <c r="FA18" i="17"/>
  <c r="FB21" i="17"/>
  <c r="FA27" i="17"/>
  <c r="HN46" i="17"/>
  <c r="HN58" i="17"/>
  <c r="HN30" i="17"/>
  <c r="HM43" i="17"/>
  <c r="HP43" i="17" s="1"/>
  <c r="HN21" i="17"/>
  <c r="HN65" i="17"/>
  <c r="HN9" i="17"/>
  <c r="HM18" i="17"/>
  <c r="HP18" i="17" s="1"/>
  <c r="AC30" i="17"/>
  <c r="AB43" i="17"/>
  <c r="AC58" i="17"/>
  <c r="AC62" i="17" s="1"/>
  <c r="AF62" i="17" s="1"/>
  <c r="AB62" i="17"/>
  <c r="L12" i="16"/>
  <c r="L11" i="16"/>
  <c r="L36" i="16"/>
  <c r="L35" i="16"/>
  <c r="L34" i="16"/>
  <c r="L33" i="16"/>
  <c r="L31" i="16"/>
  <c r="L30" i="16"/>
  <c r="L29" i="16"/>
  <c r="L28" i="16"/>
  <c r="L27" i="16"/>
  <c r="L26" i="16"/>
  <c r="L25" i="16"/>
  <c r="L24" i="16"/>
  <c r="L22" i="16"/>
  <c r="L21" i="16"/>
  <c r="L20" i="16"/>
  <c r="L19" i="16"/>
  <c r="L18" i="16"/>
  <c r="L16" i="16"/>
  <c r="L15" i="16"/>
  <c r="L14" i="16"/>
  <c r="L13" i="16"/>
  <c r="L10" i="16"/>
  <c r="L9" i="16"/>
  <c r="L8" i="16"/>
  <c r="L7" i="16"/>
  <c r="L6" i="16"/>
  <c r="L5" i="16"/>
  <c r="L4" i="16"/>
  <c r="L3" i="16"/>
  <c r="FT39" i="17" l="1"/>
  <c r="GT71" i="17"/>
  <c r="GW71" i="17" s="1"/>
  <c r="GW27" i="17"/>
  <c r="FQ40" i="17"/>
  <c r="GW24" i="17"/>
  <c r="GU27" i="17"/>
  <c r="GU71" i="17" s="1"/>
  <c r="FQ33" i="17"/>
  <c r="FO21" i="17"/>
  <c r="FO27" i="17" s="1"/>
  <c r="FN27" i="17"/>
  <c r="FQ42" i="17"/>
  <c r="FQ21" i="17"/>
  <c r="HN18" i="17"/>
  <c r="HN43" i="17"/>
  <c r="AM43" i="17"/>
  <c r="AP43" i="17" s="1"/>
  <c r="AP30" i="17"/>
  <c r="HD18" i="17"/>
  <c r="HG18" i="17" s="1"/>
  <c r="HG9" i="17"/>
  <c r="HD43" i="17"/>
  <c r="HG43" i="17" s="1"/>
  <c r="HG30" i="17"/>
  <c r="GA62" i="17"/>
  <c r="GD62" i="17" s="1"/>
  <c r="GD58" i="17"/>
  <c r="GA18" i="17"/>
  <c r="GD18" i="17" s="1"/>
  <c r="GD9" i="17"/>
  <c r="GA27" i="17"/>
  <c r="GD27" i="17" s="1"/>
  <c r="GD21" i="17"/>
  <c r="GA55" i="17"/>
  <c r="GD55" i="17" s="1"/>
  <c r="GD46" i="17"/>
  <c r="GA68" i="17"/>
  <c r="GD68" i="17" s="1"/>
  <c r="GD65" i="17"/>
  <c r="GA43" i="17"/>
  <c r="GD43" i="17" s="1"/>
  <c r="GD30" i="17"/>
  <c r="FB18" i="17"/>
  <c r="FE18" i="17" s="1"/>
  <c r="FE9" i="17"/>
  <c r="FB43" i="17"/>
  <c r="FE43" i="17" s="1"/>
  <c r="FE30" i="17"/>
  <c r="FB68" i="17"/>
  <c r="FE68" i="17" s="1"/>
  <c r="FE65" i="17"/>
  <c r="FB27" i="17"/>
  <c r="FE27" i="17" s="1"/>
  <c r="FE21" i="17"/>
  <c r="FB62" i="17"/>
  <c r="FE62" i="17" s="1"/>
  <c r="FE58" i="17"/>
  <c r="DE43" i="17"/>
  <c r="DH43" i="17" s="1"/>
  <c r="DH30" i="17"/>
  <c r="DE55" i="17"/>
  <c r="DH55" i="17" s="1"/>
  <c r="DH46" i="17"/>
  <c r="DE27" i="17"/>
  <c r="DH27" i="17" s="1"/>
  <c r="DH21" i="17"/>
  <c r="DE62" i="17"/>
  <c r="DH62" i="17" s="1"/>
  <c r="DH58" i="17"/>
  <c r="DE68" i="17"/>
  <c r="DH68" i="17" s="1"/>
  <c r="DH65" i="17"/>
  <c r="DE18" i="17"/>
  <c r="DH18" i="17" s="1"/>
  <c r="DH9" i="17"/>
  <c r="CU68" i="17"/>
  <c r="CX68" i="17" s="1"/>
  <c r="CX65" i="17"/>
  <c r="CU18" i="17"/>
  <c r="CX18" i="17" s="1"/>
  <c r="CX9" i="17"/>
  <c r="CU55" i="17"/>
  <c r="CX55" i="17" s="1"/>
  <c r="CX46" i="17"/>
  <c r="CU43" i="17"/>
  <c r="CX43" i="17" s="1"/>
  <c r="CX30" i="17"/>
  <c r="CU62" i="17"/>
  <c r="CX62" i="17" s="1"/>
  <c r="CX58" i="17"/>
  <c r="CU27" i="17"/>
  <c r="CX27" i="17" s="1"/>
  <c r="CX21" i="17"/>
  <c r="CK55" i="17"/>
  <c r="CN55" i="17" s="1"/>
  <c r="CN46" i="17"/>
  <c r="CK43" i="17"/>
  <c r="CN43" i="17" s="1"/>
  <c r="CN30" i="17"/>
  <c r="CK62" i="17"/>
  <c r="CN62" i="17" s="1"/>
  <c r="CN58" i="17"/>
  <c r="CK68" i="17"/>
  <c r="CN68" i="17" s="1"/>
  <c r="CN65" i="17"/>
  <c r="CK18" i="17"/>
  <c r="CN18" i="17" s="1"/>
  <c r="CN9" i="17"/>
  <c r="CK27" i="17"/>
  <c r="CN27" i="17" s="1"/>
  <c r="CN21" i="17"/>
  <c r="CA62" i="17"/>
  <c r="CD62" i="17" s="1"/>
  <c r="CD58" i="17"/>
  <c r="CA55" i="17"/>
  <c r="CD55" i="17" s="1"/>
  <c r="CD46" i="17"/>
  <c r="CA18" i="17"/>
  <c r="CD18" i="17" s="1"/>
  <c r="CD9" i="17"/>
  <c r="CA43" i="17"/>
  <c r="CD43" i="17" s="1"/>
  <c r="CD30" i="17"/>
  <c r="CA68" i="17"/>
  <c r="CD68" i="17" s="1"/>
  <c r="CD65" i="17"/>
  <c r="CA27" i="17"/>
  <c r="CD27" i="17" s="1"/>
  <c r="CD21" i="17"/>
  <c r="BG68" i="17"/>
  <c r="BJ68" i="17" s="1"/>
  <c r="BJ65" i="17"/>
  <c r="BG43" i="17"/>
  <c r="BJ43" i="17" s="1"/>
  <c r="BJ30" i="17"/>
  <c r="BG18" i="17"/>
  <c r="BJ18" i="17" s="1"/>
  <c r="BJ9" i="17"/>
  <c r="BG27" i="17"/>
  <c r="BJ27" i="17" s="1"/>
  <c r="BJ21" i="17"/>
  <c r="BG62" i="17"/>
  <c r="BJ62" i="17" s="1"/>
  <c r="BJ58" i="17"/>
  <c r="S27" i="17"/>
  <c r="V27" i="17" s="1"/>
  <c r="V21" i="17"/>
  <c r="S62" i="17"/>
  <c r="V62" i="17" s="1"/>
  <c r="V58" i="17"/>
  <c r="S43" i="17"/>
  <c r="V43" i="17" s="1"/>
  <c r="V30" i="17"/>
  <c r="S68" i="17"/>
  <c r="V68" i="17" s="1"/>
  <c r="V65" i="17"/>
  <c r="AC43" i="17"/>
  <c r="AF43" i="17" s="1"/>
  <c r="AF30" i="17"/>
  <c r="S18" i="17"/>
  <c r="V18" i="17" s="1"/>
  <c r="V9" i="17"/>
  <c r="DW18" i="17"/>
  <c r="DW68" i="17"/>
  <c r="HD55" i="17"/>
  <c r="HG55" i="17" s="1"/>
  <c r="HN55" i="17"/>
  <c r="DX9" i="17"/>
  <c r="FB55" i="17"/>
  <c r="S55" i="17"/>
  <c r="DX65" i="17"/>
  <c r="ER48" i="17"/>
  <c r="EU48" i="17" s="1"/>
  <c r="K17" i="20"/>
  <c r="L17" i="20" s="1"/>
  <c r="DW62" i="17"/>
  <c r="EH48" i="17"/>
  <c r="EK48" i="17" s="1"/>
  <c r="K16" i="20"/>
  <c r="L16" i="20" s="1"/>
  <c r="DX48" i="17"/>
  <c r="K15" i="20"/>
  <c r="L15" i="20" s="1"/>
  <c r="DX62" i="17"/>
  <c r="EA62" i="17" s="1"/>
  <c r="DW27" i="17"/>
  <c r="DW43" i="17"/>
  <c r="DW55" i="17"/>
  <c r="DX43" i="17"/>
  <c r="EA43" i="17" s="1"/>
  <c r="DX27" i="17"/>
  <c r="EA27" i="17" s="1"/>
  <c r="EQ55" i="17"/>
  <c r="EG55" i="17"/>
  <c r="BG55" i="17"/>
  <c r="BZ71" i="17"/>
  <c r="BZ3" i="17" s="1"/>
  <c r="BZ4" i="17" s="1"/>
  <c r="FZ71" i="17"/>
  <c r="FZ3" i="17" s="1"/>
  <c r="FZ4" i="17" s="1"/>
  <c r="EQ43" i="17"/>
  <c r="ER30" i="17"/>
  <c r="EH46" i="17"/>
  <c r="EK46" i="17" s="1"/>
  <c r="EH58" i="17"/>
  <c r="EG62" i="17"/>
  <c r="BF71" i="17"/>
  <c r="BF3" i="17" s="1"/>
  <c r="EH65" i="17"/>
  <c r="EG68" i="17"/>
  <c r="EH30" i="17"/>
  <c r="EG43" i="17"/>
  <c r="DN71" i="17"/>
  <c r="ER65" i="17"/>
  <c r="EQ68" i="17"/>
  <c r="ER9" i="17"/>
  <c r="EQ18" i="17"/>
  <c r="EH21" i="17"/>
  <c r="EG27" i="17"/>
  <c r="CT71" i="17"/>
  <c r="CT3" i="17" s="1"/>
  <c r="AL71" i="17"/>
  <c r="AL3" i="17" s="1"/>
  <c r="ER21" i="17"/>
  <c r="EQ27" i="17"/>
  <c r="R71" i="17"/>
  <c r="R3" i="17" s="1"/>
  <c r="DD71" i="17"/>
  <c r="DD3" i="17" s="1"/>
  <c r="ER58" i="17"/>
  <c r="EQ62" i="17"/>
  <c r="GT3" i="17"/>
  <c r="ER46" i="17"/>
  <c r="EU46" i="17" s="1"/>
  <c r="EH9" i="17"/>
  <c r="EG18" i="17"/>
  <c r="GU3" i="17"/>
  <c r="GU4" i="17" s="1"/>
  <c r="CJ71" i="17"/>
  <c r="CJ3" i="17" s="1"/>
  <c r="CJ4" i="17" s="1"/>
  <c r="FA71" i="17"/>
  <c r="FA3" i="17" s="1"/>
  <c r="N36" i="16"/>
  <c r="N35" i="16"/>
  <c r="N34" i="16"/>
  <c r="N33" i="16"/>
  <c r="N31" i="16"/>
  <c r="N30" i="16"/>
  <c r="N29" i="16"/>
  <c r="N28" i="16"/>
  <c r="N27" i="16"/>
  <c r="N26" i="16"/>
  <c r="N25" i="16"/>
  <c r="N24" i="16"/>
  <c r="N22" i="16"/>
  <c r="N21" i="16"/>
  <c r="N20" i="16"/>
  <c r="N19" i="16"/>
  <c r="N18" i="16"/>
  <c r="N16" i="16"/>
  <c r="N15" i="16"/>
  <c r="N14" i="16"/>
  <c r="N13" i="16"/>
  <c r="N12" i="16"/>
  <c r="N11" i="16"/>
  <c r="N10" i="16"/>
  <c r="N9" i="16"/>
  <c r="N8" i="16"/>
  <c r="N7" i="16"/>
  <c r="N6" i="16"/>
  <c r="N5" i="16"/>
  <c r="N4" i="16"/>
  <c r="N3" i="16"/>
  <c r="D68" i="17"/>
  <c r="E67" i="17"/>
  <c r="E66" i="17"/>
  <c r="E65" i="17"/>
  <c r="D62" i="17"/>
  <c r="E61" i="17"/>
  <c r="E60" i="17"/>
  <c r="E59" i="17"/>
  <c r="E58" i="17"/>
  <c r="E53" i="17"/>
  <c r="E52" i="17"/>
  <c r="E51" i="17"/>
  <c r="E50" i="17"/>
  <c r="E49" i="17"/>
  <c r="E48" i="17"/>
  <c r="E47" i="17"/>
  <c r="E46" i="17"/>
  <c r="D43" i="17"/>
  <c r="E42" i="17"/>
  <c r="E41" i="17"/>
  <c r="E40" i="17"/>
  <c r="G39" i="17"/>
  <c r="H39" i="17" s="1"/>
  <c r="E39" i="17"/>
  <c r="E38" i="17"/>
  <c r="E37" i="17"/>
  <c r="E36" i="17"/>
  <c r="E35" i="17"/>
  <c r="E34" i="17"/>
  <c r="E33" i="17"/>
  <c r="E32" i="17"/>
  <c r="E31" i="17"/>
  <c r="E30" i="17"/>
  <c r="D27" i="17"/>
  <c r="E26" i="17"/>
  <c r="E25" i="17"/>
  <c r="E24" i="17"/>
  <c r="E23" i="17"/>
  <c r="E22" i="17"/>
  <c r="E21" i="17"/>
  <c r="D18" i="17"/>
  <c r="E17" i="17"/>
  <c r="E16" i="17"/>
  <c r="E15" i="17"/>
  <c r="E14" i="17"/>
  <c r="E13" i="17"/>
  <c r="E12" i="17"/>
  <c r="E11" i="17"/>
  <c r="E10" i="17"/>
  <c r="E9" i="17"/>
  <c r="E2" i="17"/>
  <c r="F66" i="17" s="1"/>
  <c r="G66" i="17" s="1"/>
  <c r="H66" i="17" s="1"/>
  <c r="A1" i="17"/>
  <c r="E32" i="16"/>
  <c r="F32" i="16" s="1"/>
  <c r="L32" i="16" s="1"/>
  <c r="E23" i="16"/>
  <c r="F23" i="16" s="1"/>
  <c r="L23" i="16" s="1"/>
  <c r="E17" i="16"/>
  <c r="F17" i="16" s="1"/>
  <c r="L17" i="16" s="1"/>
  <c r="E35" i="16"/>
  <c r="F35" i="16" s="1"/>
  <c r="J36" i="16"/>
  <c r="E33" i="16"/>
  <c r="F33" i="16" s="1"/>
  <c r="E26" i="16"/>
  <c r="F26" i="16" s="1"/>
  <c r="E21" i="16"/>
  <c r="F21" i="16" s="1"/>
  <c r="F7" i="16"/>
  <c r="F8" i="16"/>
  <c r="F9" i="16"/>
  <c r="F10" i="16"/>
  <c r="F11" i="16"/>
  <c r="E14" i="16"/>
  <c r="F14" i="16" s="1"/>
  <c r="E12" i="16"/>
  <c r="F12" i="16" s="1"/>
  <c r="E3" i="16"/>
  <c r="F3" i="16" s="1"/>
  <c r="I2" i="17" s="1"/>
  <c r="J4" i="16"/>
  <c r="F31" i="16"/>
  <c r="F30" i="16"/>
  <c r="F29" i="16"/>
  <c r="F28" i="16"/>
  <c r="F25" i="16"/>
  <c r="F24" i="16"/>
  <c r="F20" i="16"/>
  <c r="F19" i="16"/>
  <c r="F18" i="16"/>
  <c r="F13" i="16"/>
  <c r="F6" i="16"/>
  <c r="F5" i="16"/>
  <c r="J35" i="16"/>
  <c r="J33" i="16"/>
  <c r="J31" i="16"/>
  <c r="J30" i="16"/>
  <c r="J29" i="16"/>
  <c r="J28" i="16"/>
  <c r="J26" i="16"/>
  <c r="J25" i="16"/>
  <c r="J24" i="16"/>
  <c r="J21" i="16"/>
  <c r="J20" i="16"/>
  <c r="J19" i="16"/>
  <c r="J18" i="16"/>
  <c r="J14" i="16"/>
  <c r="J13" i="16"/>
  <c r="J6" i="16"/>
  <c r="J5" i="16"/>
  <c r="J3" i="16"/>
  <c r="FT33" i="17" l="1"/>
  <c r="FR33" i="17"/>
  <c r="FR40" i="17"/>
  <c r="FT40" i="17"/>
  <c r="FT21" i="17"/>
  <c r="FR21" i="17"/>
  <c r="FR42" i="17"/>
  <c r="FT42" i="17"/>
  <c r="AM71" i="17"/>
  <c r="AM3" i="17" s="1"/>
  <c r="AM4" i="17" s="1"/>
  <c r="GA71" i="17"/>
  <c r="FB71" i="17"/>
  <c r="FE55" i="17"/>
  <c r="ER43" i="17"/>
  <c r="EU43" i="17" s="1"/>
  <c r="EU30" i="17"/>
  <c r="ER27" i="17"/>
  <c r="EU27" i="17" s="1"/>
  <c r="EU21" i="17"/>
  <c r="ER18" i="17"/>
  <c r="EU18" i="17" s="1"/>
  <c r="EU9" i="17"/>
  <c r="ER68" i="17"/>
  <c r="EU68" i="17" s="1"/>
  <c r="EU65" i="17"/>
  <c r="ER62" i="17"/>
  <c r="EU62" i="17" s="1"/>
  <c r="EU58" i="17"/>
  <c r="DE71" i="17"/>
  <c r="DE3" i="17" s="1"/>
  <c r="DE4" i="17" s="1"/>
  <c r="EH68" i="17"/>
  <c r="EK68" i="17" s="1"/>
  <c r="EK65" i="17"/>
  <c r="EH62" i="17"/>
  <c r="EK62" i="17" s="1"/>
  <c r="EK58" i="17"/>
  <c r="EH18" i="17"/>
  <c r="EK18" i="17" s="1"/>
  <c r="EK9" i="17"/>
  <c r="EH27" i="17"/>
  <c r="EK27" i="17" s="1"/>
  <c r="EK21" i="17"/>
  <c r="EH43" i="17"/>
  <c r="EK43" i="17" s="1"/>
  <c r="EK30" i="17"/>
  <c r="DX68" i="17"/>
  <c r="EA68" i="17" s="1"/>
  <c r="EA65" i="17"/>
  <c r="DX55" i="17"/>
  <c r="EA55" i="17" s="1"/>
  <c r="EA48" i="17"/>
  <c r="DX18" i="17"/>
  <c r="EA18" i="17" s="1"/>
  <c r="EA9" i="17"/>
  <c r="DN3" i="17"/>
  <c r="DN4" i="17" s="1"/>
  <c r="DQ71" i="17"/>
  <c r="CU71" i="17"/>
  <c r="CA71" i="17"/>
  <c r="CA3" i="17" s="1"/>
  <c r="CA4" i="17" s="1"/>
  <c r="CK71" i="17"/>
  <c r="BG71" i="17"/>
  <c r="BJ55" i="17"/>
  <c r="S71" i="17"/>
  <c r="V55" i="17"/>
  <c r="ER55" i="17"/>
  <c r="EH55" i="17"/>
  <c r="DW71" i="17"/>
  <c r="DW3" i="17" s="1"/>
  <c r="DW4" i="17" s="1"/>
  <c r="E68" i="17"/>
  <c r="M20" i="18"/>
  <c r="N20" i="18" s="1"/>
  <c r="O20" i="18" s="1"/>
  <c r="M6" i="18"/>
  <c r="N6" i="18" s="1"/>
  <c r="O6" i="18" s="1"/>
  <c r="M8" i="18"/>
  <c r="N8" i="18" s="1"/>
  <c r="O8" i="18" s="1"/>
  <c r="GT4" i="17"/>
  <c r="M24" i="18"/>
  <c r="N24" i="18" s="1"/>
  <c r="O24" i="18" s="1"/>
  <c r="R4" i="17"/>
  <c r="M39" i="18"/>
  <c r="N39" i="18" s="1"/>
  <c r="AL4" i="17"/>
  <c r="EG71" i="17"/>
  <c r="EG3" i="17" s="1"/>
  <c r="EQ71" i="17"/>
  <c r="EQ3" i="17" s="1"/>
  <c r="CT4" i="17"/>
  <c r="M10" i="18"/>
  <c r="N10" i="18" s="1"/>
  <c r="O10" i="18" s="1"/>
  <c r="BF4" i="17"/>
  <c r="M7" i="18"/>
  <c r="N7" i="18" s="1"/>
  <c r="O7" i="18" s="1"/>
  <c r="DD4" i="17"/>
  <c r="M11" i="18"/>
  <c r="N11" i="18" s="1"/>
  <c r="O11" i="18" s="1"/>
  <c r="HL61" i="17"/>
  <c r="HM61" i="17" s="1"/>
  <c r="HP61" i="17" s="1"/>
  <c r="HM26" i="17"/>
  <c r="HB61" i="17"/>
  <c r="HC61" i="17" s="1"/>
  <c r="HB22" i="17"/>
  <c r="HC22" i="17" s="1"/>
  <c r="HL25" i="17"/>
  <c r="HM25" i="17" s="1"/>
  <c r="FK30" i="17"/>
  <c r="HL67" i="17"/>
  <c r="HM67" i="17" s="1"/>
  <c r="HP67" i="17" s="1"/>
  <c r="HB26" i="17"/>
  <c r="HC26" i="17" s="1"/>
  <c r="HD26" i="17" s="1"/>
  <c r="HG26" i="17" s="1"/>
  <c r="HB67" i="17"/>
  <c r="HC67" i="17" s="1"/>
  <c r="FJ60" i="17"/>
  <c r="FK60" i="17" s="1"/>
  <c r="FK35" i="17"/>
  <c r="FN35" i="17" s="1"/>
  <c r="FO35" i="17" s="1"/>
  <c r="FJ23" i="17"/>
  <c r="FK23" i="17" s="1"/>
  <c r="HL22" i="17"/>
  <c r="HM22" i="17" s="1"/>
  <c r="HP22" i="17" s="1"/>
  <c r="FJ61" i="17"/>
  <c r="FK61" i="17" s="1"/>
  <c r="HC23" i="17"/>
  <c r="HD23" i="17" s="1"/>
  <c r="HG23" i="17" s="1"/>
  <c r="HM23" i="17"/>
  <c r="HB25" i="17"/>
  <c r="HC25" i="17" s="1"/>
  <c r="HD25" i="17" s="1"/>
  <c r="HG25" i="17" s="1"/>
  <c r="FK31" i="17"/>
  <c r="FN31" i="17" s="1"/>
  <c r="FO31" i="17" s="1"/>
  <c r="FJ51" i="17"/>
  <c r="FK51" i="17" s="1"/>
  <c r="FJ41" i="17"/>
  <c r="FK41" i="17" s="1"/>
  <c r="FJ65" i="17"/>
  <c r="FK65" i="17" s="1"/>
  <c r="FQ65" i="17" s="1"/>
  <c r="FT65" i="17" s="1"/>
  <c r="FK12" i="17"/>
  <c r="FK37" i="17"/>
  <c r="FN37" i="17" s="1"/>
  <c r="FO37" i="17" s="1"/>
  <c r="FJ17" i="17"/>
  <c r="FK17" i="17" s="1"/>
  <c r="FJ16" i="17"/>
  <c r="FK16" i="17" s="1"/>
  <c r="FJ47" i="17"/>
  <c r="FK47" i="17" s="1"/>
  <c r="FJ49" i="17"/>
  <c r="FK49" i="17" s="1"/>
  <c r="FN49" i="17" s="1"/>
  <c r="FJ25" i="17"/>
  <c r="FK25" i="17" s="1"/>
  <c r="FJ59" i="17"/>
  <c r="FK59" i="17" s="1"/>
  <c r="FK48" i="17"/>
  <c r="FQ48" i="17" s="1"/>
  <c r="FJ52" i="17"/>
  <c r="FK52" i="17" s="1"/>
  <c r="FJ32" i="17"/>
  <c r="FK32" i="17" s="1"/>
  <c r="FN32" i="17" s="1"/>
  <c r="FO32" i="17" s="1"/>
  <c r="FJ67" i="17"/>
  <c r="FK67" i="17" s="1"/>
  <c r="FJ38" i="17"/>
  <c r="FK38" i="17" s="1"/>
  <c r="FJ53" i="17"/>
  <c r="FK53" i="17" s="1"/>
  <c r="FJ50" i="17"/>
  <c r="FK50" i="17" s="1"/>
  <c r="FJ66" i="17"/>
  <c r="FK66" i="17" s="1"/>
  <c r="FK36" i="17"/>
  <c r="FN36" i="17" s="1"/>
  <c r="FO36" i="17" s="1"/>
  <c r="FJ13" i="17"/>
  <c r="FK13" i="17" s="1"/>
  <c r="FJ26" i="17"/>
  <c r="FK26" i="17" s="1"/>
  <c r="FK24" i="17"/>
  <c r="FJ46" i="17"/>
  <c r="FK46" i="17" s="1"/>
  <c r="FQ46" i="17" s="1"/>
  <c r="FT46" i="17" s="1"/>
  <c r="FJ22" i="17"/>
  <c r="FK22" i="17" s="1"/>
  <c r="FJ15" i="17"/>
  <c r="FK15" i="17" s="1"/>
  <c r="FJ58" i="17"/>
  <c r="FK58" i="17" s="1"/>
  <c r="FJ34" i="17"/>
  <c r="FK34" i="17" s="1"/>
  <c r="FJ14" i="17"/>
  <c r="FK14" i="17" s="1"/>
  <c r="FJ10" i="17"/>
  <c r="FK10" i="17" s="1"/>
  <c r="FQ10" i="17" s="1"/>
  <c r="FT10" i="17" s="1"/>
  <c r="M9" i="18"/>
  <c r="N9" i="18" s="1"/>
  <c r="O9" i="18" s="1"/>
  <c r="FA4" i="17"/>
  <c r="M30" i="18"/>
  <c r="FL42" i="17"/>
  <c r="FL40" i="17"/>
  <c r="FL33" i="17"/>
  <c r="FL39" i="17"/>
  <c r="FL11" i="17"/>
  <c r="DO41" i="17"/>
  <c r="DO39" i="17"/>
  <c r="DO34" i="17"/>
  <c r="DO53" i="17"/>
  <c r="DO37" i="17"/>
  <c r="DO35" i="17"/>
  <c r="DQ35" i="17" s="1"/>
  <c r="DO33" i="17"/>
  <c r="DO31" i="17"/>
  <c r="DO42" i="17"/>
  <c r="DO32" i="17"/>
  <c r="DO14" i="17"/>
  <c r="DO61" i="17"/>
  <c r="DQ61" i="17" s="1"/>
  <c r="DO11" i="17"/>
  <c r="DO40" i="17"/>
  <c r="DO52" i="17"/>
  <c r="DO36" i="17"/>
  <c r="DO17" i="17"/>
  <c r="DO12" i="17"/>
  <c r="DO59" i="17"/>
  <c r="DO38" i="17"/>
  <c r="DO26" i="17"/>
  <c r="DQ26" i="17" s="1"/>
  <c r="DO22" i="17"/>
  <c r="DO16" i="17"/>
  <c r="DO15" i="17"/>
  <c r="DO51" i="17"/>
  <c r="DO66" i="17"/>
  <c r="DO10" i="17"/>
  <c r="DO48" i="17"/>
  <c r="DO49" i="17"/>
  <c r="DO23" i="17"/>
  <c r="DO24" i="17"/>
  <c r="DQ24" i="17" s="1"/>
  <c r="DO67" i="17"/>
  <c r="DO13" i="17"/>
  <c r="DO25" i="17"/>
  <c r="DO60" i="17"/>
  <c r="DO50" i="17"/>
  <c r="DO47" i="17"/>
  <c r="F30" i="17"/>
  <c r="F47" i="17"/>
  <c r="H47" i="17" s="1"/>
  <c r="I47" i="17" s="1"/>
  <c r="L47" i="17" s="1"/>
  <c r="F11" i="17"/>
  <c r="F21" i="17"/>
  <c r="F48" i="17"/>
  <c r="H48" i="17" s="1"/>
  <c r="E62" i="17"/>
  <c r="AA14" i="17"/>
  <c r="AC14" i="17" s="1"/>
  <c r="AA25" i="17"/>
  <c r="AC25" i="17" s="1"/>
  <c r="AA67" i="17"/>
  <c r="AB67" i="17" s="1"/>
  <c r="AC67" i="17" s="1"/>
  <c r="AF67" i="17" s="1"/>
  <c r="AA26" i="17"/>
  <c r="AC26" i="17" s="1"/>
  <c r="AB66" i="17"/>
  <c r="AC50" i="17"/>
  <c r="AA13" i="17"/>
  <c r="AC13" i="17" s="1"/>
  <c r="AA17" i="17"/>
  <c r="AC17" i="17" s="1"/>
  <c r="AA10" i="17"/>
  <c r="AA15" i="17"/>
  <c r="AC15" i="17" s="1"/>
  <c r="AA16" i="17"/>
  <c r="AC16" i="17" s="1"/>
  <c r="F12" i="17"/>
  <c r="F23" i="17"/>
  <c r="G23" i="17" s="1"/>
  <c r="H23" i="17" s="1"/>
  <c r="I23" i="17" s="1"/>
  <c r="L23" i="17" s="1"/>
  <c r="F40" i="17"/>
  <c r="F14" i="17"/>
  <c r="G14" i="17" s="1"/>
  <c r="H14" i="17" s="1"/>
  <c r="I14" i="17" s="1"/>
  <c r="L14" i="17" s="1"/>
  <c r="F42" i="17"/>
  <c r="F52" i="17"/>
  <c r="H52" i="17" s="1"/>
  <c r="I52" i="17" s="1"/>
  <c r="L52" i="17" s="1"/>
  <c r="F16" i="17"/>
  <c r="G16" i="17" s="1"/>
  <c r="H16" i="17" s="1"/>
  <c r="I16" i="17" s="1"/>
  <c r="L16" i="17" s="1"/>
  <c r="F26" i="17"/>
  <c r="G26" i="17" s="1"/>
  <c r="H26" i="17" s="1"/>
  <c r="I26" i="17" s="1"/>
  <c r="L26" i="17" s="1"/>
  <c r="F67" i="17"/>
  <c r="G67" i="17" s="1"/>
  <c r="H67" i="17" s="1"/>
  <c r="I67" i="17" s="1"/>
  <c r="L67" i="17" s="1"/>
  <c r="F17" i="17"/>
  <c r="G17" i="17" s="1"/>
  <c r="H17" i="17" s="1"/>
  <c r="I17" i="17" s="1"/>
  <c r="L17" i="17" s="1"/>
  <c r="F46" i="17"/>
  <c r="G46" i="17" s="1"/>
  <c r="H46" i="17" s="1"/>
  <c r="E55" i="17"/>
  <c r="E27" i="17"/>
  <c r="I35" i="17"/>
  <c r="L35" i="17" s="1"/>
  <c r="I60" i="17"/>
  <c r="L60" i="17" s="1"/>
  <c r="I31" i="17"/>
  <c r="L31" i="17" s="1"/>
  <c r="E43" i="17"/>
  <c r="I37" i="17"/>
  <c r="L37" i="17" s="1"/>
  <c r="I53" i="17"/>
  <c r="L53" i="17" s="1"/>
  <c r="I33" i="17"/>
  <c r="L33" i="17" s="1"/>
  <c r="I58" i="17"/>
  <c r="L58" i="17" s="1"/>
  <c r="I66" i="17"/>
  <c r="L66" i="17" s="1"/>
  <c r="I39" i="17"/>
  <c r="L39" i="17" s="1"/>
  <c r="D71" i="17"/>
  <c r="D3" i="17" s="1"/>
  <c r="D4" i="17" s="1"/>
  <c r="E18" i="17"/>
  <c r="N32" i="16"/>
  <c r="N17" i="16"/>
  <c r="M38" i="16"/>
  <c r="N23" i="16"/>
  <c r="N38" i="16"/>
  <c r="I41" i="17"/>
  <c r="L41" i="17" s="1"/>
  <c r="I12" i="17"/>
  <c r="L12" i="17" s="1"/>
  <c r="F24" i="17"/>
  <c r="I24" i="17" s="1"/>
  <c r="L24" i="17" s="1"/>
  <c r="F32" i="17"/>
  <c r="F34" i="17"/>
  <c r="F36" i="17"/>
  <c r="F38" i="17"/>
  <c r="F49" i="17"/>
  <c r="F59" i="17"/>
  <c r="F61" i="17"/>
  <c r="F65" i="17"/>
  <c r="F10" i="17"/>
  <c r="G10" i="17" s="1"/>
  <c r="F50" i="17"/>
  <c r="G50" i="17" s="1"/>
  <c r="F9" i="17"/>
  <c r="I32" i="17"/>
  <c r="L32" i="17" s="1"/>
  <c r="I34" i="17"/>
  <c r="L34" i="17" s="1"/>
  <c r="I36" i="17"/>
  <c r="L36" i="17" s="1"/>
  <c r="I38" i="17"/>
  <c r="L38" i="17" s="1"/>
  <c r="I59" i="17"/>
  <c r="L59" i="17" s="1"/>
  <c r="I61" i="17"/>
  <c r="L61" i="17" s="1"/>
  <c r="F13" i="17"/>
  <c r="G13" i="17" s="1"/>
  <c r="F25" i="17"/>
  <c r="G25" i="17" s="1"/>
  <c r="I40" i="17"/>
  <c r="L40" i="17" s="1"/>
  <c r="I42" i="17"/>
  <c r="L42" i="17" s="1"/>
  <c r="F51" i="17"/>
  <c r="F41" i="17"/>
  <c r="I11" i="17"/>
  <c r="L11" i="17" s="1"/>
  <c r="F22" i="17"/>
  <c r="I22" i="17" s="1"/>
  <c r="L22" i="17" s="1"/>
  <c r="F15" i="17"/>
  <c r="G15" i="17" s="1"/>
  <c r="F31" i="17"/>
  <c r="F33" i="17"/>
  <c r="F35" i="17"/>
  <c r="F37" i="17"/>
  <c r="F39" i="17"/>
  <c r="F53" i="17"/>
  <c r="F58" i="17"/>
  <c r="F60" i="17"/>
  <c r="E36" i="16"/>
  <c r="F36" i="16" s="1"/>
  <c r="E34" i="16"/>
  <c r="F34" i="16" s="1"/>
  <c r="E27" i="16"/>
  <c r="F27" i="16" s="1"/>
  <c r="E15" i="16"/>
  <c r="F15" i="16" s="1"/>
  <c r="E22" i="16"/>
  <c r="F22" i="16" s="1"/>
  <c r="E4" i="16"/>
  <c r="F4" i="16" s="1"/>
  <c r="FN55" i="17" l="1"/>
  <c r="FO49" i="17"/>
  <c r="FO55" i="17" s="1"/>
  <c r="FN30" i="17"/>
  <c r="FN58" i="17"/>
  <c r="AP71" i="17"/>
  <c r="HN26" i="17"/>
  <c r="HP26" i="17"/>
  <c r="HN23" i="17"/>
  <c r="HP23" i="17"/>
  <c r="HN25" i="17"/>
  <c r="HP25" i="17"/>
  <c r="GA3" i="17"/>
  <c r="GA4" i="17" s="1"/>
  <c r="GD71" i="17"/>
  <c r="FR48" i="17"/>
  <c r="FT48" i="17"/>
  <c r="DH71" i="17"/>
  <c r="FB3" i="17"/>
  <c r="FB4" i="17" s="1"/>
  <c r="FE71" i="17"/>
  <c r="ER71" i="17"/>
  <c r="EU55" i="17"/>
  <c r="CD71" i="17"/>
  <c r="EH71" i="17"/>
  <c r="EK55" i="17"/>
  <c r="DX71" i="17"/>
  <c r="M12" i="18"/>
  <c r="N12" i="18" s="1"/>
  <c r="CU3" i="17"/>
  <c r="CU4" i="17" s="1"/>
  <c r="CX71" i="17"/>
  <c r="CK3" i="17"/>
  <c r="CK4" i="17" s="1"/>
  <c r="CN71" i="17"/>
  <c r="BG3" i="17"/>
  <c r="BG4" i="17" s="1"/>
  <c r="BJ71" i="17"/>
  <c r="S3" i="17"/>
  <c r="S4" i="17" s="1"/>
  <c r="V71" i="17"/>
  <c r="FL24" i="17"/>
  <c r="FQ24" i="17"/>
  <c r="FL67" i="17"/>
  <c r="FQ67" i="17"/>
  <c r="FL16" i="17"/>
  <c r="FQ16" i="17"/>
  <c r="FR10" i="17"/>
  <c r="FL26" i="17"/>
  <c r="FQ26" i="17"/>
  <c r="FL32" i="17"/>
  <c r="FQ32" i="17"/>
  <c r="FL17" i="17"/>
  <c r="FQ17" i="17"/>
  <c r="FL14" i="17"/>
  <c r="FQ14" i="17"/>
  <c r="FL13" i="17"/>
  <c r="FQ13" i="17"/>
  <c r="FL52" i="17"/>
  <c r="FQ52" i="17"/>
  <c r="FL37" i="17"/>
  <c r="FQ37" i="17"/>
  <c r="FL34" i="17"/>
  <c r="FQ34" i="17"/>
  <c r="FL36" i="17"/>
  <c r="FQ36" i="17"/>
  <c r="FL12" i="17"/>
  <c r="FQ12" i="17"/>
  <c r="FL61" i="17"/>
  <c r="FQ61" i="17"/>
  <c r="FL66" i="17"/>
  <c r="FQ66" i="17"/>
  <c r="FL59" i="17"/>
  <c r="FQ59" i="17"/>
  <c r="FR65" i="17"/>
  <c r="FL15" i="17"/>
  <c r="FQ15" i="17"/>
  <c r="FL50" i="17"/>
  <c r="FQ50" i="17"/>
  <c r="FL25" i="17"/>
  <c r="FQ25" i="17"/>
  <c r="FL41" i="17"/>
  <c r="FQ41" i="17"/>
  <c r="FL23" i="17"/>
  <c r="FQ23" i="17"/>
  <c r="FL22" i="17"/>
  <c r="FQ22" i="17"/>
  <c r="FT22" i="17" s="1"/>
  <c r="FL53" i="17"/>
  <c r="FQ53" i="17"/>
  <c r="FL49" i="17"/>
  <c r="FQ49" i="17"/>
  <c r="FL51" i="17"/>
  <c r="FQ51" i="17"/>
  <c r="FL35" i="17"/>
  <c r="FQ35" i="17"/>
  <c r="FR46" i="17"/>
  <c r="FL38" i="17"/>
  <c r="FQ38" i="17"/>
  <c r="FL47" i="17"/>
  <c r="FQ47" i="17"/>
  <c r="FL31" i="17"/>
  <c r="FQ31" i="17"/>
  <c r="FL60" i="17"/>
  <c r="FQ60" i="17"/>
  <c r="U11" i="18"/>
  <c r="U20" i="18"/>
  <c r="U7" i="18"/>
  <c r="U39" i="18"/>
  <c r="U10" i="18"/>
  <c r="U24" i="18"/>
  <c r="N30" i="18"/>
  <c r="O30" i="18" s="1"/>
  <c r="I48" i="17"/>
  <c r="L48" i="17" s="1"/>
  <c r="K4" i="20"/>
  <c r="M13" i="18"/>
  <c r="N13" i="18" s="1"/>
  <c r="O13" i="18" s="1"/>
  <c r="R20" i="18"/>
  <c r="R6" i="18"/>
  <c r="U6" i="18"/>
  <c r="Q9" i="18"/>
  <c r="U9" i="18"/>
  <c r="Q20" i="18"/>
  <c r="R8" i="18"/>
  <c r="U8" i="18"/>
  <c r="I46" i="17"/>
  <c r="L46" i="17" s="1"/>
  <c r="FL48" i="17"/>
  <c r="FK55" i="17"/>
  <c r="Q6" i="18"/>
  <c r="Q8" i="18"/>
  <c r="FK62" i="17"/>
  <c r="R9" i="18"/>
  <c r="R7" i="18"/>
  <c r="Q7" i="18"/>
  <c r="M41" i="18"/>
  <c r="N41" i="18" s="1"/>
  <c r="EQ4" i="17"/>
  <c r="EG4" i="17"/>
  <c r="M16" i="18"/>
  <c r="N16" i="18" s="1"/>
  <c r="O16" i="18" s="1"/>
  <c r="R10" i="18"/>
  <c r="Q10" i="18"/>
  <c r="R39" i="18"/>
  <c r="Q39" i="18"/>
  <c r="R11" i="18"/>
  <c r="Q11" i="18"/>
  <c r="R24" i="18"/>
  <c r="Q24" i="18"/>
  <c r="FK18" i="17"/>
  <c r="HN61" i="17"/>
  <c r="HN62" i="17" s="1"/>
  <c r="HM62" i="17"/>
  <c r="HP62" i="17" s="1"/>
  <c r="HD67" i="17"/>
  <c r="HC68" i="17"/>
  <c r="HN22" i="17"/>
  <c r="HM27" i="17"/>
  <c r="HP27" i="17" s="1"/>
  <c r="HN67" i="17"/>
  <c r="HN68" i="17" s="1"/>
  <c r="HM68" i="17"/>
  <c r="HP68" i="17" s="1"/>
  <c r="FK43" i="17"/>
  <c r="HD22" i="17"/>
  <c r="HC27" i="17"/>
  <c r="FK68" i="17"/>
  <c r="HD61" i="17"/>
  <c r="HC62" i="17"/>
  <c r="FL10" i="17"/>
  <c r="FK27" i="17"/>
  <c r="FL46" i="17"/>
  <c r="FL21" i="17"/>
  <c r="FL65" i="17"/>
  <c r="FL58" i="17"/>
  <c r="FL30" i="17"/>
  <c r="FL9" i="17"/>
  <c r="DO46" i="17"/>
  <c r="DO55" i="17" s="1"/>
  <c r="DO9" i="17"/>
  <c r="DO18" i="17" s="1"/>
  <c r="DO58" i="17"/>
  <c r="DO62" i="17" s="1"/>
  <c r="DO65" i="17"/>
  <c r="DO68" i="17" s="1"/>
  <c r="DO21" i="17"/>
  <c r="DO27" i="17" s="1"/>
  <c r="DO30" i="17"/>
  <c r="DO43" i="17" s="1"/>
  <c r="E71" i="17"/>
  <c r="E3" i="17" s="1"/>
  <c r="E4" i="17" s="1"/>
  <c r="AC46" i="17"/>
  <c r="AC10" i="17"/>
  <c r="AC18" i="17" s="1"/>
  <c r="AF18" i="17" s="1"/>
  <c r="AB18" i="17"/>
  <c r="AC66" i="17"/>
  <c r="AB68" i="17"/>
  <c r="AC23" i="17"/>
  <c r="AF23" i="17" s="1"/>
  <c r="H49" i="17"/>
  <c r="I49" i="17" s="1"/>
  <c r="L49" i="17" s="1"/>
  <c r="H50" i="17"/>
  <c r="I50" i="17" s="1"/>
  <c r="L50" i="17" s="1"/>
  <c r="H51" i="17"/>
  <c r="I51" i="17" s="1"/>
  <c r="L51" i="17" s="1"/>
  <c r="H25" i="17"/>
  <c r="I25" i="17" s="1"/>
  <c r="L25" i="17" s="1"/>
  <c r="H10" i="17"/>
  <c r="I10" i="17" s="1"/>
  <c r="L10" i="17" s="1"/>
  <c r="H15" i="17"/>
  <c r="I15" i="17" s="1"/>
  <c r="L15" i="17" s="1"/>
  <c r="H13" i="17"/>
  <c r="I13" i="17" s="1"/>
  <c r="L13" i="17" s="1"/>
  <c r="I62" i="17"/>
  <c r="L62" i="17" s="1"/>
  <c r="I65" i="17"/>
  <c r="H68" i="17"/>
  <c r="I9" i="17"/>
  <c r="L9" i="17" s="1"/>
  <c r="H62" i="17"/>
  <c r="I30" i="17"/>
  <c r="H43" i="17"/>
  <c r="I21" i="17"/>
  <c r="L21" i="17" s="1"/>
  <c r="E16" i="16"/>
  <c r="F16" i="16" s="1"/>
  <c r="L40" i="15"/>
  <c r="E40" i="15"/>
  <c r="D54" i="15"/>
  <c r="U12" i="18" l="1"/>
  <c r="O12" i="18"/>
  <c r="FN62" i="17"/>
  <c r="FO58" i="17"/>
  <c r="FO62" i="17" s="1"/>
  <c r="FQ58" i="17"/>
  <c r="FO30" i="17"/>
  <c r="FO43" i="17" s="1"/>
  <c r="FN43" i="17"/>
  <c r="FN71" i="17" s="1"/>
  <c r="FQ30" i="17"/>
  <c r="HN27" i="17"/>
  <c r="HN71" i="17" s="1"/>
  <c r="HN3" i="17" s="1"/>
  <c r="HN4" i="17" s="1"/>
  <c r="HD62" i="17"/>
  <c r="HG62" i="17" s="1"/>
  <c r="HG61" i="17"/>
  <c r="HD68" i="17"/>
  <c r="HG68" i="17" s="1"/>
  <c r="HG67" i="17"/>
  <c r="HD27" i="17"/>
  <c r="HG27" i="17" s="1"/>
  <c r="HG22" i="17"/>
  <c r="FR50" i="17"/>
  <c r="FT50" i="17"/>
  <c r="FR34" i="17"/>
  <c r="FT34" i="17"/>
  <c r="FR49" i="17"/>
  <c r="FT49" i="17"/>
  <c r="FR41" i="17"/>
  <c r="FT41" i="17"/>
  <c r="FR67" i="17"/>
  <c r="FT67" i="17"/>
  <c r="FR38" i="17"/>
  <c r="FT38" i="17"/>
  <c r="FR59" i="17"/>
  <c r="FT59" i="17"/>
  <c r="FR12" i="17"/>
  <c r="FT12" i="17"/>
  <c r="FR52" i="17"/>
  <c r="FT52" i="17"/>
  <c r="FR32" i="17"/>
  <c r="FT32" i="17"/>
  <c r="FR53" i="17"/>
  <c r="FT53" i="17"/>
  <c r="FR25" i="17"/>
  <c r="FT25" i="17"/>
  <c r="FR24" i="17"/>
  <c r="FT24" i="17"/>
  <c r="FR60" i="17"/>
  <c r="FT60" i="17"/>
  <c r="FR66" i="17"/>
  <c r="FT66" i="17"/>
  <c r="FR36" i="17"/>
  <c r="FT36" i="17"/>
  <c r="FR13" i="17"/>
  <c r="FT13" i="17"/>
  <c r="FR26" i="17"/>
  <c r="FT26" i="17"/>
  <c r="FR31" i="17"/>
  <c r="FT31" i="17"/>
  <c r="FR51" i="17"/>
  <c r="FT51" i="17"/>
  <c r="FR23" i="17"/>
  <c r="FT23" i="17"/>
  <c r="FR15" i="17"/>
  <c r="FT15" i="17"/>
  <c r="FR16" i="17"/>
  <c r="FT16" i="17"/>
  <c r="FR35" i="17"/>
  <c r="FT35" i="17"/>
  <c r="FR14" i="17"/>
  <c r="FT14" i="17"/>
  <c r="FR47" i="17"/>
  <c r="FT47" i="17"/>
  <c r="FR61" i="17"/>
  <c r="FT61" i="17"/>
  <c r="FR37" i="17"/>
  <c r="FT37" i="17"/>
  <c r="FR17" i="17"/>
  <c r="FT17" i="17"/>
  <c r="ER3" i="17"/>
  <c r="ER4" i="17" s="1"/>
  <c r="EU71" i="17"/>
  <c r="EH3" i="17"/>
  <c r="EH4" i="17" s="1"/>
  <c r="EK71" i="17"/>
  <c r="DX3" i="17"/>
  <c r="DX4" i="17" s="1"/>
  <c r="EA71" i="17"/>
  <c r="Q12" i="18"/>
  <c r="R12" i="18"/>
  <c r="FQ68" i="17"/>
  <c r="FT68" i="17" s="1"/>
  <c r="AC68" i="17"/>
  <c r="AF68" i="17" s="1"/>
  <c r="AF66" i="17"/>
  <c r="AC55" i="17"/>
  <c r="AF55" i="17" s="1"/>
  <c r="AF46" i="17"/>
  <c r="I68" i="17"/>
  <c r="L68" i="17" s="1"/>
  <c r="L65" i="17"/>
  <c r="I43" i="17"/>
  <c r="L43" i="17" s="1"/>
  <c r="L30" i="17"/>
  <c r="FL62" i="17"/>
  <c r="FL68" i="17"/>
  <c r="FL27" i="17"/>
  <c r="FL43" i="17"/>
  <c r="FQ18" i="17"/>
  <c r="FT18" i="17" s="1"/>
  <c r="FQ55" i="17"/>
  <c r="FT55" i="17" s="1"/>
  <c r="FR22" i="17"/>
  <c r="FQ27" i="17"/>
  <c r="FT27" i="17" s="1"/>
  <c r="FQ62" i="17"/>
  <c r="FT62" i="17" s="1"/>
  <c r="R30" i="18"/>
  <c r="U41" i="18"/>
  <c r="U13" i="18"/>
  <c r="U16" i="18"/>
  <c r="Q30" i="18"/>
  <c r="U30" i="18"/>
  <c r="Q13" i="18"/>
  <c r="Q15" i="18" s="1"/>
  <c r="L4" i="20"/>
  <c r="L35" i="20" s="1"/>
  <c r="K35" i="20"/>
  <c r="R13" i="18"/>
  <c r="FL55" i="17"/>
  <c r="H55" i="17"/>
  <c r="I55" i="17"/>
  <c r="L55" i="17" s="1"/>
  <c r="HM71" i="17"/>
  <c r="FL18" i="17"/>
  <c r="FK71" i="17"/>
  <c r="FK3" i="17" s="1"/>
  <c r="Q41" i="18"/>
  <c r="R41" i="18"/>
  <c r="R16" i="18"/>
  <c r="Q16" i="18"/>
  <c r="HC71" i="17"/>
  <c r="HC3" i="17" s="1"/>
  <c r="DO71" i="17"/>
  <c r="DO3" i="17" s="1"/>
  <c r="DO4" i="17" s="1"/>
  <c r="H27" i="17"/>
  <c r="I27" i="17"/>
  <c r="L27" i="17" s="1"/>
  <c r="H18" i="17"/>
  <c r="I18" i="17"/>
  <c r="L18" i="17" s="1"/>
  <c r="E40" i="16"/>
  <c r="HP30" i="15"/>
  <c r="HP31" i="15"/>
  <c r="HP34" i="15"/>
  <c r="HP36" i="15"/>
  <c r="HP37" i="15"/>
  <c r="HP38" i="15"/>
  <c r="HP39" i="15"/>
  <c r="HP41" i="15"/>
  <c r="EQ39" i="15"/>
  <c r="EQ37" i="15"/>
  <c r="EQ31" i="15"/>
  <c r="EQ30" i="15"/>
  <c r="EC37" i="15"/>
  <c r="EC36" i="15"/>
  <c r="CM36" i="15"/>
  <c r="CT37" i="15"/>
  <c r="CT36" i="15"/>
  <c r="CT31" i="15"/>
  <c r="CT30" i="15"/>
  <c r="CM31" i="15"/>
  <c r="CM30" i="15"/>
  <c r="CM39" i="15"/>
  <c r="CN39" i="15" s="1"/>
  <c r="CO39" i="15" s="1"/>
  <c r="CT39" i="15"/>
  <c r="CU39" i="15"/>
  <c r="CV39" i="15" s="1"/>
  <c r="CU40" i="15"/>
  <c r="AI39" i="15"/>
  <c r="AB39" i="15"/>
  <c r="U39" i="15"/>
  <c r="N39" i="15"/>
  <c r="G39" i="15"/>
  <c r="FZ35" i="15"/>
  <c r="GN34" i="15"/>
  <c r="FT30" i="17" l="1"/>
  <c r="FR30" i="17"/>
  <c r="FR43" i="17" s="1"/>
  <c r="FO71" i="17"/>
  <c r="FO3" i="17" s="1"/>
  <c r="FO4" i="17" s="1"/>
  <c r="FQ43" i="17"/>
  <c r="FT43" i="17" s="1"/>
  <c r="M42" i="18"/>
  <c r="N42" i="18" s="1"/>
  <c r="Q42" i="18" s="1"/>
  <c r="FN3" i="17"/>
  <c r="FN4" i="17" s="1"/>
  <c r="FT58" i="17"/>
  <c r="FR58" i="17"/>
  <c r="FR62" i="17" s="1"/>
  <c r="HD71" i="17"/>
  <c r="FR68" i="17"/>
  <c r="HM3" i="17"/>
  <c r="M27" i="18" s="1"/>
  <c r="N27" i="18" s="1"/>
  <c r="HP71" i="17"/>
  <c r="HD3" i="17"/>
  <c r="HD4" i="17" s="1"/>
  <c r="HG71" i="17"/>
  <c r="FR55" i="17"/>
  <c r="FR18" i="17"/>
  <c r="FR27" i="17"/>
  <c r="FL71" i="17"/>
  <c r="FL3" i="17" s="1"/>
  <c r="FL4" i="17" s="1"/>
  <c r="FK4" i="17"/>
  <c r="M25" i="18"/>
  <c r="N25" i="18" s="1"/>
  <c r="O25" i="18" s="1"/>
  <c r="HC4" i="17"/>
  <c r="H71" i="17"/>
  <c r="H3" i="17" s="1"/>
  <c r="H4" i="17" s="1"/>
  <c r="I71" i="17"/>
  <c r="HI6" i="15"/>
  <c r="HF67" i="15"/>
  <c r="HG66" i="15"/>
  <c r="HG65" i="15"/>
  <c r="HG64" i="15"/>
  <c r="HF61" i="15"/>
  <c r="HG60" i="15"/>
  <c r="HG59" i="15"/>
  <c r="HG58" i="15"/>
  <c r="HG57" i="15"/>
  <c r="HF54" i="15"/>
  <c r="HG53" i="15"/>
  <c r="HG52" i="15"/>
  <c r="HG51" i="15"/>
  <c r="HG50" i="15"/>
  <c r="HG49" i="15"/>
  <c r="HG48" i="15"/>
  <c r="HG47" i="15"/>
  <c r="HG46" i="15"/>
  <c r="HF43" i="15"/>
  <c r="HG42" i="15"/>
  <c r="HG41" i="15"/>
  <c r="HG39" i="15"/>
  <c r="HG38" i="15"/>
  <c r="HG37" i="15"/>
  <c r="HG36" i="15"/>
  <c r="HG35" i="15"/>
  <c r="HG34" i="15"/>
  <c r="HG33" i="15"/>
  <c r="HG32" i="15"/>
  <c r="HG31" i="15"/>
  <c r="HG30" i="15"/>
  <c r="HF27" i="15"/>
  <c r="HG26" i="15"/>
  <c r="HG25" i="15"/>
  <c r="HG24" i="15"/>
  <c r="HG23" i="15"/>
  <c r="HG22" i="15"/>
  <c r="HG21" i="15"/>
  <c r="HF18" i="15"/>
  <c r="HG17" i="15"/>
  <c r="HG16" i="15"/>
  <c r="HG15" i="15"/>
  <c r="HG14" i="15"/>
  <c r="HG13" i="15"/>
  <c r="HG12" i="15"/>
  <c r="HG11" i="15"/>
  <c r="HG10" i="15"/>
  <c r="HG9" i="15"/>
  <c r="HG2" i="15"/>
  <c r="HH24" i="15" s="1"/>
  <c r="R44" i="4"/>
  <c r="HJ2" i="15" s="1"/>
  <c r="HJ38" i="15" s="1"/>
  <c r="HK38" i="15" s="1"/>
  <c r="Q11" i="4"/>
  <c r="Q13" i="4" s="1"/>
  <c r="R13" i="4" s="1"/>
  <c r="EJ6" i="15"/>
  <c r="EG67" i="15"/>
  <c r="EH66" i="15"/>
  <c r="EH65" i="15"/>
  <c r="EH64" i="15"/>
  <c r="EG61" i="15"/>
  <c r="EH60" i="15"/>
  <c r="EH59" i="15"/>
  <c r="EH58" i="15"/>
  <c r="EH57" i="15"/>
  <c r="EG54" i="15"/>
  <c r="EH53" i="15"/>
  <c r="EH52" i="15"/>
  <c r="EH51" i="15"/>
  <c r="EH50" i="15"/>
  <c r="EH49" i="15"/>
  <c r="EH48" i="15"/>
  <c r="EH47" i="15"/>
  <c r="EH46" i="15"/>
  <c r="EG43" i="15"/>
  <c r="EH42" i="15"/>
  <c r="EH41" i="15"/>
  <c r="EH39" i="15"/>
  <c r="EH38" i="15"/>
  <c r="EH37" i="15"/>
  <c r="EH36" i="15"/>
  <c r="EH35" i="15"/>
  <c r="EH34" i="15"/>
  <c r="EH33" i="15"/>
  <c r="EH32" i="15"/>
  <c r="EH31" i="15"/>
  <c r="EH30" i="15"/>
  <c r="EG27" i="15"/>
  <c r="EH26" i="15"/>
  <c r="EH25" i="15"/>
  <c r="EH24" i="15"/>
  <c r="EH23" i="15"/>
  <c r="EH22" i="15"/>
  <c r="EH21" i="15"/>
  <c r="EG18" i="15"/>
  <c r="EH17" i="15"/>
  <c r="EH16" i="15"/>
  <c r="EH15" i="15"/>
  <c r="EH14" i="15"/>
  <c r="EH13" i="15"/>
  <c r="EH12" i="15"/>
  <c r="EH11" i="15"/>
  <c r="EH10" i="15"/>
  <c r="EH9" i="15"/>
  <c r="EH2" i="15"/>
  <c r="EI40" i="15" s="1"/>
  <c r="R28" i="4"/>
  <c r="EK2" i="15" s="1"/>
  <c r="EK66" i="15" s="1"/>
  <c r="EL66" i="15" s="1"/>
  <c r="DA6" i="15"/>
  <c r="CX67" i="15"/>
  <c r="CY66" i="15"/>
  <c r="CY65" i="15"/>
  <c r="CY64" i="15"/>
  <c r="CX61" i="15"/>
  <c r="CY60" i="15"/>
  <c r="CY59" i="15"/>
  <c r="CY58" i="15"/>
  <c r="CY57" i="15"/>
  <c r="CX54" i="15"/>
  <c r="CY53" i="15"/>
  <c r="CY52" i="15"/>
  <c r="CY51" i="15"/>
  <c r="CY50" i="15"/>
  <c r="CY49" i="15"/>
  <c r="CY48" i="15"/>
  <c r="CY47" i="15"/>
  <c r="CY46" i="15"/>
  <c r="CX43" i="15"/>
  <c r="CY42" i="15"/>
  <c r="CY41" i="15"/>
  <c r="CY39" i="15"/>
  <c r="CY38" i="15"/>
  <c r="CY37" i="15"/>
  <c r="CY36" i="15"/>
  <c r="CY35" i="15"/>
  <c r="CY34" i="15"/>
  <c r="CY33" i="15"/>
  <c r="CY32" i="15"/>
  <c r="CY31" i="15"/>
  <c r="CY30" i="15"/>
  <c r="CX27" i="15"/>
  <c r="CY26" i="15"/>
  <c r="CY25" i="15"/>
  <c r="CY24" i="15"/>
  <c r="CY23" i="15"/>
  <c r="CY22" i="15"/>
  <c r="CY21" i="15"/>
  <c r="CX18" i="15"/>
  <c r="CY17" i="15"/>
  <c r="CY16" i="15"/>
  <c r="CY15" i="15"/>
  <c r="CY14" i="15"/>
  <c r="CY13" i="15"/>
  <c r="CY12" i="15"/>
  <c r="CY11" i="15"/>
  <c r="CY10" i="15"/>
  <c r="CY9" i="15"/>
  <c r="CY2" i="15"/>
  <c r="CT6" i="15"/>
  <c r="CQ67" i="15"/>
  <c r="CR66" i="15"/>
  <c r="CR65" i="15"/>
  <c r="CR64" i="15"/>
  <c r="CQ61" i="15"/>
  <c r="CR60" i="15"/>
  <c r="CR59" i="15"/>
  <c r="CR58" i="15"/>
  <c r="CR57" i="15"/>
  <c r="CQ54" i="15"/>
  <c r="CR53" i="15"/>
  <c r="CR52" i="15"/>
  <c r="CR51" i="15"/>
  <c r="CR50" i="15"/>
  <c r="CR49" i="15"/>
  <c r="CR48" i="15"/>
  <c r="CR47" i="15"/>
  <c r="CR46" i="15"/>
  <c r="CQ43" i="15"/>
  <c r="CR42" i="15"/>
  <c r="CR41" i="15"/>
  <c r="CR40" i="15"/>
  <c r="CR39" i="15"/>
  <c r="CR38" i="15"/>
  <c r="CR37" i="15"/>
  <c r="CR36" i="15"/>
  <c r="CR35" i="15"/>
  <c r="CR34" i="15"/>
  <c r="CR33" i="15"/>
  <c r="CR32" i="15"/>
  <c r="CR31" i="15"/>
  <c r="CR30" i="15"/>
  <c r="CQ27" i="15"/>
  <c r="CR26" i="15"/>
  <c r="CR25" i="15"/>
  <c r="CR24" i="15"/>
  <c r="CR23" i="15"/>
  <c r="CR22" i="15"/>
  <c r="CR21" i="15"/>
  <c r="CQ18" i="15"/>
  <c r="CR17" i="15"/>
  <c r="CR16" i="15"/>
  <c r="CR15" i="15"/>
  <c r="CR14" i="15"/>
  <c r="CR13" i="15"/>
  <c r="CR12" i="15"/>
  <c r="CR11" i="15"/>
  <c r="CR10" i="15"/>
  <c r="CR9" i="15"/>
  <c r="CQ2" i="15"/>
  <c r="CR2" i="15" s="1"/>
  <c r="CM6" i="15"/>
  <c r="CJ67" i="15"/>
  <c r="CK66" i="15"/>
  <c r="CK65" i="15"/>
  <c r="CK64" i="15"/>
  <c r="CJ61" i="15"/>
  <c r="CK60" i="15"/>
  <c r="CK59" i="15"/>
  <c r="CK58" i="15"/>
  <c r="CK57" i="15"/>
  <c r="CJ54" i="15"/>
  <c r="CK53" i="15"/>
  <c r="CK52" i="15"/>
  <c r="CK51" i="15"/>
  <c r="CK50" i="15"/>
  <c r="CK49" i="15"/>
  <c r="CK48" i="15"/>
  <c r="CK47" i="15"/>
  <c r="CK46" i="15"/>
  <c r="CJ43" i="15"/>
  <c r="CK42" i="15"/>
  <c r="CK41" i="15"/>
  <c r="CK40" i="15"/>
  <c r="CK39" i="15"/>
  <c r="CK38" i="15"/>
  <c r="CK37" i="15"/>
  <c r="CK36" i="15"/>
  <c r="CK35" i="15"/>
  <c r="CK34" i="15"/>
  <c r="CK33" i="15"/>
  <c r="CK32" i="15"/>
  <c r="CK31" i="15"/>
  <c r="CK30" i="15"/>
  <c r="CJ27" i="15"/>
  <c r="CK26" i="15"/>
  <c r="CK25" i="15"/>
  <c r="CK24" i="15"/>
  <c r="CK23" i="15"/>
  <c r="CK22" i="15"/>
  <c r="CK21" i="15"/>
  <c r="CJ18" i="15"/>
  <c r="CK17" i="15"/>
  <c r="CK16" i="15"/>
  <c r="CK15" i="15"/>
  <c r="CK14" i="15"/>
  <c r="CK13" i="15"/>
  <c r="CK12" i="15"/>
  <c r="CK11" i="15"/>
  <c r="CK10" i="15"/>
  <c r="CK9" i="15"/>
  <c r="CJ2" i="15"/>
  <c r="CK2" i="15" s="1"/>
  <c r="CL46" i="15" s="1"/>
  <c r="CM46" i="15" s="1"/>
  <c r="EN60" i="15"/>
  <c r="EO40" i="15"/>
  <c r="EN33" i="15"/>
  <c r="HB6" i="15"/>
  <c r="GY67" i="15"/>
  <c r="GZ66" i="15"/>
  <c r="GZ65" i="15"/>
  <c r="GZ64" i="15"/>
  <c r="GY60" i="15"/>
  <c r="GY61" i="15" s="1"/>
  <c r="GZ59" i="15"/>
  <c r="GZ58" i="15"/>
  <c r="GZ57" i="15"/>
  <c r="GY54" i="15"/>
  <c r="GZ53" i="15"/>
  <c r="GZ52" i="15"/>
  <c r="GZ51" i="15"/>
  <c r="GZ50" i="15"/>
  <c r="GZ49" i="15"/>
  <c r="GZ48" i="15"/>
  <c r="GZ47" i="15"/>
  <c r="GZ46" i="15"/>
  <c r="GZ42" i="15"/>
  <c r="GZ41" i="15"/>
  <c r="GZ40" i="15"/>
  <c r="GZ39" i="15"/>
  <c r="GZ38" i="15"/>
  <c r="GZ37" i="15"/>
  <c r="GZ36" i="15"/>
  <c r="GZ35" i="15"/>
  <c r="GZ34" i="15"/>
  <c r="GY33" i="15"/>
  <c r="GZ33" i="15" s="1"/>
  <c r="GZ32" i="15"/>
  <c r="GZ31" i="15"/>
  <c r="GZ30" i="15"/>
  <c r="GY27" i="15"/>
  <c r="GZ26" i="15"/>
  <c r="GZ25" i="15"/>
  <c r="GZ24" i="15"/>
  <c r="GZ23" i="15"/>
  <c r="GZ22" i="15"/>
  <c r="GZ21" i="15"/>
  <c r="GY18" i="15"/>
  <c r="GZ17" i="15"/>
  <c r="GZ16" i="15"/>
  <c r="GZ15" i="15"/>
  <c r="GZ14" i="15"/>
  <c r="GZ13" i="15"/>
  <c r="GZ12" i="15"/>
  <c r="GZ11" i="15"/>
  <c r="GZ10" i="15"/>
  <c r="GZ9" i="15"/>
  <c r="GZ2" i="15"/>
  <c r="DE60" i="15"/>
  <c r="DF40" i="15"/>
  <c r="DE33" i="15"/>
  <c r="HP6" i="15"/>
  <c r="HM67" i="15"/>
  <c r="HN66" i="15"/>
  <c r="HN65" i="15"/>
  <c r="HN64" i="15"/>
  <c r="HM61" i="15"/>
  <c r="HN60" i="15"/>
  <c r="HN59" i="15"/>
  <c r="HN58" i="15"/>
  <c r="HN57" i="15"/>
  <c r="HM54" i="15"/>
  <c r="HN53" i="15"/>
  <c r="HN52" i="15"/>
  <c r="HN51" i="15"/>
  <c r="HN50" i="15"/>
  <c r="HN49" i="15"/>
  <c r="HN48" i="15"/>
  <c r="HN47" i="15"/>
  <c r="HN46" i="15"/>
  <c r="HM43" i="15"/>
  <c r="HN42" i="15"/>
  <c r="HN41" i="15"/>
  <c r="HN39" i="15"/>
  <c r="HN38" i="15"/>
  <c r="HN37" i="15"/>
  <c r="HN36" i="15"/>
  <c r="HN35" i="15"/>
  <c r="HN34" i="15"/>
  <c r="HN33" i="15"/>
  <c r="HN32" i="15"/>
  <c r="HN31" i="15"/>
  <c r="HN30" i="15"/>
  <c r="HM27" i="15"/>
  <c r="HN26" i="15"/>
  <c r="HN25" i="15"/>
  <c r="HN24" i="15"/>
  <c r="HN23" i="15"/>
  <c r="HN22" i="15"/>
  <c r="HN21" i="15"/>
  <c r="HM18" i="15"/>
  <c r="HN17" i="15"/>
  <c r="HN16" i="15"/>
  <c r="HN15" i="15"/>
  <c r="HN14" i="15"/>
  <c r="HN13" i="15"/>
  <c r="HN12" i="15"/>
  <c r="HN11" i="15"/>
  <c r="HN10" i="15"/>
  <c r="HN9" i="15"/>
  <c r="HN2" i="15"/>
  <c r="HO49" i="15" s="1"/>
  <c r="HP49" i="15" s="1"/>
  <c r="GU6" i="15"/>
  <c r="GR67" i="15"/>
  <c r="GS66" i="15"/>
  <c r="GS65" i="15"/>
  <c r="GS64" i="15"/>
  <c r="GR61" i="15"/>
  <c r="GS60" i="15"/>
  <c r="GS59" i="15"/>
  <c r="GS58" i="15"/>
  <c r="GS57" i="15"/>
  <c r="GR54" i="15"/>
  <c r="GS53" i="15"/>
  <c r="GS52" i="15"/>
  <c r="GS51" i="15"/>
  <c r="GS50" i="15"/>
  <c r="GS49" i="15"/>
  <c r="GS48" i="15"/>
  <c r="GS47" i="15"/>
  <c r="GS46" i="15"/>
  <c r="GR43" i="15"/>
  <c r="GS42" i="15"/>
  <c r="GS41" i="15"/>
  <c r="GS39" i="15"/>
  <c r="GS38" i="15"/>
  <c r="GS37" i="15"/>
  <c r="GS36" i="15"/>
  <c r="GS35" i="15"/>
  <c r="GS34" i="15"/>
  <c r="GS33" i="15"/>
  <c r="GS32" i="15"/>
  <c r="GS31" i="15"/>
  <c r="GS30" i="15"/>
  <c r="GR27" i="15"/>
  <c r="GS26" i="15"/>
  <c r="GS25" i="15"/>
  <c r="GS24" i="15"/>
  <c r="GS23" i="15"/>
  <c r="GS22" i="15"/>
  <c r="GS21" i="15"/>
  <c r="GR18" i="15"/>
  <c r="GS17" i="15"/>
  <c r="GS16" i="15"/>
  <c r="GS15" i="15"/>
  <c r="GS14" i="15"/>
  <c r="GS13" i="15"/>
  <c r="GS12" i="15"/>
  <c r="GS11" i="15"/>
  <c r="GS10" i="15"/>
  <c r="GS9" i="15"/>
  <c r="GS2" i="15"/>
  <c r="FZ6" i="15"/>
  <c r="FW67" i="15"/>
  <c r="FX66" i="15"/>
  <c r="FX65" i="15"/>
  <c r="FX64" i="15"/>
  <c r="FW61" i="15"/>
  <c r="FX60" i="15"/>
  <c r="FX59" i="15"/>
  <c r="FX58" i="15"/>
  <c r="FX57" i="15"/>
  <c r="FW54" i="15"/>
  <c r="FX53" i="15"/>
  <c r="FX52" i="15"/>
  <c r="FX51" i="15"/>
  <c r="FX50" i="15"/>
  <c r="FX49" i="15"/>
  <c r="FX48" i="15"/>
  <c r="FX47" i="15"/>
  <c r="FX46" i="15"/>
  <c r="FW43" i="15"/>
  <c r="FX42" i="15"/>
  <c r="FX41" i="15"/>
  <c r="FX39" i="15"/>
  <c r="FX38" i="15"/>
  <c r="FX37" i="15"/>
  <c r="FX36" i="15"/>
  <c r="FX35" i="15"/>
  <c r="FX34" i="15"/>
  <c r="FX33" i="15"/>
  <c r="FX32" i="15"/>
  <c r="FX31" i="15"/>
  <c r="FX30" i="15"/>
  <c r="FW27" i="15"/>
  <c r="FX26" i="15"/>
  <c r="FX25" i="15"/>
  <c r="FX24" i="15"/>
  <c r="FX23" i="15"/>
  <c r="FX22" i="15"/>
  <c r="FX21" i="15"/>
  <c r="FW18" i="15"/>
  <c r="FX17" i="15"/>
  <c r="FX16" i="15"/>
  <c r="FX15" i="15"/>
  <c r="FX14" i="15"/>
  <c r="FX13" i="15"/>
  <c r="FY13" i="15" s="1"/>
  <c r="FZ13" i="15" s="1"/>
  <c r="FX12" i="15"/>
  <c r="FX11" i="15"/>
  <c r="FX10" i="15"/>
  <c r="FX9" i="15"/>
  <c r="FX2" i="15"/>
  <c r="FY40" i="15" s="1"/>
  <c r="EC6" i="15"/>
  <c r="DZ67" i="15"/>
  <c r="EA66" i="15"/>
  <c r="EA65" i="15"/>
  <c r="EA64" i="15"/>
  <c r="DZ61" i="15"/>
  <c r="EA60" i="15"/>
  <c r="EA59" i="15"/>
  <c r="EA58" i="15"/>
  <c r="EA57" i="15"/>
  <c r="DZ54" i="15"/>
  <c r="EA53" i="15"/>
  <c r="EA52" i="15"/>
  <c r="EA51" i="15"/>
  <c r="EA50" i="15"/>
  <c r="EA49" i="15"/>
  <c r="EA48" i="15"/>
  <c r="EA47" i="15"/>
  <c r="EA46" i="15"/>
  <c r="DZ43" i="15"/>
  <c r="EA42" i="15"/>
  <c r="EA41" i="15"/>
  <c r="EA40" i="15"/>
  <c r="EA39" i="15"/>
  <c r="EA38" i="15"/>
  <c r="EA37" i="15"/>
  <c r="EA36" i="15"/>
  <c r="EA35" i="15"/>
  <c r="EA34" i="15"/>
  <c r="EA33" i="15"/>
  <c r="EA32" i="15"/>
  <c r="EA31" i="15"/>
  <c r="EA30" i="15"/>
  <c r="DZ27" i="15"/>
  <c r="EA26" i="15"/>
  <c r="EA25" i="15"/>
  <c r="EA24" i="15"/>
  <c r="EA23" i="15"/>
  <c r="EA22" i="15"/>
  <c r="EA21" i="15"/>
  <c r="DZ18" i="15"/>
  <c r="EA17" i="15"/>
  <c r="EA16" i="15"/>
  <c r="EA15" i="15"/>
  <c r="EA14" i="15"/>
  <c r="EA13" i="15"/>
  <c r="EA12" i="15"/>
  <c r="EA11" i="15"/>
  <c r="EA10" i="15"/>
  <c r="EA9" i="15"/>
  <c r="DZ2" i="15"/>
  <c r="EA2" i="15" s="1"/>
  <c r="FQ71" i="17" l="1"/>
  <c r="U27" i="18"/>
  <c r="O27" i="18"/>
  <c r="U42" i="18"/>
  <c r="FT71" i="17"/>
  <c r="FQ3" i="17"/>
  <c r="FQ4" i="17" s="1"/>
  <c r="R42" i="18"/>
  <c r="Q27" i="18"/>
  <c r="R27" i="18"/>
  <c r="HM4" i="17"/>
  <c r="FR71" i="17"/>
  <c r="FR3" i="17" s="1"/>
  <c r="FR4" i="17" s="1"/>
  <c r="I3" i="17"/>
  <c r="I4" i="17" s="1"/>
  <c r="L71" i="17"/>
  <c r="U25" i="18"/>
  <c r="R25" i="18"/>
  <c r="Q25" i="18"/>
  <c r="M4" i="18"/>
  <c r="EI17" i="15"/>
  <c r="EI37" i="15"/>
  <c r="EI48" i="15"/>
  <c r="EI58" i="15"/>
  <c r="EI10" i="15"/>
  <c r="EI30" i="15"/>
  <c r="EI38" i="15"/>
  <c r="EI49" i="15"/>
  <c r="EI59" i="15"/>
  <c r="CZ53" i="15"/>
  <c r="CZ65" i="15"/>
  <c r="EI11" i="15"/>
  <c r="EI31" i="15"/>
  <c r="EI39" i="15"/>
  <c r="EI50" i="15"/>
  <c r="EI60" i="15"/>
  <c r="HO46" i="15"/>
  <c r="HP46" i="15" s="1"/>
  <c r="CS12" i="15"/>
  <c r="CT12" i="15" s="1"/>
  <c r="CS22" i="15"/>
  <c r="CT22" i="15" s="1"/>
  <c r="CS32" i="15"/>
  <c r="CT32" i="15" s="1"/>
  <c r="CS40" i="15"/>
  <c r="CS60" i="15"/>
  <c r="CT60" i="15" s="1"/>
  <c r="EH67" i="15"/>
  <c r="HH30" i="15"/>
  <c r="HH38" i="15"/>
  <c r="HH49" i="15"/>
  <c r="HH59" i="15"/>
  <c r="CK18" i="15"/>
  <c r="CK54" i="15"/>
  <c r="CY27" i="15"/>
  <c r="EG70" i="15"/>
  <c r="EG3" i="15" s="1"/>
  <c r="EG4" i="15" s="1"/>
  <c r="EH27" i="15"/>
  <c r="CQ70" i="15"/>
  <c r="CQ3" i="15" s="1"/>
  <c r="CQ4" i="15" s="1"/>
  <c r="HH16" i="15"/>
  <c r="CZ38" i="15"/>
  <c r="HH48" i="15"/>
  <c r="HH58" i="15"/>
  <c r="CL21" i="15"/>
  <c r="CL49" i="15"/>
  <c r="CM49" i="15" s="1"/>
  <c r="CL59" i="15"/>
  <c r="CM59" i="15" s="1"/>
  <c r="CS23" i="15"/>
  <c r="CT23" i="15" s="1"/>
  <c r="CS33" i="15"/>
  <c r="CT33" i="15" s="1"/>
  <c r="CS41" i="15"/>
  <c r="CT41" i="15" s="1"/>
  <c r="CR54" i="15"/>
  <c r="CY18" i="15"/>
  <c r="CZ47" i="15"/>
  <c r="CY61" i="15"/>
  <c r="EI12" i="15"/>
  <c r="EI22" i="15"/>
  <c r="EI32" i="15"/>
  <c r="EI41" i="15"/>
  <c r="EI51" i="15"/>
  <c r="HH50" i="15"/>
  <c r="HH60" i="15"/>
  <c r="CJ70" i="15"/>
  <c r="CJ3" i="15" s="1"/>
  <c r="CJ4" i="15" s="1"/>
  <c r="HF70" i="15"/>
  <c r="HF3" i="15" s="1"/>
  <c r="HF4" i="15" s="1"/>
  <c r="CK43" i="15"/>
  <c r="CL40" i="15"/>
  <c r="CL50" i="15"/>
  <c r="CM50" i="15" s="1"/>
  <c r="CR67" i="15"/>
  <c r="CX70" i="15"/>
  <c r="CX3" i="15" s="1"/>
  <c r="CX4" i="15" s="1"/>
  <c r="CZ48" i="15"/>
  <c r="CZ58" i="15"/>
  <c r="EI13" i="15"/>
  <c r="EI23" i="15"/>
  <c r="EI33" i="15"/>
  <c r="EI42" i="15"/>
  <c r="EI52" i="15"/>
  <c r="EI64" i="15"/>
  <c r="HH12" i="15"/>
  <c r="HH22" i="15"/>
  <c r="HH32" i="15"/>
  <c r="HH41" i="15"/>
  <c r="HH51" i="15"/>
  <c r="CL57" i="15"/>
  <c r="CM57" i="15" s="1"/>
  <c r="CL13" i="15"/>
  <c r="CM13" i="15" s="1"/>
  <c r="CL51" i="15"/>
  <c r="CM51" i="15" s="1"/>
  <c r="CY43" i="15"/>
  <c r="CZ49" i="15"/>
  <c r="CZ59" i="15"/>
  <c r="EI14" i="15"/>
  <c r="EI24" i="15"/>
  <c r="EI34" i="15"/>
  <c r="EI53" i="15"/>
  <c r="HH42" i="15"/>
  <c r="HH52" i="15"/>
  <c r="HH64" i="15"/>
  <c r="CY54" i="15"/>
  <c r="HG18" i="15"/>
  <c r="FY10" i="15"/>
  <c r="FZ10" i="15" s="1"/>
  <c r="HO12" i="15"/>
  <c r="HP12" i="15" s="1"/>
  <c r="CL14" i="15"/>
  <c r="CM14" i="15" s="1"/>
  <c r="CL34" i="15"/>
  <c r="CM34" i="15" s="1"/>
  <c r="CL42" i="15"/>
  <c r="CL52" i="15"/>
  <c r="CM52" i="15" s="1"/>
  <c r="CL64" i="15"/>
  <c r="CM64" i="15" s="1"/>
  <c r="CS16" i="15"/>
  <c r="CT16" i="15" s="1"/>
  <c r="CS26" i="15"/>
  <c r="CT26" i="15" s="1"/>
  <c r="CS36" i="15"/>
  <c r="CS66" i="15"/>
  <c r="CT66" i="15" s="1"/>
  <c r="CZ50" i="15"/>
  <c r="CZ60" i="15"/>
  <c r="EI15" i="15"/>
  <c r="EI25" i="15"/>
  <c r="EI35" i="15"/>
  <c r="EH54" i="15"/>
  <c r="EI66" i="15"/>
  <c r="HH14" i="15"/>
  <c r="HH34" i="15"/>
  <c r="HH53" i="15"/>
  <c r="HH65" i="15"/>
  <c r="CL58" i="15"/>
  <c r="CM58" i="15" s="1"/>
  <c r="CZ66" i="15"/>
  <c r="HA15" i="15"/>
  <c r="HB15" i="15" s="1"/>
  <c r="HA25" i="15"/>
  <c r="HB25" i="15" s="1"/>
  <c r="HA35" i="15"/>
  <c r="GY43" i="15"/>
  <c r="GY70" i="15" s="1"/>
  <c r="GY3" i="15" s="1"/>
  <c r="GY4" i="15" s="1"/>
  <c r="HA53" i="15"/>
  <c r="HB53" i="15" s="1"/>
  <c r="CL25" i="15"/>
  <c r="CM25" i="15" s="1"/>
  <c r="CL35" i="15"/>
  <c r="CM35" i="15" s="1"/>
  <c r="CL65" i="15"/>
  <c r="CM65" i="15" s="1"/>
  <c r="CS37" i="15"/>
  <c r="CS47" i="15"/>
  <c r="CT47" i="15" s="1"/>
  <c r="CZ41" i="15"/>
  <c r="CZ51" i="15"/>
  <c r="EI16" i="15"/>
  <c r="EI26" i="15"/>
  <c r="EI36" i="15"/>
  <c r="EI47" i="15"/>
  <c r="EH61" i="15"/>
  <c r="HG54" i="15"/>
  <c r="HH66" i="15"/>
  <c r="CL10" i="15"/>
  <c r="CM10" i="15" s="1"/>
  <c r="HO34" i="15"/>
  <c r="HA58" i="15"/>
  <c r="HB58" i="15" s="1"/>
  <c r="CL36" i="15"/>
  <c r="CL66" i="15"/>
  <c r="CM66" i="15" s="1"/>
  <c r="CR18" i="15"/>
  <c r="CS30" i="15"/>
  <c r="CS38" i="15"/>
  <c r="CT38" i="15" s="1"/>
  <c r="CS48" i="15"/>
  <c r="CT48" i="15" s="1"/>
  <c r="CS58" i="15"/>
  <c r="CT58" i="15" s="1"/>
  <c r="CZ42" i="15"/>
  <c r="CZ52" i="15"/>
  <c r="CZ64" i="15"/>
  <c r="EH18" i="15"/>
  <c r="HH26" i="15"/>
  <c r="HH36" i="15"/>
  <c r="HH47" i="15"/>
  <c r="HG61" i="15"/>
  <c r="HG43" i="15"/>
  <c r="HH57" i="15"/>
  <c r="HG67" i="15"/>
  <c r="HH9" i="15"/>
  <c r="HH11" i="15"/>
  <c r="HH13" i="15"/>
  <c r="HH15" i="15"/>
  <c r="HH17" i="15"/>
  <c r="HH21" i="15"/>
  <c r="HH23" i="15"/>
  <c r="HG27" i="15"/>
  <c r="HH31" i="15"/>
  <c r="HH33" i="15"/>
  <c r="HH35" i="15"/>
  <c r="HH37" i="15"/>
  <c r="HH39" i="15"/>
  <c r="HJ41" i="15"/>
  <c r="HK41" i="15" s="1"/>
  <c r="HJ47" i="15"/>
  <c r="HK47" i="15" s="1"/>
  <c r="HJ49" i="15"/>
  <c r="HK49" i="15" s="1"/>
  <c r="HJ51" i="15"/>
  <c r="HK51" i="15" s="1"/>
  <c r="HJ53" i="15"/>
  <c r="HK53" i="15" s="1"/>
  <c r="HJ57" i="15"/>
  <c r="HJ59" i="15"/>
  <c r="HK59" i="15" s="1"/>
  <c r="HJ65" i="15"/>
  <c r="HK65" i="15" s="1"/>
  <c r="HH25" i="15"/>
  <c r="HJ9" i="15"/>
  <c r="HJ11" i="15"/>
  <c r="HK11" i="15" s="1"/>
  <c r="HJ13" i="15"/>
  <c r="HK13" i="15" s="1"/>
  <c r="HJ15" i="15"/>
  <c r="HK15" i="15" s="1"/>
  <c r="HJ17" i="15"/>
  <c r="HK17" i="15" s="1"/>
  <c r="HJ21" i="15"/>
  <c r="HJ23" i="15"/>
  <c r="HK23" i="15" s="1"/>
  <c r="HJ25" i="15"/>
  <c r="HK25" i="15" s="1"/>
  <c r="HJ31" i="15"/>
  <c r="HK31" i="15" s="1"/>
  <c r="HJ33" i="15"/>
  <c r="HK33" i="15" s="1"/>
  <c r="HJ35" i="15"/>
  <c r="HK35" i="15" s="1"/>
  <c r="HJ37" i="15"/>
  <c r="HK37" i="15" s="1"/>
  <c r="HJ39" i="15"/>
  <c r="HK39" i="15" s="1"/>
  <c r="HH40" i="15"/>
  <c r="HH46" i="15"/>
  <c r="HH10" i="15"/>
  <c r="HJ40" i="15"/>
  <c r="HK40" i="15" s="1"/>
  <c r="HJ42" i="15"/>
  <c r="HK42" i="15" s="1"/>
  <c r="HJ46" i="15"/>
  <c r="HJ48" i="15"/>
  <c r="HK48" i="15" s="1"/>
  <c r="HJ50" i="15"/>
  <c r="HK50" i="15" s="1"/>
  <c r="HJ52" i="15"/>
  <c r="HK52" i="15" s="1"/>
  <c r="HJ58" i="15"/>
  <c r="HK58" i="15" s="1"/>
  <c r="HJ60" i="15"/>
  <c r="HK60" i="15" s="1"/>
  <c r="HJ64" i="15"/>
  <c r="HJ66" i="15"/>
  <c r="HK66" i="15" s="1"/>
  <c r="HK2" i="15"/>
  <c r="HJ10" i="15"/>
  <c r="HK10" i="15" s="1"/>
  <c r="HJ12" i="15"/>
  <c r="HK12" i="15" s="1"/>
  <c r="HJ14" i="15"/>
  <c r="HK14" i="15" s="1"/>
  <c r="HJ16" i="15"/>
  <c r="HK16" i="15" s="1"/>
  <c r="HJ22" i="15"/>
  <c r="HK22" i="15" s="1"/>
  <c r="HJ24" i="15"/>
  <c r="HK24" i="15" s="1"/>
  <c r="HJ26" i="15"/>
  <c r="HK26" i="15" s="1"/>
  <c r="HJ30" i="15"/>
  <c r="HJ32" i="15"/>
  <c r="HK32" i="15" s="1"/>
  <c r="HJ34" i="15"/>
  <c r="HK34" i="15" s="1"/>
  <c r="HJ36" i="15"/>
  <c r="HK36" i="15" s="1"/>
  <c r="EK12" i="15"/>
  <c r="EL12" i="15" s="1"/>
  <c r="EK16" i="15"/>
  <c r="EL16" i="15" s="1"/>
  <c r="EK31" i="15"/>
  <c r="EL31" i="15" s="1"/>
  <c r="EK49" i="15"/>
  <c r="EL49" i="15" s="1"/>
  <c r="EK53" i="15"/>
  <c r="EL53" i="15" s="1"/>
  <c r="EK59" i="15"/>
  <c r="EL59" i="15" s="1"/>
  <c r="EK26" i="15"/>
  <c r="EL26" i="15" s="1"/>
  <c r="EK38" i="15"/>
  <c r="EL38" i="15" s="1"/>
  <c r="EK32" i="15"/>
  <c r="EL32" i="15" s="1"/>
  <c r="EK10" i="15"/>
  <c r="EL10" i="15" s="1"/>
  <c r="EK14" i="15"/>
  <c r="EL14" i="15" s="1"/>
  <c r="EK24" i="15"/>
  <c r="EL24" i="15" s="1"/>
  <c r="EK36" i="15"/>
  <c r="EL36" i="15" s="1"/>
  <c r="EK39" i="15"/>
  <c r="EL39" i="15" s="1"/>
  <c r="EK47" i="15"/>
  <c r="EL47" i="15" s="1"/>
  <c r="EK51" i="15"/>
  <c r="EL51" i="15" s="1"/>
  <c r="EK57" i="15"/>
  <c r="EL57" i="15" s="1"/>
  <c r="EK9" i="15"/>
  <c r="EK13" i="15"/>
  <c r="EL13" i="15" s="1"/>
  <c r="EK17" i="15"/>
  <c r="EL17" i="15" s="1"/>
  <c r="EK23" i="15"/>
  <c r="EL23" i="15" s="1"/>
  <c r="EK35" i="15"/>
  <c r="EL35" i="15" s="1"/>
  <c r="EK21" i="15"/>
  <c r="EK30" i="15"/>
  <c r="EL30" i="15" s="1"/>
  <c r="EK33" i="15"/>
  <c r="EL33" i="15" s="1"/>
  <c r="EK11" i="15"/>
  <c r="EL11" i="15" s="1"/>
  <c r="EK15" i="15"/>
  <c r="EL15" i="15" s="1"/>
  <c r="EK41" i="15"/>
  <c r="EL41" i="15" s="1"/>
  <c r="EL2" i="15"/>
  <c r="EK22" i="15"/>
  <c r="EL22" i="15" s="1"/>
  <c r="EK25" i="15"/>
  <c r="EL25" i="15" s="1"/>
  <c r="EK34" i="15"/>
  <c r="EL34" i="15" s="1"/>
  <c r="EK37" i="15"/>
  <c r="EL37" i="15" s="1"/>
  <c r="EH43" i="15"/>
  <c r="EI57" i="15"/>
  <c r="EI65" i="15"/>
  <c r="EI9" i="15"/>
  <c r="EI21" i="15"/>
  <c r="EK65" i="15"/>
  <c r="EL65" i="15" s="1"/>
  <c r="EI46" i="15"/>
  <c r="EK40" i="15"/>
  <c r="EL40" i="15" s="1"/>
  <c r="EK42" i="15"/>
  <c r="EL42" i="15" s="1"/>
  <c r="EK46" i="15"/>
  <c r="EK48" i="15"/>
  <c r="EL48" i="15" s="1"/>
  <c r="EK50" i="15"/>
  <c r="EL50" i="15" s="1"/>
  <c r="EK52" i="15"/>
  <c r="EL52" i="15" s="1"/>
  <c r="EK58" i="15"/>
  <c r="EL58" i="15" s="1"/>
  <c r="EK60" i="15"/>
  <c r="EL60" i="15" s="1"/>
  <c r="EK64" i="15"/>
  <c r="CZ57" i="15"/>
  <c r="CY67" i="15"/>
  <c r="CZ9" i="15"/>
  <c r="CZ11" i="15"/>
  <c r="CZ13" i="15"/>
  <c r="CZ15" i="15"/>
  <c r="CZ17" i="15"/>
  <c r="CZ21" i="15"/>
  <c r="CZ23" i="15"/>
  <c r="CZ25" i="15"/>
  <c r="CZ31" i="15"/>
  <c r="CZ33" i="15"/>
  <c r="CZ35" i="15"/>
  <c r="CZ37" i="15"/>
  <c r="CZ39" i="15"/>
  <c r="CZ40" i="15"/>
  <c r="CZ46" i="15"/>
  <c r="CZ10" i="15"/>
  <c r="CZ12" i="15"/>
  <c r="CZ14" i="15"/>
  <c r="CZ16" i="15"/>
  <c r="CZ22" i="15"/>
  <c r="CZ24" i="15"/>
  <c r="CZ26" i="15"/>
  <c r="CZ30" i="15"/>
  <c r="CZ32" i="15"/>
  <c r="CZ34" i="15"/>
  <c r="CZ36" i="15"/>
  <c r="CS11" i="15"/>
  <c r="CS21" i="15"/>
  <c r="CS59" i="15"/>
  <c r="CT59" i="15" s="1"/>
  <c r="CS46" i="15"/>
  <c r="CT46" i="15" s="1"/>
  <c r="CS39" i="15"/>
  <c r="CS31" i="15"/>
  <c r="CS24" i="15"/>
  <c r="CT24" i="15" s="1"/>
  <c r="CS17" i="15"/>
  <c r="CT17" i="15" s="1"/>
  <c r="CS9" i="15"/>
  <c r="CT9" i="15" s="1"/>
  <c r="CS49" i="15"/>
  <c r="CT49" i="15" s="1"/>
  <c r="CS50" i="15"/>
  <c r="CT50" i="15" s="1"/>
  <c r="CS35" i="15"/>
  <c r="CT35" i="15" s="1"/>
  <c r="CS64" i="15"/>
  <c r="CT64" i="15" s="1"/>
  <c r="CS57" i="15"/>
  <c r="CT57" i="15" s="1"/>
  <c r="CS13" i="15"/>
  <c r="CT13" i="15" s="1"/>
  <c r="CS14" i="15"/>
  <c r="CT14" i="15" s="1"/>
  <c r="CS34" i="15"/>
  <c r="CT34" i="15" s="1"/>
  <c r="CS42" i="15"/>
  <c r="CS52" i="15"/>
  <c r="CT52" i="15" s="1"/>
  <c r="CS15" i="15"/>
  <c r="CT15" i="15" s="1"/>
  <c r="CS25" i="15"/>
  <c r="CT25" i="15" s="1"/>
  <c r="CS53" i="15"/>
  <c r="CT53" i="15" s="1"/>
  <c r="CS65" i="15"/>
  <c r="CT65" i="15" s="1"/>
  <c r="CS51" i="15"/>
  <c r="CT51" i="15" s="1"/>
  <c r="CS10" i="15"/>
  <c r="CT10" i="15" s="1"/>
  <c r="CR43" i="15"/>
  <c r="CR27" i="15"/>
  <c r="CR61" i="15"/>
  <c r="CL53" i="15"/>
  <c r="CM53" i="15" s="1"/>
  <c r="CL60" i="15"/>
  <c r="CM60" i="15" s="1"/>
  <c r="CL24" i="15"/>
  <c r="CM24" i="15" s="1"/>
  <c r="CK61" i="15"/>
  <c r="CL11" i="15"/>
  <c r="CL26" i="15"/>
  <c r="CM26" i="15" s="1"/>
  <c r="CL33" i="15"/>
  <c r="CM33" i="15" s="1"/>
  <c r="CL41" i="15"/>
  <c r="CM41" i="15" s="1"/>
  <c r="CL48" i="15"/>
  <c r="CM48" i="15" s="1"/>
  <c r="CK67" i="15"/>
  <c r="CL32" i="15"/>
  <c r="CM32" i="15" s="1"/>
  <c r="CL47" i="15"/>
  <c r="CM47" i="15" s="1"/>
  <c r="CL23" i="15"/>
  <c r="CM23" i="15" s="1"/>
  <c r="CL15" i="15"/>
  <c r="CM15" i="15" s="1"/>
  <c r="CL22" i="15"/>
  <c r="CM22" i="15" s="1"/>
  <c r="CL37" i="15"/>
  <c r="CM37" i="15" s="1"/>
  <c r="CL16" i="15"/>
  <c r="CM16" i="15" s="1"/>
  <c r="CL30" i="15"/>
  <c r="CL38" i="15"/>
  <c r="CM38" i="15" s="1"/>
  <c r="CL12" i="15"/>
  <c r="CM12" i="15" s="1"/>
  <c r="CK27" i="15"/>
  <c r="CL9" i="15"/>
  <c r="CM9" i="15" s="1"/>
  <c r="CL17" i="15"/>
  <c r="CM17" i="15" s="1"/>
  <c r="CL31" i="15"/>
  <c r="CL39" i="15"/>
  <c r="HA36" i="15"/>
  <c r="HB36" i="15" s="1"/>
  <c r="GT21" i="15"/>
  <c r="HO47" i="15"/>
  <c r="HP47" i="15" s="1"/>
  <c r="HA9" i="15"/>
  <c r="HB9" i="15" s="1"/>
  <c r="HA17" i="15"/>
  <c r="HA37" i="15"/>
  <c r="HA26" i="15"/>
  <c r="HB26" i="15" s="1"/>
  <c r="FY15" i="15"/>
  <c r="FZ15" i="15" s="1"/>
  <c r="HO37" i="15"/>
  <c r="HA10" i="15"/>
  <c r="HB10" i="15" s="1"/>
  <c r="GZ43" i="15"/>
  <c r="HA38" i="15"/>
  <c r="HB38" i="15" s="1"/>
  <c r="FY16" i="15"/>
  <c r="FZ16" i="15" s="1"/>
  <c r="FY36" i="15"/>
  <c r="FZ36" i="15" s="1"/>
  <c r="HA11" i="15"/>
  <c r="HA21" i="15"/>
  <c r="HA31" i="15"/>
  <c r="HA39" i="15"/>
  <c r="HB39" i="15" s="1"/>
  <c r="HA49" i="15"/>
  <c r="HB49" i="15" s="1"/>
  <c r="HA59" i="15"/>
  <c r="HB59" i="15" s="1"/>
  <c r="GZ54" i="15"/>
  <c r="HO21" i="15"/>
  <c r="HA12" i="15"/>
  <c r="HA22" i="15"/>
  <c r="HB22" i="15" s="1"/>
  <c r="HA32" i="15"/>
  <c r="HA50" i="15"/>
  <c r="HB50" i="15" s="1"/>
  <c r="HA13" i="15"/>
  <c r="HB13" i="15" s="1"/>
  <c r="HA33" i="15"/>
  <c r="HA51" i="15"/>
  <c r="HB51" i="15" s="1"/>
  <c r="GZ67" i="15"/>
  <c r="FY11" i="15"/>
  <c r="HA14" i="15"/>
  <c r="HB14" i="15" s="1"/>
  <c r="HA24" i="15"/>
  <c r="HB24" i="15" s="1"/>
  <c r="HA34" i="15"/>
  <c r="HB34" i="15" s="1"/>
  <c r="HA42" i="15"/>
  <c r="HA52" i="15"/>
  <c r="HB52" i="15" s="1"/>
  <c r="HA16" i="15"/>
  <c r="HB16" i="15" s="1"/>
  <c r="GZ18" i="15"/>
  <c r="HA57" i="15"/>
  <c r="HB57" i="15" s="1"/>
  <c r="HA40" i="15"/>
  <c r="HA47" i="15"/>
  <c r="HB47" i="15" s="1"/>
  <c r="HA64" i="15"/>
  <c r="HB64" i="15" s="1"/>
  <c r="HA65" i="15"/>
  <c r="HB65" i="15" s="1"/>
  <c r="GZ27" i="15"/>
  <c r="HA23" i="15"/>
  <c r="HB23" i="15" s="1"/>
  <c r="HA66" i="15"/>
  <c r="HB66" i="15" s="1"/>
  <c r="HA30" i="15"/>
  <c r="HA48" i="15"/>
  <c r="HB48" i="15" s="1"/>
  <c r="GZ60" i="15"/>
  <c r="HA60" i="15" s="1"/>
  <c r="HB60" i="15" s="1"/>
  <c r="HA46" i="15"/>
  <c r="HB46" i="15" s="1"/>
  <c r="HA41" i="15"/>
  <c r="HB41" i="15" s="1"/>
  <c r="GT46" i="15"/>
  <c r="GU46" i="15" s="1"/>
  <c r="GT36" i="15"/>
  <c r="GU36" i="15" s="1"/>
  <c r="GS54" i="15"/>
  <c r="HO22" i="15"/>
  <c r="HP22" i="15" s="1"/>
  <c r="HO48" i="15"/>
  <c r="HP48" i="15" s="1"/>
  <c r="HO58" i="15"/>
  <c r="FY41" i="15"/>
  <c r="FZ41" i="15" s="1"/>
  <c r="HO13" i="15"/>
  <c r="HP13" i="15" s="1"/>
  <c r="HO32" i="15"/>
  <c r="HO39" i="15"/>
  <c r="HO59" i="15"/>
  <c r="HP59" i="15" s="1"/>
  <c r="FY42" i="15"/>
  <c r="FY52" i="15"/>
  <c r="FZ52" i="15" s="1"/>
  <c r="FY64" i="15"/>
  <c r="FZ64" i="15" s="1"/>
  <c r="HO14" i="15"/>
  <c r="HP14" i="15" s="1"/>
  <c r="HO24" i="15"/>
  <c r="HP24" i="15" s="1"/>
  <c r="HO33" i="15"/>
  <c r="HO41" i="15"/>
  <c r="HO60" i="15"/>
  <c r="HO15" i="15"/>
  <c r="HP15" i="15" s="1"/>
  <c r="HO25" i="15"/>
  <c r="HP25" i="15" s="1"/>
  <c r="HO42" i="15"/>
  <c r="HN54" i="15"/>
  <c r="FY25" i="15"/>
  <c r="FZ25" i="15" s="1"/>
  <c r="FY35" i="15"/>
  <c r="FY46" i="15"/>
  <c r="FZ46" i="15" s="1"/>
  <c r="FY66" i="15"/>
  <c r="FZ66" i="15" s="1"/>
  <c r="GT22" i="15"/>
  <c r="GU22" i="15" s="1"/>
  <c r="GT32" i="15"/>
  <c r="GT41" i="15"/>
  <c r="GU41" i="15" s="1"/>
  <c r="HO26" i="15"/>
  <c r="HP26" i="15" s="1"/>
  <c r="HO52" i="15"/>
  <c r="HP52" i="15" s="1"/>
  <c r="HN67" i="15"/>
  <c r="HO10" i="15"/>
  <c r="HP10" i="15" s="1"/>
  <c r="HO17" i="15"/>
  <c r="HP17" i="15" s="1"/>
  <c r="HO35" i="15"/>
  <c r="HO53" i="15"/>
  <c r="HP53" i="15" s="1"/>
  <c r="HO65" i="15"/>
  <c r="HP65" i="15" s="1"/>
  <c r="EB52" i="15"/>
  <c r="EC52" i="15" s="1"/>
  <c r="FY17" i="15"/>
  <c r="FZ17" i="15" s="1"/>
  <c r="FY37" i="15"/>
  <c r="FZ37" i="15" s="1"/>
  <c r="GT14" i="15"/>
  <c r="GU14" i="15" s="1"/>
  <c r="HO11" i="15"/>
  <c r="HM70" i="15"/>
  <c r="HM3" i="15" s="1"/>
  <c r="HM4" i="15" s="1"/>
  <c r="HN27" i="15"/>
  <c r="HO36" i="15"/>
  <c r="HO66" i="15"/>
  <c r="HP66" i="15" s="1"/>
  <c r="HN18" i="15"/>
  <c r="HO9" i="15"/>
  <c r="HP9" i="15" s="1"/>
  <c r="HN43" i="15"/>
  <c r="HO31" i="15"/>
  <c r="HN61" i="15"/>
  <c r="HO51" i="15"/>
  <c r="HP51" i="15" s="1"/>
  <c r="HO16" i="15"/>
  <c r="HP16" i="15" s="1"/>
  <c r="HO30" i="15"/>
  <c r="HO50" i="15"/>
  <c r="HP50" i="15" s="1"/>
  <c r="HO23" i="15"/>
  <c r="HP23" i="15" s="1"/>
  <c r="HO38" i="15"/>
  <c r="HO57" i="15"/>
  <c r="HO64" i="15"/>
  <c r="HP64" i="15" s="1"/>
  <c r="HO40" i="15"/>
  <c r="GT39" i="15"/>
  <c r="GU39" i="15" s="1"/>
  <c r="FY12" i="15"/>
  <c r="FY38" i="15"/>
  <c r="FZ38" i="15" s="1"/>
  <c r="FY47" i="15"/>
  <c r="FZ47" i="15" s="1"/>
  <c r="FY57" i="15"/>
  <c r="GT33" i="15"/>
  <c r="GT59" i="15"/>
  <c r="GU59" i="15" s="1"/>
  <c r="GT48" i="15"/>
  <c r="GU48" i="15" s="1"/>
  <c r="FY39" i="15"/>
  <c r="FZ39" i="15" s="1"/>
  <c r="FY48" i="15"/>
  <c r="FZ48" i="15" s="1"/>
  <c r="GT9" i="15"/>
  <c r="GU9" i="15" s="1"/>
  <c r="GT15" i="15"/>
  <c r="GU15" i="15" s="1"/>
  <c r="GT24" i="15"/>
  <c r="GU24" i="15" s="1"/>
  <c r="GT60" i="15"/>
  <c r="GT58" i="15"/>
  <c r="FY22" i="15"/>
  <c r="FZ22" i="15" s="1"/>
  <c r="FY49" i="15"/>
  <c r="FZ49" i="15" s="1"/>
  <c r="GT10" i="15"/>
  <c r="GU10" i="15" s="1"/>
  <c r="GT25" i="15"/>
  <c r="GU25" i="15" s="1"/>
  <c r="GT35" i="15"/>
  <c r="GT42" i="15"/>
  <c r="GT51" i="15"/>
  <c r="GU51" i="15" s="1"/>
  <c r="FY14" i="15"/>
  <c r="FZ14" i="15" s="1"/>
  <c r="FY23" i="15"/>
  <c r="FZ23" i="15" s="1"/>
  <c r="FY33" i="15"/>
  <c r="FY50" i="15"/>
  <c r="FZ50" i="15" s="1"/>
  <c r="FY60" i="15"/>
  <c r="GT11" i="15"/>
  <c r="GT17" i="15"/>
  <c r="GU17" i="15" s="1"/>
  <c r="GT26" i="15"/>
  <c r="GU26" i="15" s="1"/>
  <c r="GT52" i="15"/>
  <c r="GU52" i="15" s="1"/>
  <c r="GS67" i="15"/>
  <c r="FY24" i="15"/>
  <c r="FZ24" i="15" s="1"/>
  <c r="FY34" i="15"/>
  <c r="FZ34" i="15" s="1"/>
  <c r="FY51" i="15"/>
  <c r="FZ51" i="15" s="1"/>
  <c r="GR70" i="15"/>
  <c r="GR3" i="15" s="1"/>
  <c r="GR4" i="15" s="1"/>
  <c r="GT53" i="15"/>
  <c r="GU53" i="15" s="1"/>
  <c r="GT65" i="15"/>
  <c r="GU65" i="15" s="1"/>
  <c r="GT12" i="15"/>
  <c r="GU12" i="15" s="1"/>
  <c r="GT37" i="15"/>
  <c r="GU37" i="15" s="1"/>
  <c r="GT66" i="15"/>
  <c r="GU66" i="15" s="1"/>
  <c r="GT13" i="15"/>
  <c r="GU13" i="15" s="1"/>
  <c r="GT31" i="15"/>
  <c r="GU31" i="15" s="1"/>
  <c r="GT16" i="15"/>
  <c r="GU16" i="15" s="1"/>
  <c r="GT30" i="15"/>
  <c r="GU30" i="15" s="1"/>
  <c r="GT38" i="15"/>
  <c r="GU38" i="15" s="1"/>
  <c r="GS43" i="15"/>
  <c r="GT50" i="15"/>
  <c r="GU50" i="15" s="1"/>
  <c r="GT57" i="15"/>
  <c r="GT64" i="15"/>
  <c r="GU64" i="15" s="1"/>
  <c r="GT23" i="15"/>
  <c r="GU23" i="15" s="1"/>
  <c r="GT40" i="15"/>
  <c r="GU40" i="15" s="1"/>
  <c r="GT47" i="15"/>
  <c r="GU47" i="15" s="1"/>
  <c r="GS18" i="15"/>
  <c r="GT49" i="15"/>
  <c r="GU49" i="15" s="1"/>
  <c r="GS27" i="15"/>
  <c r="GT34" i="15"/>
  <c r="GU34" i="15" s="1"/>
  <c r="GS61" i="15"/>
  <c r="FW70" i="15"/>
  <c r="FW3" i="15" s="1"/>
  <c r="FW4" i="15" s="1"/>
  <c r="FY26" i="15"/>
  <c r="FZ26" i="15" s="1"/>
  <c r="FY53" i="15"/>
  <c r="FZ53" i="15" s="1"/>
  <c r="FY65" i="15"/>
  <c r="FZ65" i="15" s="1"/>
  <c r="FX27" i="15"/>
  <c r="FY21" i="15"/>
  <c r="FY31" i="15"/>
  <c r="FZ31" i="15" s="1"/>
  <c r="FY58" i="15"/>
  <c r="DZ70" i="15"/>
  <c r="DZ3" i="15" s="1"/>
  <c r="DZ4" i="15" s="1"/>
  <c r="FX43" i="15"/>
  <c r="FY9" i="15"/>
  <c r="FZ9" i="15" s="1"/>
  <c r="FY32" i="15"/>
  <c r="FY59" i="15"/>
  <c r="FZ59" i="15" s="1"/>
  <c r="FX67" i="15"/>
  <c r="FY30" i="15"/>
  <c r="FZ30" i="15" s="1"/>
  <c r="FX18" i="15"/>
  <c r="FX54" i="15"/>
  <c r="FX61" i="15"/>
  <c r="EB64" i="15"/>
  <c r="EC64" i="15" s="1"/>
  <c r="EB37" i="15"/>
  <c r="EA18" i="15"/>
  <c r="EB59" i="15"/>
  <c r="EC59" i="15" s="1"/>
  <c r="EB22" i="15"/>
  <c r="EC22" i="15" s="1"/>
  <c r="EB32" i="15"/>
  <c r="EC32" i="15" s="1"/>
  <c r="EB40" i="15"/>
  <c r="EC40" i="15" s="1"/>
  <c r="EB25" i="15"/>
  <c r="EC25" i="15" s="1"/>
  <c r="EB60" i="15"/>
  <c r="EC60" i="15" s="1"/>
  <c r="EB10" i="15"/>
  <c r="EC10" i="15" s="1"/>
  <c r="EB57" i="15"/>
  <c r="EC57" i="15" s="1"/>
  <c r="EB65" i="15"/>
  <c r="EC65" i="15" s="1"/>
  <c r="EB34" i="15"/>
  <c r="EC34" i="15" s="1"/>
  <c r="EB49" i="15"/>
  <c r="EC49" i="15" s="1"/>
  <c r="EB11" i="15"/>
  <c r="EB14" i="15"/>
  <c r="EC14" i="15" s="1"/>
  <c r="EB17" i="15"/>
  <c r="EC17" i="15" s="1"/>
  <c r="EB23" i="15"/>
  <c r="EC23" i="15" s="1"/>
  <c r="EB26" i="15"/>
  <c r="EC26" i="15" s="1"/>
  <c r="EB31" i="15"/>
  <c r="EB38" i="15"/>
  <c r="EC38" i="15" s="1"/>
  <c r="EB41" i="15"/>
  <c r="EC41" i="15" s="1"/>
  <c r="EB46" i="15"/>
  <c r="EC46" i="15" s="1"/>
  <c r="EB53" i="15"/>
  <c r="EC53" i="15" s="1"/>
  <c r="EB13" i="15"/>
  <c r="EC13" i="15" s="1"/>
  <c r="EA43" i="15"/>
  <c r="EA27" i="15"/>
  <c r="EB35" i="15"/>
  <c r="EC35" i="15" s="1"/>
  <c r="EA54" i="15"/>
  <c r="EB50" i="15"/>
  <c r="EC50" i="15" s="1"/>
  <c r="EB58" i="15"/>
  <c r="EC58" i="15" s="1"/>
  <c r="EB66" i="15"/>
  <c r="EC66" i="15" s="1"/>
  <c r="EB47" i="15"/>
  <c r="EC47" i="15" s="1"/>
  <c r="EA67" i="15"/>
  <c r="EB12" i="15"/>
  <c r="EC12" i="15" s="1"/>
  <c r="EB15" i="15"/>
  <c r="EC15" i="15" s="1"/>
  <c r="EB42" i="15"/>
  <c r="EB9" i="15"/>
  <c r="EC9" i="15" s="1"/>
  <c r="EB16" i="15"/>
  <c r="EC16" i="15" s="1"/>
  <c r="EB21" i="15"/>
  <c r="EB24" i="15"/>
  <c r="EC24" i="15" s="1"/>
  <c r="EB30" i="15"/>
  <c r="EB33" i="15"/>
  <c r="EB36" i="15"/>
  <c r="EB39" i="15"/>
  <c r="EC39" i="15" s="1"/>
  <c r="EB48" i="15"/>
  <c r="EC48" i="15" s="1"/>
  <c r="EB51" i="15"/>
  <c r="EC51" i="15" s="1"/>
  <c r="EA61" i="15"/>
  <c r="N4" i="18" l="1"/>
  <c r="O4" i="18" s="1"/>
  <c r="HG70" i="15"/>
  <c r="HG3" i="15" s="1"/>
  <c r="HG4" i="15" s="1"/>
  <c r="CY70" i="15"/>
  <c r="CY3" i="15" s="1"/>
  <c r="CY4" i="15" s="1"/>
  <c r="CR70" i="15"/>
  <c r="CR3" i="15" s="1"/>
  <c r="CR4" i="15" s="1"/>
  <c r="CK70" i="15"/>
  <c r="CK3" i="15" s="1"/>
  <c r="CK4" i="15" s="1"/>
  <c r="EH70" i="15"/>
  <c r="EH3" i="15" s="1"/>
  <c r="EH4" i="15" s="1"/>
  <c r="HK21" i="15"/>
  <c r="HK27" i="15" s="1"/>
  <c r="HJ27" i="15"/>
  <c r="HK57" i="15"/>
  <c r="HK61" i="15" s="1"/>
  <c r="HJ61" i="15"/>
  <c r="HJ43" i="15"/>
  <c r="HK30" i="15"/>
  <c r="HK43" i="15" s="1"/>
  <c r="HK46" i="15"/>
  <c r="HK54" i="15" s="1"/>
  <c r="HJ54" i="15"/>
  <c r="HK64" i="15"/>
  <c r="HK67" i="15" s="1"/>
  <c r="HJ67" i="15"/>
  <c r="HJ18" i="15"/>
  <c r="HK9" i="15"/>
  <c r="HK18" i="15" s="1"/>
  <c r="EK27" i="15"/>
  <c r="EK18" i="15"/>
  <c r="EL43" i="15"/>
  <c r="EL9" i="15"/>
  <c r="EL18" i="15" s="1"/>
  <c r="EL21" i="15"/>
  <c r="EL27" i="15" s="1"/>
  <c r="EL64" i="15"/>
  <c r="EL67" i="15" s="1"/>
  <c r="EK67" i="15"/>
  <c r="EL61" i="15"/>
  <c r="EK43" i="15"/>
  <c r="EK61" i="15"/>
  <c r="EL46" i="15"/>
  <c r="EL54" i="15" s="1"/>
  <c r="EK54" i="15"/>
  <c r="GZ61" i="15"/>
  <c r="GZ70" i="15" s="1"/>
  <c r="GZ3" i="15" s="1"/>
  <c r="GZ4" i="15" s="1"/>
  <c r="GS70" i="15"/>
  <c r="GS3" i="15" s="1"/>
  <c r="GS4" i="15" s="1"/>
  <c r="HN70" i="15"/>
  <c r="HN3" i="15" s="1"/>
  <c r="HN4" i="15" s="1"/>
  <c r="FX70" i="15"/>
  <c r="FX3" i="15" s="1"/>
  <c r="FX4" i="15" s="1"/>
  <c r="EA70" i="15"/>
  <c r="EA3" i="15" s="1"/>
  <c r="EA4" i="15" s="1"/>
  <c r="U4" i="18" l="1"/>
  <c r="R4" i="18"/>
  <c r="Q4" i="18"/>
  <c r="HK70" i="15"/>
  <c r="HK3" i="15" s="1"/>
  <c r="HK4" i="15" s="1"/>
  <c r="HJ70" i="15"/>
  <c r="HJ3" i="15" s="1"/>
  <c r="EL70" i="15"/>
  <c r="EL3" i="15" s="1"/>
  <c r="EL4" i="15" s="1"/>
  <c r="EK70" i="15"/>
  <c r="EK3" i="15" s="1"/>
  <c r="HJ4" i="15" l="1"/>
  <c r="V44" i="4"/>
  <c r="W44" i="4" s="1"/>
  <c r="EK4" i="15"/>
  <c r="V28" i="4"/>
  <c r="W28" i="4" s="1"/>
  <c r="DO6" i="15" l="1"/>
  <c r="DL67" i="15"/>
  <c r="DM66" i="15"/>
  <c r="DM65" i="15"/>
  <c r="DM64" i="15"/>
  <c r="DL61" i="15"/>
  <c r="DM60" i="15"/>
  <c r="DM59" i="15"/>
  <c r="DM58" i="15"/>
  <c r="DM57" i="15"/>
  <c r="DL54" i="15"/>
  <c r="DM53" i="15"/>
  <c r="DM52" i="15"/>
  <c r="DM51" i="15"/>
  <c r="DM50" i="15"/>
  <c r="DM49" i="15"/>
  <c r="DM48" i="15"/>
  <c r="DM47" i="15"/>
  <c r="DM46" i="15"/>
  <c r="DL43" i="15"/>
  <c r="DM42" i="15"/>
  <c r="DM41" i="15"/>
  <c r="DM39" i="15"/>
  <c r="DM38" i="15"/>
  <c r="DM37" i="15"/>
  <c r="DM36" i="15"/>
  <c r="DM35" i="15"/>
  <c r="DM34" i="15"/>
  <c r="DM33" i="15"/>
  <c r="DM32" i="15"/>
  <c r="DM31" i="15"/>
  <c r="DM30" i="15"/>
  <c r="DL27" i="15"/>
  <c r="DM26" i="15"/>
  <c r="DM25" i="15"/>
  <c r="DM24" i="15"/>
  <c r="DM23" i="15"/>
  <c r="DM22" i="15"/>
  <c r="DM21" i="15"/>
  <c r="DL18" i="15"/>
  <c r="DM17" i="15"/>
  <c r="DM16" i="15"/>
  <c r="DM15" i="15"/>
  <c r="DM14" i="15"/>
  <c r="DM13" i="15"/>
  <c r="DM12" i="15"/>
  <c r="DM11" i="15"/>
  <c r="DM10" i="15"/>
  <c r="DM9" i="15"/>
  <c r="DM2" i="15"/>
  <c r="CF6" i="15"/>
  <c r="CC67" i="15"/>
  <c r="CD66" i="15"/>
  <c r="CD65" i="15"/>
  <c r="CD64" i="15"/>
  <c r="CC61" i="15"/>
  <c r="CD60" i="15"/>
  <c r="CD59" i="15"/>
  <c r="CD58" i="15"/>
  <c r="CD57" i="15"/>
  <c r="CC54" i="15"/>
  <c r="CD53" i="15"/>
  <c r="CD52" i="15"/>
  <c r="CD51" i="15"/>
  <c r="CD50" i="15"/>
  <c r="CD49" i="15"/>
  <c r="CD48" i="15"/>
  <c r="CD47" i="15"/>
  <c r="CD46" i="15"/>
  <c r="CC43" i="15"/>
  <c r="CD42" i="15"/>
  <c r="CD41" i="15"/>
  <c r="CD39" i="15"/>
  <c r="CD38" i="15"/>
  <c r="CD37" i="15"/>
  <c r="CD36" i="15"/>
  <c r="CD35" i="15"/>
  <c r="CD34" i="15"/>
  <c r="CD33" i="15"/>
  <c r="CD32" i="15"/>
  <c r="CD31" i="15"/>
  <c r="CD30" i="15"/>
  <c r="CC27" i="15"/>
  <c r="CD26" i="15"/>
  <c r="CD25" i="15"/>
  <c r="CD24" i="15"/>
  <c r="CD23" i="15"/>
  <c r="CD22" i="15"/>
  <c r="CD21" i="15"/>
  <c r="CC18" i="15"/>
  <c r="CD17" i="15"/>
  <c r="CD16" i="15"/>
  <c r="CD15" i="15"/>
  <c r="CD14" i="15"/>
  <c r="CD13" i="15"/>
  <c r="CD12" i="15"/>
  <c r="CD11" i="15"/>
  <c r="CD10" i="15"/>
  <c r="CD9" i="15"/>
  <c r="CD2" i="15"/>
  <c r="CE40" i="15" s="1"/>
  <c r="FS6" i="15"/>
  <c r="FP67" i="15"/>
  <c r="FQ66" i="15"/>
  <c r="FQ65" i="15"/>
  <c r="FQ64" i="15"/>
  <c r="FP61" i="15"/>
  <c r="FQ60" i="15"/>
  <c r="FQ59" i="15"/>
  <c r="FQ58" i="15"/>
  <c r="FQ57" i="15"/>
  <c r="FP54" i="15"/>
  <c r="FQ53" i="15"/>
  <c r="FQ52" i="15"/>
  <c r="FQ51" i="15"/>
  <c r="FQ50" i="15"/>
  <c r="FQ49" i="15"/>
  <c r="FQ48" i="15"/>
  <c r="FQ47" i="15"/>
  <c r="FQ46" i="15"/>
  <c r="FP43" i="15"/>
  <c r="FQ42" i="15"/>
  <c r="FQ41" i="15"/>
  <c r="FQ40" i="15"/>
  <c r="FQ39" i="15"/>
  <c r="FQ38" i="15"/>
  <c r="FQ37" i="15"/>
  <c r="FQ36" i="15"/>
  <c r="FQ35" i="15"/>
  <c r="FQ34" i="15"/>
  <c r="FQ33" i="15"/>
  <c r="FQ32" i="15"/>
  <c r="FQ31" i="15"/>
  <c r="FQ30" i="15"/>
  <c r="FP27" i="15"/>
  <c r="FQ26" i="15"/>
  <c r="FQ25" i="15"/>
  <c r="FQ24" i="15"/>
  <c r="FQ23" i="15"/>
  <c r="FQ22" i="15"/>
  <c r="FQ21" i="15"/>
  <c r="FP18" i="15"/>
  <c r="FQ17" i="15"/>
  <c r="FQ16" i="15"/>
  <c r="FQ15" i="15"/>
  <c r="FQ14" i="15"/>
  <c r="FQ13" i="15"/>
  <c r="FQ12" i="15"/>
  <c r="FQ11" i="15"/>
  <c r="FQ10" i="15"/>
  <c r="FQ9" i="15"/>
  <c r="FQ2" i="15"/>
  <c r="FL66" i="15"/>
  <c r="FL26" i="15"/>
  <c r="FI67" i="15"/>
  <c r="FJ65" i="15"/>
  <c r="FJ64" i="15"/>
  <c r="FI60" i="15"/>
  <c r="FJ60" i="15" s="1"/>
  <c r="FJ59" i="15"/>
  <c r="FJ58" i="15"/>
  <c r="FI54" i="15"/>
  <c r="FJ53" i="15"/>
  <c r="FJ52" i="15"/>
  <c r="FJ51" i="15"/>
  <c r="FJ50" i="15"/>
  <c r="FJ49" i="15"/>
  <c r="FJ48" i="15"/>
  <c r="FJ47" i="15"/>
  <c r="FJ46" i="15"/>
  <c r="FI43" i="15"/>
  <c r="FJ41" i="15"/>
  <c r="FJ40" i="15"/>
  <c r="FJ39" i="15"/>
  <c r="FJ38" i="15"/>
  <c r="FJ37" i="15"/>
  <c r="FJ36" i="15"/>
  <c r="FJ35" i="15"/>
  <c r="FJ34" i="15"/>
  <c r="FJ33" i="15"/>
  <c r="FJ32" i="15"/>
  <c r="FJ31" i="15"/>
  <c r="FJ30" i="15"/>
  <c r="FI27" i="15"/>
  <c r="FJ25" i="15"/>
  <c r="FJ24" i="15"/>
  <c r="FJ23" i="15"/>
  <c r="FJ22" i="15"/>
  <c r="FJ21" i="15"/>
  <c r="FI18" i="15"/>
  <c r="FJ17" i="15"/>
  <c r="FJ16" i="15"/>
  <c r="FJ15" i="15"/>
  <c r="FJ14" i="15"/>
  <c r="FJ13" i="15"/>
  <c r="FJ11" i="15"/>
  <c r="FJ10" i="15"/>
  <c r="FJ9" i="15"/>
  <c r="FI2" i="15"/>
  <c r="FJ2" i="15" s="1"/>
  <c r="Q33" i="4"/>
  <c r="R33" i="4" s="1"/>
  <c r="FT2" i="15" s="1"/>
  <c r="FU2" i="15" s="1"/>
  <c r="Q32" i="4"/>
  <c r="BD66" i="15"/>
  <c r="BD65" i="15"/>
  <c r="BD52" i="15"/>
  <c r="BD50" i="15"/>
  <c r="BD41" i="15"/>
  <c r="BD30" i="15"/>
  <c r="BD26" i="15"/>
  <c r="BD25" i="15"/>
  <c r="BD23" i="15"/>
  <c r="BD22" i="15"/>
  <c r="BD17" i="15"/>
  <c r="BD16" i="15"/>
  <c r="BD15" i="15"/>
  <c r="BD14" i="15"/>
  <c r="BD13" i="15"/>
  <c r="BD6" i="15"/>
  <c r="BA70" i="15"/>
  <c r="BA3" i="15" s="1"/>
  <c r="BD10" i="15"/>
  <c r="CE15" i="15" l="1"/>
  <c r="CF15" i="15" s="1"/>
  <c r="DN11" i="15"/>
  <c r="DN41" i="15"/>
  <c r="DO41" i="15" s="1"/>
  <c r="FR13" i="15"/>
  <c r="FS13" i="15" s="1"/>
  <c r="FT13" i="15" s="1"/>
  <c r="FU13" i="15" s="1"/>
  <c r="DN53" i="15"/>
  <c r="DO53" i="15" s="1"/>
  <c r="DN65" i="15"/>
  <c r="DO65" i="15" s="1"/>
  <c r="DN14" i="15"/>
  <c r="DO14" i="15" s="1"/>
  <c r="DN36" i="15"/>
  <c r="DO36" i="15" s="1"/>
  <c r="CE9" i="15"/>
  <c r="CF9" i="15" s="1"/>
  <c r="CE36" i="15"/>
  <c r="CF36" i="15" s="1"/>
  <c r="CE37" i="15"/>
  <c r="CF37" i="15" s="1"/>
  <c r="CE11" i="15"/>
  <c r="CD27" i="15"/>
  <c r="FR9" i="15"/>
  <c r="FS9" i="15" s="1"/>
  <c r="FT9" i="15" s="1"/>
  <c r="FQ61" i="15"/>
  <c r="CE12" i="15"/>
  <c r="CF12" i="15" s="1"/>
  <c r="CE22" i="15"/>
  <c r="CF22" i="15" s="1"/>
  <c r="CE30" i="15"/>
  <c r="CF30" i="15" s="1"/>
  <c r="CE13" i="15"/>
  <c r="CF13" i="15" s="1"/>
  <c r="DL70" i="15"/>
  <c r="DL3" i="15" s="1"/>
  <c r="DL4" i="15" s="1"/>
  <c r="CE10" i="15"/>
  <c r="CF10" i="15" s="1"/>
  <c r="CE14" i="15"/>
  <c r="CF14" i="15" s="1"/>
  <c r="CE24" i="15"/>
  <c r="CF24" i="15" s="1"/>
  <c r="CE34" i="15"/>
  <c r="CF34" i="15" s="1"/>
  <c r="DN21" i="15"/>
  <c r="CE23" i="15"/>
  <c r="CF23" i="15" s="1"/>
  <c r="CE31" i="15"/>
  <c r="CF31" i="15" s="1"/>
  <c r="CE48" i="15"/>
  <c r="CF48" i="15" s="1"/>
  <c r="DN37" i="15"/>
  <c r="DO37" i="15" s="1"/>
  <c r="DM54" i="15"/>
  <c r="DN66" i="15"/>
  <c r="DO66" i="15" s="1"/>
  <c r="FR32" i="15"/>
  <c r="FT32" i="15" s="1"/>
  <c r="FU32" i="15" s="1"/>
  <c r="CE32" i="15"/>
  <c r="CE38" i="15"/>
  <c r="CF38" i="15" s="1"/>
  <c r="CE49" i="15"/>
  <c r="CF49" i="15" s="1"/>
  <c r="CE59" i="15"/>
  <c r="CF59" i="15" s="1"/>
  <c r="DN13" i="15"/>
  <c r="DO13" i="15" s="1"/>
  <c r="DN31" i="15"/>
  <c r="DO31" i="15" s="1"/>
  <c r="CE33" i="15"/>
  <c r="CE39" i="15"/>
  <c r="CF39" i="15" s="1"/>
  <c r="DN22" i="15"/>
  <c r="DO22" i="15" s="1"/>
  <c r="DN32" i="15"/>
  <c r="DN39" i="15"/>
  <c r="DO39" i="15" s="1"/>
  <c r="DN48" i="15"/>
  <c r="DO48" i="15" s="1"/>
  <c r="DN58" i="15"/>
  <c r="CD18" i="15"/>
  <c r="CE16" i="15"/>
  <c r="CF16" i="15" s="1"/>
  <c r="CE25" i="15"/>
  <c r="CF25" i="15" s="1"/>
  <c r="DN33" i="15"/>
  <c r="DN59" i="15"/>
  <c r="DO59" i="15" s="1"/>
  <c r="CE17" i="15"/>
  <c r="CF17" i="15" s="1"/>
  <c r="CE26" i="15"/>
  <c r="CF26" i="15" s="1"/>
  <c r="DN46" i="15"/>
  <c r="DO46" i="15" s="1"/>
  <c r="DN15" i="15"/>
  <c r="DO15" i="15" s="1"/>
  <c r="DN24" i="15"/>
  <c r="DO24" i="15" s="1"/>
  <c r="DN60" i="15"/>
  <c r="CC70" i="15"/>
  <c r="CC3" i="15" s="1"/>
  <c r="CC4" i="15" s="1"/>
  <c r="CE35" i="15"/>
  <c r="DN9" i="15"/>
  <c r="DO9" i="15" s="1"/>
  <c r="DN25" i="15"/>
  <c r="DO25" i="15" s="1"/>
  <c r="DN35" i="15"/>
  <c r="DN51" i="15"/>
  <c r="DO51" i="15" s="1"/>
  <c r="DN10" i="15"/>
  <c r="DO10" i="15" s="1"/>
  <c r="DN17" i="15"/>
  <c r="DO17" i="15" s="1"/>
  <c r="DN26" i="15"/>
  <c r="DO26" i="15" s="1"/>
  <c r="DN52" i="15"/>
  <c r="DO52" i="15" s="1"/>
  <c r="DM67" i="15"/>
  <c r="DN16" i="15"/>
  <c r="DO16" i="15" s="1"/>
  <c r="DN23" i="15"/>
  <c r="DO23" i="15" s="1"/>
  <c r="DN30" i="15"/>
  <c r="DO30" i="15" s="1"/>
  <c r="DN38" i="15"/>
  <c r="DO38" i="15" s="1"/>
  <c r="DM43" i="15"/>
  <c r="DN50" i="15"/>
  <c r="DO50" i="15" s="1"/>
  <c r="DN57" i="15"/>
  <c r="DN64" i="15"/>
  <c r="DO64" i="15" s="1"/>
  <c r="DN40" i="15"/>
  <c r="DN47" i="15"/>
  <c r="DO47" i="15" s="1"/>
  <c r="DM18" i="15"/>
  <c r="DN42" i="15"/>
  <c r="DN49" i="15"/>
  <c r="DO49" i="15" s="1"/>
  <c r="DN12" i="15"/>
  <c r="DO12" i="15" s="1"/>
  <c r="DM27" i="15"/>
  <c r="DN34" i="15"/>
  <c r="DO34" i="15" s="1"/>
  <c r="DM61" i="15"/>
  <c r="FR39" i="15"/>
  <c r="FT39" i="15" s="1"/>
  <c r="FU39" i="15" s="1"/>
  <c r="CE21" i="15"/>
  <c r="CE50" i="15"/>
  <c r="CF50" i="15" s="1"/>
  <c r="CE60" i="15"/>
  <c r="CE41" i="15"/>
  <c r="CF41" i="15" s="1"/>
  <c r="CE51" i="15"/>
  <c r="CF51" i="15" s="1"/>
  <c r="CE42" i="15"/>
  <c r="CE52" i="15"/>
  <c r="CF52" i="15" s="1"/>
  <c r="CE64" i="15"/>
  <c r="CF64" i="15" s="1"/>
  <c r="FR24" i="15"/>
  <c r="FS24" i="15" s="1"/>
  <c r="FT24" i="15" s="1"/>
  <c r="FU24" i="15" s="1"/>
  <c r="CE53" i="15"/>
  <c r="CF53" i="15" s="1"/>
  <c r="CD67" i="15"/>
  <c r="FR15" i="15"/>
  <c r="FS15" i="15" s="1"/>
  <c r="FT15" i="15" s="1"/>
  <c r="FU15" i="15" s="1"/>
  <c r="FR35" i="15"/>
  <c r="FT35" i="15" s="1"/>
  <c r="FU35" i="15" s="1"/>
  <c r="FR64" i="15"/>
  <c r="FS64" i="15" s="1"/>
  <c r="FT64" i="15" s="1"/>
  <c r="FU64" i="15" s="1"/>
  <c r="CD54" i="15"/>
  <c r="CE66" i="15"/>
  <c r="CF66" i="15" s="1"/>
  <c r="FR50" i="15"/>
  <c r="FS50" i="15" s="1"/>
  <c r="FT50" i="15" s="1"/>
  <c r="FU50" i="15" s="1"/>
  <c r="FQ54" i="15"/>
  <c r="CD43" i="15"/>
  <c r="CE47" i="15"/>
  <c r="CF47" i="15" s="1"/>
  <c r="CD61" i="15"/>
  <c r="FJ67" i="15"/>
  <c r="FR17" i="15"/>
  <c r="FS17" i="15" s="1"/>
  <c r="FT17" i="15" s="1"/>
  <c r="FU17" i="15" s="1"/>
  <c r="FR47" i="15"/>
  <c r="FS47" i="15" s="1"/>
  <c r="FT47" i="15" s="1"/>
  <c r="FU47" i="15" s="1"/>
  <c r="CE58" i="15"/>
  <c r="CF58" i="15" s="1"/>
  <c r="CE57" i="15"/>
  <c r="CE65" i="15"/>
  <c r="CF65" i="15" s="1"/>
  <c r="CE46" i="15"/>
  <c r="CF46" i="15" s="1"/>
  <c r="FR14" i="15"/>
  <c r="FS14" i="15" s="1"/>
  <c r="FT14" i="15" s="1"/>
  <c r="FU14" i="15" s="1"/>
  <c r="FR23" i="15"/>
  <c r="FS23" i="15" s="1"/>
  <c r="FT23" i="15" s="1"/>
  <c r="FU23" i="15" s="1"/>
  <c r="FR31" i="15"/>
  <c r="FT31" i="15" s="1"/>
  <c r="FU31" i="15" s="1"/>
  <c r="FR38" i="15"/>
  <c r="FT38" i="15" s="1"/>
  <c r="FU38" i="15" s="1"/>
  <c r="FR46" i="15"/>
  <c r="FS46" i="15" s="1"/>
  <c r="FT46" i="15" s="1"/>
  <c r="FU46" i="15" s="1"/>
  <c r="FR53" i="15"/>
  <c r="FS53" i="15" s="1"/>
  <c r="FT53" i="15" s="1"/>
  <c r="FU53" i="15" s="1"/>
  <c r="FI61" i="15"/>
  <c r="FI70" i="15" s="1"/>
  <c r="FI3" i="15" s="1"/>
  <c r="FI4" i="15" s="1"/>
  <c r="FR16" i="15"/>
  <c r="FS16" i="15" s="1"/>
  <c r="FT16" i="15" s="1"/>
  <c r="FU16" i="15" s="1"/>
  <c r="FR33" i="15"/>
  <c r="FT33" i="15" s="1"/>
  <c r="FU33" i="15" s="1"/>
  <c r="FR48" i="15"/>
  <c r="FS48" i="15" s="1"/>
  <c r="FT48" i="15" s="1"/>
  <c r="FU48" i="15" s="1"/>
  <c r="FK10" i="15"/>
  <c r="FL10" i="15" s="1"/>
  <c r="FR25" i="15"/>
  <c r="FS25" i="15" s="1"/>
  <c r="FT25" i="15" s="1"/>
  <c r="FU25" i="15" s="1"/>
  <c r="FR34" i="15"/>
  <c r="FT34" i="15" s="1"/>
  <c r="FU34" i="15" s="1"/>
  <c r="FR40" i="15"/>
  <c r="FT40" i="15" s="1"/>
  <c r="FU40" i="15" s="1"/>
  <c r="FR49" i="15"/>
  <c r="FS49" i="15" s="1"/>
  <c r="FT49" i="15" s="1"/>
  <c r="FU49" i="15" s="1"/>
  <c r="FR11" i="15"/>
  <c r="FT11" i="15" s="1"/>
  <c r="FU11" i="15" s="1"/>
  <c r="FR26" i="15"/>
  <c r="FS26" i="15" s="1"/>
  <c r="FT26" i="15" s="1"/>
  <c r="FU26" i="15" s="1"/>
  <c r="FR41" i="15"/>
  <c r="FT41" i="15" s="1"/>
  <c r="FU41" i="15" s="1"/>
  <c r="FR57" i="15"/>
  <c r="FT57" i="15" s="1"/>
  <c r="FU57" i="15" s="1"/>
  <c r="FR65" i="15"/>
  <c r="FS65" i="15" s="1"/>
  <c r="FT65" i="15" s="1"/>
  <c r="FU65" i="15" s="1"/>
  <c r="FK13" i="15"/>
  <c r="FL13" i="15" s="1"/>
  <c r="FR12" i="15"/>
  <c r="FS12" i="15" s="1"/>
  <c r="FT12" i="15" s="1"/>
  <c r="FU12" i="15" s="1"/>
  <c r="FP70" i="15"/>
  <c r="FP3" i="15" s="1"/>
  <c r="FP4" i="15" s="1"/>
  <c r="FR42" i="15"/>
  <c r="FT42" i="15" s="1"/>
  <c r="FU42" i="15" s="1"/>
  <c r="FR58" i="15"/>
  <c r="FT58" i="15" s="1"/>
  <c r="FU58" i="15" s="1"/>
  <c r="FR66" i="15"/>
  <c r="FS66" i="15" s="1"/>
  <c r="FT66" i="15" s="1"/>
  <c r="FU66" i="15" s="1"/>
  <c r="FR30" i="15"/>
  <c r="FT30" i="15" s="1"/>
  <c r="FU30" i="15" s="1"/>
  <c r="FR36" i="15"/>
  <c r="FT36" i="15" s="1"/>
  <c r="FU36" i="15" s="1"/>
  <c r="FR51" i="15"/>
  <c r="FS51" i="15" s="1"/>
  <c r="FT51" i="15" s="1"/>
  <c r="FU51" i="15" s="1"/>
  <c r="FR59" i="15"/>
  <c r="FS59" i="15" s="1"/>
  <c r="FT59" i="15" s="1"/>
  <c r="FU59" i="15" s="1"/>
  <c r="FK15" i="15"/>
  <c r="FL15" i="15" s="1"/>
  <c r="FR22" i="15"/>
  <c r="FS22" i="15" s="1"/>
  <c r="FT22" i="15" s="1"/>
  <c r="FU22" i="15" s="1"/>
  <c r="FR37" i="15"/>
  <c r="FR52" i="15"/>
  <c r="FS52" i="15" s="1"/>
  <c r="FT52" i="15" s="1"/>
  <c r="FU52" i="15" s="1"/>
  <c r="FR60" i="15"/>
  <c r="FT60" i="15" s="1"/>
  <c r="FU60" i="15" s="1"/>
  <c r="FQ18" i="15"/>
  <c r="FR10" i="15"/>
  <c r="FS10" i="15" s="1"/>
  <c r="FT10" i="15" s="1"/>
  <c r="FU10" i="15" s="1"/>
  <c r="FQ27" i="15"/>
  <c r="FR21" i="15"/>
  <c r="FS21" i="15" s="1"/>
  <c r="FT21" i="15" s="1"/>
  <c r="FU21" i="15" s="1"/>
  <c r="FQ43" i="15"/>
  <c r="FQ67" i="15"/>
  <c r="FJ43" i="15"/>
  <c r="FJ27" i="15"/>
  <c r="FK32" i="15"/>
  <c r="FK40" i="15"/>
  <c r="FL40" i="15" s="1"/>
  <c r="FK51" i="15"/>
  <c r="FL51" i="15" s="1"/>
  <c r="FK11" i="15"/>
  <c r="FK65" i="15"/>
  <c r="FL65" i="15" s="1"/>
  <c r="FK23" i="15"/>
  <c r="FL23" i="15" s="1"/>
  <c r="FK34" i="15"/>
  <c r="FL34" i="15" s="1"/>
  <c r="FK53" i="15"/>
  <c r="FL53" i="15" s="1"/>
  <c r="FK25" i="15"/>
  <c r="FL25" i="15" s="1"/>
  <c r="FK36" i="15"/>
  <c r="FJ54" i="15"/>
  <c r="FJ61" i="15"/>
  <c r="FK38" i="15"/>
  <c r="FL38" i="15" s="1"/>
  <c r="FK49" i="15"/>
  <c r="FL49" i="15" s="1"/>
  <c r="FK60" i="15"/>
  <c r="FL60" i="15" s="1"/>
  <c r="FK14" i="15"/>
  <c r="FL14" i="15" s="1"/>
  <c r="FK50" i="15"/>
  <c r="FL50" i="15" s="1"/>
  <c r="FK46" i="15"/>
  <c r="FL46" i="15" s="1"/>
  <c r="FK39" i="15"/>
  <c r="FL39" i="15" s="1"/>
  <c r="FK35" i="15"/>
  <c r="FL35" i="15" s="1"/>
  <c r="FK31" i="15"/>
  <c r="FL31" i="15" s="1"/>
  <c r="FK24" i="15"/>
  <c r="FL24" i="15" s="1"/>
  <c r="FK52" i="15"/>
  <c r="FL52" i="15" s="1"/>
  <c r="FK41" i="15"/>
  <c r="FL41" i="15" s="1"/>
  <c r="FK33" i="15"/>
  <c r="FL33" i="15" s="1"/>
  <c r="FK12" i="15"/>
  <c r="FK48" i="15"/>
  <c r="FL48" i="15" s="1"/>
  <c r="FK22" i="15"/>
  <c r="FL22" i="15" s="1"/>
  <c r="FK59" i="15"/>
  <c r="FL59" i="15" s="1"/>
  <c r="FK37" i="15"/>
  <c r="FL37" i="15" s="1"/>
  <c r="FK16" i="15"/>
  <c r="FL16" i="15" s="1"/>
  <c r="FK17" i="15"/>
  <c r="FK9" i="15"/>
  <c r="FL9" i="15" s="1"/>
  <c r="FK21" i="15"/>
  <c r="FK47" i="15"/>
  <c r="FL47" i="15" s="1"/>
  <c r="FK58" i="15"/>
  <c r="FK64" i="15"/>
  <c r="FL64" i="15" s="1"/>
  <c r="FK30" i="15"/>
  <c r="FL30" i="15" s="1"/>
  <c r="FJ18" i="15"/>
  <c r="BB70" i="15"/>
  <c r="BB3" i="15" s="1"/>
  <c r="CD70" i="15" l="1"/>
  <c r="CD3" i="15" s="1"/>
  <c r="CD4" i="15" s="1"/>
  <c r="DM70" i="15"/>
  <c r="DM3" i="15" s="1"/>
  <c r="DM4" i="15" s="1"/>
  <c r="FQ70" i="15"/>
  <c r="FQ3" i="15" s="1"/>
  <c r="FQ4" i="15" s="1"/>
  <c r="FJ70" i="15"/>
  <c r="FJ3" i="15" s="1"/>
  <c r="FJ4" i="15" s="1"/>
  <c r="AW66" i="15" l="1"/>
  <c r="AW26" i="15"/>
  <c r="AT60" i="15"/>
  <c r="AU60" i="15" s="1"/>
  <c r="AT67" i="15"/>
  <c r="AT43" i="15"/>
  <c r="AT27" i="15"/>
  <c r="AX2" i="15"/>
  <c r="AW6" i="15"/>
  <c r="AU65" i="15"/>
  <c r="AU64" i="15"/>
  <c r="AT61" i="15"/>
  <c r="AU59" i="15"/>
  <c r="AU58" i="15"/>
  <c r="AT54" i="15"/>
  <c r="AU53" i="15"/>
  <c r="AU52" i="15"/>
  <c r="AU51" i="15"/>
  <c r="AU50" i="15"/>
  <c r="AU49" i="15"/>
  <c r="AU48" i="15"/>
  <c r="AU47" i="15"/>
  <c r="AU46" i="15"/>
  <c r="AU41" i="15"/>
  <c r="AU40" i="15"/>
  <c r="AU39" i="15"/>
  <c r="AU38" i="15"/>
  <c r="AU37" i="15"/>
  <c r="AU36" i="15"/>
  <c r="AU35" i="15"/>
  <c r="AU34" i="15"/>
  <c r="AU33" i="15"/>
  <c r="AU32" i="15"/>
  <c r="AU31" i="15"/>
  <c r="AU30" i="15"/>
  <c r="AU25" i="15"/>
  <c r="AU24" i="15"/>
  <c r="AU23" i="15"/>
  <c r="AU22" i="15"/>
  <c r="AU21" i="15"/>
  <c r="AT18" i="15"/>
  <c r="AU17" i="15"/>
  <c r="AU16" i="15"/>
  <c r="AU15" i="15"/>
  <c r="AU14" i="15"/>
  <c r="AU13" i="15"/>
  <c r="AU11" i="15"/>
  <c r="AU10" i="15"/>
  <c r="AU9" i="15"/>
  <c r="AT2" i="15"/>
  <c r="AU2" i="15" s="1"/>
  <c r="AU67" i="15" l="1"/>
  <c r="AU27" i="15"/>
  <c r="AX57" i="15"/>
  <c r="AY57" i="15" s="1"/>
  <c r="AX66" i="15"/>
  <c r="AY66" i="15" s="1"/>
  <c r="AX42" i="15"/>
  <c r="AY42" i="15" s="1"/>
  <c r="AY2" i="15"/>
  <c r="AX26" i="15"/>
  <c r="AY26" i="15" s="1"/>
  <c r="AU43" i="15"/>
  <c r="AV9" i="15"/>
  <c r="AW9" i="15" s="1"/>
  <c r="AX9" i="15" s="1"/>
  <c r="AU61" i="15"/>
  <c r="AV13" i="15"/>
  <c r="AW13" i="15" s="1"/>
  <c r="AX13" i="15" s="1"/>
  <c r="AY13" i="15" s="1"/>
  <c r="AV34" i="15"/>
  <c r="AW34" i="15" s="1"/>
  <c r="AX34" i="15" s="1"/>
  <c r="AY34" i="15" s="1"/>
  <c r="AV53" i="15"/>
  <c r="AW53" i="15" s="1"/>
  <c r="AX53" i="15" s="1"/>
  <c r="AY53" i="15" s="1"/>
  <c r="AU54" i="15"/>
  <c r="AV25" i="15"/>
  <c r="AW25" i="15" s="1"/>
  <c r="AX25" i="15" s="1"/>
  <c r="AY25" i="15" s="1"/>
  <c r="AV17" i="15"/>
  <c r="AW17" i="15" s="1"/>
  <c r="AX17" i="15" s="1"/>
  <c r="AY17" i="15" s="1"/>
  <c r="AV38" i="15"/>
  <c r="AW38" i="15" s="1"/>
  <c r="AX38" i="15" s="1"/>
  <c r="AY38" i="15" s="1"/>
  <c r="AV49" i="15"/>
  <c r="AW49" i="15" s="1"/>
  <c r="AX49" i="15" s="1"/>
  <c r="AY49" i="15" s="1"/>
  <c r="AV59" i="15"/>
  <c r="AW59" i="15" s="1"/>
  <c r="AX59" i="15" s="1"/>
  <c r="AY59" i="15" s="1"/>
  <c r="AV23" i="15"/>
  <c r="AW23" i="15" s="1"/>
  <c r="AX23" i="15" s="1"/>
  <c r="AY23" i="15" s="1"/>
  <c r="AV65" i="15"/>
  <c r="AW65" i="15" s="1"/>
  <c r="AX65" i="15" s="1"/>
  <c r="AY65" i="15" s="1"/>
  <c r="AV15" i="15"/>
  <c r="AW15" i="15" s="1"/>
  <c r="AX15" i="15" s="1"/>
  <c r="AY15" i="15" s="1"/>
  <c r="AV47" i="15"/>
  <c r="AW47" i="15" s="1"/>
  <c r="AX47" i="15" s="1"/>
  <c r="AY47" i="15" s="1"/>
  <c r="AU18" i="15"/>
  <c r="AV39" i="15"/>
  <c r="AW39" i="15" s="1"/>
  <c r="AX39" i="15" s="1"/>
  <c r="AY39" i="15" s="1"/>
  <c r="AV50" i="15"/>
  <c r="AW50" i="15" s="1"/>
  <c r="AX50" i="15" s="1"/>
  <c r="AY50" i="15" s="1"/>
  <c r="AV60" i="15"/>
  <c r="AW60" i="15" s="1"/>
  <c r="AX60" i="15" s="1"/>
  <c r="AY60" i="15" s="1"/>
  <c r="AV14" i="15"/>
  <c r="AW14" i="15" s="1"/>
  <c r="AX14" i="15" s="1"/>
  <c r="AY14" i="15" s="1"/>
  <c r="AV35" i="15"/>
  <c r="AW35" i="15" s="1"/>
  <c r="AX35" i="15" s="1"/>
  <c r="AY35" i="15" s="1"/>
  <c r="AT70" i="15"/>
  <c r="AT3" i="15" s="1"/>
  <c r="AT4" i="15" s="1"/>
  <c r="AV31" i="15"/>
  <c r="AW31" i="15" s="1"/>
  <c r="AX31" i="15" s="1"/>
  <c r="AY31" i="15" s="1"/>
  <c r="AV21" i="15"/>
  <c r="AX21" i="15" s="1"/>
  <c r="AY21" i="15" s="1"/>
  <c r="AV32" i="15"/>
  <c r="AW32" i="15" s="1"/>
  <c r="AX32" i="15" s="1"/>
  <c r="AY32" i="15" s="1"/>
  <c r="AV40" i="15"/>
  <c r="AW40" i="15" s="1"/>
  <c r="AX40" i="15" s="1"/>
  <c r="AY40" i="15" s="1"/>
  <c r="AV51" i="15"/>
  <c r="AW51" i="15" s="1"/>
  <c r="AX51" i="15" s="1"/>
  <c r="AY51" i="15" s="1"/>
  <c r="AV24" i="15"/>
  <c r="AW24" i="15" s="1"/>
  <c r="AX24" i="15" s="1"/>
  <c r="AY24" i="15" s="1"/>
  <c r="AV36" i="15"/>
  <c r="AW36" i="15" s="1"/>
  <c r="AX36" i="15" s="1"/>
  <c r="AY36" i="15" s="1"/>
  <c r="AV10" i="15"/>
  <c r="AW10" i="15" s="1"/>
  <c r="AX10" i="15" s="1"/>
  <c r="AY10" i="15" s="1"/>
  <c r="AV11" i="15"/>
  <c r="AX11" i="15" s="1"/>
  <c r="AY11" i="15" s="1"/>
  <c r="AV16" i="15"/>
  <c r="AW16" i="15" s="1"/>
  <c r="AX16" i="15" s="1"/>
  <c r="AY16" i="15" s="1"/>
  <c r="AV33" i="15"/>
  <c r="AW33" i="15" s="1"/>
  <c r="AX33" i="15" s="1"/>
  <c r="AY33" i="15" s="1"/>
  <c r="AV48" i="15"/>
  <c r="AW48" i="15" s="1"/>
  <c r="AX48" i="15" s="1"/>
  <c r="AY48" i="15" s="1"/>
  <c r="AV58" i="15"/>
  <c r="AW58" i="15" s="1"/>
  <c r="AX58" i="15" s="1"/>
  <c r="AY58" i="15" s="1"/>
  <c r="AV30" i="15"/>
  <c r="AW30" i="15" s="1"/>
  <c r="AX30" i="15" s="1"/>
  <c r="AY30" i="15" s="1"/>
  <c r="AV12" i="15"/>
  <c r="AX12" i="15" s="1"/>
  <c r="AY12" i="15" s="1"/>
  <c r="AV41" i="15"/>
  <c r="AW41" i="15" s="1"/>
  <c r="AX41" i="15" s="1"/>
  <c r="AY41" i="15" s="1"/>
  <c r="AV64" i="15"/>
  <c r="AW64" i="15" s="1"/>
  <c r="AX64" i="15" s="1"/>
  <c r="AY64" i="15" s="1"/>
  <c r="AV22" i="15"/>
  <c r="AW22" i="15" s="1"/>
  <c r="AX22" i="15" s="1"/>
  <c r="AY22" i="15" s="1"/>
  <c r="AV37" i="15"/>
  <c r="AW37" i="15" s="1"/>
  <c r="AX37" i="15" s="1"/>
  <c r="AY37" i="15" s="1"/>
  <c r="AV52" i="15"/>
  <c r="AW52" i="15" s="1"/>
  <c r="AX52" i="15" s="1"/>
  <c r="AY52" i="15" s="1"/>
  <c r="AV46" i="15"/>
  <c r="AW46" i="15" s="1"/>
  <c r="AX46" i="15" s="1"/>
  <c r="AY46" i="15" s="1"/>
  <c r="AP6" i="15"/>
  <c r="AM67" i="15"/>
  <c r="AN66" i="15"/>
  <c r="AN65" i="15"/>
  <c r="AN64" i="15"/>
  <c r="AM61" i="15"/>
  <c r="AN60" i="15"/>
  <c r="AN59" i="15"/>
  <c r="AN58" i="15"/>
  <c r="AN57" i="15"/>
  <c r="AM54" i="15"/>
  <c r="AN53" i="15"/>
  <c r="AN52" i="15"/>
  <c r="AN51" i="15"/>
  <c r="AN50" i="15"/>
  <c r="AN49" i="15"/>
  <c r="AN48" i="15"/>
  <c r="AN47" i="15"/>
  <c r="AN46" i="15"/>
  <c r="AM43" i="15"/>
  <c r="AN42" i="15"/>
  <c r="AN41" i="15"/>
  <c r="AN40" i="15"/>
  <c r="AN39" i="15"/>
  <c r="AN38" i="15"/>
  <c r="AN37" i="15"/>
  <c r="AN36" i="15"/>
  <c r="AN35" i="15"/>
  <c r="AN34" i="15"/>
  <c r="AN33" i="15"/>
  <c r="AN32" i="15"/>
  <c r="AN31" i="15"/>
  <c r="AN30" i="15"/>
  <c r="AM27" i="15"/>
  <c r="AN26" i="15"/>
  <c r="AN25" i="15"/>
  <c r="AN24" i="15"/>
  <c r="AN23" i="15"/>
  <c r="AN22" i="15"/>
  <c r="AN21" i="15"/>
  <c r="AM18" i="15"/>
  <c r="AN17" i="15"/>
  <c r="AN16" i="15"/>
  <c r="AN15" i="15"/>
  <c r="AN14" i="15"/>
  <c r="AN13" i="15"/>
  <c r="AN12" i="15"/>
  <c r="AN11" i="15"/>
  <c r="AN10" i="15"/>
  <c r="AN9" i="15"/>
  <c r="AM2" i="15"/>
  <c r="AN2" i="15" s="1"/>
  <c r="AO9" i="15" l="1"/>
  <c r="AP9" i="15" s="1"/>
  <c r="AO17" i="15"/>
  <c r="AP17" i="15" s="1"/>
  <c r="AO37" i="15"/>
  <c r="AP37" i="15" s="1"/>
  <c r="AO47" i="15"/>
  <c r="AP47" i="15" s="1"/>
  <c r="AO22" i="15"/>
  <c r="AP22" i="15" s="1"/>
  <c r="AO32" i="15"/>
  <c r="AP32" i="15" s="1"/>
  <c r="AU70" i="15"/>
  <c r="AU3" i="15" s="1"/>
  <c r="AU4" i="15" s="1"/>
  <c r="AO57" i="15"/>
  <c r="AP57" i="15" s="1"/>
  <c r="AM70" i="15"/>
  <c r="AM3" i="15" s="1"/>
  <c r="AM4" i="15" s="1"/>
  <c r="AN43" i="15"/>
  <c r="AO38" i="15"/>
  <c r="AP38" i="15" s="1"/>
  <c r="AN18" i="15"/>
  <c r="AO21" i="15"/>
  <c r="AO49" i="15"/>
  <c r="AP49" i="15" s="1"/>
  <c r="AO59" i="15"/>
  <c r="AP59" i="15" s="1"/>
  <c r="AO58" i="15"/>
  <c r="AP58" i="15" s="1"/>
  <c r="AO40" i="15"/>
  <c r="AO60" i="15"/>
  <c r="AO13" i="15"/>
  <c r="AP13" i="15" s="1"/>
  <c r="AO23" i="15"/>
  <c r="AP23" i="15" s="1"/>
  <c r="AO51" i="15"/>
  <c r="AP51" i="15" s="1"/>
  <c r="AO50" i="15"/>
  <c r="AP50" i="15" s="1"/>
  <c r="AO14" i="15"/>
  <c r="AP14" i="15" s="1"/>
  <c r="AO24" i="15"/>
  <c r="AP24" i="15" s="1"/>
  <c r="AO34" i="15"/>
  <c r="AP34" i="15" s="1"/>
  <c r="AO42" i="15"/>
  <c r="AO52" i="15"/>
  <c r="AP52" i="15" s="1"/>
  <c r="AO64" i="15"/>
  <c r="AP64" i="15" s="1"/>
  <c r="AO15" i="15"/>
  <c r="AP15" i="15" s="1"/>
  <c r="AO25" i="15"/>
  <c r="AP25" i="15" s="1"/>
  <c r="AO35" i="15"/>
  <c r="AP35" i="15" s="1"/>
  <c r="AO53" i="15"/>
  <c r="AO65" i="15"/>
  <c r="AP65" i="15" s="1"/>
  <c r="AO48" i="15"/>
  <c r="AP48" i="15" s="1"/>
  <c r="AO41" i="15"/>
  <c r="AP41" i="15" s="1"/>
  <c r="AO11" i="15"/>
  <c r="AO46" i="15"/>
  <c r="AP46" i="15" s="1"/>
  <c r="AO39" i="15"/>
  <c r="AP39" i="15" s="1"/>
  <c r="AO31" i="15"/>
  <c r="AP31" i="15" s="1"/>
  <c r="AO12" i="15"/>
  <c r="AP12" i="15" s="1"/>
  <c r="AO33" i="15"/>
  <c r="AP33" i="15" s="1"/>
  <c r="AO26" i="15"/>
  <c r="AP26" i="15" s="1"/>
  <c r="AO16" i="15"/>
  <c r="AP16" i="15" s="1"/>
  <c r="AO36" i="15"/>
  <c r="AP36" i="15" s="1"/>
  <c r="AO66" i="15"/>
  <c r="AP66" i="15" s="1"/>
  <c r="AN67" i="15"/>
  <c r="AO30" i="15"/>
  <c r="AP30" i="15" s="1"/>
  <c r="AN27" i="15"/>
  <c r="AO10" i="15"/>
  <c r="AP10" i="15" s="1"/>
  <c r="AN54" i="15"/>
  <c r="AN61" i="15"/>
  <c r="AN70" i="15" l="1"/>
  <c r="AN3" i="15" s="1"/>
  <c r="AN4" i="15" s="1"/>
  <c r="AX27" i="15"/>
  <c r="AX54" i="15"/>
  <c r="AY54" i="15"/>
  <c r="AX18" i="15"/>
  <c r="AY9" i="15"/>
  <c r="AY18" i="15" s="1"/>
  <c r="AX43" i="15"/>
  <c r="AY43" i="15"/>
  <c r="AY67" i="15"/>
  <c r="AX67" i="15"/>
  <c r="AY61" i="15"/>
  <c r="AX61" i="15"/>
  <c r="AY27" i="15"/>
  <c r="R22" i="4"/>
  <c r="DB2" i="15" s="1"/>
  <c r="EQ6" i="15"/>
  <c r="EN67" i="15"/>
  <c r="EO66" i="15"/>
  <c r="EO65" i="15"/>
  <c r="EO64" i="15"/>
  <c r="EN61" i="15"/>
  <c r="EO60" i="15"/>
  <c r="EO59" i="15"/>
  <c r="EO58" i="15"/>
  <c r="EO57" i="15"/>
  <c r="EN54" i="15"/>
  <c r="EO53" i="15"/>
  <c r="EO52" i="15"/>
  <c r="EO51" i="15"/>
  <c r="EO50" i="15"/>
  <c r="EO49" i="15"/>
  <c r="EO48" i="15"/>
  <c r="EO47" i="15"/>
  <c r="EO46" i="15"/>
  <c r="EN43" i="15"/>
  <c r="EO42" i="15"/>
  <c r="EO41" i="15"/>
  <c r="EO39" i="15"/>
  <c r="EO38" i="15"/>
  <c r="EO37" i="15"/>
  <c r="EO36" i="15"/>
  <c r="EO35" i="15"/>
  <c r="EO34" i="15"/>
  <c r="EO33" i="15"/>
  <c r="EO32" i="15"/>
  <c r="EO31" i="15"/>
  <c r="EO30" i="15"/>
  <c r="EN27" i="15"/>
  <c r="EO26" i="15"/>
  <c r="EO25" i="15"/>
  <c r="EO24" i="15"/>
  <c r="EO23" i="15"/>
  <c r="EO22" i="15"/>
  <c r="EO21" i="15"/>
  <c r="EN18" i="15"/>
  <c r="EO17" i="15"/>
  <c r="EO16" i="15"/>
  <c r="EO15" i="15"/>
  <c r="EO14" i="15"/>
  <c r="EO13" i="15"/>
  <c r="EO12" i="15"/>
  <c r="EO11" i="15"/>
  <c r="EO10" i="15"/>
  <c r="EO9" i="15"/>
  <c r="EO2" i="15"/>
  <c r="Q26" i="4"/>
  <c r="Q27" i="4"/>
  <c r="R27" i="4" s="1"/>
  <c r="ER2" i="15" s="1"/>
  <c r="DB38" i="15" l="1"/>
  <c r="DC38" i="15" s="1"/>
  <c r="DB41" i="15"/>
  <c r="DC41" i="15" s="1"/>
  <c r="DB9" i="15"/>
  <c r="DB31" i="15"/>
  <c r="DC31" i="15" s="1"/>
  <c r="DB58" i="15"/>
  <c r="DC58" i="15" s="1"/>
  <c r="DB16" i="15"/>
  <c r="DC16" i="15" s="1"/>
  <c r="DB47" i="15"/>
  <c r="DC47" i="15" s="1"/>
  <c r="DB11" i="15"/>
  <c r="DC11" i="15" s="1"/>
  <c r="DB33" i="15"/>
  <c r="DC33" i="15" s="1"/>
  <c r="DB60" i="15"/>
  <c r="DC60" i="15" s="1"/>
  <c r="DB22" i="15"/>
  <c r="DC22" i="15" s="1"/>
  <c r="DB36" i="15"/>
  <c r="DC36" i="15" s="1"/>
  <c r="DB49" i="15"/>
  <c r="DC49" i="15" s="1"/>
  <c r="DB13" i="15"/>
  <c r="DC13" i="15" s="1"/>
  <c r="DB35" i="15"/>
  <c r="DC35" i="15" s="1"/>
  <c r="DB40" i="15"/>
  <c r="DC40" i="15" s="1"/>
  <c r="DB64" i="15"/>
  <c r="DB24" i="15"/>
  <c r="DC24" i="15" s="1"/>
  <c r="DB65" i="15"/>
  <c r="DC65" i="15" s="1"/>
  <c r="DB14" i="15"/>
  <c r="DC14" i="15" s="1"/>
  <c r="DB51" i="15"/>
  <c r="DC51" i="15" s="1"/>
  <c r="DB15" i="15"/>
  <c r="DC15" i="15" s="1"/>
  <c r="DB37" i="15"/>
  <c r="DC37" i="15" s="1"/>
  <c r="DB42" i="15"/>
  <c r="DC42" i="15" s="1"/>
  <c r="DB66" i="15"/>
  <c r="DC66" i="15" s="1"/>
  <c r="DB26" i="15"/>
  <c r="DC26" i="15" s="1"/>
  <c r="DB53" i="15"/>
  <c r="DC53" i="15" s="1"/>
  <c r="DB17" i="15"/>
  <c r="DC17" i="15" s="1"/>
  <c r="DB39" i="15"/>
  <c r="DC39" i="15" s="1"/>
  <c r="DB46" i="15"/>
  <c r="DC2" i="15"/>
  <c r="DB30" i="15"/>
  <c r="DB57" i="15"/>
  <c r="DB21" i="15"/>
  <c r="DB48" i="15"/>
  <c r="DC48" i="15" s="1"/>
  <c r="DB10" i="15"/>
  <c r="DC10" i="15" s="1"/>
  <c r="DB32" i="15"/>
  <c r="DC32" i="15" s="1"/>
  <c r="DB25" i="15"/>
  <c r="DC25" i="15" s="1"/>
  <c r="DB59" i="15"/>
  <c r="DC59" i="15" s="1"/>
  <c r="DB23" i="15"/>
  <c r="DC23" i="15" s="1"/>
  <c r="DB50" i="15"/>
  <c r="DC50" i="15" s="1"/>
  <c r="DB12" i="15"/>
  <c r="DC12" i="15" s="1"/>
  <c r="DB34" i="15"/>
  <c r="DC34" i="15" s="1"/>
  <c r="DB52" i="15"/>
  <c r="DC52" i="15" s="1"/>
  <c r="EP21" i="15"/>
  <c r="ER21" i="15" s="1"/>
  <c r="ES21" i="15" s="1"/>
  <c r="EP32" i="15"/>
  <c r="ER32" i="15" s="1"/>
  <c r="ES32" i="15" s="1"/>
  <c r="EP58" i="15"/>
  <c r="ER58" i="15" s="1"/>
  <c r="ES58" i="15" s="1"/>
  <c r="EP31" i="15"/>
  <c r="ER31" i="15" s="1"/>
  <c r="ES31" i="15" s="1"/>
  <c r="EP13" i="15"/>
  <c r="EQ13" i="15" s="1"/>
  <c r="ER13" i="15" s="1"/>
  <c r="ES13" i="15" s="1"/>
  <c r="EP48" i="15"/>
  <c r="EQ48" i="15" s="1"/>
  <c r="ER48" i="15" s="1"/>
  <c r="ES48" i="15" s="1"/>
  <c r="EP39" i="15"/>
  <c r="ER39" i="15" s="1"/>
  <c r="ES39" i="15" s="1"/>
  <c r="EP22" i="15"/>
  <c r="EQ22" i="15" s="1"/>
  <c r="ER22" i="15" s="1"/>
  <c r="ES22" i="15" s="1"/>
  <c r="EP14" i="15"/>
  <c r="EQ14" i="15" s="1"/>
  <c r="ER14" i="15" s="1"/>
  <c r="ES14" i="15" s="1"/>
  <c r="EP36" i="15"/>
  <c r="EQ36" i="15" s="1"/>
  <c r="ER36" i="15" s="1"/>
  <c r="ES36" i="15" s="1"/>
  <c r="EP11" i="15"/>
  <c r="ER11" i="15" s="1"/>
  <c r="ES11" i="15" s="1"/>
  <c r="EP49" i="15"/>
  <c r="EQ49" i="15" s="1"/>
  <c r="EO61" i="15"/>
  <c r="EP33" i="15"/>
  <c r="ER33" i="15" s="1"/>
  <c r="ES33" i="15" s="1"/>
  <c r="EP59" i="15"/>
  <c r="EQ59" i="15" s="1"/>
  <c r="ER59" i="15" s="1"/>
  <c r="ES59" i="15" s="1"/>
  <c r="EP15" i="15"/>
  <c r="EQ15" i="15" s="1"/>
  <c r="ER15" i="15" s="1"/>
  <c r="ES15" i="15" s="1"/>
  <c r="EP24" i="15"/>
  <c r="EQ24" i="15" s="1"/>
  <c r="ER24" i="15" s="1"/>
  <c r="ES24" i="15" s="1"/>
  <c r="EP34" i="15"/>
  <c r="ER34" i="15" s="1"/>
  <c r="ES34" i="15" s="1"/>
  <c r="EP41" i="15"/>
  <c r="EQ41" i="15" s="1"/>
  <c r="ER41" i="15" s="1"/>
  <c r="ES41" i="15" s="1"/>
  <c r="EP50" i="15"/>
  <c r="EQ50" i="15" s="1"/>
  <c r="ER50" i="15" s="1"/>
  <c r="ES50" i="15" s="1"/>
  <c r="EP60" i="15"/>
  <c r="ER60" i="15" s="1"/>
  <c r="ES60" i="15" s="1"/>
  <c r="EP9" i="15"/>
  <c r="EQ9" i="15" s="1"/>
  <c r="ER9" i="15" s="1"/>
  <c r="EP25" i="15"/>
  <c r="EQ25" i="15" s="1"/>
  <c r="ER25" i="15" s="1"/>
  <c r="ES25" i="15" s="1"/>
  <c r="EP35" i="15"/>
  <c r="EQ35" i="15" s="1"/>
  <c r="ER35" i="15" s="1"/>
  <c r="ES35" i="15" s="1"/>
  <c r="EP51" i="15"/>
  <c r="EQ51" i="15" s="1"/>
  <c r="ER51" i="15" s="1"/>
  <c r="ES51" i="15" s="1"/>
  <c r="EP10" i="15"/>
  <c r="EQ10" i="15" s="1"/>
  <c r="ER10" i="15" s="1"/>
  <c r="ES10" i="15" s="1"/>
  <c r="EP17" i="15"/>
  <c r="ER17" i="15" s="1"/>
  <c r="ES17" i="15" s="1"/>
  <c r="EP26" i="15"/>
  <c r="EQ26" i="15" s="1"/>
  <c r="ER26" i="15" s="1"/>
  <c r="ES26" i="15" s="1"/>
  <c r="EP52" i="15"/>
  <c r="EQ52" i="15" s="1"/>
  <c r="ER52" i="15" s="1"/>
  <c r="ES52" i="15" s="1"/>
  <c r="EP64" i="15"/>
  <c r="EQ64" i="15" s="1"/>
  <c r="ER64" i="15" s="1"/>
  <c r="ES64" i="15" s="1"/>
  <c r="EN70" i="15"/>
  <c r="EN3" i="15" s="1"/>
  <c r="EN4" i="15" s="1"/>
  <c r="EO54" i="15"/>
  <c r="EP53" i="15"/>
  <c r="EQ53" i="15" s="1"/>
  <c r="ER53" i="15" s="1"/>
  <c r="ES53" i="15" s="1"/>
  <c r="EP65" i="15"/>
  <c r="EQ65" i="15" s="1"/>
  <c r="ER65" i="15" s="1"/>
  <c r="ES65" i="15" s="1"/>
  <c r="EP12" i="15"/>
  <c r="ER12" i="15" s="1"/>
  <c r="ES12" i="15" s="1"/>
  <c r="EO27" i="15"/>
  <c r="EO43" i="15"/>
  <c r="EP47" i="15"/>
  <c r="EQ47" i="15" s="1"/>
  <c r="ER47" i="15" s="1"/>
  <c r="ES47" i="15" s="1"/>
  <c r="EP66" i="15"/>
  <c r="EQ66" i="15" s="1"/>
  <c r="ER66" i="15" s="1"/>
  <c r="ES66" i="15" s="1"/>
  <c r="AY70" i="15"/>
  <c r="AY3" i="15" s="1"/>
  <c r="AY4" i="15" s="1"/>
  <c r="AX70" i="15"/>
  <c r="AX3" i="15" s="1"/>
  <c r="ES2" i="15"/>
  <c r="ER49" i="15"/>
  <c r="ES49" i="15" s="1"/>
  <c r="EO67" i="15"/>
  <c r="EP16" i="15"/>
  <c r="EQ16" i="15" s="1"/>
  <c r="ER16" i="15" s="1"/>
  <c r="ES16" i="15" s="1"/>
  <c r="EP30" i="15"/>
  <c r="ER30" i="15" s="1"/>
  <c r="ES30" i="15" s="1"/>
  <c r="EP38" i="15"/>
  <c r="EQ38" i="15" s="1"/>
  <c r="ER38" i="15" s="1"/>
  <c r="ES38" i="15" s="1"/>
  <c r="EP57" i="15"/>
  <c r="EQ57" i="15" s="1"/>
  <c r="ER57" i="15" s="1"/>
  <c r="ES57" i="15" s="1"/>
  <c r="EP23" i="15"/>
  <c r="EQ23" i="15" s="1"/>
  <c r="ER23" i="15" s="1"/>
  <c r="ES23" i="15" s="1"/>
  <c r="EP40" i="15"/>
  <c r="ER40" i="15" s="1"/>
  <c r="ES40" i="15" s="1"/>
  <c r="EO18" i="15"/>
  <c r="EP37" i="15"/>
  <c r="ER37" i="15" s="1"/>
  <c r="ES37" i="15" s="1"/>
  <c r="EP42" i="15"/>
  <c r="ER42" i="15" s="1"/>
  <c r="ES42" i="15" s="1"/>
  <c r="EP46" i="15"/>
  <c r="EQ46" i="15" s="1"/>
  <c r="ER46" i="15" s="1"/>
  <c r="ES46" i="15" s="1"/>
  <c r="DC30" i="15" l="1"/>
  <c r="DC43" i="15" s="1"/>
  <c r="DB43" i="15"/>
  <c r="DC46" i="15"/>
  <c r="DC54" i="15" s="1"/>
  <c r="DB54" i="15"/>
  <c r="DB18" i="15"/>
  <c r="DC9" i="15"/>
  <c r="DC18" i="15" s="1"/>
  <c r="DB27" i="15"/>
  <c r="DC21" i="15"/>
  <c r="DC27" i="15" s="1"/>
  <c r="DC57" i="15"/>
  <c r="DC61" i="15" s="1"/>
  <c r="DB61" i="15"/>
  <c r="DC64" i="15"/>
  <c r="DC67" i="15" s="1"/>
  <c r="DB67" i="15"/>
  <c r="AX4" i="15"/>
  <c r="V13" i="4"/>
  <c r="W13" i="4" s="1"/>
  <c r="EO70" i="15"/>
  <c r="EO3" i="15" s="1"/>
  <c r="EO4" i="15" s="1"/>
  <c r="DC70" i="15" l="1"/>
  <c r="DC3" i="15" s="1"/>
  <c r="DC4" i="15" s="1"/>
  <c r="DB70" i="15"/>
  <c r="DB3" i="15" s="1"/>
  <c r="BR6" i="15"/>
  <c r="BO67" i="15"/>
  <c r="BP66" i="15"/>
  <c r="BP65" i="15"/>
  <c r="BP64" i="15"/>
  <c r="BO61" i="15"/>
  <c r="BP60" i="15"/>
  <c r="BP59" i="15"/>
  <c r="BP58" i="15"/>
  <c r="BP57" i="15"/>
  <c r="BO54" i="15"/>
  <c r="BP53" i="15"/>
  <c r="BP52" i="15"/>
  <c r="BP51" i="15"/>
  <c r="BP50" i="15"/>
  <c r="BP49" i="15"/>
  <c r="BP48" i="15"/>
  <c r="BP47" i="15"/>
  <c r="BP46" i="15"/>
  <c r="BO43" i="15"/>
  <c r="BP42" i="15"/>
  <c r="BP41" i="15"/>
  <c r="BP39" i="15"/>
  <c r="BP38" i="15"/>
  <c r="BP37" i="15"/>
  <c r="BP36" i="15"/>
  <c r="BP35" i="15"/>
  <c r="BP34" i="15"/>
  <c r="BP33" i="15"/>
  <c r="BP32" i="15"/>
  <c r="BP31" i="15"/>
  <c r="BP30" i="15"/>
  <c r="BO27" i="15"/>
  <c r="BP26" i="15"/>
  <c r="BP25" i="15"/>
  <c r="BP24" i="15"/>
  <c r="BP23" i="15"/>
  <c r="BP22" i="15"/>
  <c r="BP21" i="15"/>
  <c r="BO18" i="15"/>
  <c r="BP17" i="15"/>
  <c r="BP16" i="15"/>
  <c r="BP15" i="15"/>
  <c r="BP14" i="15"/>
  <c r="BP13" i="15"/>
  <c r="BP12" i="15"/>
  <c r="BP11" i="15"/>
  <c r="BP10" i="15"/>
  <c r="BP9" i="15"/>
  <c r="BP2" i="15"/>
  <c r="BQ40" i="15" s="1"/>
  <c r="BK6" i="15"/>
  <c r="BH67" i="15"/>
  <c r="BI66" i="15"/>
  <c r="BI65" i="15"/>
  <c r="BI64" i="15"/>
  <c r="BH61" i="15"/>
  <c r="BI60" i="15"/>
  <c r="BI59" i="15"/>
  <c r="BI58" i="15"/>
  <c r="BI57" i="15"/>
  <c r="BH54" i="15"/>
  <c r="BI53" i="15"/>
  <c r="BI52" i="15"/>
  <c r="BI51" i="15"/>
  <c r="BI50" i="15"/>
  <c r="BI49" i="15"/>
  <c r="BI48" i="15"/>
  <c r="BI47" i="15"/>
  <c r="BI46" i="15"/>
  <c r="BH43" i="15"/>
  <c r="BI42" i="15"/>
  <c r="BI41" i="15"/>
  <c r="BI39" i="15"/>
  <c r="BI38" i="15"/>
  <c r="BI37" i="15"/>
  <c r="BI36" i="15"/>
  <c r="BI35" i="15"/>
  <c r="BI34" i="15"/>
  <c r="BI33" i="15"/>
  <c r="BI32" i="15"/>
  <c r="BI31" i="15"/>
  <c r="BI30" i="15"/>
  <c r="BH27" i="15"/>
  <c r="BI26" i="15"/>
  <c r="BI25" i="15"/>
  <c r="BI24" i="15"/>
  <c r="BI23" i="15"/>
  <c r="BI22" i="15"/>
  <c r="BI21" i="15"/>
  <c r="BH18" i="15"/>
  <c r="BI17" i="15"/>
  <c r="BI16" i="15"/>
  <c r="BI15" i="15"/>
  <c r="BI14" i="15"/>
  <c r="BI13" i="15"/>
  <c r="BI12" i="15"/>
  <c r="BI11" i="15"/>
  <c r="BI10" i="15"/>
  <c r="BI9" i="15"/>
  <c r="BI2" i="15"/>
  <c r="Q19" i="4"/>
  <c r="Q20" i="4" s="1"/>
  <c r="R20" i="4" s="1"/>
  <c r="CN2" i="15" s="1"/>
  <c r="R16" i="4"/>
  <c r="BS2" i="15" s="1"/>
  <c r="BS38" i="15" s="1"/>
  <c r="BT38" i="15" s="1"/>
  <c r="R15" i="4"/>
  <c r="BL2" i="15" s="1"/>
  <c r="BL66" i="15" s="1"/>
  <c r="BM66" i="15" s="1"/>
  <c r="R14" i="4"/>
  <c r="BE2" i="15" s="1"/>
  <c r="R12" i="4"/>
  <c r="AQ2" i="15" s="1"/>
  <c r="R11" i="4"/>
  <c r="R7" i="4"/>
  <c r="O2" i="15" s="1"/>
  <c r="P2" i="15" s="1"/>
  <c r="R6" i="4"/>
  <c r="K67" i="15"/>
  <c r="L66" i="15"/>
  <c r="L65" i="15"/>
  <c r="L64" i="15"/>
  <c r="K61" i="15"/>
  <c r="L60" i="15"/>
  <c r="L59" i="15"/>
  <c r="L58" i="15"/>
  <c r="L57" i="15"/>
  <c r="K54" i="15"/>
  <c r="L53" i="15"/>
  <c r="L52" i="15"/>
  <c r="L51" i="15"/>
  <c r="L50" i="15"/>
  <c r="L49" i="15"/>
  <c r="L48" i="15"/>
  <c r="L47" i="15"/>
  <c r="L46" i="15"/>
  <c r="K43" i="15"/>
  <c r="L42" i="15"/>
  <c r="L41" i="15"/>
  <c r="L39" i="15"/>
  <c r="L38" i="15"/>
  <c r="L37" i="15"/>
  <c r="L36" i="15"/>
  <c r="L35" i="15"/>
  <c r="L34" i="15"/>
  <c r="L33" i="15"/>
  <c r="L32" i="15"/>
  <c r="L31" i="15"/>
  <c r="L30" i="15"/>
  <c r="K27" i="15"/>
  <c r="L26" i="15"/>
  <c r="L25" i="15"/>
  <c r="L24" i="15"/>
  <c r="L23" i="15"/>
  <c r="L22" i="15"/>
  <c r="L21" i="15"/>
  <c r="K18" i="15"/>
  <c r="L17" i="15"/>
  <c r="L16" i="15"/>
  <c r="L15" i="15"/>
  <c r="L14" i="15"/>
  <c r="L13" i="15"/>
  <c r="L12" i="15"/>
  <c r="L11" i="15"/>
  <c r="L10" i="15"/>
  <c r="L9" i="15"/>
  <c r="L2" i="15"/>
  <c r="M40" i="15" s="1"/>
  <c r="CO2" i="15" l="1"/>
  <c r="CN58" i="15"/>
  <c r="CO58" i="15" s="1"/>
  <c r="CN66" i="15"/>
  <c r="CO66" i="15" s="1"/>
  <c r="CN53" i="15"/>
  <c r="CO53" i="15" s="1"/>
  <c r="CN49" i="15"/>
  <c r="CO49" i="15" s="1"/>
  <c r="CN23" i="15"/>
  <c r="CO23" i="15" s="1"/>
  <c r="CN35" i="15"/>
  <c r="CO35" i="15" s="1"/>
  <c r="CN47" i="15"/>
  <c r="CO47" i="15" s="1"/>
  <c r="CN42" i="15"/>
  <c r="CO42" i="15" s="1"/>
  <c r="CN57" i="15"/>
  <c r="CO57" i="15" s="1"/>
  <c r="CN40" i="15"/>
  <c r="CO40" i="15" s="1"/>
  <c r="CN32" i="15"/>
  <c r="CO32" i="15" s="1"/>
  <c r="CN14" i="15"/>
  <c r="CO14" i="15" s="1"/>
  <c r="CN46" i="15"/>
  <c r="CO46" i="15" s="1"/>
  <c r="CN21" i="15"/>
  <c r="CO21" i="15" s="1"/>
  <c r="CN31" i="15"/>
  <c r="CO31" i="15" s="1"/>
  <c r="CN41" i="15"/>
  <c r="CO41" i="15" s="1"/>
  <c r="CN52" i="15"/>
  <c r="CO52" i="15" s="1"/>
  <c r="CN25" i="15"/>
  <c r="CO25" i="15" s="1"/>
  <c r="CN37" i="15"/>
  <c r="CO37" i="15" s="1"/>
  <c r="CN36" i="15"/>
  <c r="CO36" i="15" s="1"/>
  <c r="CN17" i="15"/>
  <c r="CO17" i="15" s="1"/>
  <c r="CN64" i="15"/>
  <c r="CO64" i="15" s="1"/>
  <c r="CN59" i="15"/>
  <c r="CO59" i="15" s="1"/>
  <c r="CN10" i="15"/>
  <c r="CO10" i="15" s="1"/>
  <c r="CN50" i="15"/>
  <c r="CO50" i="15" s="1"/>
  <c r="CN15" i="15"/>
  <c r="CO15" i="15" s="1"/>
  <c r="CN11" i="15"/>
  <c r="CO11" i="15" s="1"/>
  <c r="CN22" i="15"/>
  <c r="CO22" i="15" s="1"/>
  <c r="CN26" i="15"/>
  <c r="CO26" i="15" s="1"/>
  <c r="CN13" i="15"/>
  <c r="CO13" i="15" s="1"/>
  <c r="CN33" i="15"/>
  <c r="CO33" i="15" s="1"/>
  <c r="CN12" i="15"/>
  <c r="CO12" i="15" s="1"/>
  <c r="CN16" i="15"/>
  <c r="CO16" i="15" s="1"/>
  <c r="CN65" i="15"/>
  <c r="CO65" i="15" s="1"/>
  <c r="CN38" i="15"/>
  <c r="CO38" i="15" s="1"/>
  <c r="CN24" i="15"/>
  <c r="CO24" i="15" s="1"/>
  <c r="CN51" i="15"/>
  <c r="CO51" i="15" s="1"/>
  <c r="CN9" i="15"/>
  <c r="CN60" i="15"/>
  <c r="CO60" i="15" s="1"/>
  <c r="CN48" i="15"/>
  <c r="CO48" i="15" s="1"/>
  <c r="CN34" i="15"/>
  <c r="CO34" i="15" s="1"/>
  <c r="CN30" i="15"/>
  <c r="CO30" i="15" s="1"/>
  <c r="AR2" i="15"/>
  <c r="AQ33" i="15"/>
  <c r="AR33" i="15" s="1"/>
  <c r="AQ16" i="15"/>
  <c r="AR16" i="15" s="1"/>
  <c r="AQ39" i="15"/>
  <c r="AR39" i="15" s="1"/>
  <c r="AQ53" i="15"/>
  <c r="AR53" i="15" s="1"/>
  <c r="AQ40" i="15"/>
  <c r="AR40" i="15" s="1"/>
  <c r="AQ23" i="15"/>
  <c r="AR23" i="15" s="1"/>
  <c r="AQ58" i="15"/>
  <c r="AR58" i="15" s="1"/>
  <c r="AQ41" i="15"/>
  <c r="AR41" i="15" s="1"/>
  <c r="AQ48" i="15"/>
  <c r="AR48" i="15" s="1"/>
  <c r="AQ25" i="15"/>
  <c r="AR25" i="15" s="1"/>
  <c r="AQ46" i="15"/>
  <c r="AR46" i="15" s="1"/>
  <c r="AQ12" i="15"/>
  <c r="AR12" i="15" s="1"/>
  <c r="AQ21" i="15"/>
  <c r="AR21" i="15" s="1"/>
  <c r="AQ11" i="15"/>
  <c r="AR11" i="15" s="1"/>
  <c r="AQ47" i="15"/>
  <c r="AR47" i="15" s="1"/>
  <c r="AQ14" i="15"/>
  <c r="AR14" i="15" s="1"/>
  <c r="AQ50" i="15"/>
  <c r="AR50" i="15" s="1"/>
  <c r="AQ15" i="15"/>
  <c r="AR15" i="15" s="1"/>
  <c r="AQ30" i="15"/>
  <c r="AR30" i="15" s="1"/>
  <c r="AQ22" i="15"/>
  <c r="AR22" i="15" s="1"/>
  <c r="AQ37" i="15"/>
  <c r="AR37" i="15" s="1"/>
  <c r="AQ57" i="15"/>
  <c r="AR57" i="15" s="1"/>
  <c r="AQ59" i="15"/>
  <c r="AR59" i="15" s="1"/>
  <c r="AQ51" i="15"/>
  <c r="AR51" i="15" s="1"/>
  <c r="AQ35" i="15"/>
  <c r="AR35" i="15" s="1"/>
  <c r="AQ10" i="15"/>
  <c r="AR10" i="15" s="1"/>
  <c r="AQ60" i="15"/>
  <c r="AR60" i="15" s="1"/>
  <c r="AQ52" i="15"/>
  <c r="AR52" i="15" s="1"/>
  <c r="AQ49" i="15"/>
  <c r="AR49" i="15" s="1"/>
  <c r="AQ66" i="15"/>
  <c r="AR66" i="15" s="1"/>
  <c r="AQ17" i="15"/>
  <c r="AR17" i="15" s="1"/>
  <c r="AQ13" i="15"/>
  <c r="AR13" i="15" s="1"/>
  <c r="AQ24" i="15"/>
  <c r="AR24" i="15" s="1"/>
  <c r="AQ34" i="15"/>
  <c r="AR34" i="15" s="1"/>
  <c r="AQ26" i="15"/>
  <c r="AR26" i="15" s="1"/>
  <c r="AQ32" i="15"/>
  <c r="AR32" i="15" s="1"/>
  <c r="AQ36" i="15"/>
  <c r="AR36" i="15" s="1"/>
  <c r="AQ42" i="15"/>
  <c r="AR42" i="15" s="1"/>
  <c r="AQ64" i="15"/>
  <c r="AR64" i="15" s="1"/>
  <c r="AQ9" i="15"/>
  <c r="AQ31" i="15"/>
  <c r="AR31" i="15" s="1"/>
  <c r="AQ65" i="15"/>
  <c r="AR65" i="15" s="1"/>
  <c r="AQ38" i="15"/>
  <c r="AR38" i="15" s="1"/>
  <c r="BF2" i="15"/>
  <c r="BE51" i="15"/>
  <c r="BF51" i="15" s="1"/>
  <c r="BE59" i="15"/>
  <c r="BF59" i="15" s="1"/>
  <c r="BE32" i="15"/>
  <c r="BF32" i="15" s="1"/>
  <c r="BE35" i="15"/>
  <c r="BF35" i="15" s="1"/>
  <c r="BE16" i="15"/>
  <c r="BF16" i="15" s="1"/>
  <c r="BE52" i="15"/>
  <c r="BF52" i="15" s="1"/>
  <c r="BE13" i="15"/>
  <c r="BF13" i="15" s="1"/>
  <c r="BE40" i="15"/>
  <c r="BF40" i="15" s="1"/>
  <c r="BE12" i="15"/>
  <c r="BF12" i="15" s="1"/>
  <c r="BE34" i="15"/>
  <c r="BF34" i="15" s="1"/>
  <c r="BE31" i="15"/>
  <c r="BF31" i="15" s="1"/>
  <c r="BE49" i="15"/>
  <c r="BF49" i="15" s="1"/>
  <c r="BE26" i="15"/>
  <c r="BF26" i="15" s="1"/>
  <c r="BE37" i="15"/>
  <c r="BF37" i="15" s="1"/>
  <c r="BE64" i="15"/>
  <c r="BE17" i="15"/>
  <c r="BF17" i="15" s="1"/>
  <c r="BE14" i="15"/>
  <c r="BF14" i="15" s="1"/>
  <c r="BE48" i="15"/>
  <c r="BF48" i="15" s="1"/>
  <c r="BE9" i="15"/>
  <c r="BE10" i="15"/>
  <c r="BF10" i="15" s="1"/>
  <c r="BE41" i="15"/>
  <c r="BF41" i="15" s="1"/>
  <c r="BE47" i="15"/>
  <c r="BF47" i="15" s="1"/>
  <c r="BE66" i="15"/>
  <c r="BF66" i="15" s="1"/>
  <c r="BE33" i="15"/>
  <c r="BF33" i="15" s="1"/>
  <c r="BE25" i="15"/>
  <c r="BF25" i="15" s="1"/>
  <c r="BE46" i="15"/>
  <c r="BE42" i="15"/>
  <c r="BF42" i="15" s="1"/>
  <c r="BE23" i="15"/>
  <c r="BF23" i="15" s="1"/>
  <c r="BE11" i="15"/>
  <c r="BF11" i="15" s="1"/>
  <c r="BE22" i="15"/>
  <c r="BF22" i="15" s="1"/>
  <c r="BE50" i="15"/>
  <c r="BF50" i="15" s="1"/>
  <c r="BE36" i="15"/>
  <c r="BF36" i="15" s="1"/>
  <c r="BE57" i="15"/>
  <c r="BE39" i="15"/>
  <c r="BF39" i="15" s="1"/>
  <c r="BE24" i="15"/>
  <c r="BF24" i="15" s="1"/>
  <c r="BE30" i="15"/>
  <c r="BE38" i="15"/>
  <c r="BF38" i="15" s="1"/>
  <c r="BE21" i="15"/>
  <c r="BE58" i="15"/>
  <c r="BF58" i="15" s="1"/>
  <c r="BE60" i="15"/>
  <c r="BF60" i="15" s="1"/>
  <c r="BE15" i="15"/>
  <c r="BF15" i="15" s="1"/>
  <c r="BE53" i="15"/>
  <c r="BF53" i="15" s="1"/>
  <c r="BE65" i="15"/>
  <c r="BF65" i="15" s="1"/>
  <c r="DB4" i="15"/>
  <c r="V22" i="4"/>
  <c r="W22" i="4" s="1"/>
  <c r="BQ38" i="15"/>
  <c r="BQ49" i="15"/>
  <c r="BQ59" i="15"/>
  <c r="BQ22" i="15"/>
  <c r="BQ14" i="15"/>
  <c r="BQ24" i="15"/>
  <c r="BQ34" i="15"/>
  <c r="BQ13" i="15"/>
  <c r="BQ33" i="15"/>
  <c r="BJ66" i="15"/>
  <c r="M50" i="15"/>
  <c r="N50" i="15" s="1"/>
  <c r="O50" i="15" s="1"/>
  <c r="P50" i="15" s="1"/>
  <c r="BP67" i="15"/>
  <c r="M13" i="15"/>
  <c r="N13" i="15" s="1"/>
  <c r="O13" i="15" s="1"/>
  <c r="P13" i="15" s="1"/>
  <c r="BJ10" i="15"/>
  <c r="BQ16" i="15"/>
  <c r="BQ26" i="15"/>
  <c r="BQ36" i="15"/>
  <c r="M35" i="15"/>
  <c r="O35" i="15" s="1"/>
  <c r="P35" i="15" s="1"/>
  <c r="BQ10" i="15"/>
  <c r="BQ50" i="15"/>
  <c r="M32" i="15"/>
  <c r="O32" i="15" s="1"/>
  <c r="P32" i="15" s="1"/>
  <c r="M49" i="15"/>
  <c r="N49" i="15" s="1"/>
  <c r="O49" i="15" s="1"/>
  <c r="P49" i="15" s="1"/>
  <c r="M59" i="15"/>
  <c r="N59" i="15" s="1"/>
  <c r="O59" i="15" s="1"/>
  <c r="P59" i="15" s="1"/>
  <c r="BJ16" i="15"/>
  <c r="BQ17" i="15"/>
  <c r="BQ37" i="15"/>
  <c r="BQ47" i="15"/>
  <c r="BP61" i="15"/>
  <c r="BQ12" i="15"/>
  <c r="BQ25" i="15"/>
  <c r="BQ32" i="15"/>
  <c r="BQ48" i="15"/>
  <c r="BQ58" i="15"/>
  <c r="BO70" i="15"/>
  <c r="BO3" i="15" s="1"/>
  <c r="BO4" i="15" s="1"/>
  <c r="BQ41" i="15"/>
  <c r="BQ51" i="15"/>
  <c r="M9" i="15"/>
  <c r="N9" i="15" s="1"/>
  <c r="O9" i="15" s="1"/>
  <c r="BQ15" i="15"/>
  <c r="BQ35" i="15"/>
  <c r="BQ42" i="15"/>
  <c r="BQ52" i="15"/>
  <c r="BQ64" i="15"/>
  <c r="BP18" i="15"/>
  <c r="BP27" i="15"/>
  <c r="BQ60" i="15"/>
  <c r="M47" i="15"/>
  <c r="N47" i="15" s="1"/>
  <c r="O47" i="15" s="1"/>
  <c r="P47" i="15" s="1"/>
  <c r="BQ23" i="15"/>
  <c r="BQ30" i="15"/>
  <c r="BQ53" i="15"/>
  <c r="BQ39" i="15"/>
  <c r="BQ9" i="15"/>
  <c r="BI54" i="15"/>
  <c r="BQ11" i="15"/>
  <c r="BQ31" i="15"/>
  <c r="BP54" i="15"/>
  <c r="BQ66" i="15"/>
  <c r="BP43" i="15"/>
  <c r="BQ57" i="15"/>
  <c r="BQ65" i="15"/>
  <c r="BQ21" i="15"/>
  <c r="BS41" i="15"/>
  <c r="BT41" i="15" s="1"/>
  <c r="BS47" i="15"/>
  <c r="BT47" i="15" s="1"/>
  <c r="BS49" i="15"/>
  <c r="BT49" i="15" s="1"/>
  <c r="BS51" i="15"/>
  <c r="BT51" i="15" s="1"/>
  <c r="BS53" i="15"/>
  <c r="BT53" i="15" s="1"/>
  <c r="BS57" i="15"/>
  <c r="BS59" i="15"/>
  <c r="BT59" i="15" s="1"/>
  <c r="BS65" i="15"/>
  <c r="BT65" i="15" s="1"/>
  <c r="BS11" i="15"/>
  <c r="BT11" i="15" s="1"/>
  <c r="BS17" i="15"/>
  <c r="BT17" i="15" s="1"/>
  <c r="BS23" i="15"/>
  <c r="BT23" i="15" s="1"/>
  <c r="BS31" i="15"/>
  <c r="BT31" i="15" s="1"/>
  <c r="BS35" i="15"/>
  <c r="BT35" i="15" s="1"/>
  <c r="BS9" i="15"/>
  <c r="BS13" i="15"/>
  <c r="BT13" i="15" s="1"/>
  <c r="BS21" i="15"/>
  <c r="BS25" i="15"/>
  <c r="BT25" i="15" s="1"/>
  <c r="BS33" i="15"/>
  <c r="BT33" i="15" s="1"/>
  <c r="BS39" i="15"/>
  <c r="BT39" i="15" s="1"/>
  <c r="BS15" i="15"/>
  <c r="BT15" i="15" s="1"/>
  <c r="BS37" i="15"/>
  <c r="BT37" i="15" s="1"/>
  <c r="BQ46" i="15"/>
  <c r="BS40" i="15"/>
  <c r="BT40" i="15" s="1"/>
  <c r="BS46" i="15"/>
  <c r="BS50" i="15"/>
  <c r="BT50" i="15" s="1"/>
  <c r="BS52" i="15"/>
  <c r="BT52" i="15" s="1"/>
  <c r="BS58" i="15"/>
  <c r="BT58" i="15" s="1"/>
  <c r="BS60" i="15"/>
  <c r="BT60" i="15" s="1"/>
  <c r="BS64" i="15"/>
  <c r="BS42" i="15"/>
  <c r="BT42" i="15" s="1"/>
  <c r="BS48" i="15"/>
  <c r="BT48" i="15" s="1"/>
  <c r="BS66" i="15"/>
  <c r="BT66" i="15" s="1"/>
  <c r="BT2" i="15"/>
  <c r="BS10" i="15"/>
  <c r="BT10" i="15" s="1"/>
  <c r="BS12" i="15"/>
  <c r="BT12" i="15" s="1"/>
  <c r="BS14" i="15"/>
  <c r="BT14" i="15" s="1"/>
  <c r="BS16" i="15"/>
  <c r="BT16" i="15" s="1"/>
  <c r="BS22" i="15"/>
  <c r="BT22" i="15" s="1"/>
  <c r="BS24" i="15"/>
  <c r="BT24" i="15" s="1"/>
  <c r="BS26" i="15"/>
  <c r="BT26" i="15" s="1"/>
  <c r="BS30" i="15"/>
  <c r="BS32" i="15"/>
  <c r="BT32" i="15" s="1"/>
  <c r="BS34" i="15"/>
  <c r="BT34" i="15" s="1"/>
  <c r="BS36" i="15"/>
  <c r="BT36" i="15" s="1"/>
  <c r="BL10" i="15"/>
  <c r="BM10" i="15" s="1"/>
  <c r="BI61" i="15"/>
  <c r="M48" i="15"/>
  <c r="N48" i="15" s="1"/>
  <c r="O48" i="15" s="1"/>
  <c r="P48" i="15" s="1"/>
  <c r="M58" i="15"/>
  <c r="O58" i="15" s="1"/>
  <c r="P58" i="15" s="1"/>
  <c r="BJ12" i="15"/>
  <c r="BJ32" i="15"/>
  <c r="BL22" i="15"/>
  <c r="BM22" i="15" s="1"/>
  <c r="BL14" i="15"/>
  <c r="BM14" i="15" s="1"/>
  <c r="BJ23" i="15"/>
  <c r="BI67" i="15"/>
  <c r="M52" i="15"/>
  <c r="N52" i="15" s="1"/>
  <c r="O52" i="15" s="1"/>
  <c r="P52" i="15" s="1"/>
  <c r="BJ15" i="15"/>
  <c r="BJ24" i="15"/>
  <c r="BJ33" i="15"/>
  <c r="M15" i="15"/>
  <c r="N15" i="15" s="1"/>
  <c r="O15" i="15" s="1"/>
  <c r="P15" i="15" s="1"/>
  <c r="M25" i="15"/>
  <c r="N25" i="15" s="1"/>
  <c r="O25" i="15" s="1"/>
  <c r="P25" i="15" s="1"/>
  <c r="M42" i="15"/>
  <c r="O42" i="15" s="1"/>
  <c r="P42" i="15" s="1"/>
  <c r="M51" i="15"/>
  <c r="N51" i="15" s="1"/>
  <c r="O51" i="15" s="1"/>
  <c r="P51" i="15" s="1"/>
  <c r="BJ11" i="15"/>
  <c r="BL16" i="15"/>
  <c r="BM16" i="15" s="1"/>
  <c r="BL24" i="15"/>
  <c r="BM24" i="15" s="1"/>
  <c r="BJ34" i="15"/>
  <c r="BJ35" i="15"/>
  <c r="L18" i="15"/>
  <c r="M64" i="15"/>
  <c r="N64" i="15" s="1"/>
  <c r="O64" i="15" s="1"/>
  <c r="P64" i="15" s="1"/>
  <c r="BL12" i="15"/>
  <c r="BM12" i="15" s="1"/>
  <c r="BH70" i="15"/>
  <c r="BH3" i="15" s="1"/>
  <c r="BH4" i="15" s="1"/>
  <c r="BJ26" i="15"/>
  <c r="BJ36" i="15"/>
  <c r="K70" i="15"/>
  <c r="K3" i="15" s="1"/>
  <c r="K4" i="15" s="1"/>
  <c r="M37" i="15"/>
  <c r="O37" i="15" s="1"/>
  <c r="P37" i="15" s="1"/>
  <c r="M65" i="15"/>
  <c r="N65" i="15" s="1"/>
  <c r="O65" i="15" s="1"/>
  <c r="P65" i="15" s="1"/>
  <c r="BM2" i="15"/>
  <c r="BJ13" i="15"/>
  <c r="BI27" i="15"/>
  <c r="BJ37" i="15"/>
  <c r="BJ17" i="15"/>
  <c r="BJ25" i="15"/>
  <c r="M12" i="15"/>
  <c r="O12" i="15" s="1"/>
  <c r="P12" i="15" s="1"/>
  <c r="M66" i="15"/>
  <c r="N66" i="15" s="1"/>
  <c r="O66" i="15" s="1"/>
  <c r="P66" i="15" s="1"/>
  <c r="BJ14" i="15"/>
  <c r="BJ22" i="15"/>
  <c r="BJ30" i="15"/>
  <c r="BJ38" i="15"/>
  <c r="BI18" i="15"/>
  <c r="BJ31" i="15"/>
  <c r="BJ39" i="15"/>
  <c r="BL26" i="15"/>
  <c r="BM26" i="15" s="1"/>
  <c r="BL30" i="15"/>
  <c r="BL32" i="15"/>
  <c r="BM32" i="15" s="1"/>
  <c r="BL34" i="15"/>
  <c r="BM34" i="15" s="1"/>
  <c r="BL36" i="15"/>
  <c r="BM36" i="15" s="1"/>
  <c r="BL38" i="15"/>
  <c r="BM38" i="15" s="1"/>
  <c r="BJ41" i="15"/>
  <c r="BJ53" i="15"/>
  <c r="BJ9" i="15"/>
  <c r="BJ21" i="15"/>
  <c r="BL41" i="15"/>
  <c r="BM41" i="15" s="1"/>
  <c r="BL47" i="15"/>
  <c r="BM47" i="15" s="1"/>
  <c r="BL49" i="15"/>
  <c r="BM49" i="15" s="1"/>
  <c r="BL51" i="15"/>
  <c r="BM51" i="15" s="1"/>
  <c r="BL53" i="15"/>
  <c r="BM53" i="15" s="1"/>
  <c r="BL57" i="15"/>
  <c r="BL59" i="15"/>
  <c r="BM59" i="15" s="1"/>
  <c r="BL65" i="15"/>
  <c r="BM65" i="15" s="1"/>
  <c r="BI43" i="15"/>
  <c r="BJ49" i="15"/>
  <c r="BJ51" i="15"/>
  <c r="BJ57" i="15"/>
  <c r="BJ59" i="15"/>
  <c r="BJ65" i="15"/>
  <c r="BL9" i="15"/>
  <c r="BL11" i="15"/>
  <c r="BM11" i="15" s="1"/>
  <c r="BL13" i="15"/>
  <c r="BM13" i="15" s="1"/>
  <c r="BL15" i="15"/>
  <c r="BM15" i="15" s="1"/>
  <c r="BL17" i="15"/>
  <c r="BM17" i="15" s="1"/>
  <c r="BL21" i="15"/>
  <c r="BL23" i="15"/>
  <c r="BM23" i="15" s="1"/>
  <c r="BL25" i="15"/>
  <c r="BM25" i="15" s="1"/>
  <c r="BL31" i="15"/>
  <c r="BM31" i="15" s="1"/>
  <c r="BL33" i="15"/>
  <c r="BM33" i="15" s="1"/>
  <c r="BL35" i="15"/>
  <c r="BM35" i="15" s="1"/>
  <c r="BL37" i="15"/>
  <c r="BM37" i="15" s="1"/>
  <c r="BL39" i="15"/>
  <c r="BM39" i="15" s="1"/>
  <c r="BJ47" i="15"/>
  <c r="BJ40" i="15"/>
  <c r="BJ42" i="15"/>
  <c r="BJ46" i="15"/>
  <c r="BJ48" i="15"/>
  <c r="BJ50" i="15"/>
  <c r="BJ52" i="15"/>
  <c r="BJ58" i="15"/>
  <c r="BJ60" i="15"/>
  <c r="BJ64" i="15"/>
  <c r="BL40" i="15"/>
  <c r="BM40" i="15" s="1"/>
  <c r="BL42" i="15"/>
  <c r="BM42" i="15" s="1"/>
  <c r="BL46" i="15"/>
  <c r="BL48" i="15"/>
  <c r="BM48" i="15" s="1"/>
  <c r="BL50" i="15"/>
  <c r="BM50" i="15" s="1"/>
  <c r="BL52" i="15"/>
  <c r="BM52" i="15" s="1"/>
  <c r="BL58" i="15"/>
  <c r="BM58" i="15" s="1"/>
  <c r="BL60" i="15"/>
  <c r="BM60" i="15" s="1"/>
  <c r="BL64" i="15"/>
  <c r="Q21" i="4"/>
  <c r="R21" i="4" s="1"/>
  <c r="CU2" i="15" s="1"/>
  <c r="O40" i="15"/>
  <c r="P40" i="15" s="1"/>
  <c r="M11" i="15"/>
  <c r="O11" i="15" s="1"/>
  <c r="P11" i="15" s="1"/>
  <c r="M60" i="15"/>
  <c r="O60" i="15" s="1"/>
  <c r="P60" i="15" s="1"/>
  <c r="M53" i="15"/>
  <c r="O53" i="15" s="1"/>
  <c r="P53" i="15" s="1"/>
  <c r="M33" i="15"/>
  <c r="O33" i="15" s="1"/>
  <c r="P33" i="15" s="1"/>
  <c r="M26" i="15"/>
  <c r="N26" i="15" s="1"/>
  <c r="O26" i="15" s="1"/>
  <c r="P26" i="15" s="1"/>
  <c r="M16" i="15"/>
  <c r="N16" i="15" s="1"/>
  <c r="O16" i="15" s="1"/>
  <c r="P16" i="15" s="1"/>
  <c r="M21" i="15"/>
  <c r="O21" i="15" s="1"/>
  <c r="P21" i="15" s="1"/>
  <c r="M24" i="15"/>
  <c r="N24" i="15" s="1"/>
  <c r="O24" i="15" s="1"/>
  <c r="P24" i="15" s="1"/>
  <c r="L43" i="15"/>
  <c r="M36" i="15"/>
  <c r="O36" i="15" s="1"/>
  <c r="P36" i="15" s="1"/>
  <c r="M39" i="15"/>
  <c r="O39" i="15" s="1"/>
  <c r="P39" i="15" s="1"/>
  <c r="M10" i="15"/>
  <c r="N10" i="15" s="1"/>
  <c r="O10" i="15" s="1"/>
  <c r="P10" i="15" s="1"/>
  <c r="L54" i="15"/>
  <c r="M46" i="15"/>
  <c r="N46" i="15" s="1"/>
  <c r="O46" i="15" s="1"/>
  <c r="P46" i="15" s="1"/>
  <c r="L27" i="15"/>
  <c r="M22" i="15"/>
  <c r="N22" i="15" s="1"/>
  <c r="O22" i="15" s="1"/>
  <c r="P22" i="15" s="1"/>
  <c r="M34" i="15"/>
  <c r="O34" i="15" s="1"/>
  <c r="P34" i="15" s="1"/>
  <c r="M14" i="15"/>
  <c r="N14" i="15" s="1"/>
  <c r="O14" i="15" s="1"/>
  <c r="P14" i="15" s="1"/>
  <c r="M17" i="15"/>
  <c r="N17" i="15" s="1"/>
  <c r="O17" i="15" s="1"/>
  <c r="P17" i="15" s="1"/>
  <c r="M23" i="15"/>
  <c r="N23" i="15" s="1"/>
  <c r="O23" i="15" s="1"/>
  <c r="P23" i="15" s="1"/>
  <c r="M31" i="15"/>
  <c r="O31" i="15" s="1"/>
  <c r="P31" i="15" s="1"/>
  <c r="M38" i="15"/>
  <c r="O38" i="15" s="1"/>
  <c r="P38" i="15" s="1"/>
  <c r="M41" i="15"/>
  <c r="O41" i="15" s="1"/>
  <c r="P41" i="15" s="1"/>
  <c r="M57" i="15"/>
  <c r="O57" i="15" s="1"/>
  <c r="P57" i="15" s="1"/>
  <c r="L61" i="15"/>
  <c r="L67" i="15"/>
  <c r="M30" i="15"/>
  <c r="O30" i="15" s="1"/>
  <c r="P30" i="15" s="1"/>
  <c r="GN66" i="15"/>
  <c r="GN26" i="15"/>
  <c r="GN6" i="15"/>
  <c r="GG6" i="15"/>
  <c r="GK67" i="15"/>
  <c r="GK61" i="15"/>
  <c r="GK54" i="15"/>
  <c r="GL60" i="15"/>
  <c r="GK27" i="15"/>
  <c r="GK43" i="15"/>
  <c r="GL65" i="15"/>
  <c r="GL64" i="15"/>
  <c r="GL59" i="15"/>
  <c r="GL58" i="15"/>
  <c r="GL57" i="15"/>
  <c r="GL53" i="15"/>
  <c r="GL52" i="15"/>
  <c r="GL51" i="15"/>
  <c r="GL50" i="15"/>
  <c r="GL49" i="15"/>
  <c r="GL48" i="15"/>
  <c r="GL47" i="15"/>
  <c r="GL46" i="15"/>
  <c r="GL42" i="15"/>
  <c r="GL41" i="15"/>
  <c r="GL40" i="15"/>
  <c r="GL38" i="15"/>
  <c r="GL36" i="15"/>
  <c r="GL35" i="15"/>
  <c r="GL34" i="15"/>
  <c r="GL33" i="15"/>
  <c r="GL32" i="15"/>
  <c r="GL25" i="15"/>
  <c r="GL24" i="15"/>
  <c r="GL23" i="15"/>
  <c r="GL22" i="15"/>
  <c r="GL21" i="15"/>
  <c r="GK18" i="15"/>
  <c r="GL17" i="15"/>
  <c r="GL16" i="15"/>
  <c r="GL15" i="15"/>
  <c r="GL14" i="15"/>
  <c r="GL13" i="15"/>
  <c r="GL12" i="15"/>
  <c r="GL11" i="15"/>
  <c r="GL10" i="15"/>
  <c r="GL9" i="15"/>
  <c r="GK2" i="15"/>
  <c r="GL2" i="15" s="1"/>
  <c r="BF46" i="15" l="1"/>
  <c r="BF54" i="15" s="1"/>
  <c r="BE54" i="15"/>
  <c r="BF64" i="15"/>
  <c r="BF67" i="15" s="1"/>
  <c r="BE67" i="15"/>
  <c r="CV2" i="15"/>
  <c r="CU12" i="15"/>
  <c r="CV12" i="15" s="1"/>
  <c r="CU22" i="15"/>
  <c r="CV22" i="15" s="1"/>
  <c r="CU32" i="15"/>
  <c r="CV32" i="15" s="1"/>
  <c r="CV40" i="15"/>
  <c r="CU60" i="15"/>
  <c r="CV60" i="15" s="1"/>
  <c r="CU36" i="15"/>
  <c r="CV36" i="15" s="1"/>
  <c r="CU47" i="15"/>
  <c r="CV47" i="15" s="1"/>
  <c r="CU38" i="15"/>
  <c r="CV38" i="15" s="1"/>
  <c r="CU59" i="15"/>
  <c r="CV59" i="15" s="1"/>
  <c r="CU42" i="15"/>
  <c r="CV42" i="15" s="1"/>
  <c r="CU57" i="15"/>
  <c r="CU10" i="15"/>
  <c r="CV10" i="15" s="1"/>
  <c r="CU58" i="15"/>
  <c r="CV58" i="15" s="1"/>
  <c r="CU66" i="15"/>
  <c r="CV66" i="15" s="1"/>
  <c r="CU41" i="15"/>
  <c r="CV41" i="15" s="1"/>
  <c r="CU33" i="15"/>
  <c r="CV33" i="15" s="1"/>
  <c r="CU25" i="15"/>
  <c r="CV25" i="15" s="1"/>
  <c r="CU49" i="15"/>
  <c r="CV49" i="15" s="1"/>
  <c r="CU65" i="15"/>
  <c r="CV65" i="15" s="1"/>
  <c r="CU53" i="15"/>
  <c r="CV53" i="15" s="1"/>
  <c r="CU64" i="15"/>
  <c r="CU21" i="15"/>
  <c r="CU34" i="15"/>
  <c r="CV34" i="15" s="1"/>
  <c r="CU9" i="15"/>
  <c r="CU13" i="15"/>
  <c r="CV13" i="15" s="1"/>
  <c r="CU31" i="15"/>
  <c r="CV31" i="15" s="1"/>
  <c r="CU15" i="15"/>
  <c r="CV15" i="15" s="1"/>
  <c r="CU48" i="15"/>
  <c r="CV48" i="15" s="1"/>
  <c r="CU50" i="15"/>
  <c r="CV50" i="15" s="1"/>
  <c r="CU24" i="15"/>
  <c r="CV24" i="15" s="1"/>
  <c r="CU37" i="15"/>
  <c r="CV37" i="15" s="1"/>
  <c r="CU16" i="15"/>
  <c r="CV16" i="15" s="1"/>
  <c r="CU35" i="15"/>
  <c r="CV35" i="15" s="1"/>
  <c r="CU17" i="15"/>
  <c r="CV17" i="15" s="1"/>
  <c r="CU14" i="15"/>
  <c r="CV14" i="15" s="1"/>
  <c r="CU30" i="15"/>
  <c r="CU51" i="15"/>
  <c r="CV51" i="15" s="1"/>
  <c r="CU23" i="15"/>
  <c r="CV23" i="15" s="1"/>
  <c r="CU46" i="15"/>
  <c r="CU52" i="15"/>
  <c r="CV52" i="15" s="1"/>
  <c r="CU11" i="15"/>
  <c r="CV11" i="15" s="1"/>
  <c r="CU26" i="15"/>
  <c r="CV26" i="15" s="1"/>
  <c r="BF30" i="15"/>
  <c r="BF43" i="15" s="1"/>
  <c r="BE43" i="15"/>
  <c r="BF21" i="15"/>
  <c r="BF27" i="15" s="1"/>
  <c r="BE27" i="15"/>
  <c r="BF9" i="15"/>
  <c r="BF18" i="15" s="1"/>
  <c r="BE18" i="15"/>
  <c r="BF57" i="15"/>
  <c r="BF61" i="15" s="1"/>
  <c r="BE61" i="15"/>
  <c r="GM15" i="15"/>
  <c r="GN15" i="15" s="1"/>
  <c r="GM16" i="15"/>
  <c r="GN16" i="15" s="1"/>
  <c r="GL67" i="15"/>
  <c r="GM12" i="15"/>
  <c r="GM22" i="15"/>
  <c r="GN22" i="15" s="1"/>
  <c r="GM34" i="15"/>
  <c r="GM42" i="15"/>
  <c r="GM53" i="15"/>
  <c r="GN53" i="15" s="1"/>
  <c r="GM60" i="15"/>
  <c r="BP70" i="15"/>
  <c r="BP3" i="15" s="1"/>
  <c r="BP4" i="15" s="1"/>
  <c r="GM13" i="15"/>
  <c r="GN13" i="15" s="1"/>
  <c r="GM23" i="15"/>
  <c r="GN23" i="15" s="1"/>
  <c r="GM35" i="15"/>
  <c r="GM46" i="15"/>
  <c r="GN46" i="15" s="1"/>
  <c r="GM14" i="15"/>
  <c r="GN14" i="15" s="1"/>
  <c r="GM24" i="15"/>
  <c r="GN24" i="15" s="1"/>
  <c r="GM36" i="15"/>
  <c r="GN36" i="15" s="1"/>
  <c r="GM47" i="15"/>
  <c r="GN47" i="15" s="1"/>
  <c r="GM58" i="15"/>
  <c r="GN58" i="15" s="1"/>
  <c r="GM25" i="15"/>
  <c r="GN25" i="15" s="1"/>
  <c r="GL61" i="15"/>
  <c r="GM38" i="15"/>
  <c r="GN38" i="15" s="1"/>
  <c r="GM64" i="15"/>
  <c r="GN64" i="15" s="1"/>
  <c r="GM11" i="15"/>
  <c r="GM21" i="15"/>
  <c r="GM33" i="15"/>
  <c r="GM41" i="15"/>
  <c r="GN41" i="15" s="1"/>
  <c r="BT46" i="15"/>
  <c r="BT54" i="15" s="1"/>
  <c r="BS54" i="15"/>
  <c r="BT21" i="15"/>
  <c r="BT27" i="15" s="1"/>
  <c r="BS27" i="15"/>
  <c r="BT30" i="15"/>
  <c r="BT43" i="15" s="1"/>
  <c r="BS43" i="15"/>
  <c r="BS18" i="15"/>
  <c r="BT9" i="15"/>
  <c r="BT18" i="15" s="1"/>
  <c r="BT57" i="15"/>
  <c r="BT61" i="15" s="1"/>
  <c r="BS61" i="15"/>
  <c r="BT64" i="15"/>
  <c r="BT67" i="15" s="1"/>
  <c r="BS67" i="15"/>
  <c r="GM59" i="15"/>
  <c r="GN59" i="15" s="1"/>
  <c r="GM9" i="15"/>
  <c r="GN9" i="15" s="1"/>
  <c r="GM17" i="15"/>
  <c r="GM65" i="15"/>
  <c r="GN65" i="15" s="1"/>
  <c r="GM10" i="15"/>
  <c r="GN10" i="15" s="1"/>
  <c r="GM32" i="15"/>
  <c r="GN32" i="15" s="1"/>
  <c r="GM40" i="15"/>
  <c r="GM51" i="15"/>
  <c r="GN51" i="15" s="1"/>
  <c r="GM48" i="15"/>
  <c r="GN48" i="15" s="1"/>
  <c r="GM49" i="15"/>
  <c r="GN49" i="15" s="1"/>
  <c r="BI70" i="15"/>
  <c r="BI3" i="15" s="1"/>
  <c r="BI4" i="15" s="1"/>
  <c r="GM50" i="15"/>
  <c r="GN50" i="15" s="1"/>
  <c r="GM57" i="15"/>
  <c r="L70" i="15"/>
  <c r="L3" i="15" s="1"/>
  <c r="L4" i="15" s="1"/>
  <c r="GM52" i="15"/>
  <c r="GN52" i="15" s="1"/>
  <c r="BM21" i="15"/>
  <c r="BM27" i="15" s="1"/>
  <c r="BL27" i="15"/>
  <c r="BL54" i="15"/>
  <c r="BM46" i="15"/>
  <c r="BM54" i="15" s="1"/>
  <c r="BL43" i="15"/>
  <c r="BM30" i="15"/>
  <c r="BM43" i="15" s="1"/>
  <c r="BM9" i="15"/>
  <c r="BM18" i="15" s="1"/>
  <c r="BL18" i="15"/>
  <c r="BL67" i="15"/>
  <c r="BM64" i="15"/>
  <c r="BM67" i="15" s="1"/>
  <c r="BM57" i="15"/>
  <c r="BM61" i="15" s="1"/>
  <c r="BL61" i="15"/>
  <c r="GL54" i="15"/>
  <c r="GL27" i="15"/>
  <c r="GL43" i="15"/>
  <c r="GL18" i="15"/>
  <c r="CU61" i="15" l="1"/>
  <c r="CV57" i="15"/>
  <c r="CV61" i="15" s="1"/>
  <c r="BE70" i="15"/>
  <c r="BE3" i="15" s="1"/>
  <c r="CU18" i="15"/>
  <c r="CV9" i="15"/>
  <c r="CV18" i="15" s="1"/>
  <c r="BF70" i="15"/>
  <c r="BF3" i="15" s="1"/>
  <c r="BF4" i="15" s="1"/>
  <c r="CV46" i="15"/>
  <c r="CV54" i="15" s="1"/>
  <c r="CU54" i="15"/>
  <c r="CV21" i="15"/>
  <c r="CV27" i="15" s="1"/>
  <c r="CU27" i="15"/>
  <c r="CV30" i="15"/>
  <c r="CV43" i="15" s="1"/>
  <c r="CU43" i="15"/>
  <c r="CV64" i="15"/>
  <c r="CV67" i="15" s="1"/>
  <c r="CU67" i="15"/>
  <c r="BT70" i="15"/>
  <c r="BT3" i="15" s="1"/>
  <c r="BT4" i="15" s="1"/>
  <c r="BS70" i="15"/>
  <c r="BS3" i="15" s="1"/>
  <c r="BL70" i="15"/>
  <c r="BL3" i="15" s="1"/>
  <c r="BM70" i="15"/>
  <c r="BM3" i="15" s="1"/>
  <c r="BM4" i="15" s="1"/>
  <c r="GD67" i="15"/>
  <c r="GE66" i="15"/>
  <c r="GE65" i="15"/>
  <c r="GE64" i="15"/>
  <c r="GD61" i="15"/>
  <c r="GE60" i="15"/>
  <c r="GE59" i="15"/>
  <c r="GE58" i="15"/>
  <c r="GE57" i="15"/>
  <c r="GD54" i="15"/>
  <c r="GE53" i="15"/>
  <c r="GE52" i="15"/>
  <c r="GE51" i="15"/>
  <c r="GE50" i="15"/>
  <c r="GE49" i="15"/>
  <c r="GE48" i="15"/>
  <c r="GE47" i="15"/>
  <c r="GE46" i="15"/>
  <c r="GD43" i="15"/>
  <c r="GE42" i="15"/>
  <c r="GE41" i="15"/>
  <c r="GE39" i="15"/>
  <c r="GE38" i="15"/>
  <c r="GE37" i="15"/>
  <c r="GE36" i="15"/>
  <c r="GE35" i="15"/>
  <c r="GE34" i="15"/>
  <c r="GE33" i="15"/>
  <c r="GE32" i="15"/>
  <c r="GE31" i="15"/>
  <c r="GE30" i="15"/>
  <c r="GD27" i="15"/>
  <c r="GE26" i="15"/>
  <c r="GE25" i="15"/>
  <c r="GE24" i="15"/>
  <c r="GE23" i="15"/>
  <c r="GE22" i="15"/>
  <c r="GE21" i="15"/>
  <c r="GD18" i="15"/>
  <c r="GE17" i="15"/>
  <c r="GE16" i="15"/>
  <c r="GE15" i="15"/>
  <c r="GE14" i="15"/>
  <c r="GE13" i="15"/>
  <c r="GE12" i="15"/>
  <c r="GE11" i="15"/>
  <c r="GE10" i="15"/>
  <c r="GE9" i="15"/>
  <c r="GE2" i="15"/>
  <c r="CV70" i="15" l="1"/>
  <c r="CV3" i="15" s="1"/>
  <c r="CV4" i="15" s="1"/>
  <c r="CU70" i="15"/>
  <c r="CU3" i="15" s="1"/>
  <c r="BE4" i="15"/>
  <c r="V14" i="4"/>
  <c r="W14" i="4" s="1"/>
  <c r="BS4" i="15"/>
  <c r="V16" i="4"/>
  <c r="W16" i="4" s="1"/>
  <c r="BL4" i="15"/>
  <c r="V15" i="4"/>
  <c r="W15" i="4" s="1"/>
  <c r="GF41" i="15"/>
  <c r="GG41" i="15" s="1"/>
  <c r="GF14" i="15"/>
  <c r="GG14" i="15" s="1"/>
  <c r="GF38" i="15"/>
  <c r="GG38" i="15" s="1"/>
  <c r="GF13" i="15"/>
  <c r="GG13" i="15" s="1"/>
  <c r="GF21" i="15"/>
  <c r="GF39" i="15"/>
  <c r="GG39" i="15" s="1"/>
  <c r="GF36" i="15"/>
  <c r="GG36" i="15" s="1"/>
  <c r="GE61" i="15"/>
  <c r="GF48" i="15"/>
  <c r="GG48" i="15" s="1"/>
  <c r="GF22" i="15"/>
  <c r="GG22" i="15" s="1"/>
  <c r="GF58" i="15"/>
  <c r="GE18" i="15"/>
  <c r="GF23" i="15"/>
  <c r="GG23" i="15" s="1"/>
  <c r="GF33" i="15"/>
  <c r="GF49" i="15"/>
  <c r="GG49" i="15" s="1"/>
  <c r="GF59" i="15"/>
  <c r="GG59" i="15" s="1"/>
  <c r="GF9" i="15"/>
  <c r="GF15" i="15"/>
  <c r="GG15" i="15" s="1"/>
  <c r="GF50" i="15"/>
  <c r="GG50" i="15" s="1"/>
  <c r="GF60" i="15"/>
  <c r="GF16" i="15"/>
  <c r="GG16" i="15" s="1"/>
  <c r="GF25" i="15"/>
  <c r="GG25" i="15" s="1"/>
  <c r="GF42" i="15"/>
  <c r="GF51" i="15"/>
  <c r="GG51" i="15" s="1"/>
  <c r="GF32" i="15"/>
  <c r="GF17" i="15"/>
  <c r="GG17" i="15" s="1"/>
  <c r="GF64" i="15"/>
  <c r="GG64" i="15" s="1"/>
  <c r="GF11" i="15"/>
  <c r="GD70" i="15"/>
  <c r="GD3" i="15" s="1"/>
  <c r="GD4" i="15" s="1"/>
  <c r="GE54" i="15"/>
  <c r="GF53" i="15"/>
  <c r="GG53" i="15" s="1"/>
  <c r="GF65" i="15"/>
  <c r="GG65" i="15" s="1"/>
  <c r="GF10" i="15"/>
  <c r="GG10" i="15" s="1"/>
  <c r="GF26" i="15"/>
  <c r="GG26" i="15" s="1"/>
  <c r="GF52" i="15"/>
  <c r="GG52" i="15" s="1"/>
  <c r="GF12" i="15"/>
  <c r="GE27" i="15"/>
  <c r="GE43" i="15"/>
  <c r="GF37" i="15"/>
  <c r="GG37" i="15" s="1"/>
  <c r="GF66" i="15"/>
  <c r="GG66" i="15" s="1"/>
  <c r="GE67" i="15"/>
  <c r="GF30" i="15"/>
  <c r="GG30" i="15" s="1"/>
  <c r="GF57" i="15"/>
  <c r="GF35" i="15"/>
  <c r="GF40" i="15"/>
  <c r="GF47" i="15"/>
  <c r="GG47" i="15" s="1"/>
  <c r="GF34" i="15"/>
  <c r="GG34" i="15" s="1"/>
  <c r="GF46" i="15"/>
  <c r="GG46" i="15" s="1"/>
  <c r="GF24" i="15"/>
  <c r="GG24" i="15" s="1"/>
  <c r="GF31" i="15"/>
  <c r="GG31" i="15" s="1"/>
  <c r="FL6" i="15"/>
  <c r="FE6" i="15"/>
  <c r="FB67" i="15"/>
  <c r="FC66" i="15"/>
  <c r="FC65" i="15"/>
  <c r="FC64" i="15"/>
  <c r="FB61" i="15"/>
  <c r="FC60" i="15"/>
  <c r="FC59" i="15"/>
  <c r="FC58" i="15"/>
  <c r="FC57" i="15"/>
  <c r="FB54" i="15"/>
  <c r="FC53" i="15"/>
  <c r="FC52" i="15"/>
  <c r="FC51" i="15"/>
  <c r="FC50" i="15"/>
  <c r="FC49" i="15"/>
  <c r="FC48" i="15"/>
  <c r="FC47" i="15"/>
  <c r="FC46" i="15"/>
  <c r="FB43" i="15"/>
  <c r="FC42" i="15"/>
  <c r="FC41" i="15"/>
  <c r="FC40" i="15"/>
  <c r="FC39" i="15"/>
  <c r="FC38" i="15"/>
  <c r="FC37" i="15"/>
  <c r="FC36" i="15"/>
  <c r="FC35" i="15"/>
  <c r="FC34" i="15"/>
  <c r="FC33" i="15"/>
  <c r="FC32" i="15"/>
  <c r="FC31" i="15"/>
  <c r="FC30" i="15"/>
  <c r="FB27" i="15"/>
  <c r="FC26" i="15"/>
  <c r="FC25" i="15"/>
  <c r="FC24" i="15"/>
  <c r="FC23" i="15"/>
  <c r="FC22" i="15"/>
  <c r="FC21" i="15"/>
  <c r="FB18" i="15"/>
  <c r="FC17" i="15"/>
  <c r="FC16" i="15"/>
  <c r="FC15" i="15"/>
  <c r="FC14" i="15"/>
  <c r="FC13" i="15"/>
  <c r="FC12" i="15"/>
  <c r="FC11" i="15"/>
  <c r="FC10" i="15"/>
  <c r="FC9" i="15"/>
  <c r="FC2" i="15"/>
  <c r="EX6" i="15"/>
  <c r="EU67" i="15"/>
  <c r="EV66" i="15"/>
  <c r="EV65" i="15"/>
  <c r="EV64" i="15"/>
  <c r="EU61" i="15"/>
  <c r="EV60" i="15"/>
  <c r="EV59" i="15"/>
  <c r="EV58" i="15"/>
  <c r="EV57" i="15"/>
  <c r="EU54" i="15"/>
  <c r="EV53" i="15"/>
  <c r="EV52" i="15"/>
  <c r="EV51" i="15"/>
  <c r="EV50" i="15"/>
  <c r="EV49" i="15"/>
  <c r="EV48" i="15"/>
  <c r="EV47" i="15"/>
  <c r="EV46" i="15"/>
  <c r="EU43" i="15"/>
  <c r="EV42" i="15"/>
  <c r="EV41" i="15"/>
  <c r="EV40" i="15"/>
  <c r="EV39" i="15"/>
  <c r="EV38" i="15"/>
  <c r="EV37" i="15"/>
  <c r="EV36" i="15"/>
  <c r="EV35" i="15"/>
  <c r="EV34" i="15"/>
  <c r="EV33" i="15"/>
  <c r="EV32" i="15"/>
  <c r="EV31" i="15"/>
  <c r="EV30" i="15"/>
  <c r="EU27" i="15"/>
  <c r="EV26" i="15"/>
  <c r="EV25" i="15"/>
  <c r="EV24" i="15"/>
  <c r="EV23" i="15"/>
  <c r="EV22" i="15"/>
  <c r="EV21" i="15"/>
  <c r="EU18" i="15"/>
  <c r="EV17" i="15"/>
  <c r="EV16" i="15"/>
  <c r="EV15" i="15"/>
  <c r="EV14" i="15"/>
  <c r="EV13" i="15"/>
  <c r="EV12" i="15"/>
  <c r="EV11" i="15"/>
  <c r="EV10" i="15"/>
  <c r="EV9" i="15"/>
  <c r="EU2" i="15"/>
  <c r="EV2" i="15" s="1"/>
  <c r="CU4" i="15" l="1"/>
  <c r="V21" i="4"/>
  <c r="W21" i="4" s="1"/>
  <c r="GE70" i="15"/>
  <c r="GE3" i="15" s="1"/>
  <c r="GE4" i="15" s="1"/>
  <c r="EW58" i="15"/>
  <c r="EX58" i="15" s="1"/>
  <c r="FD24" i="15"/>
  <c r="FE24" i="15" s="1"/>
  <c r="FD15" i="15"/>
  <c r="FE15" i="15" s="1"/>
  <c r="FD49" i="15"/>
  <c r="FE49" i="15" s="1"/>
  <c r="EW24" i="15"/>
  <c r="EX24" i="15" s="1"/>
  <c r="FB70" i="15"/>
  <c r="FB3" i="15" s="1"/>
  <c r="FB4" i="15" s="1"/>
  <c r="FC61" i="15"/>
  <c r="FD48" i="15"/>
  <c r="FE48" i="15" s="1"/>
  <c r="EW66" i="15"/>
  <c r="EX66" i="15" s="1"/>
  <c r="FC18" i="15"/>
  <c r="FD33" i="15"/>
  <c r="FD59" i="15"/>
  <c r="FE59" i="15" s="1"/>
  <c r="FD9" i="15"/>
  <c r="FE9" i="15" s="1"/>
  <c r="FD34" i="15"/>
  <c r="FE34" i="15" s="1"/>
  <c r="FD41" i="15"/>
  <c r="FE41" i="15" s="1"/>
  <c r="FD50" i="15"/>
  <c r="FE50" i="15" s="1"/>
  <c r="FD17" i="15"/>
  <c r="FE17" i="15" s="1"/>
  <c r="FD26" i="15"/>
  <c r="FE26" i="15" s="1"/>
  <c r="FD35" i="15"/>
  <c r="FE35" i="15" s="1"/>
  <c r="FD42" i="15"/>
  <c r="FC54" i="15"/>
  <c r="FD64" i="15"/>
  <c r="FE64" i="15" s="1"/>
  <c r="FD36" i="15"/>
  <c r="FE36" i="15" s="1"/>
  <c r="EW32" i="15"/>
  <c r="EX32" i="15" s="1"/>
  <c r="FD12" i="15"/>
  <c r="FE12" i="15" s="1"/>
  <c r="FC27" i="15"/>
  <c r="FC43" i="15"/>
  <c r="FD37" i="15"/>
  <c r="FE37" i="15" s="1"/>
  <c r="FD65" i="15"/>
  <c r="FE65" i="15" s="1"/>
  <c r="FD39" i="15"/>
  <c r="EU70" i="15"/>
  <c r="EU3" i="15" s="1"/>
  <c r="EU4" i="15" s="1"/>
  <c r="FD11" i="15"/>
  <c r="FD52" i="15"/>
  <c r="FE52" i="15" s="1"/>
  <c r="FD13" i="15"/>
  <c r="FE13" i="15" s="1"/>
  <c r="FD22" i="15"/>
  <c r="FD46" i="15"/>
  <c r="FE46" i="15" s="1"/>
  <c r="FD66" i="15"/>
  <c r="FE66" i="15" s="1"/>
  <c r="FD14" i="15"/>
  <c r="FE14" i="15" s="1"/>
  <c r="FD31" i="15"/>
  <c r="FE31" i="15" s="1"/>
  <c r="FD57" i="15"/>
  <c r="FE57" i="15" s="1"/>
  <c r="FD21" i="15"/>
  <c r="FD51" i="15"/>
  <c r="FE51" i="15" s="1"/>
  <c r="FD58" i="15"/>
  <c r="FE58" i="15" s="1"/>
  <c r="FD53" i="15"/>
  <c r="FE53" i="15" s="1"/>
  <c r="FC67" i="15"/>
  <c r="FD38" i="15"/>
  <c r="FE38" i="15" s="1"/>
  <c r="FD10" i="15"/>
  <c r="FE10" i="15" s="1"/>
  <c r="FD25" i="15"/>
  <c r="FE25" i="15" s="1"/>
  <c r="FD32" i="15"/>
  <c r="FE32" i="15" s="1"/>
  <c r="FD40" i="15"/>
  <c r="FD47" i="15"/>
  <c r="FE47" i="15" s="1"/>
  <c r="FD60" i="15"/>
  <c r="FD16" i="15"/>
  <c r="FE16" i="15" s="1"/>
  <c r="FD23" i="15"/>
  <c r="FE23" i="15" s="1"/>
  <c r="FD30" i="15"/>
  <c r="FE30" i="15" s="1"/>
  <c r="EW65" i="15"/>
  <c r="EX65" i="15" s="1"/>
  <c r="EW59" i="15"/>
  <c r="EX59" i="15" s="1"/>
  <c r="EW57" i="15"/>
  <c r="EX57" i="15" s="1"/>
  <c r="EW53" i="15"/>
  <c r="EX53" i="15" s="1"/>
  <c r="EW51" i="15"/>
  <c r="EX51" i="15" s="1"/>
  <c r="EW49" i="15"/>
  <c r="EX49" i="15" s="1"/>
  <c r="EW47" i="15"/>
  <c r="EX47" i="15" s="1"/>
  <c r="EW41" i="15"/>
  <c r="EX41" i="15" s="1"/>
  <c r="EW39" i="15"/>
  <c r="EW37" i="15"/>
  <c r="EX37" i="15" s="1"/>
  <c r="EW35" i="15"/>
  <c r="EX35" i="15" s="1"/>
  <c r="EW33" i="15"/>
  <c r="EX33" i="15" s="1"/>
  <c r="EW31" i="15"/>
  <c r="EX31" i="15" s="1"/>
  <c r="EW25" i="15"/>
  <c r="EX25" i="15" s="1"/>
  <c r="EW23" i="15"/>
  <c r="EX23" i="15" s="1"/>
  <c r="EW21" i="15"/>
  <c r="EW17" i="15"/>
  <c r="EX17" i="15" s="1"/>
  <c r="EW15" i="15"/>
  <c r="EX15" i="15" s="1"/>
  <c r="EW13" i="15"/>
  <c r="EX13" i="15" s="1"/>
  <c r="EW11" i="15"/>
  <c r="EW9" i="15"/>
  <c r="EX9" i="15" s="1"/>
  <c r="EW38" i="15"/>
  <c r="EX38" i="15" s="1"/>
  <c r="EW52" i="15"/>
  <c r="EX52" i="15" s="1"/>
  <c r="EW12" i="15"/>
  <c r="EX12" i="15" s="1"/>
  <c r="EW34" i="15"/>
  <c r="EX34" i="15" s="1"/>
  <c r="EW60" i="15"/>
  <c r="EX60" i="15" s="1"/>
  <c r="EW14" i="15"/>
  <c r="EX14" i="15" s="1"/>
  <c r="EW22" i="15"/>
  <c r="EX22" i="15" s="1"/>
  <c r="EW30" i="15"/>
  <c r="EX30" i="15" s="1"/>
  <c r="EW64" i="15"/>
  <c r="EX64" i="15" s="1"/>
  <c r="EW46" i="15"/>
  <c r="EX46" i="15" s="1"/>
  <c r="EW26" i="15"/>
  <c r="EX26" i="15" s="1"/>
  <c r="EW40" i="15"/>
  <c r="EW48" i="15"/>
  <c r="EX48" i="15" s="1"/>
  <c r="EW10" i="15"/>
  <c r="EX10" i="15" s="1"/>
  <c r="EW36" i="15"/>
  <c r="EX36" i="15" s="1"/>
  <c r="EW16" i="15"/>
  <c r="EX16" i="15" s="1"/>
  <c r="EW42" i="15"/>
  <c r="EW50" i="15"/>
  <c r="EX50" i="15" s="1"/>
  <c r="EV18" i="15"/>
  <c r="EV27" i="15"/>
  <c r="EV43" i="15"/>
  <c r="EV61" i="15"/>
  <c r="EV67" i="15"/>
  <c r="EV54" i="15"/>
  <c r="FC70" i="15" l="1"/>
  <c r="FC3" i="15" s="1"/>
  <c r="FC4" i="15" s="1"/>
  <c r="EV70" i="15"/>
  <c r="EV3" i="15" s="1"/>
  <c r="EV4" i="15" s="1"/>
  <c r="DT64" i="15" l="1"/>
  <c r="DS61" i="15"/>
  <c r="DT59" i="15"/>
  <c r="DT58" i="15"/>
  <c r="DT57" i="15"/>
  <c r="DS55" i="15"/>
  <c r="DT54" i="15"/>
  <c r="DT53" i="15"/>
  <c r="DT52" i="15"/>
  <c r="DT51" i="15"/>
  <c r="DT50" i="15"/>
  <c r="DT49" i="15"/>
  <c r="DT48" i="15"/>
  <c r="DT47" i="15"/>
  <c r="DT46" i="15"/>
  <c r="DS43" i="15"/>
  <c r="DT42" i="15"/>
  <c r="DT41" i="15"/>
  <c r="DT40" i="15"/>
  <c r="DT39" i="15"/>
  <c r="DT38" i="15"/>
  <c r="DT37" i="15"/>
  <c r="DT36" i="15"/>
  <c r="DT35" i="15"/>
  <c r="DT34" i="15"/>
  <c r="DT33" i="15"/>
  <c r="DT32" i="15"/>
  <c r="DT31" i="15"/>
  <c r="DT30" i="15"/>
  <c r="DT24" i="15"/>
  <c r="DT66" i="15"/>
  <c r="DT65" i="15"/>
  <c r="DT26" i="15"/>
  <c r="DT25" i="15"/>
  <c r="DT23" i="15"/>
  <c r="DT22" i="15"/>
  <c r="DT21" i="15"/>
  <c r="DT17" i="15"/>
  <c r="DT16" i="15"/>
  <c r="DT15" i="15"/>
  <c r="DT14" i="15"/>
  <c r="DT13" i="15"/>
  <c r="DT12" i="15"/>
  <c r="DT11" i="15"/>
  <c r="DT10" i="15"/>
  <c r="DV6" i="15"/>
  <c r="DS67" i="15"/>
  <c r="DS27" i="15"/>
  <c r="DS18" i="15"/>
  <c r="DT9" i="15"/>
  <c r="DS2" i="15"/>
  <c r="DT2" i="15" s="1"/>
  <c r="DH6" i="15"/>
  <c r="DE67" i="15"/>
  <c r="DF66" i="15"/>
  <c r="DF65" i="15"/>
  <c r="DF64" i="15"/>
  <c r="DE61" i="15"/>
  <c r="DF60" i="15"/>
  <c r="DF59" i="15"/>
  <c r="DF58" i="15"/>
  <c r="DF57" i="15"/>
  <c r="DE54" i="15"/>
  <c r="DF53" i="15"/>
  <c r="DF52" i="15"/>
  <c r="DF51" i="15"/>
  <c r="DF50" i="15"/>
  <c r="DF49" i="15"/>
  <c r="DF48" i="15"/>
  <c r="DF47" i="15"/>
  <c r="DF46" i="15"/>
  <c r="DE43" i="15"/>
  <c r="DF42" i="15"/>
  <c r="DF41" i="15"/>
  <c r="DF39" i="15"/>
  <c r="DF38" i="15"/>
  <c r="DF37" i="15"/>
  <c r="DF36" i="15"/>
  <c r="DF35" i="15"/>
  <c r="DF34" i="15"/>
  <c r="DF33" i="15"/>
  <c r="DF32" i="15"/>
  <c r="DF31" i="15"/>
  <c r="DF30" i="15"/>
  <c r="DE27" i="15"/>
  <c r="DF26" i="15"/>
  <c r="DF25" i="15"/>
  <c r="DF24" i="15"/>
  <c r="DF23" i="15"/>
  <c r="DF22" i="15"/>
  <c r="DF21" i="15"/>
  <c r="DE18" i="15"/>
  <c r="DF17" i="15"/>
  <c r="DF16" i="15"/>
  <c r="DF15" i="15"/>
  <c r="DF14" i="15"/>
  <c r="DF13" i="15"/>
  <c r="DF12" i="15"/>
  <c r="DF11" i="15"/>
  <c r="DF10" i="15"/>
  <c r="DF9" i="15"/>
  <c r="DF2" i="15"/>
  <c r="DG40" i="15" s="1"/>
  <c r="BY6" i="15"/>
  <c r="BV67" i="15"/>
  <c r="BW66" i="15"/>
  <c r="BW65" i="15"/>
  <c r="BW64" i="15"/>
  <c r="BV61" i="15"/>
  <c r="BW60" i="15"/>
  <c r="BW59" i="15"/>
  <c r="BW58" i="15"/>
  <c r="BW57" i="15"/>
  <c r="BV54" i="15"/>
  <c r="BW53" i="15"/>
  <c r="BW52" i="15"/>
  <c r="BW51" i="15"/>
  <c r="BW50" i="15"/>
  <c r="BW49" i="15"/>
  <c r="BW48" i="15"/>
  <c r="BW47" i="15"/>
  <c r="BW46" i="15"/>
  <c r="BV43" i="15"/>
  <c r="BW42" i="15"/>
  <c r="BW41" i="15"/>
  <c r="BW40" i="15"/>
  <c r="BW39" i="15"/>
  <c r="BW38" i="15"/>
  <c r="BW37" i="15"/>
  <c r="BW36" i="15"/>
  <c r="BW35" i="15"/>
  <c r="BW34" i="15"/>
  <c r="BW33" i="15"/>
  <c r="BW32" i="15"/>
  <c r="BW31" i="15"/>
  <c r="BW30" i="15"/>
  <c r="BV27" i="15"/>
  <c r="BW26" i="15"/>
  <c r="BW25" i="15"/>
  <c r="BW24" i="15"/>
  <c r="BW23" i="15"/>
  <c r="BW22" i="15"/>
  <c r="BW21" i="15"/>
  <c r="BV18" i="15"/>
  <c r="BW17" i="15"/>
  <c r="BW16" i="15"/>
  <c r="BW15" i="15"/>
  <c r="BW14" i="15"/>
  <c r="BW13" i="15"/>
  <c r="BW12" i="15"/>
  <c r="BW11" i="15"/>
  <c r="BW10" i="15"/>
  <c r="BW9" i="15"/>
  <c r="BW2" i="15"/>
  <c r="DU9" i="15" l="1"/>
  <c r="DV9" i="15" s="1"/>
  <c r="DU12" i="15"/>
  <c r="DV12" i="15" s="1"/>
  <c r="DU32" i="15"/>
  <c r="DV32" i="15" s="1"/>
  <c r="DU54" i="15"/>
  <c r="DU11" i="15"/>
  <c r="DU30" i="15"/>
  <c r="DV30" i="15" s="1"/>
  <c r="DT61" i="15"/>
  <c r="DU48" i="15"/>
  <c r="DV48" i="15" s="1"/>
  <c r="DU13" i="15"/>
  <c r="DV13" i="15" s="1"/>
  <c r="DU31" i="15"/>
  <c r="DV31" i="15" s="1"/>
  <c r="DU39" i="15"/>
  <c r="DU49" i="15"/>
  <c r="DV49" i="15" s="1"/>
  <c r="DU58" i="15"/>
  <c r="DV58" i="15" s="1"/>
  <c r="DU57" i="15"/>
  <c r="DV57" i="15" s="1"/>
  <c r="DU40" i="15"/>
  <c r="DU59" i="15"/>
  <c r="DV59" i="15" s="1"/>
  <c r="DU15" i="15"/>
  <c r="DV15" i="15" s="1"/>
  <c r="DU60" i="15"/>
  <c r="DV60" i="15" s="1"/>
  <c r="DU33" i="15"/>
  <c r="DU16" i="15"/>
  <c r="DV16" i="15" s="1"/>
  <c r="DU64" i="15"/>
  <c r="DV64" i="15" s="1"/>
  <c r="BX52" i="15"/>
  <c r="BY52" i="15" s="1"/>
  <c r="DG24" i="15"/>
  <c r="DH24" i="15" s="1"/>
  <c r="DG53" i="15"/>
  <c r="DH53" i="15" s="1"/>
  <c r="DU17" i="15"/>
  <c r="DV17" i="15" s="1"/>
  <c r="DU34" i="15"/>
  <c r="DV34" i="15" s="1"/>
  <c r="DU41" i="15"/>
  <c r="DV41" i="15" s="1"/>
  <c r="DU36" i="15"/>
  <c r="DV36" i="15" s="1"/>
  <c r="DU46" i="15"/>
  <c r="DV46" i="15" s="1"/>
  <c r="DU22" i="15"/>
  <c r="DV22" i="15" s="1"/>
  <c r="DU42" i="15"/>
  <c r="DU24" i="15"/>
  <c r="DV24" i="15" s="1"/>
  <c r="DU37" i="15"/>
  <c r="DV37" i="15" s="1"/>
  <c r="DT55" i="15"/>
  <c r="DG16" i="15"/>
  <c r="DH16" i="15" s="1"/>
  <c r="DG26" i="15"/>
  <c r="DH26" i="15" s="1"/>
  <c r="DG36" i="15"/>
  <c r="DH36" i="15" s="1"/>
  <c r="DU10" i="15"/>
  <c r="DV10" i="15" s="1"/>
  <c r="DU21" i="15"/>
  <c r="DT43" i="15"/>
  <c r="DU50" i="15"/>
  <c r="DV50" i="15" s="1"/>
  <c r="DU65" i="15"/>
  <c r="DV65" i="15" s="1"/>
  <c r="DU51" i="15"/>
  <c r="DV51" i="15" s="1"/>
  <c r="DT18" i="15"/>
  <c r="DG32" i="15"/>
  <c r="DU14" i="15"/>
  <c r="DV14" i="15" s="1"/>
  <c r="DU25" i="15"/>
  <c r="DV25" i="15" s="1"/>
  <c r="DU38" i="15"/>
  <c r="DV38" i="15" s="1"/>
  <c r="DU52" i="15"/>
  <c r="DV52" i="15" s="1"/>
  <c r="DU66" i="15"/>
  <c r="DV66" i="15" s="1"/>
  <c r="DU26" i="15"/>
  <c r="DV26" i="15" s="1"/>
  <c r="DU53" i="15"/>
  <c r="DV53" i="15" s="1"/>
  <c r="DU35" i="15"/>
  <c r="DV35" i="15" s="1"/>
  <c r="DT67" i="15"/>
  <c r="DT27" i="15"/>
  <c r="DU47" i="15"/>
  <c r="DV47" i="15" s="1"/>
  <c r="DU23" i="15"/>
  <c r="DV23" i="15" s="1"/>
  <c r="BX16" i="15"/>
  <c r="BY16" i="15" s="1"/>
  <c r="DG57" i="15"/>
  <c r="DH57" i="15" s="1"/>
  <c r="BX14" i="15"/>
  <c r="BY14" i="15" s="1"/>
  <c r="BX24" i="15"/>
  <c r="BY24" i="15" s="1"/>
  <c r="BX34" i="15"/>
  <c r="BY34" i="15" s="1"/>
  <c r="BX42" i="15"/>
  <c r="DG14" i="15"/>
  <c r="DH14" i="15" s="1"/>
  <c r="DG37" i="15"/>
  <c r="DG48" i="15"/>
  <c r="DH48" i="15" s="1"/>
  <c r="DG65" i="15"/>
  <c r="DH65" i="15" s="1"/>
  <c r="DG49" i="15"/>
  <c r="DH49" i="15" s="1"/>
  <c r="DG39" i="15"/>
  <c r="DH39" i="15" s="1"/>
  <c r="DG58" i="15"/>
  <c r="DH58" i="15" s="1"/>
  <c r="DG25" i="15"/>
  <c r="DH25" i="15" s="1"/>
  <c r="DG41" i="15"/>
  <c r="DH41" i="15" s="1"/>
  <c r="DG38" i="15"/>
  <c r="DH38" i="15" s="1"/>
  <c r="DG10" i="15"/>
  <c r="DH10" i="15" s="1"/>
  <c r="DG17" i="15"/>
  <c r="DG34" i="15"/>
  <c r="DH34" i="15" s="1"/>
  <c r="DG51" i="15"/>
  <c r="DH51" i="15" s="1"/>
  <c r="DG59" i="15"/>
  <c r="DH59" i="15" s="1"/>
  <c r="DG66" i="15"/>
  <c r="DH66" i="15" s="1"/>
  <c r="BX12" i="15"/>
  <c r="BY12" i="15" s="1"/>
  <c r="BX22" i="15"/>
  <c r="BX32" i="15"/>
  <c r="BX40" i="15"/>
  <c r="BX50" i="15"/>
  <c r="BY50" i="15" s="1"/>
  <c r="BX60" i="15"/>
  <c r="DG11" i="15"/>
  <c r="DG52" i="15"/>
  <c r="DH52" i="15" s="1"/>
  <c r="BX13" i="15"/>
  <c r="BY13" i="15" s="1"/>
  <c r="BX23" i="15"/>
  <c r="BY23" i="15" s="1"/>
  <c r="BX33" i="15"/>
  <c r="BX41" i="15"/>
  <c r="BY41" i="15" s="1"/>
  <c r="BX51" i="15"/>
  <c r="BY51" i="15" s="1"/>
  <c r="DG12" i="15"/>
  <c r="DS70" i="15"/>
  <c r="DS3" i="15" s="1"/>
  <c r="DS4" i="15" s="1"/>
  <c r="BX64" i="15"/>
  <c r="BY64" i="15" s="1"/>
  <c r="DG13" i="15"/>
  <c r="DH13" i="15" s="1"/>
  <c r="DG22" i="15"/>
  <c r="DH22" i="15" s="1"/>
  <c r="DG30" i="15"/>
  <c r="DG47" i="15"/>
  <c r="DH47" i="15" s="1"/>
  <c r="BX15" i="15"/>
  <c r="BY15" i="15" s="1"/>
  <c r="BX25" i="15"/>
  <c r="BY25" i="15" s="1"/>
  <c r="BX35" i="15"/>
  <c r="BY35" i="15" s="1"/>
  <c r="BX53" i="15"/>
  <c r="BY53" i="15" s="1"/>
  <c r="BX65" i="15"/>
  <c r="BY65" i="15" s="1"/>
  <c r="DG33" i="15"/>
  <c r="DG60" i="15"/>
  <c r="BX66" i="15"/>
  <c r="BY66" i="15" s="1"/>
  <c r="DF27" i="15"/>
  <c r="BW54" i="15"/>
  <c r="BW61" i="15"/>
  <c r="BX36" i="15"/>
  <c r="BY36" i="15" s="1"/>
  <c r="BW18" i="15"/>
  <c r="BX47" i="15"/>
  <c r="BY47" i="15" s="1"/>
  <c r="DE70" i="15"/>
  <c r="DE3" i="15" s="1"/>
  <c r="DE4" i="15" s="1"/>
  <c r="BX10" i="15"/>
  <c r="BY10" i="15" s="1"/>
  <c r="BX30" i="15"/>
  <c r="BY30" i="15" s="1"/>
  <c r="BX38" i="15"/>
  <c r="BY38" i="15" s="1"/>
  <c r="BX48" i="15"/>
  <c r="BY48" i="15" s="1"/>
  <c r="BX58" i="15"/>
  <c r="BY58" i="15" s="1"/>
  <c r="DF18" i="15"/>
  <c r="DG35" i="15"/>
  <c r="BX26" i="15"/>
  <c r="BY26" i="15" s="1"/>
  <c r="BX17" i="15"/>
  <c r="BY17" i="15" s="1"/>
  <c r="BX37" i="15"/>
  <c r="BY37" i="15" s="1"/>
  <c r="DG64" i="15"/>
  <c r="DH64" i="15" s="1"/>
  <c r="BV70" i="15"/>
  <c r="BV3" i="15" s="1"/>
  <c r="BV4" i="15" s="1"/>
  <c r="BX11" i="15"/>
  <c r="BW27" i="15"/>
  <c r="BX31" i="15"/>
  <c r="BY31" i="15" s="1"/>
  <c r="BX39" i="15"/>
  <c r="BX49" i="15"/>
  <c r="BY49" i="15" s="1"/>
  <c r="BX59" i="15"/>
  <c r="DG15" i="15"/>
  <c r="DH15" i="15" s="1"/>
  <c r="DG23" i="15"/>
  <c r="DH23" i="15" s="1"/>
  <c r="DG42" i="15"/>
  <c r="DG50" i="15"/>
  <c r="DH50" i="15" s="1"/>
  <c r="DF43" i="15"/>
  <c r="DF54" i="15"/>
  <c r="DF61" i="15"/>
  <c r="DF67" i="15"/>
  <c r="DG9" i="15"/>
  <c r="DH9" i="15" s="1"/>
  <c r="DG21" i="15"/>
  <c r="DG31" i="15"/>
  <c r="DG46" i="15"/>
  <c r="DH46" i="15" s="1"/>
  <c r="BX9" i="15"/>
  <c r="BY9" i="15" s="1"/>
  <c r="BX21" i="15"/>
  <c r="BW43" i="15"/>
  <c r="BX57" i="15"/>
  <c r="BY57" i="15" s="1"/>
  <c r="BW67" i="15"/>
  <c r="BX46" i="15"/>
  <c r="BY46" i="15" s="1"/>
  <c r="DT70" i="15" l="1"/>
  <c r="DT3" i="15" s="1"/>
  <c r="DT4" i="15" s="1"/>
  <c r="DF70" i="15"/>
  <c r="DF3" i="15" s="1"/>
  <c r="DF4" i="15" s="1"/>
  <c r="BW70" i="15"/>
  <c r="BW3" i="15" s="1"/>
  <c r="BW4" i="15" s="1"/>
  <c r="AI6" i="15" l="1"/>
  <c r="AF67" i="15"/>
  <c r="AG66" i="15"/>
  <c r="AG65" i="15"/>
  <c r="AG64" i="15"/>
  <c r="AF61" i="15"/>
  <c r="AG60" i="15"/>
  <c r="AG59" i="15"/>
  <c r="AG58" i="15"/>
  <c r="AG57" i="15"/>
  <c r="AF54" i="15"/>
  <c r="AG53" i="15"/>
  <c r="AG52" i="15"/>
  <c r="AG51" i="15"/>
  <c r="AG50" i="15"/>
  <c r="AG49" i="15"/>
  <c r="AG48" i="15"/>
  <c r="AG47" i="15"/>
  <c r="AG46" i="15"/>
  <c r="AF43" i="15"/>
  <c r="AG42" i="15"/>
  <c r="AG41" i="15"/>
  <c r="AG39" i="15"/>
  <c r="AG38" i="15"/>
  <c r="AG37" i="15"/>
  <c r="AG36" i="15"/>
  <c r="AG35" i="15"/>
  <c r="AG34" i="15"/>
  <c r="AG33" i="15"/>
  <c r="AG32" i="15"/>
  <c r="AG31" i="15"/>
  <c r="AG30" i="15"/>
  <c r="AF27" i="15"/>
  <c r="AG26" i="15"/>
  <c r="AG25" i="15"/>
  <c r="AG24" i="15"/>
  <c r="AG23" i="15"/>
  <c r="AG22" i="15"/>
  <c r="AG21" i="15"/>
  <c r="AF18" i="15"/>
  <c r="AG17" i="15"/>
  <c r="AG16" i="15"/>
  <c r="AG15" i="15"/>
  <c r="AG14" i="15"/>
  <c r="AG13" i="15"/>
  <c r="AG12" i="15"/>
  <c r="AG11" i="15"/>
  <c r="AG10" i="15"/>
  <c r="AG9" i="15"/>
  <c r="AG2" i="15"/>
  <c r="AH40" i="15" s="1"/>
  <c r="AB6" i="15"/>
  <c r="Y67" i="15"/>
  <c r="Z66" i="15"/>
  <c r="Z65" i="15"/>
  <c r="Z64" i="15"/>
  <c r="AB61" i="15"/>
  <c r="Y61" i="15"/>
  <c r="Z60" i="15"/>
  <c r="Z59" i="15"/>
  <c r="Z58" i="15"/>
  <c r="Z57" i="15"/>
  <c r="Y54" i="15"/>
  <c r="Z53" i="15"/>
  <c r="Z52" i="15"/>
  <c r="Z51" i="15"/>
  <c r="Z50" i="15"/>
  <c r="Z49" i="15"/>
  <c r="Z48" i="15"/>
  <c r="Z47" i="15"/>
  <c r="Z46" i="15"/>
  <c r="Y43" i="15"/>
  <c r="Z42" i="15"/>
  <c r="Z41" i="15"/>
  <c r="Z39" i="15"/>
  <c r="Z38" i="15"/>
  <c r="Z37" i="15"/>
  <c r="Z36" i="15"/>
  <c r="Z35" i="15"/>
  <c r="Z34" i="15"/>
  <c r="Z33" i="15"/>
  <c r="Z32" i="15"/>
  <c r="Z31" i="15"/>
  <c r="Z30" i="15"/>
  <c r="Y27" i="15"/>
  <c r="Z26" i="15"/>
  <c r="Z25" i="15"/>
  <c r="Z24" i="15"/>
  <c r="Z23" i="15"/>
  <c r="Z22" i="15"/>
  <c r="Z21" i="15"/>
  <c r="Y18" i="15"/>
  <c r="Z17" i="15"/>
  <c r="Z16" i="15"/>
  <c r="Z15" i="15"/>
  <c r="Z14" i="15"/>
  <c r="Z13" i="15"/>
  <c r="Z12" i="15"/>
  <c r="Z11" i="15"/>
  <c r="Z10" i="15"/>
  <c r="Z9" i="15"/>
  <c r="Z2" i="15"/>
  <c r="R67" i="15"/>
  <c r="S66" i="15"/>
  <c r="S65" i="15"/>
  <c r="S64" i="15"/>
  <c r="R61" i="15"/>
  <c r="S60" i="15"/>
  <c r="S59" i="15"/>
  <c r="S58" i="15"/>
  <c r="S57" i="15"/>
  <c r="R54" i="15"/>
  <c r="S53" i="15"/>
  <c r="S52" i="15"/>
  <c r="S51" i="15"/>
  <c r="S50" i="15"/>
  <c r="S49" i="15"/>
  <c r="S48" i="15"/>
  <c r="S47" i="15"/>
  <c r="S46" i="15"/>
  <c r="R43" i="15"/>
  <c r="S42" i="15"/>
  <c r="S41" i="15"/>
  <c r="S39" i="15"/>
  <c r="S38" i="15"/>
  <c r="S37" i="15"/>
  <c r="S36" i="15"/>
  <c r="S35" i="15"/>
  <c r="S34" i="15"/>
  <c r="S33" i="15"/>
  <c r="S32" i="15"/>
  <c r="S31" i="15"/>
  <c r="S30" i="15"/>
  <c r="R27" i="15"/>
  <c r="S26" i="15"/>
  <c r="S25" i="15"/>
  <c r="S24" i="15"/>
  <c r="S23" i="15"/>
  <c r="S22" i="15"/>
  <c r="S21" i="15"/>
  <c r="R18" i="15"/>
  <c r="S17" i="15"/>
  <c r="S16" i="15"/>
  <c r="S15" i="15"/>
  <c r="S14" i="15"/>
  <c r="S13" i="15"/>
  <c r="S12" i="15"/>
  <c r="S11" i="15"/>
  <c r="S10" i="15"/>
  <c r="S9" i="15"/>
  <c r="S2" i="15"/>
  <c r="T40" i="15" s="1"/>
  <c r="D67" i="15"/>
  <c r="E66" i="15"/>
  <c r="E65" i="15"/>
  <c r="E64" i="15"/>
  <c r="D61" i="15"/>
  <c r="E60" i="15"/>
  <c r="E59" i="15"/>
  <c r="E58" i="15"/>
  <c r="E57" i="15"/>
  <c r="E53" i="15"/>
  <c r="E52" i="15"/>
  <c r="E51" i="15"/>
  <c r="E50" i="15"/>
  <c r="E49" i="15"/>
  <c r="E48" i="15"/>
  <c r="E47" i="15"/>
  <c r="E46" i="15"/>
  <c r="D43" i="15"/>
  <c r="E42" i="15"/>
  <c r="E41" i="15"/>
  <c r="E39" i="15"/>
  <c r="E38" i="15"/>
  <c r="E37" i="15"/>
  <c r="E36" i="15"/>
  <c r="E35" i="15"/>
  <c r="E34" i="15"/>
  <c r="E33" i="15"/>
  <c r="E32" i="15"/>
  <c r="E31" i="15"/>
  <c r="E30" i="15"/>
  <c r="D27" i="15"/>
  <c r="E26" i="15"/>
  <c r="E25" i="15"/>
  <c r="E24" i="15"/>
  <c r="E23" i="15"/>
  <c r="E22" i="15"/>
  <c r="E21" i="15"/>
  <c r="D18" i="15"/>
  <c r="E17" i="15"/>
  <c r="E16" i="15"/>
  <c r="E15" i="15"/>
  <c r="E14" i="15"/>
  <c r="E13" i="15"/>
  <c r="E12" i="15"/>
  <c r="E11" i="15"/>
  <c r="E10" i="15"/>
  <c r="E9" i="15"/>
  <c r="E2" i="15"/>
  <c r="AA12" i="15" l="1"/>
  <c r="T60" i="15"/>
  <c r="T13" i="15"/>
  <c r="U13" i="15" s="1"/>
  <c r="T52" i="15"/>
  <c r="U52" i="15" s="1"/>
  <c r="S67" i="15"/>
  <c r="AA50" i="15"/>
  <c r="AB50" i="15" s="1"/>
  <c r="F66" i="15"/>
  <c r="G66" i="15" s="1"/>
  <c r="S27" i="15"/>
  <c r="AA26" i="15"/>
  <c r="AB26" i="15" s="1"/>
  <c r="AA46" i="15"/>
  <c r="AB46" i="15" s="1"/>
  <c r="F10" i="15"/>
  <c r="G10" i="15" s="1"/>
  <c r="AA17" i="15"/>
  <c r="AB17" i="15" s="1"/>
  <c r="F11" i="15"/>
  <c r="E27" i="15"/>
  <c r="E43" i="15"/>
  <c r="F39" i="15"/>
  <c r="T25" i="15"/>
  <c r="U25" i="15" s="1"/>
  <c r="S54" i="15"/>
  <c r="AA11" i="15"/>
  <c r="Y70" i="15"/>
  <c r="Y3" i="15" s="1"/>
  <c r="Y4" i="15" s="1"/>
  <c r="AA30" i="15"/>
  <c r="AA57" i="15"/>
  <c r="D70" i="15"/>
  <c r="D3" i="15" s="1"/>
  <c r="D4" i="15" s="1"/>
  <c r="AA10" i="15"/>
  <c r="AB10" i="15" s="1"/>
  <c r="AA36" i="15"/>
  <c r="AH10" i="15"/>
  <c r="AI10" i="15" s="1"/>
  <c r="F12" i="15"/>
  <c r="F22" i="15"/>
  <c r="G22" i="15" s="1"/>
  <c r="F32" i="15"/>
  <c r="T36" i="15"/>
  <c r="T66" i="15"/>
  <c r="U66" i="15" s="1"/>
  <c r="AA21" i="15"/>
  <c r="AA38" i="15"/>
  <c r="AH12" i="15"/>
  <c r="AI12" i="15" s="1"/>
  <c r="AH22" i="15"/>
  <c r="AI22" i="15" s="1"/>
  <c r="AH32" i="15"/>
  <c r="AI32" i="15" s="1"/>
  <c r="AH41" i="15"/>
  <c r="AI41" i="15" s="1"/>
  <c r="AH51" i="15"/>
  <c r="AI51" i="15" s="1"/>
  <c r="AA34" i="15"/>
  <c r="AA9" i="15"/>
  <c r="AB9" i="15" s="1"/>
  <c r="F13" i="15"/>
  <c r="G13" i="15" s="1"/>
  <c r="F23" i="15"/>
  <c r="G23" i="15" s="1"/>
  <c r="F33" i="15"/>
  <c r="AH13" i="15"/>
  <c r="AI13" i="15" s="1"/>
  <c r="AH23" i="15"/>
  <c r="AI23" i="15" s="1"/>
  <c r="AH33" i="15"/>
  <c r="AH42" i="15"/>
  <c r="AH52" i="15"/>
  <c r="AI52" i="15" s="1"/>
  <c r="T10" i="15"/>
  <c r="U10" i="15" s="1"/>
  <c r="T30" i="15"/>
  <c r="T38" i="15"/>
  <c r="AA23" i="15"/>
  <c r="AB23" i="15" s="1"/>
  <c r="AH14" i="15"/>
  <c r="AI14" i="15" s="1"/>
  <c r="AH24" i="15"/>
  <c r="AI24" i="15" s="1"/>
  <c r="AH34" i="15"/>
  <c r="AI34" i="15" s="1"/>
  <c r="AH53" i="15"/>
  <c r="AI53" i="15" s="1"/>
  <c r="AH65" i="15"/>
  <c r="AI65" i="15" s="1"/>
  <c r="AA16" i="15"/>
  <c r="AB16" i="15" s="1"/>
  <c r="F15" i="15"/>
  <c r="G15" i="15" s="1"/>
  <c r="T50" i="15"/>
  <c r="U50" i="15" s="1"/>
  <c r="T59" i="15"/>
  <c r="U59" i="15" s="1"/>
  <c r="AA42" i="15"/>
  <c r="F41" i="15"/>
  <c r="F51" i="15"/>
  <c r="G51" i="15" s="1"/>
  <c r="T14" i="15"/>
  <c r="U14" i="15" s="1"/>
  <c r="T37" i="15"/>
  <c r="T47" i="15"/>
  <c r="U47" i="15" s="1"/>
  <c r="T53" i="15"/>
  <c r="Z43" i="15"/>
  <c r="AA51" i="15"/>
  <c r="AB51" i="15" s="1"/>
  <c r="AA60" i="15"/>
  <c r="AH64" i="15"/>
  <c r="AI64" i="15" s="1"/>
  <c r="T15" i="15"/>
  <c r="U15" i="15" s="1"/>
  <c r="T23" i="15"/>
  <c r="U23" i="15" s="1"/>
  <c r="T31" i="15"/>
  <c r="T48" i="15"/>
  <c r="U48" i="15" s="1"/>
  <c r="S61" i="15"/>
  <c r="F14" i="15"/>
  <c r="G14" i="15" s="1"/>
  <c r="F24" i="15"/>
  <c r="G24" i="15" s="1"/>
  <c r="F34" i="15"/>
  <c r="F53" i="15"/>
  <c r="E67" i="15"/>
  <c r="T9" i="15"/>
  <c r="U9" i="15" s="1"/>
  <c r="T24" i="15"/>
  <c r="U24" i="15" s="1"/>
  <c r="T49" i="15"/>
  <c r="U49" i="15" s="1"/>
  <c r="AA13" i="15"/>
  <c r="AB13" i="15" s="1"/>
  <c r="AA22" i="15"/>
  <c r="AB22" i="15" s="1"/>
  <c r="AA37" i="15"/>
  <c r="AA53" i="15"/>
  <c r="AH15" i="15"/>
  <c r="AI15" i="15" s="1"/>
  <c r="AH25" i="15"/>
  <c r="AI25" i="15" s="1"/>
  <c r="AH35" i="15"/>
  <c r="AI35" i="15" s="1"/>
  <c r="AG54" i="15"/>
  <c r="AH66" i="15"/>
  <c r="AI66" i="15" s="1"/>
  <c r="F25" i="15"/>
  <c r="G25" i="15" s="1"/>
  <c r="F35" i="15"/>
  <c r="T16" i="15"/>
  <c r="U16" i="15" s="1"/>
  <c r="T32" i="15"/>
  <c r="T39" i="15"/>
  <c r="T57" i="15"/>
  <c r="T64" i="15"/>
  <c r="U64" i="15" s="1"/>
  <c r="AA14" i="15"/>
  <c r="AB14" i="15" s="1"/>
  <c r="AA31" i="15"/>
  <c r="Z54" i="15"/>
  <c r="AA64" i="15"/>
  <c r="AB64" i="15" s="1"/>
  <c r="AH16" i="15"/>
  <c r="AI16" i="15" s="1"/>
  <c r="AH26" i="15"/>
  <c r="AI26" i="15" s="1"/>
  <c r="AH36" i="15"/>
  <c r="AI36" i="15" s="1"/>
  <c r="AH47" i="15"/>
  <c r="AI47" i="15" s="1"/>
  <c r="AH57" i="15"/>
  <c r="F16" i="15"/>
  <c r="G16" i="15" s="1"/>
  <c r="F26" i="15"/>
  <c r="G26" i="15" s="1"/>
  <c r="F36" i="15"/>
  <c r="E54" i="15"/>
  <c r="E61" i="15"/>
  <c r="T17" i="15"/>
  <c r="U17" i="15" s="1"/>
  <c r="T33" i="15"/>
  <c r="T41" i="15"/>
  <c r="T58" i="15"/>
  <c r="T65" i="15"/>
  <c r="U65" i="15" s="1"/>
  <c r="AA15" i="15"/>
  <c r="AB15" i="15" s="1"/>
  <c r="AA48" i="15"/>
  <c r="AB48" i="15" s="1"/>
  <c r="AA65" i="15"/>
  <c r="AB65" i="15" s="1"/>
  <c r="AG18" i="15"/>
  <c r="AH17" i="15"/>
  <c r="AI17" i="15" s="1"/>
  <c r="AH37" i="15"/>
  <c r="AI37" i="15" s="1"/>
  <c r="AH48" i="15"/>
  <c r="AI48" i="15" s="1"/>
  <c r="AH58" i="15"/>
  <c r="E18" i="15"/>
  <c r="F17" i="15"/>
  <c r="G17" i="15" s="1"/>
  <c r="F37" i="15"/>
  <c r="T11" i="15"/>
  <c r="T26" i="15"/>
  <c r="U26" i="15" s="1"/>
  <c r="T34" i="15"/>
  <c r="T42" i="15"/>
  <c r="T51" i="15"/>
  <c r="U51" i="15" s="1"/>
  <c r="AA24" i="15"/>
  <c r="AB24" i="15" s="1"/>
  <c r="AA33" i="15"/>
  <c r="AA39" i="15"/>
  <c r="AA49" i="15"/>
  <c r="AB49" i="15" s="1"/>
  <c r="AA66" i="15"/>
  <c r="AB66" i="15" s="1"/>
  <c r="AF70" i="15"/>
  <c r="AF3" i="15" s="1"/>
  <c r="AF4" i="15" s="1"/>
  <c r="AH30" i="15"/>
  <c r="AI30" i="15" s="1"/>
  <c r="AH38" i="15"/>
  <c r="AI38" i="15" s="1"/>
  <c r="AH49" i="15"/>
  <c r="AI49" i="15" s="1"/>
  <c r="AH59" i="15"/>
  <c r="F30" i="15"/>
  <c r="F38" i="15"/>
  <c r="F49" i="15"/>
  <c r="G49" i="15" s="1"/>
  <c r="F59" i="15"/>
  <c r="S18" i="15"/>
  <c r="T21" i="15"/>
  <c r="R70" i="15"/>
  <c r="R3" i="15" s="1"/>
  <c r="R4" i="15" s="1"/>
  <c r="T35" i="15"/>
  <c r="AA25" i="15"/>
  <c r="AB25" i="15" s="1"/>
  <c r="AA41" i="15"/>
  <c r="AA58" i="15"/>
  <c r="AH11" i="15"/>
  <c r="AG27" i="15"/>
  <c r="AG43" i="15"/>
  <c r="AH39" i="15"/>
  <c r="AH50" i="15"/>
  <c r="AI50" i="15" s="1"/>
  <c r="AH60" i="15"/>
  <c r="AG67" i="15"/>
  <c r="AH9" i="15"/>
  <c r="AI9" i="15" s="1"/>
  <c r="AH21" i="15"/>
  <c r="AH31" i="15"/>
  <c r="AI31" i="15" s="1"/>
  <c r="AH46" i="15"/>
  <c r="AI46" i="15" s="1"/>
  <c r="AG61" i="15"/>
  <c r="Z67" i="15"/>
  <c r="AA35" i="15"/>
  <c r="AA40" i="15"/>
  <c r="AA47" i="15"/>
  <c r="AB47" i="15" s="1"/>
  <c r="Z18" i="15"/>
  <c r="AA32" i="15"/>
  <c r="AA52" i="15"/>
  <c r="AB52" i="15" s="1"/>
  <c r="AA59" i="15"/>
  <c r="AB59" i="15" s="1"/>
  <c r="Z27" i="15"/>
  <c r="Z61" i="15"/>
  <c r="T12" i="15"/>
  <c r="T46" i="15"/>
  <c r="U46" i="15" s="1"/>
  <c r="S43" i="15"/>
  <c r="T22" i="15"/>
  <c r="U22" i="15" s="1"/>
  <c r="F31" i="15"/>
  <c r="F47" i="15"/>
  <c r="G47" i="15" s="1"/>
  <c r="F57" i="15"/>
  <c r="F65" i="15"/>
  <c r="G65" i="15" s="1"/>
  <c r="F9" i="15"/>
  <c r="F21" i="15"/>
  <c r="F40" i="15"/>
  <c r="F42" i="15"/>
  <c r="F46" i="15"/>
  <c r="G46" i="15" s="1"/>
  <c r="F48" i="15"/>
  <c r="G48" i="15" s="1"/>
  <c r="F50" i="15"/>
  <c r="G50" i="15" s="1"/>
  <c r="F52" i="15"/>
  <c r="G52" i="15" s="1"/>
  <c r="F58" i="15"/>
  <c r="F60" i="15"/>
  <c r="F64" i="15"/>
  <c r="E70" i="15" l="1"/>
  <c r="E3" i="15" s="1"/>
  <c r="E4" i="15" s="1"/>
  <c r="S70" i="15"/>
  <c r="S3" i="15" s="1"/>
  <c r="S4" i="15" s="1"/>
  <c r="Z70" i="15"/>
  <c r="Z3" i="15" s="1"/>
  <c r="Z4" i="15" s="1"/>
  <c r="AG70" i="15"/>
  <c r="AG3" i="15" s="1"/>
  <c r="AG4" i="15" s="1"/>
  <c r="M47" i="4" l="1"/>
  <c r="R46" i="4"/>
  <c r="R45" i="4"/>
  <c r="HQ2" i="15" s="1"/>
  <c r="R40" i="4"/>
  <c r="HC2" i="15" s="1"/>
  <c r="R39" i="4"/>
  <c r="GV2" i="15" s="1"/>
  <c r="R38" i="4"/>
  <c r="GO2" i="15" s="1"/>
  <c r="R36" i="4"/>
  <c r="GH2" i="15" s="1"/>
  <c r="R35" i="4"/>
  <c r="GA2" i="15" s="1"/>
  <c r="R32" i="4"/>
  <c r="FM2" i="15" s="1"/>
  <c r="R31" i="4"/>
  <c r="FF2" i="15" s="1"/>
  <c r="R29" i="4"/>
  <c r="EY2" i="15" s="1"/>
  <c r="R26" i="4"/>
  <c r="ED2" i="15" s="1"/>
  <c r="R25" i="4"/>
  <c r="DW2" i="15" s="1"/>
  <c r="R24" i="4"/>
  <c r="DP2" i="15" s="1"/>
  <c r="R23" i="4"/>
  <c r="DI2" i="15" s="1"/>
  <c r="R19" i="4"/>
  <c r="CG2" i="15" s="1"/>
  <c r="R18" i="4"/>
  <c r="BZ2" i="15" s="1"/>
  <c r="R17" i="4"/>
  <c r="R10" i="4"/>
  <c r="AC2" i="15" s="1"/>
  <c r="R9" i="4"/>
  <c r="R8" i="4"/>
  <c r="V2" i="15" s="1"/>
  <c r="H2" i="15"/>
  <c r="A1" i="15"/>
  <c r="CG37" i="15" l="1"/>
  <c r="CH37" i="15" s="1"/>
  <c r="CG32" i="15"/>
  <c r="CH32" i="15" s="1"/>
  <c r="CG15" i="15"/>
  <c r="CH15" i="15" s="1"/>
  <c r="CG40" i="15"/>
  <c r="CH40" i="15" s="1"/>
  <c r="CH2" i="15"/>
  <c r="CG30" i="15"/>
  <c r="CG16" i="15"/>
  <c r="CH16" i="15" s="1"/>
  <c r="CG48" i="15"/>
  <c r="CH48" i="15" s="1"/>
  <c r="CG58" i="15"/>
  <c r="CH58" i="15" s="1"/>
  <c r="CG38" i="15"/>
  <c r="CH38" i="15" s="1"/>
  <c r="CG51" i="15"/>
  <c r="CH51" i="15" s="1"/>
  <c r="CG42" i="15"/>
  <c r="CH42" i="15" s="1"/>
  <c r="CG57" i="15"/>
  <c r="CG10" i="15"/>
  <c r="CH10" i="15" s="1"/>
  <c r="CG17" i="15"/>
  <c r="CH17" i="15" s="1"/>
  <c r="CG21" i="15"/>
  <c r="CG23" i="15"/>
  <c r="CH23" i="15" s="1"/>
  <c r="CG33" i="15"/>
  <c r="CH33" i="15" s="1"/>
  <c r="CG60" i="15"/>
  <c r="CH60" i="15" s="1"/>
  <c r="CG13" i="15"/>
  <c r="CH13" i="15" s="1"/>
  <c r="CG36" i="15"/>
  <c r="CH36" i="15" s="1"/>
  <c r="CG25" i="15"/>
  <c r="CH25" i="15" s="1"/>
  <c r="CG65" i="15"/>
  <c r="CH65" i="15" s="1"/>
  <c r="CG49" i="15"/>
  <c r="CH49" i="15" s="1"/>
  <c r="CG34" i="15"/>
  <c r="CH34" i="15" s="1"/>
  <c r="CG39" i="15"/>
  <c r="CH39" i="15" s="1"/>
  <c r="CG47" i="15"/>
  <c r="CH47" i="15" s="1"/>
  <c r="CG53" i="15"/>
  <c r="CH53" i="15" s="1"/>
  <c r="CG31" i="15"/>
  <c r="CH31" i="15" s="1"/>
  <c r="CG66" i="15"/>
  <c r="CH66" i="15" s="1"/>
  <c r="CG46" i="15"/>
  <c r="CG41" i="15"/>
  <c r="CH41" i="15" s="1"/>
  <c r="CG26" i="15"/>
  <c r="CH26" i="15" s="1"/>
  <c r="CG50" i="15"/>
  <c r="CH50" i="15" s="1"/>
  <c r="CG11" i="15"/>
  <c r="CH11" i="15" s="1"/>
  <c r="CG35" i="15"/>
  <c r="CH35" i="15" s="1"/>
  <c r="CG64" i="15"/>
  <c r="CG22" i="15"/>
  <c r="CH22" i="15" s="1"/>
  <c r="CG14" i="15"/>
  <c r="CH14" i="15" s="1"/>
  <c r="CG52" i="15"/>
  <c r="CH52" i="15" s="1"/>
  <c r="CG9" i="15"/>
  <c r="CG24" i="15"/>
  <c r="CH24" i="15" s="1"/>
  <c r="CG59" i="15"/>
  <c r="CH59" i="15" s="1"/>
  <c r="CG12" i="15"/>
  <c r="CH12" i="15" s="1"/>
  <c r="GB2" i="15"/>
  <c r="GA11" i="15"/>
  <c r="GB11" i="15" s="1"/>
  <c r="GA40" i="15"/>
  <c r="GB40" i="15" s="1"/>
  <c r="GA17" i="15"/>
  <c r="GB17" i="15" s="1"/>
  <c r="GA13" i="15"/>
  <c r="GB13" i="15" s="1"/>
  <c r="GA52" i="15"/>
  <c r="GB52" i="15" s="1"/>
  <c r="GA51" i="15"/>
  <c r="GB51" i="15" s="1"/>
  <c r="GA15" i="15"/>
  <c r="GB15" i="15" s="1"/>
  <c r="GA66" i="15"/>
  <c r="GB66" i="15" s="1"/>
  <c r="GA9" i="15"/>
  <c r="GA35" i="15"/>
  <c r="GB35" i="15" s="1"/>
  <c r="GA60" i="15"/>
  <c r="GB60" i="15" s="1"/>
  <c r="GA10" i="15"/>
  <c r="GB10" i="15" s="1"/>
  <c r="GA50" i="15"/>
  <c r="GB50" i="15" s="1"/>
  <c r="GA41" i="15"/>
  <c r="GB41" i="15" s="1"/>
  <c r="GA49" i="15"/>
  <c r="GB49" i="15" s="1"/>
  <c r="GA53" i="15"/>
  <c r="GB53" i="15" s="1"/>
  <c r="GA23" i="15"/>
  <c r="GB23" i="15" s="1"/>
  <c r="GA14" i="15"/>
  <c r="GB14" i="15" s="1"/>
  <c r="GA32" i="15"/>
  <c r="GB32" i="15" s="1"/>
  <c r="GA57" i="15"/>
  <c r="GB57" i="15" s="1"/>
  <c r="GA39" i="15"/>
  <c r="GB39" i="15" s="1"/>
  <c r="GA64" i="15"/>
  <c r="GB64" i="15" s="1"/>
  <c r="GA22" i="15"/>
  <c r="GB22" i="15" s="1"/>
  <c r="GA38" i="15"/>
  <c r="GB38" i="15" s="1"/>
  <c r="GA26" i="15"/>
  <c r="GB26" i="15" s="1"/>
  <c r="GA48" i="15"/>
  <c r="GB48" i="15" s="1"/>
  <c r="GA36" i="15"/>
  <c r="GB36" i="15" s="1"/>
  <c r="GA21" i="15"/>
  <c r="GB21" i="15" s="1"/>
  <c r="GA12" i="15"/>
  <c r="GB12" i="15" s="1"/>
  <c r="GA16" i="15"/>
  <c r="GB16" i="15" s="1"/>
  <c r="GA47" i="15"/>
  <c r="GB47" i="15" s="1"/>
  <c r="GA31" i="15"/>
  <c r="GB31" i="15" s="1"/>
  <c r="GA65" i="15"/>
  <c r="GB65" i="15" s="1"/>
  <c r="GA34" i="15"/>
  <c r="GB34" i="15" s="1"/>
  <c r="GA30" i="15"/>
  <c r="GB30" i="15" s="1"/>
  <c r="GA42" i="15"/>
  <c r="GB42" i="15" s="1"/>
  <c r="GA46" i="15"/>
  <c r="GB46" i="15" s="1"/>
  <c r="GA58" i="15"/>
  <c r="GB58" i="15" s="1"/>
  <c r="GA59" i="15"/>
  <c r="GB59" i="15" s="1"/>
  <c r="GA37" i="15"/>
  <c r="GB37" i="15" s="1"/>
  <c r="GA25" i="15"/>
  <c r="GB25" i="15" s="1"/>
  <c r="GA24" i="15"/>
  <c r="GB24" i="15" s="1"/>
  <c r="GA33" i="15"/>
  <c r="GB33" i="15" s="1"/>
  <c r="DQ2" i="15"/>
  <c r="DP53" i="15"/>
  <c r="DQ53" i="15" s="1"/>
  <c r="DP30" i="15"/>
  <c r="DP36" i="15"/>
  <c r="DQ36" i="15" s="1"/>
  <c r="DP16" i="15"/>
  <c r="DQ16" i="15" s="1"/>
  <c r="DP9" i="15"/>
  <c r="DP33" i="15"/>
  <c r="DQ33" i="15" s="1"/>
  <c r="DP17" i="15"/>
  <c r="DQ17" i="15" s="1"/>
  <c r="DP35" i="15"/>
  <c r="DQ35" i="15" s="1"/>
  <c r="DP22" i="15"/>
  <c r="DQ22" i="15" s="1"/>
  <c r="DP60" i="15"/>
  <c r="DQ60" i="15" s="1"/>
  <c r="DP47" i="15"/>
  <c r="DQ47" i="15" s="1"/>
  <c r="DP46" i="15"/>
  <c r="DP65" i="15"/>
  <c r="DQ65" i="15" s="1"/>
  <c r="DP39" i="15"/>
  <c r="DQ39" i="15" s="1"/>
  <c r="DP49" i="15"/>
  <c r="DQ49" i="15" s="1"/>
  <c r="DP23" i="15"/>
  <c r="DQ23" i="15" s="1"/>
  <c r="DP58" i="15"/>
  <c r="DQ58" i="15" s="1"/>
  <c r="DP64" i="15"/>
  <c r="DP24" i="15"/>
  <c r="DQ24" i="15" s="1"/>
  <c r="DP50" i="15"/>
  <c r="DQ50" i="15" s="1"/>
  <c r="DP41" i="15"/>
  <c r="DQ41" i="15" s="1"/>
  <c r="DP51" i="15"/>
  <c r="DQ51" i="15" s="1"/>
  <c r="DP13" i="15"/>
  <c r="DQ13" i="15" s="1"/>
  <c r="DP25" i="15"/>
  <c r="DQ25" i="15" s="1"/>
  <c r="DP52" i="15"/>
  <c r="DQ52" i="15" s="1"/>
  <c r="DP21" i="15"/>
  <c r="DP15" i="15"/>
  <c r="DQ15" i="15" s="1"/>
  <c r="DP37" i="15"/>
  <c r="DQ37" i="15" s="1"/>
  <c r="DP66" i="15"/>
  <c r="DQ66" i="15" s="1"/>
  <c r="DP31" i="15"/>
  <c r="DQ31" i="15" s="1"/>
  <c r="DP34" i="15"/>
  <c r="DQ34" i="15" s="1"/>
  <c r="DP48" i="15"/>
  <c r="DQ48" i="15" s="1"/>
  <c r="DP12" i="15"/>
  <c r="DQ12" i="15" s="1"/>
  <c r="DP10" i="15"/>
  <c r="DQ10" i="15" s="1"/>
  <c r="DP59" i="15"/>
  <c r="DQ59" i="15" s="1"/>
  <c r="DP42" i="15"/>
  <c r="DQ42" i="15" s="1"/>
  <c r="DP40" i="15"/>
  <c r="DQ40" i="15" s="1"/>
  <c r="DP14" i="15"/>
  <c r="DQ14" i="15" s="1"/>
  <c r="DP57" i="15"/>
  <c r="DP32" i="15"/>
  <c r="DQ32" i="15" s="1"/>
  <c r="DP26" i="15"/>
  <c r="DQ26" i="15" s="1"/>
  <c r="DP38" i="15"/>
  <c r="DQ38" i="15" s="1"/>
  <c r="DP11" i="15"/>
  <c r="DQ11" i="15" s="1"/>
  <c r="GW2" i="15"/>
  <c r="GV32" i="15"/>
  <c r="GW32" i="15" s="1"/>
  <c r="GV24" i="15"/>
  <c r="GW24" i="15" s="1"/>
  <c r="GV36" i="15"/>
  <c r="GW36" i="15" s="1"/>
  <c r="GV16" i="15"/>
  <c r="GW16" i="15" s="1"/>
  <c r="GV38" i="15"/>
  <c r="GW38" i="15" s="1"/>
  <c r="GV58" i="15"/>
  <c r="GW58" i="15" s="1"/>
  <c r="GV47" i="15"/>
  <c r="GW47" i="15" s="1"/>
  <c r="GV26" i="15"/>
  <c r="GW26" i="15" s="1"/>
  <c r="GV46" i="15"/>
  <c r="GV34" i="15"/>
  <c r="GW34" i="15" s="1"/>
  <c r="GV60" i="15"/>
  <c r="GW60" i="15" s="1"/>
  <c r="GV11" i="15"/>
  <c r="GW11" i="15" s="1"/>
  <c r="GV25" i="15"/>
  <c r="GW25" i="15" s="1"/>
  <c r="GV10" i="15"/>
  <c r="GW10" i="15" s="1"/>
  <c r="GV33" i="15"/>
  <c r="GW33" i="15" s="1"/>
  <c r="GV14" i="15"/>
  <c r="GW14" i="15" s="1"/>
  <c r="GV15" i="15"/>
  <c r="GW15" i="15" s="1"/>
  <c r="GV35" i="15"/>
  <c r="GW35" i="15" s="1"/>
  <c r="GV9" i="15"/>
  <c r="GV39" i="15"/>
  <c r="GW39" i="15" s="1"/>
  <c r="GV48" i="15"/>
  <c r="GW48" i="15" s="1"/>
  <c r="GV59" i="15"/>
  <c r="GW59" i="15" s="1"/>
  <c r="GV65" i="15"/>
  <c r="GW65" i="15" s="1"/>
  <c r="GV51" i="15"/>
  <c r="GW51" i="15" s="1"/>
  <c r="GV30" i="15"/>
  <c r="GV57" i="15"/>
  <c r="GV22" i="15"/>
  <c r="GW22" i="15" s="1"/>
  <c r="GV40" i="15"/>
  <c r="GW40" i="15" s="1"/>
  <c r="GV41" i="15"/>
  <c r="GW41" i="15" s="1"/>
  <c r="GV53" i="15"/>
  <c r="GW53" i="15" s="1"/>
  <c r="GV64" i="15"/>
  <c r="GV66" i="15"/>
  <c r="GW66" i="15" s="1"/>
  <c r="GV49" i="15"/>
  <c r="GW49" i="15" s="1"/>
  <c r="GV42" i="15"/>
  <c r="GW42" i="15" s="1"/>
  <c r="GV37" i="15"/>
  <c r="GW37" i="15" s="1"/>
  <c r="GV17" i="15"/>
  <c r="GW17" i="15" s="1"/>
  <c r="GV23" i="15"/>
  <c r="GW23" i="15" s="1"/>
  <c r="GV13" i="15"/>
  <c r="GW13" i="15" s="1"/>
  <c r="GV50" i="15"/>
  <c r="GW50" i="15" s="1"/>
  <c r="GV12" i="15"/>
  <c r="GW12" i="15" s="1"/>
  <c r="GV31" i="15"/>
  <c r="GW31" i="15" s="1"/>
  <c r="GV21" i="15"/>
  <c r="GV52" i="15"/>
  <c r="GW52" i="15" s="1"/>
  <c r="EE2" i="15"/>
  <c r="ED37" i="15"/>
  <c r="EE37" i="15" s="1"/>
  <c r="ED52" i="15"/>
  <c r="EE52" i="15" s="1"/>
  <c r="ED49" i="15"/>
  <c r="EE49" i="15" s="1"/>
  <c r="ED15" i="15"/>
  <c r="EE15" i="15" s="1"/>
  <c r="ED10" i="15"/>
  <c r="EE10" i="15" s="1"/>
  <c r="ED24" i="15"/>
  <c r="EE24" i="15" s="1"/>
  <c r="ED66" i="15"/>
  <c r="EE66" i="15" s="1"/>
  <c r="ED65" i="15"/>
  <c r="EE65" i="15" s="1"/>
  <c r="ED25" i="15"/>
  <c r="EE25" i="15" s="1"/>
  <c r="ED9" i="15"/>
  <c r="ED35" i="15"/>
  <c r="EE35" i="15" s="1"/>
  <c r="ED59" i="15"/>
  <c r="EE59" i="15" s="1"/>
  <c r="ED47" i="15"/>
  <c r="EE47" i="15" s="1"/>
  <c r="ED51" i="15"/>
  <c r="EE51" i="15" s="1"/>
  <c r="ED53" i="15"/>
  <c r="EE53" i="15" s="1"/>
  <c r="ED22" i="15"/>
  <c r="EE22" i="15" s="1"/>
  <c r="ED39" i="15"/>
  <c r="EE39" i="15" s="1"/>
  <c r="ED46" i="15"/>
  <c r="EE46" i="15" s="1"/>
  <c r="ED31" i="15"/>
  <c r="EE31" i="15" s="1"/>
  <c r="ED33" i="15"/>
  <c r="EE33" i="15" s="1"/>
  <c r="ED13" i="15"/>
  <c r="EE13" i="15" s="1"/>
  <c r="ED64" i="15"/>
  <c r="EE64" i="15" s="1"/>
  <c r="ED14" i="15"/>
  <c r="EE14" i="15" s="1"/>
  <c r="ED42" i="15"/>
  <c r="EE42" i="15" s="1"/>
  <c r="ED17" i="15"/>
  <c r="EE17" i="15" s="1"/>
  <c r="ED38" i="15"/>
  <c r="EE38" i="15" s="1"/>
  <c r="ED32" i="15"/>
  <c r="EE32" i="15" s="1"/>
  <c r="ED36" i="15"/>
  <c r="EE36" i="15" s="1"/>
  <c r="ED60" i="15"/>
  <c r="EE60" i="15" s="1"/>
  <c r="ED41" i="15"/>
  <c r="EE41" i="15" s="1"/>
  <c r="ED11" i="15"/>
  <c r="EE11" i="15" s="1"/>
  <c r="ED48" i="15"/>
  <c r="EE48" i="15" s="1"/>
  <c r="ED34" i="15"/>
  <c r="EE34" i="15" s="1"/>
  <c r="ED26" i="15"/>
  <c r="EE26" i="15" s="1"/>
  <c r="ED12" i="15"/>
  <c r="EE12" i="15" s="1"/>
  <c r="ED23" i="15"/>
  <c r="EE23" i="15" s="1"/>
  <c r="ED21" i="15"/>
  <c r="EE21" i="15" s="1"/>
  <c r="ED50" i="15"/>
  <c r="EE50" i="15" s="1"/>
  <c r="ED40" i="15"/>
  <c r="EE40" i="15" s="1"/>
  <c r="ED30" i="15"/>
  <c r="EE30" i="15" s="1"/>
  <c r="ED57" i="15"/>
  <c r="EE57" i="15" s="1"/>
  <c r="ED16" i="15"/>
  <c r="EE16" i="15" s="1"/>
  <c r="ED58" i="15"/>
  <c r="EE58" i="15" s="1"/>
  <c r="HD2" i="15"/>
  <c r="HC58" i="15"/>
  <c r="HD58" i="15" s="1"/>
  <c r="HC25" i="15"/>
  <c r="HD25" i="15" s="1"/>
  <c r="HC35" i="15"/>
  <c r="HD35" i="15" s="1"/>
  <c r="HC53" i="15"/>
  <c r="HD53" i="15" s="1"/>
  <c r="HC9" i="15"/>
  <c r="HC40" i="15"/>
  <c r="HD40" i="15" s="1"/>
  <c r="HC34" i="15"/>
  <c r="HD34" i="15" s="1"/>
  <c r="HC23" i="15"/>
  <c r="HD23" i="15" s="1"/>
  <c r="HC41" i="15"/>
  <c r="HD41" i="15" s="1"/>
  <c r="HC46" i="15"/>
  <c r="HD46" i="15" s="1"/>
  <c r="HC36" i="15"/>
  <c r="HD36" i="15" s="1"/>
  <c r="HC14" i="15"/>
  <c r="HD14" i="15" s="1"/>
  <c r="HC51" i="15"/>
  <c r="HD51" i="15" s="1"/>
  <c r="HC21" i="15"/>
  <c r="HD21" i="15" s="1"/>
  <c r="HC16" i="15"/>
  <c r="HD16" i="15" s="1"/>
  <c r="HC65" i="15"/>
  <c r="HD65" i="15" s="1"/>
  <c r="HC64" i="15"/>
  <c r="HD64" i="15" s="1"/>
  <c r="HC22" i="15"/>
  <c r="HD22" i="15" s="1"/>
  <c r="HC57" i="15"/>
  <c r="HD57" i="15" s="1"/>
  <c r="HC42" i="15"/>
  <c r="HD42" i="15" s="1"/>
  <c r="HC60" i="15"/>
  <c r="HD60" i="15" s="1"/>
  <c r="HC12" i="15"/>
  <c r="HD12" i="15" s="1"/>
  <c r="HC52" i="15"/>
  <c r="HD52" i="15" s="1"/>
  <c r="HC13" i="15"/>
  <c r="HD13" i="15" s="1"/>
  <c r="HC50" i="15"/>
  <c r="HD50" i="15" s="1"/>
  <c r="HC47" i="15"/>
  <c r="HD47" i="15" s="1"/>
  <c r="HC11" i="15"/>
  <c r="HD11" i="15" s="1"/>
  <c r="HC17" i="15"/>
  <c r="HD17" i="15" s="1"/>
  <c r="HC66" i="15"/>
  <c r="HD66" i="15" s="1"/>
  <c r="HC33" i="15"/>
  <c r="HD33" i="15" s="1"/>
  <c r="HC49" i="15"/>
  <c r="HD49" i="15" s="1"/>
  <c r="HC39" i="15"/>
  <c r="HD39" i="15" s="1"/>
  <c r="HC24" i="15"/>
  <c r="HD24" i="15" s="1"/>
  <c r="HC26" i="15"/>
  <c r="HD26" i="15" s="1"/>
  <c r="HC59" i="15"/>
  <c r="HD59" i="15" s="1"/>
  <c r="HC15" i="15"/>
  <c r="HD15" i="15" s="1"/>
  <c r="HC10" i="15"/>
  <c r="HD10" i="15" s="1"/>
  <c r="HC32" i="15"/>
  <c r="HD32" i="15" s="1"/>
  <c r="HC38" i="15"/>
  <c r="HD38" i="15" s="1"/>
  <c r="HC48" i="15"/>
  <c r="HD48" i="15" s="1"/>
  <c r="HR2" i="15"/>
  <c r="HQ46" i="15"/>
  <c r="HQ49" i="15"/>
  <c r="HR49" i="15" s="1"/>
  <c r="HQ34" i="15"/>
  <c r="HR34" i="15" s="1"/>
  <c r="HQ13" i="15"/>
  <c r="HR13" i="15" s="1"/>
  <c r="HQ42" i="15"/>
  <c r="HR42" i="15" s="1"/>
  <c r="HQ37" i="15"/>
  <c r="HR37" i="15" s="1"/>
  <c r="HQ22" i="15"/>
  <c r="HR22" i="15" s="1"/>
  <c r="HQ23" i="15"/>
  <c r="HR23" i="15" s="1"/>
  <c r="HQ33" i="15"/>
  <c r="HR33" i="15" s="1"/>
  <c r="HQ59" i="15"/>
  <c r="HR59" i="15" s="1"/>
  <c r="HQ38" i="15"/>
  <c r="HR38" i="15" s="1"/>
  <c r="HQ40" i="15"/>
  <c r="HR40" i="15" s="1"/>
  <c r="HQ17" i="15"/>
  <c r="HR17" i="15" s="1"/>
  <c r="HQ30" i="15"/>
  <c r="HQ32" i="15"/>
  <c r="HR32" i="15" s="1"/>
  <c r="HQ58" i="15"/>
  <c r="HR58" i="15" s="1"/>
  <c r="HQ60" i="15"/>
  <c r="HR60" i="15" s="1"/>
  <c r="HQ10" i="15"/>
  <c r="HR10" i="15" s="1"/>
  <c r="HQ31" i="15"/>
  <c r="HR31" i="15" s="1"/>
  <c r="HQ50" i="15"/>
  <c r="HR50" i="15" s="1"/>
  <c r="HQ64" i="15"/>
  <c r="HQ57" i="15"/>
  <c r="HQ51" i="15"/>
  <c r="HR51" i="15" s="1"/>
  <c r="HQ53" i="15"/>
  <c r="HR53" i="15" s="1"/>
  <c r="HQ11" i="15"/>
  <c r="HR11" i="15" s="1"/>
  <c r="HQ35" i="15"/>
  <c r="HR35" i="15" s="1"/>
  <c r="HQ39" i="15"/>
  <c r="HR39" i="15" s="1"/>
  <c r="HQ12" i="15"/>
  <c r="HR12" i="15" s="1"/>
  <c r="HQ24" i="15"/>
  <c r="HR24" i="15" s="1"/>
  <c r="HQ16" i="15"/>
  <c r="HR16" i="15" s="1"/>
  <c r="HQ21" i="15"/>
  <c r="HQ52" i="15"/>
  <c r="HR52" i="15" s="1"/>
  <c r="HQ66" i="15"/>
  <c r="HR66" i="15" s="1"/>
  <c r="HQ36" i="15"/>
  <c r="HR36" i="15" s="1"/>
  <c r="HQ25" i="15"/>
  <c r="HR25" i="15" s="1"/>
  <c r="HQ14" i="15"/>
  <c r="HR14" i="15" s="1"/>
  <c r="HQ41" i="15"/>
  <c r="HR41" i="15" s="1"/>
  <c r="HQ9" i="15"/>
  <c r="HQ47" i="15"/>
  <c r="HR47" i="15" s="1"/>
  <c r="HQ26" i="15"/>
  <c r="HR26" i="15" s="1"/>
  <c r="HQ65" i="15"/>
  <c r="HR65" i="15" s="1"/>
  <c r="HQ48" i="15"/>
  <c r="HR48" i="15" s="1"/>
  <c r="HQ15" i="15"/>
  <c r="HR15" i="15" s="1"/>
  <c r="FM9" i="15"/>
  <c r="FM22" i="15"/>
  <c r="FN22" i="15" s="1"/>
  <c r="FM42" i="15"/>
  <c r="FN42" i="15" s="1"/>
  <c r="FM60" i="15"/>
  <c r="FN60" i="15" s="1"/>
  <c r="FM30" i="15"/>
  <c r="FN30" i="15" s="1"/>
  <c r="FM51" i="15"/>
  <c r="FN51" i="15" s="1"/>
  <c r="FM58" i="15"/>
  <c r="FN58" i="15" s="1"/>
  <c r="FM34" i="15"/>
  <c r="FN34" i="15" s="1"/>
  <c r="FM66" i="15"/>
  <c r="FN66" i="15" s="1"/>
  <c r="FM49" i="15"/>
  <c r="FN49" i="15" s="1"/>
  <c r="FM38" i="15"/>
  <c r="FN38" i="15" s="1"/>
  <c r="FM15" i="15"/>
  <c r="FN15" i="15" s="1"/>
  <c r="FM17" i="15"/>
  <c r="FN17" i="15" s="1"/>
  <c r="FM26" i="15"/>
  <c r="FN26" i="15" s="1"/>
  <c r="FM53" i="15"/>
  <c r="FN53" i="15" s="1"/>
  <c r="FM11" i="15"/>
  <c r="FN11" i="15" s="1"/>
  <c r="FM40" i="15"/>
  <c r="FN40" i="15" s="1"/>
  <c r="FM46" i="15"/>
  <c r="FN46" i="15" s="1"/>
  <c r="FM24" i="15"/>
  <c r="FN24" i="15" s="1"/>
  <c r="FM23" i="15"/>
  <c r="FN23" i="15" s="1"/>
  <c r="FM14" i="15"/>
  <c r="FN14" i="15" s="1"/>
  <c r="FM64" i="15"/>
  <c r="FN64" i="15" s="1"/>
  <c r="FM32" i="15"/>
  <c r="FN32" i="15" s="1"/>
  <c r="FM48" i="15"/>
  <c r="FN48" i="15" s="1"/>
  <c r="FM10" i="15"/>
  <c r="FN10" i="15" s="1"/>
  <c r="FM52" i="15"/>
  <c r="FN52" i="15" s="1"/>
  <c r="FM39" i="15"/>
  <c r="FN39" i="15" s="1"/>
  <c r="FM41" i="15"/>
  <c r="FN41" i="15" s="1"/>
  <c r="FM21" i="15"/>
  <c r="FN21" i="15" s="1"/>
  <c r="FM50" i="15"/>
  <c r="FN50" i="15" s="1"/>
  <c r="FM13" i="15"/>
  <c r="FN13" i="15" s="1"/>
  <c r="FM37" i="15"/>
  <c r="FN37" i="15" s="1"/>
  <c r="FM65" i="15"/>
  <c r="FN65" i="15" s="1"/>
  <c r="FM57" i="15"/>
  <c r="FN57" i="15" s="1"/>
  <c r="FM33" i="15"/>
  <c r="FN33" i="15" s="1"/>
  <c r="FM12" i="15"/>
  <c r="FN12" i="15" s="1"/>
  <c r="FM31" i="15"/>
  <c r="FN31" i="15" s="1"/>
  <c r="FM36" i="15"/>
  <c r="FN36" i="15" s="1"/>
  <c r="FM47" i="15"/>
  <c r="FN47" i="15" s="1"/>
  <c r="FM35" i="15"/>
  <c r="FN35" i="15" s="1"/>
  <c r="FM59" i="15"/>
  <c r="FN59" i="15" s="1"/>
  <c r="FM16" i="15"/>
  <c r="FN16" i="15" s="1"/>
  <c r="FM25" i="15"/>
  <c r="FN25" i="15" s="1"/>
  <c r="H22" i="15"/>
  <c r="H59" i="15"/>
  <c r="H13" i="15"/>
  <c r="I2" i="15"/>
  <c r="H12" i="15"/>
  <c r="H11" i="15"/>
  <c r="H53" i="15"/>
  <c r="H9" i="15"/>
  <c r="H35" i="15"/>
  <c r="H31" i="15"/>
  <c r="H10" i="15"/>
  <c r="H48" i="15"/>
  <c r="H34" i="15"/>
  <c r="H39" i="15"/>
  <c r="H50" i="15"/>
  <c r="H49" i="15"/>
  <c r="H40" i="15"/>
  <c r="H23" i="15"/>
  <c r="H60" i="15"/>
  <c r="H16" i="15"/>
  <c r="H38" i="15"/>
  <c r="H21" i="15"/>
  <c r="H25" i="15"/>
  <c r="H30" i="15"/>
  <c r="H66" i="15"/>
  <c r="H57" i="15"/>
  <c r="H46" i="15"/>
  <c r="H15" i="15"/>
  <c r="H64" i="15"/>
  <c r="H17" i="15"/>
  <c r="H42" i="15"/>
  <c r="H36" i="15"/>
  <c r="H51" i="15"/>
  <c r="H14" i="15"/>
  <c r="H37" i="15"/>
  <c r="H52" i="15"/>
  <c r="H33" i="15"/>
  <c r="H32" i="15"/>
  <c r="H24" i="15"/>
  <c r="H41" i="15"/>
  <c r="H58" i="15"/>
  <c r="H65" i="15"/>
  <c r="H26" i="15"/>
  <c r="H47" i="15"/>
  <c r="FG2" i="15"/>
  <c r="FF52" i="15"/>
  <c r="FG52" i="15" s="1"/>
  <c r="FF12" i="15"/>
  <c r="FG12" i="15" s="1"/>
  <c r="FF15" i="15"/>
  <c r="FG15" i="15" s="1"/>
  <c r="FF41" i="15"/>
  <c r="FG41" i="15" s="1"/>
  <c r="FF57" i="15"/>
  <c r="FF60" i="15"/>
  <c r="FG60" i="15" s="1"/>
  <c r="FF35" i="15"/>
  <c r="FG35" i="15" s="1"/>
  <c r="FF66" i="15"/>
  <c r="FG66" i="15" s="1"/>
  <c r="FF24" i="15"/>
  <c r="FG24" i="15" s="1"/>
  <c r="FF48" i="15"/>
  <c r="FG48" i="15" s="1"/>
  <c r="FF46" i="15"/>
  <c r="FF53" i="15"/>
  <c r="FG53" i="15" s="1"/>
  <c r="FF9" i="15"/>
  <c r="FF34" i="15"/>
  <c r="FG34" i="15" s="1"/>
  <c r="FF65" i="15"/>
  <c r="FG65" i="15" s="1"/>
  <c r="FF22" i="15"/>
  <c r="FG22" i="15" s="1"/>
  <c r="FF42" i="15"/>
  <c r="FG42" i="15" s="1"/>
  <c r="FF17" i="15"/>
  <c r="FG17" i="15" s="1"/>
  <c r="FF64" i="15"/>
  <c r="FF31" i="15"/>
  <c r="FG31" i="15" s="1"/>
  <c r="FF16" i="15"/>
  <c r="FG16" i="15" s="1"/>
  <c r="FF51" i="15"/>
  <c r="FG51" i="15" s="1"/>
  <c r="FF13" i="15"/>
  <c r="FG13" i="15" s="1"/>
  <c r="FF58" i="15"/>
  <c r="FG58" i="15" s="1"/>
  <c r="FF47" i="15"/>
  <c r="FG47" i="15" s="1"/>
  <c r="FF32" i="15"/>
  <c r="FG32" i="15" s="1"/>
  <c r="FF30" i="15"/>
  <c r="FF33" i="15"/>
  <c r="FG33" i="15" s="1"/>
  <c r="FF40" i="15"/>
  <c r="FG40" i="15" s="1"/>
  <c r="FF21" i="15"/>
  <c r="FF10" i="15"/>
  <c r="FG10" i="15" s="1"/>
  <c r="FF39" i="15"/>
  <c r="FG39" i="15" s="1"/>
  <c r="FF23" i="15"/>
  <c r="FG23" i="15" s="1"/>
  <c r="FF14" i="15"/>
  <c r="FG14" i="15" s="1"/>
  <c r="FF26" i="15"/>
  <c r="FG26" i="15" s="1"/>
  <c r="FF37" i="15"/>
  <c r="FG37" i="15" s="1"/>
  <c r="FF11" i="15"/>
  <c r="FG11" i="15" s="1"/>
  <c r="FF38" i="15"/>
  <c r="FG38" i="15" s="1"/>
  <c r="FF50" i="15"/>
  <c r="FG50" i="15" s="1"/>
  <c r="FF36" i="15"/>
  <c r="FG36" i="15" s="1"/>
  <c r="FF49" i="15"/>
  <c r="FG49" i="15" s="1"/>
  <c r="FF25" i="15"/>
  <c r="FG25" i="15" s="1"/>
  <c r="FF59" i="15"/>
  <c r="FG59" i="15" s="1"/>
  <c r="V52" i="15"/>
  <c r="W52" i="15" s="1"/>
  <c r="V48" i="15"/>
  <c r="W48" i="15" s="1"/>
  <c r="V50" i="15"/>
  <c r="W50" i="15" s="1"/>
  <c r="W2" i="15"/>
  <c r="V9" i="15"/>
  <c r="V53" i="15"/>
  <c r="W53" i="15" s="1"/>
  <c r="V36" i="15"/>
  <c r="W36" i="15" s="1"/>
  <c r="V17" i="15"/>
  <c r="W17" i="15" s="1"/>
  <c r="V24" i="15"/>
  <c r="W24" i="15" s="1"/>
  <c r="V60" i="15"/>
  <c r="W60" i="15" s="1"/>
  <c r="V40" i="15"/>
  <c r="W40" i="15" s="1"/>
  <c r="V15" i="15"/>
  <c r="W15" i="15" s="1"/>
  <c r="V57" i="15"/>
  <c r="V41" i="15"/>
  <c r="W41" i="15" s="1"/>
  <c r="V39" i="15"/>
  <c r="W39" i="15" s="1"/>
  <c r="V35" i="15"/>
  <c r="W35" i="15" s="1"/>
  <c r="V23" i="15"/>
  <c r="W23" i="15" s="1"/>
  <c r="V14" i="15"/>
  <c r="W14" i="15" s="1"/>
  <c r="V22" i="15"/>
  <c r="W22" i="15" s="1"/>
  <c r="V31" i="15"/>
  <c r="W31" i="15" s="1"/>
  <c r="V37" i="15"/>
  <c r="W37" i="15" s="1"/>
  <c r="V21" i="15"/>
  <c r="V66" i="15"/>
  <c r="W66" i="15" s="1"/>
  <c r="V25" i="15"/>
  <c r="W25" i="15" s="1"/>
  <c r="V49" i="15"/>
  <c r="W49" i="15" s="1"/>
  <c r="V47" i="15"/>
  <c r="W47" i="15" s="1"/>
  <c r="V13" i="15"/>
  <c r="W13" i="15" s="1"/>
  <c r="V59" i="15"/>
  <c r="W59" i="15" s="1"/>
  <c r="V10" i="15"/>
  <c r="W10" i="15" s="1"/>
  <c r="V64" i="15"/>
  <c r="V26" i="15"/>
  <c r="W26" i="15" s="1"/>
  <c r="V30" i="15"/>
  <c r="V51" i="15"/>
  <c r="W51" i="15" s="1"/>
  <c r="V58" i="15"/>
  <c r="W58" i="15" s="1"/>
  <c r="V46" i="15"/>
  <c r="V42" i="15"/>
  <c r="W42" i="15" s="1"/>
  <c r="V33" i="15"/>
  <c r="W33" i="15" s="1"/>
  <c r="V38" i="15"/>
  <c r="W38" i="15" s="1"/>
  <c r="V16" i="15"/>
  <c r="W16" i="15" s="1"/>
  <c r="V65" i="15"/>
  <c r="W65" i="15" s="1"/>
  <c r="V11" i="15"/>
  <c r="W11" i="15" s="1"/>
  <c r="V32" i="15"/>
  <c r="W32" i="15" s="1"/>
  <c r="V34" i="15"/>
  <c r="W34" i="15" s="1"/>
  <c r="V12" i="15"/>
  <c r="W12" i="15" s="1"/>
  <c r="DI66" i="15"/>
  <c r="DJ66" i="15" s="1"/>
  <c r="DI48" i="15"/>
  <c r="DJ48" i="15" s="1"/>
  <c r="DJ2" i="15"/>
  <c r="DI16" i="15"/>
  <c r="DJ16" i="15" s="1"/>
  <c r="DI40" i="15"/>
  <c r="DJ40" i="15" s="1"/>
  <c r="DI15" i="15"/>
  <c r="DJ15" i="15" s="1"/>
  <c r="DI26" i="15"/>
  <c r="DJ26" i="15" s="1"/>
  <c r="DI36" i="15"/>
  <c r="DJ36" i="15" s="1"/>
  <c r="DI32" i="15"/>
  <c r="DJ32" i="15" s="1"/>
  <c r="DI38" i="15"/>
  <c r="DJ38" i="15" s="1"/>
  <c r="DI17" i="15"/>
  <c r="DJ17" i="15" s="1"/>
  <c r="DI12" i="15"/>
  <c r="DJ12" i="15" s="1"/>
  <c r="DI53" i="15"/>
  <c r="DJ53" i="15" s="1"/>
  <c r="DI13" i="15"/>
  <c r="DJ13" i="15" s="1"/>
  <c r="DI49" i="15"/>
  <c r="DJ49" i="15" s="1"/>
  <c r="DI14" i="15"/>
  <c r="DJ14" i="15" s="1"/>
  <c r="DI23" i="15"/>
  <c r="DJ23" i="15" s="1"/>
  <c r="DI11" i="15"/>
  <c r="DJ11" i="15" s="1"/>
  <c r="DI25" i="15"/>
  <c r="DJ25" i="15" s="1"/>
  <c r="DI42" i="15"/>
  <c r="DJ42" i="15" s="1"/>
  <c r="DI47" i="15"/>
  <c r="DJ47" i="15" s="1"/>
  <c r="DI24" i="15"/>
  <c r="DJ24" i="15" s="1"/>
  <c r="DI31" i="15"/>
  <c r="DJ31" i="15" s="1"/>
  <c r="DI33" i="15"/>
  <c r="DJ33" i="15" s="1"/>
  <c r="DI9" i="15"/>
  <c r="DI21" i="15"/>
  <c r="DI52" i="15"/>
  <c r="DJ52" i="15" s="1"/>
  <c r="DI65" i="15"/>
  <c r="DJ65" i="15" s="1"/>
  <c r="DI22" i="15"/>
  <c r="DJ22" i="15" s="1"/>
  <c r="DI57" i="15"/>
  <c r="DI34" i="15"/>
  <c r="DJ34" i="15" s="1"/>
  <c r="DI60" i="15"/>
  <c r="DJ60" i="15" s="1"/>
  <c r="DI64" i="15"/>
  <c r="DI10" i="15"/>
  <c r="DJ10" i="15" s="1"/>
  <c r="DI30" i="15"/>
  <c r="DI35" i="15"/>
  <c r="DJ35" i="15" s="1"/>
  <c r="DI50" i="15"/>
  <c r="DJ50" i="15" s="1"/>
  <c r="DI39" i="15"/>
  <c r="DJ39" i="15" s="1"/>
  <c r="DI59" i="15"/>
  <c r="DJ59" i="15" s="1"/>
  <c r="DI51" i="15"/>
  <c r="DJ51" i="15" s="1"/>
  <c r="DI37" i="15"/>
  <c r="DJ37" i="15" s="1"/>
  <c r="DI46" i="15"/>
  <c r="DI41" i="15"/>
  <c r="DJ41" i="15" s="1"/>
  <c r="DI58" i="15"/>
  <c r="DJ58" i="15" s="1"/>
  <c r="FN2" i="15"/>
  <c r="EZ2" i="15"/>
  <c r="EY66" i="15"/>
  <c r="EZ66" i="15" s="1"/>
  <c r="EY26" i="15"/>
  <c r="EZ26" i="15" s="1"/>
  <c r="EY14" i="15"/>
  <c r="EZ14" i="15" s="1"/>
  <c r="EY15" i="15"/>
  <c r="EZ15" i="15" s="1"/>
  <c r="EY11" i="15"/>
  <c r="EZ11" i="15" s="1"/>
  <c r="EY41" i="15"/>
  <c r="EZ41" i="15" s="1"/>
  <c r="EY64" i="15"/>
  <c r="EY38" i="15"/>
  <c r="EZ38" i="15" s="1"/>
  <c r="EY21" i="15"/>
  <c r="EY13" i="15"/>
  <c r="EZ13" i="15" s="1"/>
  <c r="EY37" i="15"/>
  <c r="EZ37" i="15" s="1"/>
  <c r="EY46" i="15"/>
  <c r="EY33" i="15"/>
  <c r="EZ33" i="15" s="1"/>
  <c r="EY50" i="15"/>
  <c r="EZ50" i="15" s="1"/>
  <c r="EY22" i="15"/>
  <c r="EZ22" i="15" s="1"/>
  <c r="EY35" i="15"/>
  <c r="EZ35" i="15" s="1"/>
  <c r="EY36" i="15"/>
  <c r="EZ36" i="15" s="1"/>
  <c r="EY59" i="15"/>
  <c r="EZ59" i="15" s="1"/>
  <c r="EY40" i="15"/>
  <c r="EZ40" i="15" s="1"/>
  <c r="EY52" i="15"/>
  <c r="EZ52" i="15" s="1"/>
  <c r="EY25" i="15"/>
  <c r="EZ25" i="15" s="1"/>
  <c r="EY17" i="15"/>
  <c r="EZ17" i="15" s="1"/>
  <c r="EY58" i="15"/>
  <c r="EZ58" i="15" s="1"/>
  <c r="EY39" i="15"/>
  <c r="EZ39" i="15" s="1"/>
  <c r="EY12" i="15"/>
  <c r="EZ12" i="15" s="1"/>
  <c r="EY16" i="15"/>
  <c r="EZ16" i="15" s="1"/>
  <c r="EY57" i="15"/>
  <c r="EY34" i="15"/>
  <c r="EZ34" i="15" s="1"/>
  <c r="EY23" i="15"/>
  <c r="EZ23" i="15" s="1"/>
  <c r="EY49" i="15"/>
  <c r="EZ49" i="15" s="1"/>
  <c r="EY30" i="15"/>
  <c r="EY32" i="15"/>
  <c r="EZ32" i="15" s="1"/>
  <c r="EY47" i="15"/>
  <c r="EZ47" i="15" s="1"/>
  <c r="EY9" i="15"/>
  <c r="EY31" i="15"/>
  <c r="EZ31" i="15" s="1"/>
  <c r="EY24" i="15"/>
  <c r="EZ24" i="15" s="1"/>
  <c r="EY48" i="15"/>
  <c r="EZ48" i="15" s="1"/>
  <c r="EY65" i="15"/>
  <c r="EZ65" i="15" s="1"/>
  <c r="EY53" i="15"/>
  <c r="EZ53" i="15" s="1"/>
  <c r="EY51" i="15"/>
  <c r="EZ51" i="15" s="1"/>
  <c r="EY10" i="15"/>
  <c r="EZ10" i="15" s="1"/>
  <c r="EY60" i="15"/>
  <c r="EZ60" i="15" s="1"/>
  <c r="EY42" i="15"/>
  <c r="EZ42" i="15" s="1"/>
  <c r="AD2" i="15"/>
  <c r="AC23" i="15"/>
  <c r="AD23" i="15" s="1"/>
  <c r="AC57" i="15"/>
  <c r="AC26" i="15"/>
  <c r="AD26" i="15" s="1"/>
  <c r="AC50" i="15"/>
  <c r="AD50" i="15" s="1"/>
  <c r="AC14" i="15"/>
  <c r="AD14" i="15" s="1"/>
  <c r="AC17" i="15"/>
  <c r="AD17" i="15" s="1"/>
  <c r="AC12" i="15"/>
  <c r="AD12" i="15" s="1"/>
  <c r="AC41" i="15"/>
  <c r="AD41" i="15" s="1"/>
  <c r="AC46" i="15"/>
  <c r="AC11" i="15"/>
  <c r="AD11" i="15" s="1"/>
  <c r="AC37" i="15"/>
  <c r="AD37" i="15" s="1"/>
  <c r="AC10" i="15"/>
  <c r="AD10" i="15" s="1"/>
  <c r="AC34" i="15"/>
  <c r="AD34" i="15" s="1"/>
  <c r="AC66" i="15"/>
  <c r="AD66" i="15" s="1"/>
  <c r="AC58" i="15"/>
  <c r="AD58" i="15" s="1"/>
  <c r="AC25" i="15"/>
  <c r="AD25" i="15" s="1"/>
  <c r="AC49" i="15"/>
  <c r="AD49" i="15" s="1"/>
  <c r="AC24" i="15"/>
  <c r="AD24" i="15" s="1"/>
  <c r="AC36" i="15"/>
  <c r="AD36" i="15" s="1"/>
  <c r="AC51" i="15"/>
  <c r="AD51" i="15" s="1"/>
  <c r="AC52" i="15"/>
  <c r="AD52" i="15" s="1"/>
  <c r="AC42" i="15"/>
  <c r="AD42" i="15" s="1"/>
  <c r="AC33" i="15"/>
  <c r="AD33" i="15" s="1"/>
  <c r="AC16" i="15"/>
  <c r="AD16" i="15" s="1"/>
  <c r="AC15" i="15"/>
  <c r="AD15" i="15" s="1"/>
  <c r="AC13" i="15"/>
  <c r="AD13" i="15" s="1"/>
  <c r="AC39" i="15"/>
  <c r="AD39" i="15" s="1"/>
  <c r="AC38" i="15"/>
  <c r="AD38" i="15" s="1"/>
  <c r="AC48" i="15"/>
  <c r="AD48" i="15" s="1"/>
  <c r="AC64" i="15"/>
  <c r="AC31" i="15"/>
  <c r="AD31" i="15" s="1"/>
  <c r="AC40" i="15"/>
  <c r="AD40" i="15" s="1"/>
  <c r="AC65" i="15"/>
  <c r="AD65" i="15" s="1"/>
  <c r="AC47" i="15"/>
  <c r="AD47" i="15" s="1"/>
  <c r="AC53" i="15"/>
  <c r="AD53" i="15" s="1"/>
  <c r="AC60" i="15"/>
  <c r="AD60" i="15" s="1"/>
  <c r="AC30" i="15"/>
  <c r="AC9" i="15"/>
  <c r="AC22" i="15"/>
  <c r="AD22" i="15" s="1"/>
  <c r="AC21" i="15"/>
  <c r="AC35" i="15"/>
  <c r="AD35" i="15" s="1"/>
  <c r="AC59" i="15"/>
  <c r="AD59" i="15" s="1"/>
  <c r="AC32" i="15"/>
  <c r="AD32" i="15" s="1"/>
  <c r="DX2" i="15"/>
  <c r="DW58" i="15"/>
  <c r="DX58" i="15" s="1"/>
  <c r="DW12" i="15"/>
  <c r="DX12" i="15" s="1"/>
  <c r="DW40" i="15"/>
  <c r="DX40" i="15" s="1"/>
  <c r="DW11" i="15"/>
  <c r="DX11" i="15" s="1"/>
  <c r="DW32" i="15"/>
  <c r="DX32" i="15" s="1"/>
  <c r="DW64" i="15"/>
  <c r="DW31" i="15"/>
  <c r="DX31" i="15" s="1"/>
  <c r="DW22" i="15"/>
  <c r="DX22" i="15" s="1"/>
  <c r="DW57" i="15"/>
  <c r="DW13" i="15"/>
  <c r="DX13" i="15" s="1"/>
  <c r="DW30" i="15"/>
  <c r="DW50" i="15"/>
  <c r="DX50" i="15" s="1"/>
  <c r="DW9" i="15"/>
  <c r="DW33" i="15"/>
  <c r="DX33" i="15" s="1"/>
  <c r="DW36" i="15"/>
  <c r="DX36" i="15" s="1"/>
  <c r="DW37" i="15"/>
  <c r="DX37" i="15" s="1"/>
  <c r="DW39" i="15"/>
  <c r="DX39" i="15" s="1"/>
  <c r="DW34" i="15"/>
  <c r="DX34" i="15" s="1"/>
  <c r="DW15" i="15"/>
  <c r="DX15" i="15" s="1"/>
  <c r="DW42" i="15"/>
  <c r="DX42" i="15" s="1"/>
  <c r="DW51" i="15"/>
  <c r="DX51" i="15" s="1"/>
  <c r="DW24" i="15"/>
  <c r="DX24" i="15" s="1"/>
  <c r="DW47" i="15"/>
  <c r="DX47" i="15" s="1"/>
  <c r="DW16" i="15"/>
  <c r="DX16" i="15" s="1"/>
  <c r="DW60" i="15"/>
  <c r="DX60" i="15" s="1"/>
  <c r="DW53" i="15"/>
  <c r="DX53" i="15" s="1"/>
  <c r="DW23" i="15"/>
  <c r="DX23" i="15" s="1"/>
  <c r="DW48" i="15"/>
  <c r="DX48" i="15" s="1"/>
  <c r="DW35" i="15"/>
  <c r="DX35" i="15" s="1"/>
  <c r="DW38" i="15"/>
  <c r="DX38" i="15" s="1"/>
  <c r="DW59" i="15"/>
  <c r="DX59" i="15" s="1"/>
  <c r="DW52" i="15"/>
  <c r="DX52" i="15" s="1"/>
  <c r="DW26" i="15"/>
  <c r="DX26" i="15" s="1"/>
  <c r="DW65" i="15"/>
  <c r="DX65" i="15" s="1"/>
  <c r="DW46" i="15"/>
  <c r="DW10" i="15"/>
  <c r="DX10" i="15" s="1"/>
  <c r="DW25" i="15"/>
  <c r="DX25" i="15" s="1"/>
  <c r="DW49" i="15"/>
  <c r="DX49" i="15" s="1"/>
  <c r="DW17" i="15"/>
  <c r="DX17" i="15" s="1"/>
  <c r="DW21" i="15"/>
  <c r="DW41" i="15"/>
  <c r="DX41" i="15" s="1"/>
  <c r="DW14" i="15"/>
  <c r="DX14" i="15" s="1"/>
  <c r="DW66" i="15"/>
  <c r="DX66" i="15" s="1"/>
  <c r="GH41" i="15"/>
  <c r="GI41" i="15" s="1"/>
  <c r="GH14" i="15"/>
  <c r="GI14" i="15" s="1"/>
  <c r="GI2" i="15"/>
  <c r="GH52" i="15"/>
  <c r="GI52" i="15" s="1"/>
  <c r="GH26" i="15"/>
  <c r="GI26" i="15" s="1"/>
  <c r="GH48" i="15"/>
  <c r="GI48" i="15" s="1"/>
  <c r="GH10" i="15"/>
  <c r="GI10" i="15" s="1"/>
  <c r="GH35" i="15"/>
  <c r="GI35" i="15" s="1"/>
  <c r="GH21" i="15"/>
  <c r="GH53" i="15"/>
  <c r="GI53" i="15" s="1"/>
  <c r="GH58" i="15"/>
  <c r="GI58" i="15" s="1"/>
  <c r="GH11" i="15"/>
  <c r="GI11" i="15" s="1"/>
  <c r="GH64" i="15"/>
  <c r="GH34" i="15"/>
  <c r="GI34" i="15" s="1"/>
  <c r="GH17" i="15"/>
  <c r="GI17" i="15" s="1"/>
  <c r="GH66" i="15"/>
  <c r="GI66" i="15" s="1"/>
  <c r="GH42" i="15"/>
  <c r="GI42" i="15" s="1"/>
  <c r="GH46" i="15"/>
  <c r="GH60" i="15"/>
  <c r="GI60" i="15" s="1"/>
  <c r="GH16" i="15"/>
  <c r="GI16" i="15" s="1"/>
  <c r="GH50" i="15"/>
  <c r="GI50" i="15" s="1"/>
  <c r="GH32" i="15"/>
  <c r="GI32" i="15" s="1"/>
  <c r="GH38" i="15"/>
  <c r="GI38" i="15" s="1"/>
  <c r="GH23" i="15"/>
  <c r="GI23" i="15" s="1"/>
  <c r="GH30" i="15"/>
  <c r="GH12" i="15"/>
  <c r="GI12" i="15" s="1"/>
  <c r="GH22" i="15"/>
  <c r="GI22" i="15" s="1"/>
  <c r="GH59" i="15"/>
  <c r="GI59" i="15" s="1"/>
  <c r="GH15" i="15"/>
  <c r="GI15" i="15" s="1"/>
  <c r="GH65" i="15"/>
  <c r="GI65" i="15" s="1"/>
  <c r="GH25" i="15"/>
  <c r="GI25" i="15" s="1"/>
  <c r="GH13" i="15"/>
  <c r="GI13" i="15" s="1"/>
  <c r="GH39" i="15"/>
  <c r="GI39" i="15" s="1"/>
  <c r="GH49" i="15"/>
  <c r="GI49" i="15" s="1"/>
  <c r="GH51" i="15"/>
  <c r="GI51" i="15" s="1"/>
  <c r="GH47" i="15"/>
  <c r="GI47" i="15" s="1"/>
  <c r="GH33" i="15"/>
  <c r="GI33" i="15" s="1"/>
  <c r="GH36" i="15"/>
  <c r="GI36" i="15" s="1"/>
  <c r="GH9" i="15"/>
  <c r="GH57" i="15"/>
  <c r="GH31" i="15"/>
  <c r="GI31" i="15" s="1"/>
  <c r="GH37" i="15"/>
  <c r="GI37" i="15" s="1"/>
  <c r="GH40" i="15"/>
  <c r="GI40" i="15" s="1"/>
  <c r="GH24" i="15"/>
  <c r="GI24" i="15" s="1"/>
  <c r="BZ37" i="15"/>
  <c r="CA37" i="15" s="1"/>
  <c r="BZ34" i="15"/>
  <c r="CA34" i="15" s="1"/>
  <c r="BZ15" i="15"/>
  <c r="CA15" i="15" s="1"/>
  <c r="BZ41" i="15"/>
  <c r="CA41" i="15" s="1"/>
  <c r="BZ52" i="15"/>
  <c r="CA52" i="15" s="1"/>
  <c r="BZ49" i="15"/>
  <c r="CA49" i="15" s="1"/>
  <c r="BZ24" i="15"/>
  <c r="CA24" i="15" s="1"/>
  <c r="BZ66" i="15"/>
  <c r="CA66" i="15" s="1"/>
  <c r="BZ13" i="15"/>
  <c r="CA13" i="15" s="1"/>
  <c r="BZ64" i="15"/>
  <c r="BZ12" i="15"/>
  <c r="CA12" i="15" s="1"/>
  <c r="CA2" i="15"/>
  <c r="BZ23" i="15"/>
  <c r="CA23" i="15" s="1"/>
  <c r="BZ22" i="15"/>
  <c r="CA22" i="15" s="1"/>
  <c r="BZ25" i="15"/>
  <c r="CA25" i="15" s="1"/>
  <c r="BZ10" i="15"/>
  <c r="CA10" i="15" s="1"/>
  <c r="BZ46" i="15"/>
  <c r="BZ16" i="15"/>
  <c r="CA16" i="15" s="1"/>
  <c r="BZ42" i="15"/>
  <c r="CA42" i="15" s="1"/>
  <c r="BZ11" i="15"/>
  <c r="CA11" i="15" s="1"/>
  <c r="BZ51" i="15"/>
  <c r="CA51" i="15" s="1"/>
  <c r="BZ33" i="15"/>
  <c r="CA33" i="15" s="1"/>
  <c r="BZ14" i="15"/>
  <c r="CA14" i="15" s="1"/>
  <c r="BZ65" i="15"/>
  <c r="CA65" i="15" s="1"/>
  <c r="BZ50" i="15"/>
  <c r="CA50" i="15" s="1"/>
  <c r="BZ32" i="15"/>
  <c r="CA32" i="15" s="1"/>
  <c r="BZ9" i="15"/>
  <c r="BZ48" i="15"/>
  <c r="CA48" i="15" s="1"/>
  <c r="BZ57" i="15"/>
  <c r="BZ35" i="15"/>
  <c r="CA35" i="15" s="1"/>
  <c r="BZ36" i="15"/>
  <c r="CA36" i="15" s="1"/>
  <c r="BZ59" i="15"/>
  <c r="CA59" i="15" s="1"/>
  <c r="BZ26" i="15"/>
  <c r="CA26" i="15" s="1"/>
  <c r="BZ31" i="15"/>
  <c r="CA31" i="15" s="1"/>
  <c r="BZ30" i="15"/>
  <c r="BZ39" i="15"/>
  <c r="CA39" i="15" s="1"/>
  <c r="BZ47" i="15"/>
  <c r="CA47" i="15" s="1"/>
  <c r="BZ60" i="15"/>
  <c r="CA60" i="15" s="1"/>
  <c r="BZ40" i="15"/>
  <c r="CA40" i="15" s="1"/>
  <c r="BZ21" i="15"/>
  <c r="BZ17" i="15"/>
  <c r="CA17" i="15" s="1"/>
  <c r="BZ58" i="15"/>
  <c r="CA58" i="15" s="1"/>
  <c r="BZ53" i="15"/>
  <c r="CA53" i="15" s="1"/>
  <c r="BZ38" i="15"/>
  <c r="CA38" i="15" s="1"/>
  <c r="GP2" i="15"/>
  <c r="GO52" i="15"/>
  <c r="GP52" i="15" s="1"/>
  <c r="GO51" i="15"/>
  <c r="GP51" i="15" s="1"/>
  <c r="GO47" i="15"/>
  <c r="GP47" i="15" s="1"/>
  <c r="GO25" i="15"/>
  <c r="GP25" i="15" s="1"/>
  <c r="GO17" i="15"/>
  <c r="GP17" i="15" s="1"/>
  <c r="GO38" i="15"/>
  <c r="GP38" i="15" s="1"/>
  <c r="GO12" i="15"/>
  <c r="GP12" i="15" s="1"/>
  <c r="GO34" i="15"/>
  <c r="GP34" i="15" s="1"/>
  <c r="GO32" i="15"/>
  <c r="GP32" i="15" s="1"/>
  <c r="GO36" i="15"/>
  <c r="GP36" i="15" s="1"/>
  <c r="GO58" i="15"/>
  <c r="GP58" i="15" s="1"/>
  <c r="GO13" i="15"/>
  <c r="GP13" i="15" s="1"/>
  <c r="GO59" i="15"/>
  <c r="GP59" i="15" s="1"/>
  <c r="GO26" i="15"/>
  <c r="GP26" i="15" s="1"/>
  <c r="GO66" i="15"/>
  <c r="GP66" i="15" s="1"/>
  <c r="GO57" i="15"/>
  <c r="GO53" i="15"/>
  <c r="GP53" i="15" s="1"/>
  <c r="GO9" i="15"/>
  <c r="GO49" i="15"/>
  <c r="GP49" i="15" s="1"/>
  <c r="GO48" i="15"/>
  <c r="GP48" i="15" s="1"/>
  <c r="GO14" i="15"/>
  <c r="GP14" i="15" s="1"/>
  <c r="GO10" i="15"/>
  <c r="GP10" i="15" s="1"/>
  <c r="GO60" i="15"/>
  <c r="GP60" i="15" s="1"/>
  <c r="GO16" i="15"/>
  <c r="GP16" i="15" s="1"/>
  <c r="GO22" i="15"/>
  <c r="GP22" i="15" s="1"/>
  <c r="GO21" i="15"/>
  <c r="GO64" i="15"/>
  <c r="GO35" i="15"/>
  <c r="GP35" i="15" s="1"/>
  <c r="GO50" i="15"/>
  <c r="GP50" i="15" s="1"/>
  <c r="GO33" i="15"/>
  <c r="GP33" i="15" s="1"/>
  <c r="GO15" i="15"/>
  <c r="GP15" i="15" s="1"/>
  <c r="GO42" i="15"/>
  <c r="GP42" i="15" s="1"/>
  <c r="GO65" i="15"/>
  <c r="GP65" i="15" s="1"/>
  <c r="GO23" i="15"/>
  <c r="GP23" i="15" s="1"/>
  <c r="GO41" i="15"/>
  <c r="GP41" i="15" s="1"/>
  <c r="GO11" i="15"/>
  <c r="GP11" i="15" s="1"/>
  <c r="GO24" i="15"/>
  <c r="GP24" i="15" s="1"/>
  <c r="GO46" i="15"/>
  <c r="GO40" i="15"/>
  <c r="GP40" i="15" s="1"/>
  <c r="L47" i="4"/>
  <c r="AJ2" i="15"/>
  <c r="I40" i="15" l="1"/>
  <c r="I41" i="15"/>
  <c r="I36" i="15"/>
  <c r="HT36" i="15"/>
  <c r="HU36" i="15" s="1"/>
  <c r="I49" i="15"/>
  <c r="HT49" i="15"/>
  <c r="HU49" i="15" s="1"/>
  <c r="I35" i="15"/>
  <c r="I24" i="15"/>
  <c r="HT24" i="15"/>
  <c r="HU24" i="15" s="1"/>
  <c r="I42" i="15"/>
  <c r="I25" i="15"/>
  <c r="I50" i="15"/>
  <c r="I53" i="15"/>
  <c r="HT53" i="15"/>
  <c r="HU53" i="15" s="1"/>
  <c r="I32" i="15"/>
  <c r="I17" i="15"/>
  <c r="I39" i="15"/>
  <c r="I11" i="15"/>
  <c r="I33" i="15"/>
  <c r="I38" i="15"/>
  <c r="I34" i="15"/>
  <c r="HT34" i="15"/>
  <c r="HU34" i="15" s="1"/>
  <c r="I12" i="15"/>
  <c r="I51" i="15"/>
  <c r="I22" i="15"/>
  <c r="I47" i="15"/>
  <c r="I52" i="15"/>
  <c r="HT52" i="15"/>
  <c r="HU52" i="15" s="1"/>
  <c r="I15" i="15"/>
  <c r="I16" i="15"/>
  <c r="I48" i="15"/>
  <c r="I66" i="15"/>
  <c r="HT66" i="15"/>
  <c r="HU66" i="15" s="1"/>
  <c r="I26" i="15"/>
  <c r="I37" i="15"/>
  <c r="I60" i="15"/>
  <c r="I10" i="15"/>
  <c r="I13" i="15"/>
  <c r="I58" i="15"/>
  <c r="I65" i="15"/>
  <c r="I14" i="15"/>
  <c r="HT14" i="15"/>
  <c r="HU14" i="15" s="1"/>
  <c r="I23" i="15"/>
  <c r="I31" i="15"/>
  <c r="I59" i="15"/>
  <c r="HT59" i="15"/>
  <c r="HU59" i="15" s="1"/>
  <c r="AD57" i="15"/>
  <c r="AD61" i="15" s="1"/>
  <c r="AC61" i="15"/>
  <c r="W57" i="15"/>
  <c r="W61" i="15" s="1"/>
  <c r="V61" i="15"/>
  <c r="HR21" i="15"/>
  <c r="HR27" i="15" s="1"/>
  <c r="HQ27" i="15"/>
  <c r="GW9" i="15"/>
  <c r="GW18" i="15" s="1"/>
  <c r="GV18" i="15"/>
  <c r="DQ57" i="15"/>
  <c r="DQ61" i="15" s="1"/>
  <c r="DP61" i="15"/>
  <c r="CH21" i="15"/>
  <c r="CH27" i="15" s="1"/>
  <c r="CG27" i="15"/>
  <c r="HQ18" i="15"/>
  <c r="HR9" i="15"/>
  <c r="HR18" i="15" s="1"/>
  <c r="HR57" i="15"/>
  <c r="HR61" i="15" s="1"/>
  <c r="HQ61" i="15"/>
  <c r="HR30" i="15"/>
  <c r="HR43" i="15" s="1"/>
  <c r="HQ43" i="15"/>
  <c r="GW21" i="15"/>
  <c r="GW27" i="15" s="1"/>
  <c r="GV27" i="15"/>
  <c r="GW57" i="15"/>
  <c r="GW61" i="15" s="1"/>
  <c r="GV61" i="15"/>
  <c r="CH46" i="15"/>
  <c r="CH54" i="15" s="1"/>
  <c r="CG54" i="15"/>
  <c r="HR64" i="15"/>
  <c r="HR67" i="15" s="1"/>
  <c r="HQ67" i="15"/>
  <c r="GW30" i="15"/>
  <c r="GW43" i="15" s="1"/>
  <c r="GV43" i="15"/>
  <c r="GW46" i="15"/>
  <c r="GW54" i="15" s="1"/>
  <c r="GV54" i="15"/>
  <c r="DQ9" i="15"/>
  <c r="DQ18" i="15" s="1"/>
  <c r="DP18" i="15"/>
  <c r="CH30" i="15"/>
  <c r="CH43" i="15" s="1"/>
  <c r="CG43" i="15"/>
  <c r="DQ46" i="15"/>
  <c r="DQ54" i="15" s="1"/>
  <c r="DP54" i="15"/>
  <c r="CH64" i="15"/>
  <c r="CH67" i="15" s="1"/>
  <c r="CG67" i="15"/>
  <c r="CH57" i="15"/>
  <c r="CH61" i="15" s="1"/>
  <c r="CG61" i="15"/>
  <c r="GW64" i="15"/>
  <c r="GW67" i="15" s="1"/>
  <c r="GV67" i="15"/>
  <c r="DQ21" i="15"/>
  <c r="DQ27" i="15" s="1"/>
  <c r="DP27" i="15"/>
  <c r="DQ64" i="15"/>
  <c r="DQ67" i="15" s="1"/>
  <c r="DP67" i="15"/>
  <c r="DQ30" i="15"/>
  <c r="DQ43" i="15" s="1"/>
  <c r="DP43" i="15"/>
  <c r="HR46" i="15"/>
  <c r="HR54" i="15" s="1"/>
  <c r="HQ54" i="15"/>
  <c r="CH9" i="15"/>
  <c r="CH18" i="15" s="1"/>
  <c r="CG18" i="15"/>
  <c r="CN61" i="15"/>
  <c r="CO61" i="15"/>
  <c r="CO67" i="15"/>
  <c r="CN67" i="15"/>
  <c r="CO27" i="15"/>
  <c r="CN27" i="15"/>
  <c r="CN54" i="15"/>
  <c r="CO54" i="15"/>
  <c r="CO9" i="15"/>
  <c r="CO18" i="15" s="1"/>
  <c r="CN18" i="15"/>
  <c r="CO43" i="15"/>
  <c r="CN43" i="15"/>
  <c r="HC61" i="15"/>
  <c r="HD61" i="15"/>
  <c r="HC43" i="15"/>
  <c r="HD43" i="15"/>
  <c r="HC27" i="15"/>
  <c r="HD27" i="15"/>
  <c r="HC54" i="15"/>
  <c r="HD54" i="15"/>
  <c r="HD67" i="15"/>
  <c r="HC67" i="15"/>
  <c r="HD9" i="15"/>
  <c r="HD18" i="15" s="1"/>
  <c r="HC18" i="15"/>
  <c r="EE67" i="15"/>
  <c r="ED67" i="15"/>
  <c r="EE43" i="15"/>
  <c r="ED43" i="15"/>
  <c r="EE61" i="15"/>
  <c r="ED61" i="15"/>
  <c r="EE54" i="15"/>
  <c r="ED54" i="15"/>
  <c r="EE9" i="15"/>
  <c r="EE18" i="15" s="1"/>
  <c r="ED18" i="15"/>
  <c r="ED27" i="15"/>
  <c r="EE27" i="15"/>
  <c r="FU61" i="15"/>
  <c r="FT61" i="15"/>
  <c r="FU43" i="15"/>
  <c r="FT43" i="15"/>
  <c r="FT18" i="15"/>
  <c r="FU9" i="15"/>
  <c r="FU18" i="15" s="1"/>
  <c r="FU54" i="15"/>
  <c r="FT54" i="15"/>
  <c r="FU27" i="15"/>
  <c r="FT27" i="15"/>
  <c r="FU67" i="15"/>
  <c r="FT67" i="15"/>
  <c r="AQ61" i="15"/>
  <c r="AR61" i="15"/>
  <c r="AQ43" i="15"/>
  <c r="AR43" i="15"/>
  <c r="AQ18" i="15"/>
  <c r="AR9" i="15"/>
  <c r="AR18" i="15" s="1"/>
  <c r="AQ67" i="15"/>
  <c r="AR67" i="15"/>
  <c r="AQ54" i="15"/>
  <c r="AR54" i="15"/>
  <c r="AQ27" i="15"/>
  <c r="AR27" i="15"/>
  <c r="ER54" i="15"/>
  <c r="ES54" i="15"/>
  <c r="ER61" i="15"/>
  <c r="ES61" i="15"/>
  <c r="ER27" i="15"/>
  <c r="ES27" i="15"/>
  <c r="ES43" i="15"/>
  <c r="ER43" i="15"/>
  <c r="ES67" i="15"/>
  <c r="ER67" i="15"/>
  <c r="ER18" i="15"/>
  <c r="ES9" i="15"/>
  <c r="ES18" i="15" s="1"/>
  <c r="DX64" i="15"/>
  <c r="DX67" i="15" s="1"/>
  <c r="DW67" i="15"/>
  <c r="EZ30" i="15"/>
  <c r="EZ43" i="15" s="1"/>
  <c r="EY43" i="15"/>
  <c r="FG30" i="15"/>
  <c r="FG43" i="15" s="1"/>
  <c r="FF43" i="15"/>
  <c r="I30" i="15"/>
  <c r="H43" i="15"/>
  <c r="I9" i="15"/>
  <c r="H18" i="15"/>
  <c r="GP57" i="15"/>
  <c r="GP61" i="15" s="1"/>
  <c r="GO61" i="15"/>
  <c r="AD46" i="15"/>
  <c r="AD54" i="15" s="1"/>
  <c r="AC54" i="15"/>
  <c r="FN27" i="15"/>
  <c r="FM27" i="15"/>
  <c r="CA21" i="15"/>
  <c r="CA27" i="15" s="1"/>
  <c r="BZ27" i="15"/>
  <c r="GI57" i="15"/>
  <c r="GI61" i="15" s="1"/>
  <c r="GH61" i="15"/>
  <c r="DJ64" i="15"/>
  <c r="DJ67" i="15" s="1"/>
  <c r="DI67" i="15"/>
  <c r="DI18" i="15"/>
  <c r="DJ9" i="15"/>
  <c r="DJ18" i="15" s="1"/>
  <c r="P9" i="15"/>
  <c r="P18" i="15" s="1"/>
  <c r="O18" i="15"/>
  <c r="EZ64" i="15"/>
  <c r="EZ67" i="15" s="1"/>
  <c r="EY67" i="15"/>
  <c r="FM18" i="15"/>
  <c r="FN9" i="15"/>
  <c r="FN18" i="15" s="1"/>
  <c r="W9" i="15"/>
  <c r="W18" i="15" s="1"/>
  <c r="V18" i="15"/>
  <c r="FG64" i="15"/>
  <c r="FG67" i="15" s="1"/>
  <c r="FF67" i="15"/>
  <c r="FG46" i="15"/>
  <c r="FG54" i="15" s="1"/>
  <c r="FF54" i="15"/>
  <c r="O67" i="15"/>
  <c r="P67" i="15"/>
  <c r="DX9" i="15"/>
  <c r="DX18" i="15" s="1"/>
  <c r="DW18" i="15"/>
  <c r="W46" i="15"/>
  <c r="W54" i="15" s="1"/>
  <c r="V54" i="15"/>
  <c r="CA57" i="15"/>
  <c r="CA61" i="15" s="1"/>
  <c r="BZ61" i="15"/>
  <c r="GI64" i="15"/>
  <c r="GI67" i="15" s="1"/>
  <c r="GH67" i="15"/>
  <c r="AD21" i="15"/>
  <c r="AD27" i="15" s="1"/>
  <c r="AC27" i="15"/>
  <c r="FM67" i="15"/>
  <c r="FN67" i="15"/>
  <c r="DJ57" i="15"/>
  <c r="DJ61" i="15" s="1"/>
  <c r="DI61" i="15"/>
  <c r="I21" i="15"/>
  <c r="I27" i="15" s="1"/>
  <c r="H27" i="15"/>
  <c r="DW54" i="15"/>
  <c r="DX46" i="15"/>
  <c r="DX54" i="15" s="1"/>
  <c r="DX30" i="15"/>
  <c r="DX43" i="15" s="1"/>
  <c r="DW43" i="15"/>
  <c r="EZ46" i="15"/>
  <c r="EZ54" i="15" s="1"/>
  <c r="EY54" i="15"/>
  <c r="I64" i="15"/>
  <c r="I67" i="15" s="1"/>
  <c r="H67" i="15"/>
  <c r="GP46" i="15"/>
  <c r="GP54" i="15" s="1"/>
  <c r="GO54" i="15"/>
  <c r="GI9" i="15"/>
  <c r="GI18" i="15" s="1"/>
  <c r="GH18" i="15"/>
  <c r="AJ36" i="15"/>
  <c r="AK36" i="15" s="1"/>
  <c r="AJ13" i="15"/>
  <c r="AK13" i="15" s="1"/>
  <c r="AJ32" i="15"/>
  <c r="AK32" i="15" s="1"/>
  <c r="AJ40" i="15"/>
  <c r="AK40" i="15" s="1"/>
  <c r="AJ33" i="15"/>
  <c r="AK33" i="15" s="1"/>
  <c r="AJ41" i="15"/>
  <c r="AK41" i="15" s="1"/>
  <c r="AJ51" i="15"/>
  <c r="AK51" i="15" s="1"/>
  <c r="AK2" i="15"/>
  <c r="AJ24" i="15"/>
  <c r="AK24" i="15" s="1"/>
  <c r="AJ21" i="15"/>
  <c r="HT21" i="15" s="1"/>
  <c r="HU21" i="15" s="1"/>
  <c r="AJ50" i="15"/>
  <c r="AK50" i="15" s="1"/>
  <c r="AJ15" i="15"/>
  <c r="AK15" i="15" s="1"/>
  <c r="AJ39" i="15"/>
  <c r="AK39" i="15" s="1"/>
  <c r="AJ60" i="15"/>
  <c r="AK60" i="15" s="1"/>
  <c r="AJ25" i="15"/>
  <c r="AK25" i="15" s="1"/>
  <c r="AJ46" i="15"/>
  <c r="HT46" i="15" s="1"/>
  <c r="HU46" i="15" s="1"/>
  <c r="AJ49" i="15"/>
  <c r="AK49" i="15" s="1"/>
  <c r="AJ42" i="15"/>
  <c r="AK42" i="15" s="1"/>
  <c r="AJ57" i="15"/>
  <c r="HT57" i="15" s="1"/>
  <c r="HU57" i="15" s="1"/>
  <c r="AJ59" i="15"/>
  <c r="AK59" i="15" s="1"/>
  <c r="AJ65" i="15"/>
  <c r="AK65" i="15" s="1"/>
  <c r="AJ66" i="15"/>
  <c r="AK66" i="15" s="1"/>
  <c r="AJ17" i="15"/>
  <c r="AK17" i="15" s="1"/>
  <c r="AJ31" i="15"/>
  <c r="AK31" i="15" s="1"/>
  <c r="AJ53" i="15"/>
  <c r="AK53" i="15" s="1"/>
  <c r="AJ47" i="15"/>
  <c r="AK47" i="15" s="1"/>
  <c r="AJ12" i="15"/>
  <c r="AK12" i="15" s="1"/>
  <c r="AJ52" i="15"/>
  <c r="AK52" i="15" s="1"/>
  <c r="AJ35" i="15"/>
  <c r="AK35" i="15" s="1"/>
  <c r="AJ38" i="15"/>
  <c r="AK38" i="15" s="1"/>
  <c r="AJ64" i="15"/>
  <c r="HT64" i="15" s="1"/>
  <c r="HU64" i="15" s="1"/>
  <c r="AJ30" i="15"/>
  <c r="HT30" i="15" s="1"/>
  <c r="HU30" i="15" s="1"/>
  <c r="AJ14" i="15"/>
  <c r="AK14" i="15" s="1"/>
  <c r="AJ48" i="15"/>
  <c r="AK48" i="15" s="1"/>
  <c r="AJ23" i="15"/>
  <c r="AK23" i="15" s="1"/>
  <c r="AJ58" i="15"/>
  <c r="AK58" i="15" s="1"/>
  <c r="AJ16" i="15"/>
  <c r="AK16" i="15" s="1"/>
  <c r="AJ11" i="15"/>
  <c r="AK11" i="15" s="1"/>
  <c r="AJ26" i="15"/>
  <c r="AK26" i="15" s="1"/>
  <c r="AJ10" i="15"/>
  <c r="AK10" i="15" s="1"/>
  <c r="AJ34" i="15"/>
  <c r="AK34" i="15" s="1"/>
  <c r="AJ22" i="15"/>
  <c r="AK22" i="15" s="1"/>
  <c r="AJ37" i="15"/>
  <c r="AK37" i="15" s="1"/>
  <c r="AJ9" i="15"/>
  <c r="HT9" i="15" s="1"/>
  <c r="HU9" i="15" s="1"/>
  <c r="CA30" i="15"/>
  <c r="CA43" i="15" s="1"/>
  <c r="BZ43" i="15"/>
  <c r="BZ18" i="15"/>
  <c r="CA9" i="15"/>
  <c r="CA18" i="15" s="1"/>
  <c r="AD9" i="15"/>
  <c r="AD18" i="15" s="1"/>
  <c r="AC18" i="15"/>
  <c r="AD64" i="15"/>
  <c r="AD67" i="15" s="1"/>
  <c r="AC67" i="15"/>
  <c r="EZ57" i="15"/>
  <c r="EZ61" i="15" s="1"/>
  <c r="EY61" i="15"/>
  <c r="FM43" i="15"/>
  <c r="FN43" i="15"/>
  <c r="FM61" i="15"/>
  <c r="FN61" i="15"/>
  <c r="W30" i="15"/>
  <c r="W43" i="15" s="1"/>
  <c r="V43" i="15"/>
  <c r="P27" i="15"/>
  <c r="O27" i="15"/>
  <c r="O61" i="15"/>
  <c r="P61" i="15"/>
  <c r="GP64" i="15"/>
  <c r="GP67" i="15" s="1"/>
  <c r="GO67" i="15"/>
  <c r="GP43" i="15"/>
  <c r="GO43" i="15"/>
  <c r="CA64" i="15"/>
  <c r="CA67" i="15" s="1"/>
  <c r="BZ67" i="15"/>
  <c r="GI46" i="15"/>
  <c r="GI54" i="15" s="1"/>
  <c r="GH54" i="15"/>
  <c r="DX57" i="15"/>
  <c r="DX61" i="15" s="1"/>
  <c r="DW61" i="15"/>
  <c r="AD30" i="15"/>
  <c r="AD43" i="15" s="1"/>
  <c r="AC43" i="15"/>
  <c r="EZ9" i="15"/>
  <c r="EZ18" i="15" s="1"/>
  <c r="EY18" i="15"/>
  <c r="FN54" i="15"/>
  <c r="FM54" i="15"/>
  <c r="DJ30" i="15"/>
  <c r="DJ43" i="15" s="1"/>
  <c r="DI43" i="15"/>
  <c r="FG21" i="15"/>
  <c r="FG27" i="15" s="1"/>
  <c r="FF27" i="15"/>
  <c r="I46" i="15"/>
  <c r="H54" i="15"/>
  <c r="P54" i="15"/>
  <c r="O54" i="15"/>
  <c r="GP21" i="15"/>
  <c r="GP27" i="15" s="1"/>
  <c r="GO27" i="15"/>
  <c r="GO18" i="15"/>
  <c r="GP9" i="15"/>
  <c r="GP18" i="15" s="1"/>
  <c r="CA46" i="15"/>
  <c r="CA54" i="15" s="1"/>
  <c r="BZ54" i="15"/>
  <c r="GI30" i="15"/>
  <c r="GI43" i="15" s="1"/>
  <c r="GH43" i="15"/>
  <c r="GI21" i="15"/>
  <c r="GI27" i="15" s="1"/>
  <c r="GH27" i="15"/>
  <c r="DX21" i="15"/>
  <c r="DX27" i="15" s="1"/>
  <c r="DW27" i="15"/>
  <c r="EZ21" i="15"/>
  <c r="EZ27" i="15" s="1"/>
  <c r="EY27" i="15"/>
  <c r="DJ46" i="15"/>
  <c r="DJ54" i="15" s="1"/>
  <c r="DI54" i="15"/>
  <c r="DJ21" i="15"/>
  <c r="DJ27" i="15" s="1"/>
  <c r="DI27" i="15"/>
  <c r="W64" i="15"/>
  <c r="W67" i="15" s="1"/>
  <c r="V67" i="15"/>
  <c r="W21" i="15"/>
  <c r="W27" i="15" s="1"/>
  <c r="V27" i="15"/>
  <c r="FG9" i="15"/>
  <c r="FG18" i="15" s="1"/>
  <c r="FF18" i="15"/>
  <c r="FG57" i="15"/>
  <c r="FG61" i="15" s="1"/>
  <c r="FF61" i="15"/>
  <c r="I57" i="15"/>
  <c r="I61" i="15" s="1"/>
  <c r="H61" i="15"/>
  <c r="O43" i="15"/>
  <c r="P43" i="15"/>
  <c r="Q47" i="4"/>
  <c r="R47" i="4"/>
  <c r="DV6" i="2"/>
  <c r="DS67" i="2"/>
  <c r="DT66" i="2"/>
  <c r="DT65" i="2"/>
  <c r="DU65" i="2" s="1"/>
  <c r="DT64" i="2"/>
  <c r="DS61" i="2"/>
  <c r="DT60" i="2"/>
  <c r="DU60" i="2" s="1"/>
  <c r="DT59" i="2"/>
  <c r="DT58" i="2"/>
  <c r="DT57" i="2"/>
  <c r="DS54" i="2"/>
  <c r="DT53" i="2"/>
  <c r="DU53" i="2" s="1"/>
  <c r="DT52" i="2"/>
  <c r="DT51" i="2"/>
  <c r="DT50" i="2"/>
  <c r="DT49" i="2"/>
  <c r="DU49" i="2" s="1"/>
  <c r="DT48" i="2"/>
  <c r="DT47" i="2"/>
  <c r="DT46" i="2"/>
  <c r="DS43" i="2"/>
  <c r="DT42" i="2"/>
  <c r="DT41" i="2"/>
  <c r="DT39" i="2"/>
  <c r="DT38" i="2"/>
  <c r="DU38" i="2" s="1"/>
  <c r="DT37" i="2"/>
  <c r="DT36" i="2"/>
  <c r="DT35" i="2"/>
  <c r="DT34" i="2"/>
  <c r="DT33" i="2"/>
  <c r="DT32" i="2"/>
  <c r="DT31" i="2"/>
  <c r="DT30" i="2"/>
  <c r="DU30" i="2" s="1"/>
  <c r="DS27" i="2"/>
  <c r="DT26" i="2"/>
  <c r="DT25" i="2"/>
  <c r="DT24" i="2"/>
  <c r="DT23" i="2"/>
  <c r="DT22" i="2"/>
  <c r="DT21" i="2"/>
  <c r="DS18" i="2"/>
  <c r="DT17" i="2"/>
  <c r="DT16" i="2"/>
  <c r="DT15" i="2"/>
  <c r="DT14" i="2"/>
  <c r="DT13" i="2"/>
  <c r="DT12" i="2"/>
  <c r="DT11" i="2"/>
  <c r="DT10" i="2"/>
  <c r="DU10" i="2" s="1"/>
  <c r="DT9" i="2"/>
  <c r="DT2" i="2"/>
  <c r="DU40" i="2" s="1"/>
  <c r="CM6" i="2"/>
  <c r="CJ67" i="2"/>
  <c r="CK66" i="2"/>
  <c r="CK65" i="2"/>
  <c r="CL65" i="2" s="1"/>
  <c r="CK64" i="2"/>
  <c r="CJ61" i="2"/>
  <c r="CK60" i="2"/>
  <c r="CK59" i="2"/>
  <c r="CK58" i="2"/>
  <c r="CK57" i="2"/>
  <c r="CJ54" i="2"/>
  <c r="CK53" i="2"/>
  <c r="CK52" i="2"/>
  <c r="CK51" i="2"/>
  <c r="CK50" i="2"/>
  <c r="CK49" i="2"/>
  <c r="CK48" i="2"/>
  <c r="CK47" i="2"/>
  <c r="CK46" i="2"/>
  <c r="CJ43" i="2"/>
  <c r="CK42" i="2"/>
  <c r="CK41" i="2"/>
  <c r="CK39" i="2"/>
  <c r="CK38" i="2"/>
  <c r="CK37" i="2"/>
  <c r="CK36" i="2"/>
  <c r="CK35" i="2"/>
  <c r="CK34" i="2"/>
  <c r="CK33" i="2"/>
  <c r="CK32" i="2"/>
  <c r="CK31" i="2"/>
  <c r="CK30" i="2"/>
  <c r="CJ27" i="2"/>
  <c r="CK26" i="2"/>
  <c r="CK25" i="2"/>
  <c r="CK24" i="2"/>
  <c r="CK23" i="2"/>
  <c r="CK22" i="2"/>
  <c r="CK21" i="2"/>
  <c r="CJ18" i="2"/>
  <c r="CK17" i="2"/>
  <c r="CK16" i="2"/>
  <c r="CK15" i="2"/>
  <c r="CK14" i="2"/>
  <c r="CK13" i="2"/>
  <c r="CK12" i="2"/>
  <c r="CK11" i="2"/>
  <c r="CK10" i="2"/>
  <c r="CK9" i="2"/>
  <c r="CK2" i="2"/>
  <c r="CL40" i="2" s="1"/>
  <c r="BK6" i="2"/>
  <c r="AW6" i="2"/>
  <c r="BH67" i="2"/>
  <c r="BI66" i="2"/>
  <c r="BI65" i="2"/>
  <c r="BI64" i="2"/>
  <c r="BH61" i="2"/>
  <c r="BI60" i="2"/>
  <c r="BI59" i="2"/>
  <c r="BI58" i="2"/>
  <c r="BI57" i="2"/>
  <c r="BH54" i="2"/>
  <c r="BI53" i="2"/>
  <c r="BI52" i="2"/>
  <c r="BI51" i="2"/>
  <c r="BI50" i="2"/>
  <c r="BI49" i="2"/>
  <c r="BI48" i="2"/>
  <c r="BI47" i="2"/>
  <c r="BI46" i="2"/>
  <c r="BH43" i="2"/>
  <c r="BI42" i="2"/>
  <c r="BI41" i="2"/>
  <c r="BI39" i="2"/>
  <c r="BI38" i="2"/>
  <c r="BI37" i="2"/>
  <c r="BI36" i="2"/>
  <c r="BI35" i="2"/>
  <c r="BI34" i="2"/>
  <c r="BI33" i="2"/>
  <c r="BI32" i="2"/>
  <c r="BI31" i="2"/>
  <c r="BI30" i="2"/>
  <c r="BH27" i="2"/>
  <c r="BI26" i="2"/>
  <c r="BI25" i="2"/>
  <c r="BI24" i="2"/>
  <c r="BI23" i="2"/>
  <c r="BI22" i="2"/>
  <c r="BI21" i="2"/>
  <c r="BH18" i="2"/>
  <c r="BI17" i="2"/>
  <c r="BI16" i="2"/>
  <c r="BI15" i="2"/>
  <c r="BI14" i="2"/>
  <c r="BI13" i="2"/>
  <c r="BI12" i="2"/>
  <c r="BI11" i="2"/>
  <c r="BI10" i="2"/>
  <c r="BI9" i="2"/>
  <c r="BI2" i="2"/>
  <c r="BJ40" i="2" s="1"/>
  <c r="AT67" i="2"/>
  <c r="AU66" i="2"/>
  <c r="AU65" i="2"/>
  <c r="AU64" i="2"/>
  <c r="AT61" i="2"/>
  <c r="AU60" i="2"/>
  <c r="AU59" i="2"/>
  <c r="AU58" i="2"/>
  <c r="AU57" i="2"/>
  <c r="AT54" i="2"/>
  <c r="AU53" i="2"/>
  <c r="AU52" i="2"/>
  <c r="AU51" i="2"/>
  <c r="AU50" i="2"/>
  <c r="AU49" i="2"/>
  <c r="AU48" i="2"/>
  <c r="AU47" i="2"/>
  <c r="AU46" i="2"/>
  <c r="AT43" i="2"/>
  <c r="AU42" i="2"/>
  <c r="AU41" i="2"/>
  <c r="AV41" i="2" s="1"/>
  <c r="AU39" i="2"/>
  <c r="AV39" i="2" s="1"/>
  <c r="AU38" i="2"/>
  <c r="AU37" i="2"/>
  <c r="AU36" i="2"/>
  <c r="AU35" i="2"/>
  <c r="AU34" i="2"/>
  <c r="AU33" i="2"/>
  <c r="AU32" i="2"/>
  <c r="AU31" i="2"/>
  <c r="AV31" i="2" s="1"/>
  <c r="AU30" i="2"/>
  <c r="AT27" i="2"/>
  <c r="AU26" i="2"/>
  <c r="AU25" i="2"/>
  <c r="AU24" i="2"/>
  <c r="AU23" i="2"/>
  <c r="AU22" i="2"/>
  <c r="AU21" i="2"/>
  <c r="AT18" i="2"/>
  <c r="AU17" i="2"/>
  <c r="AU16" i="2"/>
  <c r="AU15" i="2"/>
  <c r="AU14" i="2"/>
  <c r="AU13" i="2"/>
  <c r="AU12" i="2"/>
  <c r="AU11" i="2"/>
  <c r="AV11" i="2" s="1"/>
  <c r="AU10" i="2"/>
  <c r="AU9" i="2"/>
  <c r="AU2" i="2"/>
  <c r="AV40" i="2" s="1"/>
  <c r="GG6" i="2"/>
  <c r="GD67" i="2"/>
  <c r="GE66" i="2"/>
  <c r="GE65" i="2"/>
  <c r="GE64" i="2"/>
  <c r="GD61" i="2"/>
  <c r="GE60" i="2"/>
  <c r="GE59" i="2"/>
  <c r="GE58" i="2"/>
  <c r="GE57" i="2"/>
  <c r="GD54" i="2"/>
  <c r="GE53" i="2"/>
  <c r="GE52" i="2"/>
  <c r="GE51" i="2"/>
  <c r="GE50" i="2"/>
  <c r="GE49" i="2"/>
  <c r="GE48" i="2"/>
  <c r="GE47" i="2"/>
  <c r="GE46" i="2"/>
  <c r="GD43" i="2"/>
  <c r="GE42" i="2"/>
  <c r="GE41" i="2"/>
  <c r="GE39" i="2"/>
  <c r="GE38" i="2"/>
  <c r="GE37" i="2"/>
  <c r="GE36" i="2"/>
  <c r="GE35" i="2"/>
  <c r="GE34" i="2"/>
  <c r="GE33" i="2"/>
  <c r="GE32" i="2"/>
  <c r="GE31" i="2"/>
  <c r="GE30" i="2"/>
  <c r="GD27" i="2"/>
  <c r="GE26" i="2"/>
  <c r="GE25" i="2"/>
  <c r="GE24" i="2"/>
  <c r="GE23" i="2"/>
  <c r="GE22" i="2"/>
  <c r="GE21" i="2"/>
  <c r="GD18" i="2"/>
  <c r="GE17" i="2"/>
  <c r="GE16" i="2"/>
  <c r="GE15" i="2"/>
  <c r="GE14" i="2"/>
  <c r="GE13" i="2"/>
  <c r="GE12" i="2"/>
  <c r="GE11" i="2"/>
  <c r="GE10" i="2"/>
  <c r="GE9" i="2"/>
  <c r="GE2" i="2"/>
  <c r="GF40" i="2" s="1"/>
  <c r="I39" i="4"/>
  <c r="H42" i="4"/>
  <c r="I28" i="4"/>
  <c r="I22" i="4"/>
  <c r="I15" i="4"/>
  <c r="I13" i="4"/>
  <c r="HT33" i="15" l="1"/>
  <c r="HU33" i="15" s="1"/>
  <c r="HT12" i="15"/>
  <c r="HU12" i="15" s="1"/>
  <c r="HT32" i="15"/>
  <c r="HU32" i="15" s="1"/>
  <c r="HT42" i="15"/>
  <c r="HU42" i="15" s="1"/>
  <c r="HT65" i="15"/>
  <c r="HU65" i="15" s="1"/>
  <c r="HT60" i="15"/>
  <c r="HU60" i="15" s="1"/>
  <c r="HT11" i="15"/>
  <c r="HU11" i="15" s="1"/>
  <c r="HT47" i="15"/>
  <c r="HU47" i="15" s="1"/>
  <c r="HT48" i="15"/>
  <c r="HU48" i="15" s="1"/>
  <c r="I18" i="15"/>
  <c r="HT58" i="15"/>
  <c r="HU58" i="15" s="1"/>
  <c r="HT39" i="15"/>
  <c r="HU39" i="15" s="1"/>
  <c r="HT23" i="15"/>
  <c r="HU23" i="15" s="1"/>
  <c r="HT37" i="15"/>
  <c r="HU37" i="15" s="1"/>
  <c r="HT16" i="15"/>
  <c r="HU16" i="15" s="1"/>
  <c r="HT22" i="15"/>
  <c r="HU22" i="15" s="1"/>
  <c r="HT38" i="15"/>
  <c r="HU38" i="15" s="1"/>
  <c r="HT50" i="15"/>
  <c r="HU50" i="15" s="1"/>
  <c r="HT35" i="15"/>
  <c r="HU35" i="15" s="1"/>
  <c r="HT41" i="15"/>
  <c r="HU41" i="15" s="1"/>
  <c r="I54" i="15"/>
  <c r="I43" i="15"/>
  <c r="HT13" i="15"/>
  <c r="HU13" i="15" s="1"/>
  <c r="HT31" i="15"/>
  <c r="HU31" i="15" s="1"/>
  <c r="HT26" i="15"/>
  <c r="HU26" i="15" s="1"/>
  <c r="HT15" i="15"/>
  <c r="HU15" i="15" s="1"/>
  <c r="HT51" i="15"/>
  <c r="HU51" i="15" s="1"/>
  <c r="HT17" i="15"/>
  <c r="HU17" i="15" s="1"/>
  <c r="HT25" i="15"/>
  <c r="HU25" i="15" s="1"/>
  <c r="HT40" i="15"/>
  <c r="HU40" i="15" s="1"/>
  <c r="HT10" i="15"/>
  <c r="HU10" i="15" s="1"/>
  <c r="CH70" i="15"/>
  <c r="CH3" i="15" s="1"/>
  <c r="CH4" i="15" s="1"/>
  <c r="CG70" i="15"/>
  <c r="CG3" i="15" s="1"/>
  <c r="CG4" i="15" s="1"/>
  <c r="HQ70" i="15"/>
  <c r="HQ3" i="15" s="1"/>
  <c r="V45" i="4" s="1"/>
  <c r="DP70" i="15"/>
  <c r="DP3" i="15" s="1"/>
  <c r="GV70" i="15"/>
  <c r="GV3" i="15" s="1"/>
  <c r="DQ70" i="15"/>
  <c r="DQ3" i="15" s="1"/>
  <c r="DQ4" i="15" s="1"/>
  <c r="GW70" i="15"/>
  <c r="GW3" i="15" s="1"/>
  <c r="GW4" i="15" s="1"/>
  <c r="HR70" i="15"/>
  <c r="HR3" i="15" s="1"/>
  <c r="HR4" i="15" s="1"/>
  <c r="CN70" i="15"/>
  <c r="CN3" i="15" s="1"/>
  <c r="CO70" i="15"/>
  <c r="CO3" i="15" s="1"/>
  <c r="CO4" i="15" s="1"/>
  <c r="HC70" i="15"/>
  <c r="HC3" i="15" s="1"/>
  <c r="HD70" i="15"/>
  <c r="HD3" i="15" s="1"/>
  <c r="HD4" i="15" s="1"/>
  <c r="GA27" i="15"/>
  <c r="GB27" i="15"/>
  <c r="GA61" i="15"/>
  <c r="GB61" i="15"/>
  <c r="GB43" i="15"/>
  <c r="GA43" i="15"/>
  <c r="GA18" i="15"/>
  <c r="GB9" i="15"/>
  <c r="GB18" i="15" s="1"/>
  <c r="GA54" i="15"/>
  <c r="GB54" i="15"/>
  <c r="GB67" i="15"/>
  <c r="GA67" i="15"/>
  <c r="ED70" i="15"/>
  <c r="ED3" i="15" s="1"/>
  <c r="EE70" i="15"/>
  <c r="EE3" i="15" s="1"/>
  <c r="EE4" i="15" s="1"/>
  <c r="FU70" i="15"/>
  <c r="FU3" i="15" s="1"/>
  <c r="FU4" i="15" s="1"/>
  <c r="FT70" i="15"/>
  <c r="FT3" i="15" s="1"/>
  <c r="FT4" i="15" s="1"/>
  <c r="AR70" i="15"/>
  <c r="AR3" i="15" s="1"/>
  <c r="AR4" i="15" s="1"/>
  <c r="AQ70" i="15"/>
  <c r="AQ3" i="15" s="1"/>
  <c r="ER70" i="15"/>
  <c r="ER3" i="15" s="1"/>
  <c r="V27" i="4" s="1"/>
  <c r="ES70" i="15"/>
  <c r="ES3" i="15" s="1"/>
  <c r="ES4" i="15" s="1"/>
  <c r="AD70" i="15"/>
  <c r="AD3" i="15" s="1"/>
  <c r="AD4" i="15" s="1"/>
  <c r="FN70" i="15"/>
  <c r="FN3" i="15" s="1"/>
  <c r="FN4" i="15" s="1"/>
  <c r="P70" i="15"/>
  <c r="P3" i="15" s="1"/>
  <c r="P4" i="15" s="1"/>
  <c r="AK9" i="15"/>
  <c r="AK18" i="15" s="1"/>
  <c r="AJ18" i="15"/>
  <c r="HT18" i="15" s="1"/>
  <c r="GO70" i="15"/>
  <c r="GO3" i="15" s="1"/>
  <c r="AK57" i="15"/>
  <c r="AK61" i="15" s="1"/>
  <c r="AJ61" i="15"/>
  <c r="HT61" i="15" s="1"/>
  <c r="HU61" i="15" s="1"/>
  <c r="GP70" i="15"/>
  <c r="GP3" i="15" s="1"/>
  <c r="GP4" i="15" s="1"/>
  <c r="DW70" i="15"/>
  <c r="DW3" i="15" s="1"/>
  <c r="FM70" i="15"/>
  <c r="FM3" i="15" s="1"/>
  <c r="DJ70" i="15"/>
  <c r="DJ3" i="15" s="1"/>
  <c r="DJ4" i="15" s="1"/>
  <c r="EZ70" i="15"/>
  <c r="EZ3" i="15" s="1"/>
  <c r="EZ4" i="15" s="1"/>
  <c r="AK21" i="15"/>
  <c r="AK27" i="15" s="1"/>
  <c r="AJ27" i="15"/>
  <c r="HT27" i="15" s="1"/>
  <c r="HU27" i="15" s="1"/>
  <c r="DX70" i="15"/>
  <c r="DX3" i="15" s="1"/>
  <c r="DX4" i="15" s="1"/>
  <c r="DI70" i="15"/>
  <c r="DI3" i="15" s="1"/>
  <c r="H70" i="15"/>
  <c r="FF70" i="15"/>
  <c r="FF3" i="15" s="1"/>
  <c r="CA70" i="15"/>
  <c r="CA3" i="15" s="1"/>
  <c r="CA4" i="15" s="1"/>
  <c r="AK30" i="15"/>
  <c r="AK43" i="15" s="1"/>
  <c r="AJ43" i="15"/>
  <c r="AK46" i="15"/>
  <c r="AK54" i="15" s="1"/>
  <c r="AJ54" i="15"/>
  <c r="HT54" i="15" s="1"/>
  <c r="HU54" i="15" s="1"/>
  <c r="GH70" i="15"/>
  <c r="GH3" i="15" s="1"/>
  <c r="FG70" i="15"/>
  <c r="FG3" i="15" s="1"/>
  <c r="FG4" i="15" s="1"/>
  <c r="BZ70" i="15"/>
  <c r="BZ3" i="15" s="1"/>
  <c r="AJ67" i="15"/>
  <c r="HT67" i="15" s="1"/>
  <c r="HU67" i="15" s="1"/>
  <c r="AK64" i="15"/>
  <c r="AK67" i="15" s="1"/>
  <c r="GI70" i="15"/>
  <c r="GI3" i="15" s="1"/>
  <c r="GI4" i="15" s="1"/>
  <c r="W70" i="15"/>
  <c r="W3" i="15" s="1"/>
  <c r="W4" i="15" s="1"/>
  <c r="EY70" i="15"/>
  <c r="EY3" i="15" s="1"/>
  <c r="AC70" i="15"/>
  <c r="AC3" i="15" s="1"/>
  <c r="V70" i="15"/>
  <c r="V3" i="15" s="1"/>
  <c r="O70" i="15"/>
  <c r="O3" i="15" s="1"/>
  <c r="GH2" i="2"/>
  <c r="GH38" i="2" s="1"/>
  <c r="GI38" i="2" s="1"/>
  <c r="CN2" i="2"/>
  <c r="CN9" i="2" s="1"/>
  <c r="CO9" i="2" s="1"/>
  <c r="AX2" i="2"/>
  <c r="AX38" i="2" s="1"/>
  <c r="AY38" i="2" s="1"/>
  <c r="DW2" i="2"/>
  <c r="DW38" i="2" s="1"/>
  <c r="DX38" i="2" s="1"/>
  <c r="BL2" i="2"/>
  <c r="BL30" i="2" s="1"/>
  <c r="BM30" i="2" s="1"/>
  <c r="DU41" i="2"/>
  <c r="DU51" i="2"/>
  <c r="AV53" i="2"/>
  <c r="CL47" i="2"/>
  <c r="CK61" i="2"/>
  <c r="DU13" i="2"/>
  <c r="AV57" i="2"/>
  <c r="DU15" i="2"/>
  <c r="DU25" i="2"/>
  <c r="DU35" i="2"/>
  <c r="AV48" i="2"/>
  <c r="DU47" i="2"/>
  <c r="DT61" i="2"/>
  <c r="AV49" i="2"/>
  <c r="DU58" i="2"/>
  <c r="GE67" i="2"/>
  <c r="CL13" i="2"/>
  <c r="CL23" i="2"/>
  <c r="CL33" i="2"/>
  <c r="CL42" i="2"/>
  <c r="CL51" i="2"/>
  <c r="AV64" i="2"/>
  <c r="CL14" i="2"/>
  <c r="CL24" i="2"/>
  <c r="CL34" i="2"/>
  <c r="AV47" i="2"/>
  <c r="AV65" i="2"/>
  <c r="BJ41" i="2"/>
  <c r="CL15" i="2"/>
  <c r="CL25" i="2"/>
  <c r="CL35" i="2"/>
  <c r="CL53" i="2"/>
  <c r="CL64" i="2"/>
  <c r="DU64" i="2"/>
  <c r="CL57" i="2"/>
  <c r="CL10" i="2"/>
  <c r="CL30" i="2"/>
  <c r="CL38" i="2"/>
  <c r="CL58" i="2"/>
  <c r="GE61" i="2"/>
  <c r="AV13" i="2"/>
  <c r="AV23" i="2"/>
  <c r="AV33" i="2"/>
  <c r="AV59" i="2"/>
  <c r="CL49" i="2"/>
  <c r="CL59" i="2"/>
  <c r="BJ10" i="2"/>
  <c r="BH70" i="2"/>
  <c r="BH3" i="2" s="1"/>
  <c r="BH4" i="2" s="1"/>
  <c r="BJ37" i="2"/>
  <c r="BJ48" i="2"/>
  <c r="BJ58" i="2"/>
  <c r="CL12" i="2"/>
  <c r="CL22" i="2"/>
  <c r="CL32" i="2"/>
  <c r="CL41" i="2"/>
  <c r="CL50" i="2"/>
  <c r="CL60" i="2"/>
  <c r="CK67" i="2"/>
  <c r="DU23" i="2"/>
  <c r="DU33" i="2"/>
  <c r="DU59" i="2"/>
  <c r="DT67" i="2"/>
  <c r="GF26" i="2"/>
  <c r="GF14" i="2"/>
  <c r="GF24" i="2"/>
  <c r="GF34" i="2"/>
  <c r="GF53" i="2"/>
  <c r="AU27" i="2"/>
  <c r="BJ16" i="2"/>
  <c r="BJ25" i="2"/>
  <c r="BJ35" i="2"/>
  <c r="BI54" i="2"/>
  <c r="BJ66" i="2"/>
  <c r="CJ70" i="2"/>
  <c r="CJ3" i="2" s="1"/>
  <c r="CJ4" i="2" s="1"/>
  <c r="GF15" i="2"/>
  <c r="GF25" i="2"/>
  <c r="GF35" i="2"/>
  <c r="GE54" i="2"/>
  <c r="GF66" i="2"/>
  <c r="AV12" i="2"/>
  <c r="AV22" i="2"/>
  <c r="AV32" i="2"/>
  <c r="AU61" i="2"/>
  <c r="BI18" i="2"/>
  <c r="BJ17" i="2"/>
  <c r="BJ26" i="2"/>
  <c r="BJ36" i="2"/>
  <c r="BJ47" i="2"/>
  <c r="BI61" i="2"/>
  <c r="CL11" i="2"/>
  <c r="CK27" i="2"/>
  <c r="CK43" i="2"/>
  <c r="CL39" i="2"/>
  <c r="CL48" i="2"/>
  <c r="DU14" i="2"/>
  <c r="DU24" i="2"/>
  <c r="DU34" i="2"/>
  <c r="DU42" i="2"/>
  <c r="DU50" i="2"/>
  <c r="DU57" i="2"/>
  <c r="GF36" i="2"/>
  <c r="GF17" i="2"/>
  <c r="GF37" i="2"/>
  <c r="GF48" i="2"/>
  <c r="GF58" i="2"/>
  <c r="AV14" i="2"/>
  <c r="AV24" i="2"/>
  <c r="AV34" i="2"/>
  <c r="AV42" i="2"/>
  <c r="AV50" i="2"/>
  <c r="BJ11" i="2"/>
  <c r="BI27" i="2"/>
  <c r="BJ30" i="2"/>
  <c r="BJ38" i="2"/>
  <c r="BJ49" i="2"/>
  <c r="BJ59" i="2"/>
  <c r="DU16" i="2"/>
  <c r="DU26" i="2"/>
  <c r="DU36" i="2"/>
  <c r="DT54" i="2"/>
  <c r="DU66" i="2"/>
  <c r="GF16" i="2"/>
  <c r="GD70" i="2"/>
  <c r="GD3" i="2" s="1"/>
  <c r="GD4" i="2" s="1"/>
  <c r="GF30" i="2"/>
  <c r="GF38" i="2"/>
  <c r="GF49" i="2"/>
  <c r="GF59" i="2"/>
  <c r="AV15" i="2"/>
  <c r="AV25" i="2"/>
  <c r="AV35" i="2"/>
  <c r="AV58" i="2"/>
  <c r="BJ12" i="2"/>
  <c r="BJ22" i="2"/>
  <c r="BJ31" i="2"/>
  <c r="BJ39" i="2"/>
  <c r="BJ50" i="2"/>
  <c r="BJ60" i="2"/>
  <c r="DT18" i="2"/>
  <c r="DU17" i="2"/>
  <c r="DU37" i="2"/>
  <c r="DU52" i="2"/>
  <c r="GF47" i="2"/>
  <c r="GF31" i="2"/>
  <c r="GE18" i="2"/>
  <c r="GE27" i="2"/>
  <c r="GF50" i="2"/>
  <c r="GF60" i="2"/>
  <c r="AV16" i="2"/>
  <c r="AU54" i="2"/>
  <c r="BJ51" i="2"/>
  <c r="DS70" i="2"/>
  <c r="DS3" i="2" s="1"/>
  <c r="DS4" i="2" s="1"/>
  <c r="GF22" i="2"/>
  <c r="GF51" i="2"/>
  <c r="AU18" i="2"/>
  <c r="AV17" i="2"/>
  <c r="AV37" i="2"/>
  <c r="AV52" i="2"/>
  <c r="BJ14" i="2"/>
  <c r="BJ23" i="2"/>
  <c r="BJ33" i="2"/>
  <c r="BJ42" i="2"/>
  <c r="BJ52" i="2"/>
  <c r="BJ64" i="2"/>
  <c r="CL16" i="2"/>
  <c r="CL26" i="2"/>
  <c r="CL36" i="2"/>
  <c r="CK54" i="2"/>
  <c r="CL66" i="2"/>
  <c r="DU11" i="2"/>
  <c r="DT27" i="2"/>
  <c r="DT43" i="2"/>
  <c r="DU39" i="2"/>
  <c r="DU48" i="2"/>
  <c r="GF10" i="2"/>
  <c r="GF11" i="2"/>
  <c r="GF39" i="2"/>
  <c r="AV26" i="2"/>
  <c r="AV36" i="2"/>
  <c r="AV51" i="2"/>
  <c r="AV66" i="2"/>
  <c r="BJ13" i="2"/>
  <c r="BJ32" i="2"/>
  <c r="GF12" i="2"/>
  <c r="GF32" i="2"/>
  <c r="GF41" i="2"/>
  <c r="GF13" i="2"/>
  <c r="GF23" i="2"/>
  <c r="GF33" i="2"/>
  <c r="GF42" i="2"/>
  <c r="GF52" i="2"/>
  <c r="GF64" i="2"/>
  <c r="AV10" i="2"/>
  <c r="AT70" i="2"/>
  <c r="AT3" i="2" s="1"/>
  <c r="AT4" i="2" s="1"/>
  <c r="AV30" i="2"/>
  <c r="AV38" i="2"/>
  <c r="AV60" i="2"/>
  <c r="AU67" i="2"/>
  <c r="BJ15" i="2"/>
  <c r="BJ24" i="2"/>
  <c r="BJ34" i="2"/>
  <c r="BJ53" i="2"/>
  <c r="BI67" i="2"/>
  <c r="CK18" i="2"/>
  <c r="CL17" i="2"/>
  <c r="CL37" i="2"/>
  <c r="CL52" i="2"/>
  <c r="DU12" i="2"/>
  <c r="DU22" i="2"/>
  <c r="DU32" i="2"/>
  <c r="DU9" i="2"/>
  <c r="DU21" i="2"/>
  <c r="DU31" i="2"/>
  <c r="DU46" i="2"/>
  <c r="CL9" i="2"/>
  <c r="CL21" i="2"/>
  <c r="CL31" i="2"/>
  <c r="CL46" i="2"/>
  <c r="BI43" i="2"/>
  <c r="BJ57" i="2"/>
  <c r="BJ65" i="2"/>
  <c r="BJ9" i="2"/>
  <c r="BJ21" i="2"/>
  <c r="BJ46" i="2"/>
  <c r="AU43" i="2"/>
  <c r="AV9" i="2"/>
  <c r="AV21" i="2"/>
  <c r="AV46" i="2"/>
  <c r="GE43" i="2"/>
  <c r="GF57" i="2"/>
  <c r="GF65" i="2"/>
  <c r="GF9" i="2"/>
  <c r="GF21" i="2"/>
  <c r="GF46" i="2"/>
  <c r="EG67" i="2"/>
  <c r="EH66" i="2"/>
  <c r="EH65" i="2"/>
  <c r="EI65" i="2" s="1"/>
  <c r="EH64" i="2"/>
  <c r="EG61" i="2"/>
  <c r="EH60" i="2"/>
  <c r="EI60" i="2" s="1"/>
  <c r="EH59" i="2"/>
  <c r="EH58" i="2"/>
  <c r="EH57" i="2"/>
  <c r="EG54" i="2"/>
  <c r="EH53" i="2"/>
  <c r="EH52" i="2"/>
  <c r="EH51" i="2"/>
  <c r="EH50" i="2"/>
  <c r="EH49" i="2"/>
  <c r="EH48" i="2"/>
  <c r="EH47" i="2"/>
  <c r="EH46" i="2"/>
  <c r="EG43" i="2"/>
  <c r="EH42" i="2"/>
  <c r="EH41" i="2"/>
  <c r="EH40" i="2"/>
  <c r="EH39" i="2"/>
  <c r="EH38" i="2"/>
  <c r="EH37" i="2"/>
  <c r="EH36" i="2"/>
  <c r="EH35" i="2"/>
  <c r="EI35" i="2" s="1"/>
  <c r="EH34" i="2"/>
  <c r="EH33" i="2"/>
  <c r="EH32" i="2"/>
  <c r="EH31" i="2"/>
  <c r="EI31" i="2" s="1"/>
  <c r="EH30" i="2"/>
  <c r="EG27" i="2"/>
  <c r="EH26" i="2"/>
  <c r="EH25" i="2"/>
  <c r="EI25" i="2" s="1"/>
  <c r="EH24" i="2"/>
  <c r="EH23" i="2"/>
  <c r="EH22" i="2"/>
  <c r="EI22" i="2" s="1"/>
  <c r="EH21" i="2"/>
  <c r="EG18" i="2"/>
  <c r="EH17" i="2"/>
  <c r="EH16" i="2"/>
  <c r="EH15" i="2"/>
  <c r="EI15" i="2" s="1"/>
  <c r="EH14" i="2"/>
  <c r="EH13" i="2"/>
  <c r="EH12" i="2"/>
  <c r="EI12" i="2" s="1"/>
  <c r="EH11" i="2"/>
  <c r="EI11" i="2" s="1"/>
  <c r="EH10" i="2"/>
  <c r="EH9" i="2"/>
  <c r="EH2" i="2"/>
  <c r="I70" i="15" l="1"/>
  <c r="I3" i="15" s="1"/>
  <c r="I4" i="15" s="1"/>
  <c r="HT43" i="15"/>
  <c r="HU43" i="15" s="1"/>
  <c r="HU18" i="15"/>
  <c r="H3" i="15"/>
  <c r="H4" i="15" s="1"/>
  <c r="V19" i="4"/>
  <c r="W19" i="4" s="1"/>
  <c r="HQ4" i="15"/>
  <c r="GV4" i="15"/>
  <c r="V39" i="4"/>
  <c r="DP4" i="15"/>
  <c r="V24" i="4"/>
  <c r="CN4" i="15"/>
  <c r="V20" i="4"/>
  <c r="W20" i="4" s="1"/>
  <c r="HC4" i="15"/>
  <c r="V40" i="4"/>
  <c r="GA70" i="15"/>
  <c r="GA3" i="15" s="1"/>
  <c r="GB70" i="15"/>
  <c r="GB3" i="15" s="1"/>
  <c r="GB4" i="15" s="1"/>
  <c r="ED4" i="15"/>
  <c r="V26" i="4"/>
  <c r="V33" i="4"/>
  <c r="W33" i="4" s="1"/>
  <c r="AQ4" i="15"/>
  <c r="V12" i="4"/>
  <c r="W12" i="4" s="1"/>
  <c r="AX13" i="2"/>
  <c r="AY13" i="2" s="1"/>
  <c r="CN33" i="2"/>
  <c r="CO33" i="2" s="1"/>
  <c r="CN37" i="2"/>
  <c r="CO37" i="2" s="1"/>
  <c r="AX24" i="2"/>
  <c r="AY24" i="2" s="1"/>
  <c r="AX49" i="2"/>
  <c r="AY49" i="2" s="1"/>
  <c r="AX14" i="2"/>
  <c r="AY14" i="2" s="1"/>
  <c r="CN53" i="2"/>
  <c r="CO53" i="2" s="1"/>
  <c r="AX12" i="2"/>
  <c r="AY12" i="2" s="1"/>
  <c r="CN49" i="2"/>
  <c r="CO49" i="2" s="1"/>
  <c r="AX59" i="2"/>
  <c r="AY59" i="2" s="1"/>
  <c r="AX52" i="2"/>
  <c r="AY52" i="2" s="1"/>
  <c r="CN10" i="2"/>
  <c r="CO10" i="2" s="1"/>
  <c r="CN26" i="2"/>
  <c r="CO26" i="2" s="1"/>
  <c r="AX39" i="2"/>
  <c r="AY39" i="2" s="1"/>
  <c r="CN52" i="2"/>
  <c r="CO52" i="2" s="1"/>
  <c r="AX21" i="2"/>
  <c r="AY21" i="2" s="1"/>
  <c r="ER4" i="15"/>
  <c r="W27" i="4"/>
  <c r="CN12" i="2"/>
  <c r="CO12" i="2" s="1"/>
  <c r="CN51" i="2"/>
  <c r="CO51" i="2" s="1"/>
  <c r="CO2" i="2"/>
  <c r="CN35" i="2"/>
  <c r="CO35" i="2" s="1"/>
  <c r="CN41" i="2"/>
  <c r="CO41" i="2" s="1"/>
  <c r="CN36" i="2"/>
  <c r="CO36" i="2" s="1"/>
  <c r="CN50" i="2"/>
  <c r="CO50" i="2" s="1"/>
  <c r="CN17" i="2"/>
  <c r="CO17" i="2" s="1"/>
  <c r="CN32" i="2"/>
  <c r="CO32" i="2" s="1"/>
  <c r="CN48" i="2"/>
  <c r="CO48" i="2" s="1"/>
  <c r="CN15" i="2"/>
  <c r="CO15" i="2" s="1"/>
  <c r="CN30" i="2"/>
  <c r="CO30" i="2" s="1"/>
  <c r="CN42" i="2"/>
  <c r="CO42" i="2" s="1"/>
  <c r="CN13" i="2"/>
  <c r="CO13" i="2" s="1"/>
  <c r="CN38" i="2"/>
  <c r="CO38" i="2" s="1"/>
  <c r="O4" i="15"/>
  <c r="V7" i="4"/>
  <c r="W7" i="4" s="1"/>
  <c r="V10" i="4"/>
  <c r="AC4" i="15"/>
  <c r="EY4" i="15"/>
  <c r="V29" i="4"/>
  <c r="V38" i="4"/>
  <c r="GO4" i="15"/>
  <c r="GH4" i="15"/>
  <c r="V36" i="4"/>
  <c r="BZ4" i="15"/>
  <c r="V18" i="4"/>
  <c r="DI4" i="15"/>
  <c r="V23" i="4"/>
  <c r="FM4" i="15"/>
  <c r="V32" i="4"/>
  <c r="AJ70" i="15"/>
  <c r="AJ3" i="15" s="1"/>
  <c r="V11" i="4" s="1"/>
  <c r="V8" i="4"/>
  <c r="V4" i="15"/>
  <c r="V25" i="4"/>
  <c r="DW4" i="15"/>
  <c r="AK70" i="15"/>
  <c r="AK3" i="15" s="1"/>
  <c r="AK4" i="15" s="1"/>
  <c r="FF4" i="15"/>
  <c r="V31" i="4"/>
  <c r="BL11" i="2"/>
  <c r="BM11" i="2" s="1"/>
  <c r="BL47" i="2"/>
  <c r="BM47" i="2" s="1"/>
  <c r="BL36" i="2"/>
  <c r="BM36" i="2" s="1"/>
  <c r="BL60" i="2"/>
  <c r="BM60" i="2" s="1"/>
  <c r="BL35" i="2"/>
  <c r="BM35" i="2" s="1"/>
  <c r="BL33" i="2"/>
  <c r="BM33" i="2" s="1"/>
  <c r="BL13" i="2"/>
  <c r="BM13" i="2" s="1"/>
  <c r="BM2" i="2"/>
  <c r="BL21" i="2"/>
  <c r="BM21" i="2" s="1"/>
  <c r="BL14" i="2"/>
  <c r="BM14" i="2" s="1"/>
  <c r="DW33" i="2"/>
  <c r="DX33" i="2" s="1"/>
  <c r="BL50" i="2"/>
  <c r="BM50" i="2" s="1"/>
  <c r="BL57" i="2"/>
  <c r="BM57" i="2" s="1"/>
  <c r="BL48" i="2"/>
  <c r="BM48" i="2" s="1"/>
  <c r="BL49" i="2"/>
  <c r="BM49" i="2" s="1"/>
  <c r="BL10" i="2"/>
  <c r="BM10" i="2" s="1"/>
  <c r="CN34" i="2"/>
  <c r="CO34" i="2" s="1"/>
  <c r="CN66" i="2"/>
  <c r="CO66" i="2" s="1"/>
  <c r="CN39" i="2"/>
  <c r="CO39" i="2" s="1"/>
  <c r="CN11" i="2"/>
  <c r="CO11" i="2" s="1"/>
  <c r="CN14" i="2"/>
  <c r="CO14" i="2" s="1"/>
  <c r="CN46" i="2"/>
  <c r="CO46" i="2" s="1"/>
  <c r="CN21" i="2"/>
  <c r="CO21" i="2" s="1"/>
  <c r="CN47" i="2"/>
  <c r="CO47" i="2" s="1"/>
  <c r="DW36" i="2"/>
  <c r="DX36" i="2" s="1"/>
  <c r="DW49" i="2"/>
  <c r="DX49" i="2" s="1"/>
  <c r="GH57" i="2"/>
  <c r="GI57" i="2" s="1"/>
  <c r="DW35" i="2"/>
  <c r="DX35" i="2" s="1"/>
  <c r="GH22" i="2"/>
  <c r="GI22" i="2" s="1"/>
  <c r="DW32" i="2"/>
  <c r="DX32" i="2" s="1"/>
  <c r="DW47" i="2"/>
  <c r="DX47" i="2" s="1"/>
  <c r="GH58" i="2"/>
  <c r="GI58" i="2" s="1"/>
  <c r="DW10" i="2"/>
  <c r="DX10" i="2" s="1"/>
  <c r="DX2" i="2"/>
  <c r="GH37" i="2"/>
  <c r="GI37" i="2" s="1"/>
  <c r="DW50" i="2"/>
  <c r="DX50" i="2" s="1"/>
  <c r="GH52" i="2"/>
  <c r="GI52" i="2" s="1"/>
  <c r="GH53" i="2"/>
  <c r="GI53" i="2" s="1"/>
  <c r="GH14" i="2"/>
  <c r="GI14" i="2" s="1"/>
  <c r="GH50" i="2"/>
  <c r="GI50" i="2" s="1"/>
  <c r="GH25" i="2"/>
  <c r="GI25" i="2" s="1"/>
  <c r="GH51" i="2"/>
  <c r="GI51" i="2" s="1"/>
  <c r="AX64" i="2"/>
  <c r="AY64" i="2" s="1"/>
  <c r="AX37" i="2"/>
  <c r="AY37" i="2" s="1"/>
  <c r="AX57" i="2"/>
  <c r="AY57" i="2" s="1"/>
  <c r="BL34" i="2"/>
  <c r="BM34" i="2" s="1"/>
  <c r="BL46" i="2"/>
  <c r="BM46" i="2" s="1"/>
  <c r="BL31" i="2"/>
  <c r="BM31" i="2" s="1"/>
  <c r="BL9" i="2"/>
  <c r="BM9" i="2" s="1"/>
  <c r="BL41" i="2"/>
  <c r="BM41" i="2" s="1"/>
  <c r="BL24" i="2"/>
  <c r="BM24" i="2" s="1"/>
  <c r="GH12" i="2"/>
  <c r="GI12" i="2" s="1"/>
  <c r="GH48" i="2"/>
  <c r="GI48" i="2" s="1"/>
  <c r="GH23" i="2"/>
  <c r="GI23" i="2" s="1"/>
  <c r="GH49" i="2"/>
  <c r="GI49" i="2" s="1"/>
  <c r="AX36" i="2"/>
  <c r="AY36" i="2" s="1"/>
  <c r="AX60" i="2"/>
  <c r="AY60" i="2" s="1"/>
  <c r="AX35" i="2"/>
  <c r="AY35" i="2" s="1"/>
  <c r="AX53" i="2"/>
  <c r="AY53" i="2" s="1"/>
  <c r="BL66" i="2"/>
  <c r="BM66" i="2" s="1"/>
  <c r="BL42" i="2"/>
  <c r="BM42" i="2" s="1"/>
  <c r="BL25" i="2"/>
  <c r="BM25" i="2" s="1"/>
  <c r="BL65" i="2"/>
  <c r="BM65" i="2" s="1"/>
  <c r="BL16" i="2"/>
  <c r="BM16" i="2" s="1"/>
  <c r="GH16" i="2"/>
  <c r="GI16" i="2" s="1"/>
  <c r="GH35" i="2"/>
  <c r="GI35" i="2" s="1"/>
  <c r="GH36" i="2"/>
  <c r="GI36" i="2" s="1"/>
  <c r="GH10" i="2"/>
  <c r="GI10" i="2" s="1"/>
  <c r="GH40" i="2"/>
  <c r="GI40" i="2" s="1"/>
  <c r="GH21" i="2"/>
  <c r="GI21" i="2" s="1"/>
  <c r="GH47" i="2"/>
  <c r="GI47" i="2" s="1"/>
  <c r="AX34" i="2"/>
  <c r="AY34" i="2" s="1"/>
  <c r="AX58" i="2"/>
  <c r="AY58" i="2" s="1"/>
  <c r="AX23" i="2"/>
  <c r="AY23" i="2" s="1"/>
  <c r="AX51" i="2"/>
  <c r="AY51" i="2" s="1"/>
  <c r="BL64" i="2"/>
  <c r="BM64" i="2" s="1"/>
  <c r="BL40" i="2"/>
  <c r="BM40" i="2" s="1"/>
  <c r="BL23" i="2"/>
  <c r="BM23" i="2" s="1"/>
  <c r="BL59" i="2"/>
  <c r="BM59" i="2" s="1"/>
  <c r="BL12" i="2"/>
  <c r="BM12" i="2" s="1"/>
  <c r="GI2" i="2"/>
  <c r="GH17" i="2"/>
  <c r="GI17" i="2" s="1"/>
  <c r="GH32" i="2"/>
  <c r="GI32" i="2" s="1"/>
  <c r="GH64" i="2"/>
  <c r="GI64" i="2" s="1"/>
  <c r="GH11" i="2"/>
  <c r="GI11" i="2" s="1"/>
  <c r="GH15" i="2"/>
  <c r="GI15" i="2" s="1"/>
  <c r="AX22" i="2"/>
  <c r="AY22" i="2" s="1"/>
  <c r="AX50" i="2"/>
  <c r="AY50" i="2" s="1"/>
  <c r="AX17" i="2"/>
  <c r="AY17" i="2" s="1"/>
  <c r="BL58" i="2"/>
  <c r="BM58" i="2" s="1"/>
  <c r="BL39" i="2"/>
  <c r="BM39" i="2" s="1"/>
  <c r="BL17" i="2"/>
  <c r="BM17" i="2" s="1"/>
  <c r="BL53" i="2"/>
  <c r="BM53" i="2" s="1"/>
  <c r="GH34" i="2"/>
  <c r="GI34" i="2" s="1"/>
  <c r="GH41" i="2"/>
  <c r="GI41" i="2" s="1"/>
  <c r="GH30" i="2"/>
  <c r="GI30" i="2" s="1"/>
  <c r="GH60" i="2"/>
  <c r="GI60" i="2" s="1"/>
  <c r="GH39" i="2"/>
  <c r="GI39" i="2" s="1"/>
  <c r="GH13" i="2"/>
  <c r="GI13" i="2" s="1"/>
  <c r="AX16" i="2"/>
  <c r="AY16" i="2" s="1"/>
  <c r="AX40" i="2"/>
  <c r="AY40" i="2" s="1"/>
  <c r="AX15" i="2"/>
  <c r="AY15" i="2" s="1"/>
  <c r="BL52" i="2"/>
  <c r="BM52" i="2" s="1"/>
  <c r="BL37" i="2"/>
  <c r="BM37" i="2" s="1"/>
  <c r="BL15" i="2"/>
  <c r="BM15" i="2" s="1"/>
  <c r="BL51" i="2"/>
  <c r="BM51" i="2" s="1"/>
  <c r="BL26" i="2"/>
  <c r="BM26" i="2" s="1"/>
  <c r="DW12" i="2"/>
  <c r="DX12" i="2" s="1"/>
  <c r="DW39" i="2"/>
  <c r="DX39" i="2" s="1"/>
  <c r="DW53" i="2"/>
  <c r="DX53" i="2" s="1"/>
  <c r="DW34" i="2"/>
  <c r="DX34" i="2" s="1"/>
  <c r="DW58" i="2"/>
  <c r="DX58" i="2" s="1"/>
  <c r="DW31" i="2"/>
  <c r="DX31" i="2" s="1"/>
  <c r="DW41" i="2"/>
  <c r="DX41" i="2" s="1"/>
  <c r="DW17" i="2"/>
  <c r="DX17" i="2" s="1"/>
  <c r="DW30" i="2"/>
  <c r="DX30" i="2" s="1"/>
  <c r="DW48" i="2"/>
  <c r="DX48" i="2" s="1"/>
  <c r="DW13" i="2"/>
  <c r="DX13" i="2" s="1"/>
  <c r="DW16" i="2"/>
  <c r="DX16" i="2" s="1"/>
  <c r="DW46" i="2"/>
  <c r="DX46" i="2" s="1"/>
  <c r="DW11" i="2"/>
  <c r="DX11" i="2" s="1"/>
  <c r="DW14" i="2"/>
  <c r="DX14" i="2" s="1"/>
  <c r="DW9" i="2"/>
  <c r="DX9" i="2" s="1"/>
  <c r="BL38" i="2"/>
  <c r="BM38" i="2" s="1"/>
  <c r="BL22" i="2"/>
  <c r="BM22" i="2" s="1"/>
  <c r="BL32" i="2"/>
  <c r="BM32" i="2" s="1"/>
  <c r="AX32" i="2"/>
  <c r="AY32" i="2" s="1"/>
  <c r="AX48" i="2"/>
  <c r="AY48" i="2" s="1"/>
  <c r="AX11" i="2"/>
  <c r="AY11" i="2" s="1"/>
  <c r="CN64" i="2"/>
  <c r="CO64" i="2" s="1"/>
  <c r="CN31" i="2"/>
  <c r="CO31" i="2" s="1"/>
  <c r="DW66" i="2"/>
  <c r="DX66" i="2" s="1"/>
  <c r="DW25" i="2"/>
  <c r="DX25" i="2" s="1"/>
  <c r="GH26" i="2"/>
  <c r="GI26" i="2" s="1"/>
  <c r="GH9" i="2"/>
  <c r="GI9" i="2" s="1"/>
  <c r="GH46" i="2"/>
  <c r="GI46" i="2" s="1"/>
  <c r="GH33" i="2"/>
  <c r="GI33" i="2" s="1"/>
  <c r="GH65" i="2"/>
  <c r="GI65" i="2" s="1"/>
  <c r="AX30" i="2"/>
  <c r="AY30" i="2" s="1"/>
  <c r="AY2" i="2"/>
  <c r="AX46" i="2"/>
  <c r="AY46" i="2" s="1"/>
  <c r="AX31" i="2"/>
  <c r="AY31" i="2" s="1"/>
  <c r="AX9" i="2"/>
  <c r="AY9" i="2" s="1"/>
  <c r="AX41" i="2"/>
  <c r="AY41" i="2" s="1"/>
  <c r="CN22" i="2"/>
  <c r="CO22" i="2" s="1"/>
  <c r="CN60" i="2"/>
  <c r="CO60" i="2" s="1"/>
  <c r="CN25" i="2"/>
  <c r="CO25" i="2" s="1"/>
  <c r="CN59" i="2"/>
  <c r="CO59" i="2" s="1"/>
  <c r="DW24" i="2"/>
  <c r="DX24" i="2" s="1"/>
  <c r="DW64" i="2"/>
  <c r="DX64" i="2" s="1"/>
  <c r="DW40" i="2"/>
  <c r="DX40" i="2" s="1"/>
  <c r="DW23" i="2"/>
  <c r="DX23" i="2" s="1"/>
  <c r="DW59" i="2"/>
  <c r="DX59" i="2" s="1"/>
  <c r="AX10" i="2"/>
  <c r="AY10" i="2" s="1"/>
  <c r="AX33" i="2"/>
  <c r="AY33" i="2" s="1"/>
  <c r="AX47" i="2"/>
  <c r="AY47" i="2" s="1"/>
  <c r="CN24" i="2"/>
  <c r="CO24" i="2" s="1"/>
  <c r="CN40" i="2"/>
  <c r="CO40" i="2" s="1"/>
  <c r="CN65" i="2"/>
  <c r="CO65" i="2" s="1"/>
  <c r="DW26" i="2"/>
  <c r="DX26" i="2" s="1"/>
  <c r="DW42" i="2"/>
  <c r="DX42" i="2" s="1"/>
  <c r="DW65" i="2"/>
  <c r="DX65" i="2" s="1"/>
  <c r="GH24" i="2"/>
  <c r="GI24" i="2" s="1"/>
  <c r="GH66" i="2"/>
  <c r="GI66" i="2" s="1"/>
  <c r="GH42" i="2"/>
  <c r="GI42" i="2" s="1"/>
  <c r="GH31" i="2"/>
  <c r="GI31" i="2" s="1"/>
  <c r="GH59" i="2"/>
  <c r="GI59" i="2" s="1"/>
  <c r="AX26" i="2"/>
  <c r="AY26" i="2" s="1"/>
  <c r="AX66" i="2"/>
  <c r="AY66" i="2" s="1"/>
  <c r="AX42" i="2"/>
  <c r="AY42" i="2" s="1"/>
  <c r="AX25" i="2"/>
  <c r="AY25" i="2" s="1"/>
  <c r="AX65" i="2"/>
  <c r="AY65" i="2" s="1"/>
  <c r="CN16" i="2"/>
  <c r="CO16" i="2" s="1"/>
  <c r="CN58" i="2"/>
  <c r="CO58" i="2" s="1"/>
  <c r="CN23" i="2"/>
  <c r="CO23" i="2" s="1"/>
  <c r="CN57" i="2"/>
  <c r="CO57" i="2" s="1"/>
  <c r="DW22" i="2"/>
  <c r="DX22" i="2" s="1"/>
  <c r="DW60" i="2"/>
  <c r="DX60" i="2" s="1"/>
  <c r="DW21" i="2"/>
  <c r="DX21" i="2" s="1"/>
  <c r="DW57" i="2"/>
  <c r="DX57" i="2" s="1"/>
  <c r="DW52" i="2"/>
  <c r="DX52" i="2" s="1"/>
  <c r="DW37" i="2"/>
  <c r="DX37" i="2" s="1"/>
  <c r="DW15" i="2"/>
  <c r="DX15" i="2" s="1"/>
  <c r="DW51" i="2"/>
  <c r="DX51" i="2" s="1"/>
  <c r="EI13" i="2"/>
  <c r="EI51" i="2"/>
  <c r="EI34" i="2"/>
  <c r="EI36" i="2"/>
  <c r="EI37" i="2"/>
  <c r="EH61" i="2"/>
  <c r="EI30" i="2"/>
  <c r="EH27" i="2"/>
  <c r="EI49" i="2"/>
  <c r="EI59" i="2"/>
  <c r="EI39" i="2"/>
  <c r="EI42" i="2"/>
  <c r="EI52" i="2"/>
  <c r="EI17" i="2"/>
  <c r="EI53" i="2"/>
  <c r="CK70" i="2"/>
  <c r="CK3" i="2" s="1"/>
  <c r="CK4" i="2" s="1"/>
  <c r="AU70" i="2"/>
  <c r="AU3" i="2" s="1"/>
  <c r="AU4" i="2" s="1"/>
  <c r="DT70" i="2"/>
  <c r="DT3" i="2" s="1"/>
  <c r="DT4" i="2" s="1"/>
  <c r="EI14" i="2"/>
  <c r="EI40" i="2"/>
  <c r="EI50" i="2"/>
  <c r="GE70" i="2"/>
  <c r="GE3" i="2" s="1"/>
  <c r="GE4" i="2" s="1"/>
  <c r="EG70" i="2"/>
  <c r="EG3" i="2" s="1"/>
  <c r="EG4" i="2" s="1"/>
  <c r="EI26" i="2"/>
  <c r="EI41" i="2"/>
  <c r="EI58" i="2"/>
  <c r="EI66" i="2"/>
  <c r="BI70" i="2"/>
  <c r="BI3" i="2" s="1"/>
  <c r="BI4" i="2" s="1"/>
  <c r="EH43" i="2"/>
  <c r="EI38" i="2"/>
  <c r="EI9" i="2"/>
  <c r="EI24" i="2"/>
  <c r="EI32" i="2"/>
  <c r="EI47" i="2"/>
  <c r="EH67" i="2"/>
  <c r="EI21" i="2"/>
  <c r="EI23" i="2"/>
  <c r="EH54" i="2"/>
  <c r="EI10" i="2"/>
  <c r="EI16" i="2"/>
  <c r="EI33" i="2"/>
  <c r="EI48" i="2"/>
  <c r="EH18" i="2"/>
  <c r="EI64" i="2"/>
  <c r="EI46" i="2"/>
  <c r="EI57" i="2"/>
  <c r="HM67" i="2"/>
  <c r="HN66" i="2"/>
  <c r="HN65" i="2"/>
  <c r="HN64" i="2"/>
  <c r="HM61" i="2"/>
  <c r="HN60" i="2"/>
  <c r="HN59" i="2"/>
  <c r="HN58" i="2"/>
  <c r="HN57" i="2"/>
  <c r="HM54" i="2"/>
  <c r="HN53" i="2"/>
  <c r="HN52" i="2"/>
  <c r="HN51" i="2"/>
  <c r="HN50" i="2"/>
  <c r="HN49" i="2"/>
  <c r="HN48" i="2"/>
  <c r="HN47" i="2"/>
  <c r="HN46" i="2"/>
  <c r="HM43" i="2"/>
  <c r="HN42" i="2"/>
  <c r="HN41" i="2"/>
  <c r="HN39" i="2"/>
  <c r="HN38" i="2"/>
  <c r="HN37" i="2"/>
  <c r="HN36" i="2"/>
  <c r="HN35" i="2"/>
  <c r="HN34" i="2"/>
  <c r="HN33" i="2"/>
  <c r="HN32" i="2"/>
  <c r="HN31" i="2"/>
  <c r="HN30" i="2"/>
  <c r="HM27" i="2"/>
  <c r="HN26" i="2"/>
  <c r="HN25" i="2"/>
  <c r="HN24" i="2"/>
  <c r="HN23" i="2"/>
  <c r="HN22" i="2"/>
  <c r="HN21" i="2"/>
  <c r="HN27" i="2" s="1"/>
  <c r="HM18" i="2"/>
  <c r="HN17" i="2"/>
  <c r="HN16" i="2"/>
  <c r="HN15" i="2"/>
  <c r="HN14" i="2"/>
  <c r="HN13" i="2"/>
  <c r="HO13" i="2" s="1"/>
  <c r="HN12" i="2"/>
  <c r="HN11" i="2"/>
  <c r="HN10" i="2"/>
  <c r="HN9" i="2"/>
  <c r="HN2" i="2"/>
  <c r="HO36" i="2" s="1"/>
  <c r="FI67" i="2"/>
  <c r="FJ66" i="2"/>
  <c r="FJ65" i="2"/>
  <c r="FJ64" i="2"/>
  <c r="FI61" i="2"/>
  <c r="FJ60" i="2"/>
  <c r="FJ59" i="2"/>
  <c r="FJ58" i="2"/>
  <c r="FJ57" i="2"/>
  <c r="FI54" i="2"/>
  <c r="FJ53" i="2"/>
  <c r="FJ52" i="2"/>
  <c r="FJ51" i="2"/>
  <c r="FJ50" i="2"/>
  <c r="FJ49" i="2"/>
  <c r="FJ48" i="2"/>
  <c r="FJ47" i="2"/>
  <c r="FJ46" i="2"/>
  <c r="FI43" i="2"/>
  <c r="FJ42" i="2"/>
  <c r="FJ41" i="2"/>
  <c r="FJ39" i="2"/>
  <c r="FJ38" i="2"/>
  <c r="FJ37" i="2"/>
  <c r="FJ36" i="2"/>
  <c r="FJ35" i="2"/>
  <c r="FJ34" i="2"/>
  <c r="FJ33" i="2"/>
  <c r="FJ32" i="2"/>
  <c r="FJ31" i="2"/>
  <c r="FJ30" i="2"/>
  <c r="FI27" i="2"/>
  <c r="FJ26" i="2"/>
  <c r="FJ25" i="2"/>
  <c r="FJ24" i="2"/>
  <c r="FJ23" i="2"/>
  <c r="FJ22" i="2"/>
  <c r="FJ21" i="2"/>
  <c r="FI18" i="2"/>
  <c r="FJ17" i="2"/>
  <c r="FJ16" i="2"/>
  <c r="FJ15" i="2"/>
  <c r="FJ14" i="2"/>
  <c r="FJ13" i="2"/>
  <c r="FJ12" i="2"/>
  <c r="FJ11" i="2"/>
  <c r="FJ10" i="2"/>
  <c r="FJ9" i="2"/>
  <c r="FJ2" i="2"/>
  <c r="FK40" i="2" s="1"/>
  <c r="CQ67" i="2"/>
  <c r="CR66" i="2"/>
  <c r="CR65" i="2"/>
  <c r="CR64" i="2"/>
  <c r="CQ61" i="2"/>
  <c r="CR60" i="2"/>
  <c r="CR59" i="2"/>
  <c r="CR58" i="2"/>
  <c r="CR57" i="2"/>
  <c r="CQ54" i="2"/>
  <c r="CR53" i="2"/>
  <c r="CR52" i="2"/>
  <c r="CR51" i="2"/>
  <c r="CR50" i="2"/>
  <c r="CR49" i="2"/>
  <c r="CR48" i="2"/>
  <c r="CR47" i="2"/>
  <c r="CR46" i="2"/>
  <c r="CQ43" i="2"/>
  <c r="CR42" i="2"/>
  <c r="CR41" i="2"/>
  <c r="CR39" i="2"/>
  <c r="CR38" i="2"/>
  <c r="CR37" i="2"/>
  <c r="CR36" i="2"/>
  <c r="CR35" i="2"/>
  <c r="CR34" i="2"/>
  <c r="CR33" i="2"/>
  <c r="CR32" i="2"/>
  <c r="CR31" i="2"/>
  <c r="CR30" i="2"/>
  <c r="CQ27" i="2"/>
  <c r="CR26" i="2"/>
  <c r="CR25" i="2"/>
  <c r="CR24" i="2"/>
  <c r="CR23" i="2"/>
  <c r="CR22" i="2"/>
  <c r="CR21" i="2"/>
  <c r="CQ18" i="2"/>
  <c r="CR17" i="2"/>
  <c r="CR16" i="2"/>
  <c r="CR15" i="2"/>
  <c r="CR14" i="2"/>
  <c r="CR13" i="2"/>
  <c r="CR12" i="2"/>
  <c r="CR11" i="2"/>
  <c r="CR10" i="2"/>
  <c r="CR9" i="2"/>
  <c r="CR2" i="2"/>
  <c r="V6" i="4" l="1"/>
  <c r="V47" i="4" s="1"/>
  <c r="HT70" i="15"/>
  <c r="HU70" i="15" s="1"/>
  <c r="HT73" i="15"/>
  <c r="HU73" i="15" s="1"/>
  <c r="GA4" i="15"/>
  <c r="V35" i="4"/>
  <c r="AY61" i="2"/>
  <c r="CO18" i="2"/>
  <c r="BL67" i="2"/>
  <c r="AJ4" i="15"/>
  <c r="CN54" i="2"/>
  <c r="AX61" i="2"/>
  <c r="DX18" i="2"/>
  <c r="CO54" i="2"/>
  <c r="BL27" i="2"/>
  <c r="BM61" i="2"/>
  <c r="BM43" i="2"/>
  <c r="AX27" i="2"/>
  <c r="BM27" i="2"/>
  <c r="GH18" i="2"/>
  <c r="BL61" i="2"/>
  <c r="AY18" i="2"/>
  <c r="GI18" i="2"/>
  <c r="AY27" i="2"/>
  <c r="BL54" i="2"/>
  <c r="BM18" i="2"/>
  <c r="AY54" i="2"/>
  <c r="BM54" i="2"/>
  <c r="DX67" i="2"/>
  <c r="BL18" i="2"/>
  <c r="CN18" i="2"/>
  <c r="GI27" i="2"/>
  <c r="GH27" i="2"/>
  <c r="AX54" i="2"/>
  <c r="BM67" i="2"/>
  <c r="BL43" i="2"/>
  <c r="GI54" i="2"/>
  <c r="CO67" i="2"/>
  <c r="DW18" i="2"/>
  <c r="GH54" i="2"/>
  <c r="AY43" i="2"/>
  <c r="CN67" i="2"/>
  <c r="AX43" i="2"/>
  <c r="DW54" i="2"/>
  <c r="DX54" i="2"/>
  <c r="DW61" i="2"/>
  <c r="CN27" i="2"/>
  <c r="DX61" i="2"/>
  <c r="GH61" i="2"/>
  <c r="CO27" i="2"/>
  <c r="CO61" i="2"/>
  <c r="DW27" i="2"/>
  <c r="GI61" i="2"/>
  <c r="AX18" i="2"/>
  <c r="GH67" i="2"/>
  <c r="AX67" i="2"/>
  <c r="CO43" i="2"/>
  <c r="CN61" i="2"/>
  <c r="DW67" i="2"/>
  <c r="GI43" i="2"/>
  <c r="DX43" i="2"/>
  <c r="GH43" i="2"/>
  <c r="DX27" i="2"/>
  <c r="DW43" i="2"/>
  <c r="GI67" i="2"/>
  <c r="AY67" i="2"/>
  <c r="CN43" i="2"/>
  <c r="CS15" i="2"/>
  <c r="CS25" i="2"/>
  <c r="CS35" i="2"/>
  <c r="CS66" i="2"/>
  <c r="CS11" i="2"/>
  <c r="CS31" i="2"/>
  <c r="CS39" i="2"/>
  <c r="FK49" i="2"/>
  <c r="CS12" i="2"/>
  <c r="CS22" i="2"/>
  <c r="CS32" i="2"/>
  <c r="CS41" i="2"/>
  <c r="CS51" i="2"/>
  <c r="HM70" i="2"/>
  <c r="HM3" i="2" s="1"/>
  <c r="HM4" i="2" s="1"/>
  <c r="HN43" i="2"/>
  <c r="FK16" i="2"/>
  <c r="FK35" i="2"/>
  <c r="FK53" i="2"/>
  <c r="FK64" i="2"/>
  <c r="FK36" i="2"/>
  <c r="FK13" i="2"/>
  <c r="FK32" i="2"/>
  <c r="FK59" i="2"/>
  <c r="FK24" i="2"/>
  <c r="FK42" i="2"/>
  <c r="FK51" i="2"/>
  <c r="FK60" i="2"/>
  <c r="HO9" i="2"/>
  <c r="HO47" i="2"/>
  <c r="HN61" i="2"/>
  <c r="FK34" i="2"/>
  <c r="FK52" i="2"/>
  <c r="HO37" i="2"/>
  <c r="FK26" i="2"/>
  <c r="FK17" i="2"/>
  <c r="FK47" i="2"/>
  <c r="FK66" i="2"/>
  <c r="FK11" i="2"/>
  <c r="FK21" i="2"/>
  <c r="FK58" i="2"/>
  <c r="HO23" i="2"/>
  <c r="HO33" i="2"/>
  <c r="CS42" i="2"/>
  <c r="CS52" i="2"/>
  <c r="CS64" i="2"/>
  <c r="FK12" i="2"/>
  <c r="FK22" i="2"/>
  <c r="FK39" i="2"/>
  <c r="FJ67" i="2"/>
  <c r="CQ70" i="2"/>
  <c r="CQ3" i="2" s="1"/>
  <c r="CQ4" i="2" s="1"/>
  <c r="FJ18" i="2"/>
  <c r="HO53" i="2"/>
  <c r="HO65" i="2"/>
  <c r="CR27" i="2"/>
  <c r="CS50" i="2"/>
  <c r="CS60" i="2"/>
  <c r="FK10" i="2"/>
  <c r="FK25" i="2"/>
  <c r="FK33" i="2"/>
  <c r="FK41" i="2"/>
  <c r="FK50" i="2"/>
  <c r="HN54" i="2"/>
  <c r="HO66" i="2"/>
  <c r="HO14" i="2"/>
  <c r="HO48" i="2"/>
  <c r="HO58" i="2"/>
  <c r="HO38" i="2"/>
  <c r="HO49" i="2"/>
  <c r="HO59" i="2"/>
  <c r="HO60" i="2"/>
  <c r="FJ54" i="2"/>
  <c r="HO24" i="2"/>
  <c r="CS17" i="2"/>
  <c r="CS16" i="2"/>
  <c r="CS26" i="2"/>
  <c r="CS36" i="2"/>
  <c r="CS47" i="2"/>
  <c r="CR61" i="2"/>
  <c r="FK14" i="2"/>
  <c r="FK31" i="2"/>
  <c r="FK37" i="2"/>
  <c r="FK48" i="2"/>
  <c r="HN18" i="2"/>
  <c r="HN70" i="2" s="1"/>
  <c r="HN3" i="2" s="1"/>
  <c r="HN4" i="2" s="1"/>
  <c r="HO41" i="2"/>
  <c r="HO51" i="2"/>
  <c r="FI70" i="2"/>
  <c r="FI3" i="2" s="1"/>
  <c r="FI4" i="2" s="1"/>
  <c r="CR54" i="2"/>
  <c r="FJ43" i="2"/>
  <c r="HO50" i="2"/>
  <c r="CS48" i="2"/>
  <c r="CS58" i="2"/>
  <c r="FK15" i="2"/>
  <c r="FK23" i="2"/>
  <c r="FK38" i="2"/>
  <c r="FJ61" i="2"/>
  <c r="FK65" i="2"/>
  <c r="HO17" i="2"/>
  <c r="HO34" i="2"/>
  <c r="HO42" i="2"/>
  <c r="HO52" i="2"/>
  <c r="HN67" i="2"/>
  <c r="EH70" i="2"/>
  <c r="EH3" i="2" s="1"/>
  <c r="EH4" i="2" s="1"/>
  <c r="HO10" i="2"/>
  <c r="HO30" i="2"/>
  <c r="HO11" i="2"/>
  <c r="HO15" i="2"/>
  <c r="HO21" i="2"/>
  <c r="HO25" i="2"/>
  <c r="HO31" i="2"/>
  <c r="HO35" i="2"/>
  <c r="HO39" i="2"/>
  <c r="HO40" i="2"/>
  <c r="HO46" i="2"/>
  <c r="HO64" i="2"/>
  <c r="HO12" i="2"/>
  <c r="HO16" i="2"/>
  <c r="HO22" i="2"/>
  <c r="HO26" i="2"/>
  <c r="HO32" i="2"/>
  <c r="HO57" i="2"/>
  <c r="FK9" i="2"/>
  <c r="FJ27" i="2"/>
  <c r="FK30" i="2"/>
  <c r="FK57" i="2"/>
  <c r="FK46" i="2"/>
  <c r="CS10" i="2"/>
  <c r="CS14" i="2"/>
  <c r="CR18" i="2"/>
  <c r="CS24" i="2"/>
  <c r="CS30" i="2"/>
  <c r="CS34" i="2"/>
  <c r="CS38" i="2"/>
  <c r="CS59" i="2"/>
  <c r="CS21" i="2"/>
  <c r="CS40" i="2"/>
  <c r="CS46" i="2"/>
  <c r="CR43" i="2"/>
  <c r="CS53" i="2"/>
  <c r="CS57" i="2"/>
  <c r="CR67" i="2"/>
  <c r="CS49" i="2"/>
  <c r="CS13" i="2"/>
  <c r="CS23" i="2"/>
  <c r="CS33" i="2"/>
  <c r="CS37" i="2"/>
  <c r="CS65" i="2"/>
  <c r="CS9" i="2"/>
  <c r="EN67" i="2"/>
  <c r="EO66" i="2"/>
  <c r="EO65" i="2"/>
  <c r="EO64" i="2"/>
  <c r="EN61" i="2"/>
  <c r="EO60" i="2"/>
  <c r="EO59" i="2"/>
  <c r="EO58" i="2"/>
  <c r="EO57" i="2"/>
  <c r="EN54" i="2"/>
  <c r="EO53" i="2"/>
  <c r="EO52" i="2"/>
  <c r="EO51" i="2"/>
  <c r="EO50" i="2"/>
  <c r="EO49" i="2"/>
  <c r="EO48" i="2"/>
  <c r="EO47" i="2"/>
  <c r="EO46" i="2"/>
  <c r="EN43" i="2"/>
  <c r="EO42" i="2"/>
  <c r="EO41" i="2"/>
  <c r="EO40" i="2"/>
  <c r="EO39" i="2"/>
  <c r="EO38" i="2"/>
  <c r="EO37" i="2"/>
  <c r="EO36" i="2"/>
  <c r="EO35" i="2"/>
  <c r="EO34" i="2"/>
  <c r="EO33" i="2"/>
  <c r="EO32" i="2"/>
  <c r="EO31" i="2"/>
  <c r="EO30" i="2"/>
  <c r="EN27" i="2"/>
  <c r="EO26" i="2"/>
  <c r="EO25" i="2"/>
  <c r="EO24" i="2"/>
  <c r="EO23" i="2"/>
  <c r="EO22" i="2"/>
  <c r="EO21" i="2"/>
  <c r="EN18" i="2"/>
  <c r="EO17" i="2"/>
  <c r="EO16" i="2"/>
  <c r="EO15" i="2"/>
  <c r="EO14" i="2"/>
  <c r="EO13" i="2"/>
  <c r="EO12" i="2"/>
  <c r="EO11" i="2"/>
  <c r="EO10" i="2"/>
  <c r="EO9" i="2"/>
  <c r="EO2" i="2"/>
  <c r="EP66" i="2" s="1"/>
  <c r="GY2" i="2"/>
  <c r="DZ67" i="2"/>
  <c r="EA66" i="2"/>
  <c r="EA65" i="2"/>
  <c r="EA64" i="2"/>
  <c r="EB64" i="2" s="1"/>
  <c r="DZ61" i="2"/>
  <c r="EA60" i="2"/>
  <c r="EA59" i="2"/>
  <c r="EA58" i="2"/>
  <c r="EA57" i="2"/>
  <c r="DZ54" i="2"/>
  <c r="EA53" i="2"/>
  <c r="EA52" i="2"/>
  <c r="EB52" i="2" s="1"/>
  <c r="EA51" i="2"/>
  <c r="EA50" i="2"/>
  <c r="EA49" i="2"/>
  <c r="EA48" i="2"/>
  <c r="EA47" i="2"/>
  <c r="EA46" i="2"/>
  <c r="DZ43" i="2"/>
  <c r="EA42" i="2"/>
  <c r="EB42" i="2" s="1"/>
  <c r="EA41" i="2"/>
  <c r="EA39" i="2"/>
  <c r="EA38" i="2"/>
  <c r="EA37" i="2"/>
  <c r="EA36" i="2"/>
  <c r="EA35" i="2"/>
  <c r="EA34" i="2"/>
  <c r="EA33" i="2"/>
  <c r="EA32" i="2"/>
  <c r="EA31" i="2"/>
  <c r="EA30" i="2"/>
  <c r="DZ27" i="2"/>
  <c r="EA26" i="2"/>
  <c r="EA25" i="2"/>
  <c r="EA24" i="2"/>
  <c r="EB24" i="2" s="1"/>
  <c r="EA23" i="2"/>
  <c r="EA22" i="2"/>
  <c r="EA21" i="2"/>
  <c r="DZ18" i="2"/>
  <c r="EA17" i="2"/>
  <c r="EA16" i="2"/>
  <c r="EA15" i="2"/>
  <c r="EA14" i="2"/>
  <c r="EB14" i="2" s="1"/>
  <c r="EA13" i="2"/>
  <c r="EA12" i="2"/>
  <c r="EA11" i="2"/>
  <c r="EA10" i="2"/>
  <c r="EA9" i="2"/>
  <c r="DZ2" i="2"/>
  <c r="EA2" i="2" s="1"/>
  <c r="AM2" i="2"/>
  <c r="DE67" i="2"/>
  <c r="DF66" i="2"/>
  <c r="DF65" i="2"/>
  <c r="DF64" i="2"/>
  <c r="DE61" i="2"/>
  <c r="DF60" i="2"/>
  <c r="DF59" i="2"/>
  <c r="DF58" i="2"/>
  <c r="DF57" i="2"/>
  <c r="DE54" i="2"/>
  <c r="DF53" i="2"/>
  <c r="DF52" i="2"/>
  <c r="DF51" i="2"/>
  <c r="DF50" i="2"/>
  <c r="DF49" i="2"/>
  <c r="DF48" i="2"/>
  <c r="DF47" i="2"/>
  <c r="DF46" i="2"/>
  <c r="DE43" i="2"/>
  <c r="DF42" i="2"/>
  <c r="DF41" i="2"/>
  <c r="DF39" i="2"/>
  <c r="DF38" i="2"/>
  <c r="DF37" i="2"/>
  <c r="DF36" i="2"/>
  <c r="DF35" i="2"/>
  <c r="DF34" i="2"/>
  <c r="DF33" i="2"/>
  <c r="DF32" i="2"/>
  <c r="DF31" i="2"/>
  <c r="DF30" i="2"/>
  <c r="DE27" i="2"/>
  <c r="DF26" i="2"/>
  <c r="DF25" i="2"/>
  <c r="DF24" i="2"/>
  <c r="DF23" i="2"/>
  <c r="DF22" i="2"/>
  <c r="DF21" i="2"/>
  <c r="DE18" i="2"/>
  <c r="DF17" i="2"/>
  <c r="DF16" i="2"/>
  <c r="DF15" i="2"/>
  <c r="DF14" i="2"/>
  <c r="DF13" i="2"/>
  <c r="DF12" i="2"/>
  <c r="DF11" i="2"/>
  <c r="DF10" i="2"/>
  <c r="DF9" i="2"/>
  <c r="DE2" i="2"/>
  <c r="DF2" i="2" s="1"/>
  <c r="AF2" i="2"/>
  <c r="FW67" i="2"/>
  <c r="FX66" i="2"/>
  <c r="FX65" i="2"/>
  <c r="FX64" i="2"/>
  <c r="FW61" i="2"/>
  <c r="FX60" i="2"/>
  <c r="FX59" i="2"/>
  <c r="FX58" i="2"/>
  <c r="FX57" i="2"/>
  <c r="FW54" i="2"/>
  <c r="FX53" i="2"/>
  <c r="FX52" i="2"/>
  <c r="FX51" i="2"/>
  <c r="FX50" i="2"/>
  <c r="FX49" i="2"/>
  <c r="FX48" i="2"/>
  <c r="FX47" i="2"/>
  <c r="FX46" i="2"/>
  <c r="FW43" i="2"/>
  <c r="FX42" i="2"/>
  <c r="FX41" i="2"/>
  <c r="FX39" i="2"/>
  <c r="FX38" i="2"/>
  <c r="FX37" i="2"/>
  <c r="FX36" i="2"/>
  <c r="FX35" i="2"/>
  <c r="FY35" i="2" s="1"/>
  <c r="FX34" i="2"/>
  <c r="FX33" i="2"/>
  <c r="FX32" i="2"/>
  <c r="FX31" i="2"/>
  <c r="FX30" i="2"/>
  <c r="FW27" i="2"/>
  <c r="FX26" i="2"/>
  <c r="FX25" i="2"/>
  <c r="FY25" i="2" s="1"/>
  <c r="FX24" i="2"/>
  <c r="FX23" i="2"/>
  <c r="FX22" i="2"/>
  <c r="FX21" i="2"/>
  <c r="FW18" i="2"/>
  <c r="FX17" i="2"/>
  <c r="FX16" i="2"/>
  <c r="FX15" i="2"/>
  <c r="FX14" i="2"/>
  <c r="FX13" i="2"/>
  <c r="FX12" i="2"/>
  <c r="FX11" i="2"/>
  <c r="FX10" i="2"/>
  <c r="FX9" i="2"/>
  <c r="FY9" i="2" s="1"/>
  <c r="FX2" i="2"/>
  <c r="FP67" i="2"/>
  <c r="FQ66" i="2"/>
  <c r="FQ65" i="2"/>
  <c r="FQ64" i="2"/>
  <c r="FP61" i="2"/>
  <c r="FQ60" i="2"/>
  <c r="FQ59" i="2"/>
  <c r="FQ58" i="2"/>
  <c r="FQ57" i="2"/>
  <c r="FP54" i="2"/>
  <c r="FQ53" i="2"/>
  <c r="FQ52" i="2"/>
  <c r="FQ51" i="2"/>
  <c r="FQ50" i="2"/>
  <c r="FQ49" i="2"/>
  <c r="FQ48" i="2"/>
  <c r="FQ47" i="2"/>
  <c r="FQ46" i="2"/>
  <c r="FP43" i="2"/>
  <c r="FQ42" i="2"/>
  <c r="FQ41" i="2"/>
  <c r="FQ39" i="2"/>
  <c r="FQ38" i="2"/>
  <c r="FQ37" i="2"/>
  <c r="FQ36" i="2"/>
  <c r="FQ35" i="2"/>
  <c r="FQ34" i="2"/>
  <c r="FQ33" i="2"/>
  <c r="FQ32" i="2"/>
  <c r="FQ31" i="2"/>
  <c r="FQ30" i="2"/>
  <c r="FP27" i="2"/>
  <c r="FQ26" i="2"/>
  <c r="FQ25" i="2"/>
  <c r="FQ24" i="2"/>
  <c r="FQ23" i="2"/>
  <c r="FQ22" i="2"/>
  <c r="FQ21" i="2"/>
  <c r="FP18" i="2"/>
  <c r="FQ17" i="2"/>
  <c r="FQ16" i="2"/>
  <c r="FQ15" i="2"/>
  <c r="FQ14" i="2"/>
  <c r="FQ13" i="2"/>
  <c r="FQ12" i="2"/>
  <c r="FQ11" i="2"/>
  <c r="FQ10" i="2"/>
  <c r="FQ9" i="2"/>
  <c r="FQ2" i="2"/>
  <c r="FR36" i="2" s="1"/>
  <c r="A1" i="2"/>
  <c r="GR67" i="2"/>
  <c r="GS66" i="2"/>
  <c r="GS65" i="2"/>
  <c r="GS64" i="2"/>
  <c r="GR61" i="2"/>
  <c r="GS60" i="2"/>
  <c r="GS59" i="2"/>
  <c r="GS58" i="2"/>
  <c r="GS57" i="2"/>
  <c r="GR54" i="2"/>
  <c r="GS53" i="2"/>
  <c r="GS52" i="2"/>
  <c r="GS51" i="2"/>
  <c r="GS50" i="2"/>
  <c r="GS49" i="2"/>
  <c r="GS48" i="2"/>
  <c r="GS47" i="2"/>
  <c r="GS46" i="2"/>
  <c r="GR43" i="2"/>
  <c r="GS42" i="2"/>
  <c r="GS41" i="2"/>
  <c r="GS39" i="2"/>
  <c r="GS38" i="2"/>
  <c r="GS37" i="2"/>
  <c r="GS36" i="2"/>
  <c r="GS35" i="2"/>
  <c r="GS34" i="2"/>
  <c r="GS33" i="2"/>
  <c r="GS32" i="2"/>
  <c r="GS31" i="2"/>
  <c r="GS30" i="2"/>
  <c r="GR27" i="2"/>
  <c r="GS26" i="2"/>
  <c r="GS25" i="2"/>
  <c r="GS24" i="2"/>
  <c r="GS23" i="2"/>
  <c r="GS22" i="2"/>
  <c r="GS21" i="2"/>
  <c r="GR18" i="2"/>
  <c r="GS17" i="2"/>
  <c r="GS16" i="2"/>
  <c r="GS15" i="2"/>
  <c r="GS14" i="2"/>
  <c r="GS13" i="2"/>
  <c r="GS12" i="2"/>
  <c r="GS11" i="2"/>
  <c r="GS10" i="2"/>
  <c r="GS9" i="2"/>
  <c r="GR2" i="2"/>
  <c r="GS2" i="2" s="1"/>
  <c r="R2" i="2"/>
  <c r="EU2" i="2"/>
  <c r="EV2" i="2" s="1"/>
  <c r="EU67" i="2"/>
  <c r="EV66" i="2"/>
  <c r="EV65" i="2"/>
  <c r="EV64" i="2"/>
  <c r="EU61" i="2"/>
  <c r="EV60" i="2"/>
  <c r="EV59" i="2"/>
  <c r="EV58" i="2"/>
  <c r="EV57" i="2"/>
  <c r="EU54" i="2"/>
  <c r="EV53" i="2"/>
  <c r="EV52" i="2"/>
  <c r="EV51" i="2"/>
  <c r="EV50" i="2"/>
  <c r="EV49" i="2"/>
  <c r="EV48" i="2"/>
  <c r="EV47" i="2"/>
  <c r="EV46" i="2"/>
  <c r="EU43" i="2"/>
  <c r="EV42" i="2"/>
  <c r="EV41" i="2"/>
  <c r="EV39" i="2"/>
  <c r="EV38" i="2"/>
  <c r="EV37" i="2"/>
  <c r="EV36" i="2"/>
  <c r="EV35" i="2"/>
  <c r="EV34" i="2"/>
  <c r="EV33" i="2"/>
  <c r="EV32" i="2"/>
  <c r="EV31" i="2"/>
  <c r="EV30" i="2"/>
  <c r="EU27" i="2"/>
  <c r="EV26" i="2"/>
  <c r="EV25" i="2"/>
  <c r="EV24" i="2"/>
  <c r="EV23" i="2"/>
  <c r="EV22" i="2"/>
  <c r="EV21" i="2"/>
  <c r="EU18" i="2"/>
  <c r="EV17" i="2"/>
  <c r="EV16" i="2"/>
  <c r="EV15" i="2"/>
  <c r="EV14" i="2"/>
  <c r="EV13" i="2"/>
  <c r="EV12" i="2"/>
  <c r="EV11" i="2"/>
  <c r="EV10" i="2"/>
  <c r="EV9" i="2"/>
  <c r="CX67" i="2"/>
  <c r="CY66" i="2"/>
  <c r="CY65" i="2"/>
  <c r="CY64" i="2"/>
  <c r="CX61" i="2"/>
  <c r="CY60" i="2"/>
  <c r="CY59" i="2"/>
  <c r="CY58" i="2"/>
  <c r="CY57" i="2"/>
  <c r="CY61" i="2" s="1"/>
  <c r="CX54" i="2"/>
  <c r="CY53" i="2"/>
  <c r="CY52" i="2"/>
  <c r="CY51" i="2"/>
  <c r="CY50" i="2"/>
  <c r="CY49" i="2"/>
  <c r="CY48" i="2"/>
  <c r="CY47" i="2"/>
  <c r="CY46" i="2"/>
  <c r="CX43" i="2"/>
  <c r="CY42" i="2"/>
  <c r="CY41" i="2"/>
  <c r="CY39" i="2"/>
  <c r="CY38" i="2"/>
  <c r="CY37" i="2"/>
  <c r="CY36" i="2"/>
  <c r="CY35" i="2"/>
  <c r="CY34" i="2"/>
  <c r="CY33" i="2"/>
  <c r="CY32" i="2"/>
  <c r="CY31" i="2"/>
  <c r="CY30" i="2"/>
  <c r="CX27" i="2"/>
  <c r="CY26" i="2"/>
  <c r="CY25" i="2"/>
  <c r="CY24" i="2"/>
  <c r="CY23" i="2"/>
  <c r="CY22" i="2"/>
  <c r="CY21" i="2"/>
  <c r="CX18" i="2"/>
  <c r="CY17" i="2"/>
  <c r="CY16" i="2"/>
  <c r="CY15" i="2"/>
  <c r="CY14" i="2"/>
  <c r="CY13" i="2"/>
  <c r="CY12" i="2"/>
  <c r="CY11" i="2"/>
  <c r="CY10" i="2"/>
  <c r="CY9" i="2"/>
  <c r="CY2" i="2"/>
  <c r="CZ40" i="2" s="1"/>
  <c r="BV67" i="2"/>
  <c r="BW66" i="2"/>
  <c r="BW65" i="2"/>
  <c r="BX65" i="2" s="1"/>
  <c r="BW64" i="2"/>
  <c r="BV61" i="2"/>
  <c r="BW60" i="2"/>
  <c r="BW59" i="2"/>
  <c r="BW58" i="2"/>
  <c r="BW57" i="2"/>
  <c r="BV54" i="2"/>
  <c r="BW53" i="2"/>
  <c r="BW52" i="2"/>
  <c r="BW51" i="2"/>
  <c r="BW50" i="2"/>
  <c r="BW49" i="2"/>
  <c r="BW48" i="2"/>
  <c r="BW47" i="2"/>
  <c r="BW46" i="2"/>
  <c r="BV43" i="2"/>
  <c r="BW42" i="2"/>
  <c r="BW41" i="2"/>
  <c r="BW39" i="2"/>
  <c r="BW38" i="2"/>
  <c r="BW37" i="2"/>
  <c r="BW36" i="2"/>
  <c r="BW35" i="2"/>
  <c r="BW34" i="2"/>
  <c r="BW33" i="2"/>
  <c r="BW32" i="2"/>
  <c r="BW31" i="2"/>
  <c r="BW30" i="2"/>
  <c r="BV27" i="2"/>
  <c r="BW26" i="2"/>
  <c r="BW25" i="2"/>
  <c r="BW24" i="2"/>
  <c r="BW23" i="2"/>
  <c r="BW22" i="2"/>
  <c r="BW21" i="2"/>
  <c r="BV18" i="2"/>
  <c r="BW17" i="2"/>
  <c r="BX17" i="2" s="1"/>
  <c r="BW16" i="2"/>
  <c r="BW15" i="2"/>
  <c r="BW14" i="2"/>
  <c r="BW13" i="2"/>
  <c r="BW12" i="2"/>
  <c r="BX12" i="2" s="1"/>
  <c r="BW11" i="2"/>
  <c r="BW10" i="2"/>
  <c r="BW9" i="2"/>
  <c r="BW2" i="2"/>
  <c r="BX40" i="2" s="1"/>
  <c r="K67" i="2"/>
  <c r="L66" i="2"/>
  <c r="L65" i="2"/>
  <c r="L64" i="2"/>
  <c r="K61" i="2"/>
  <c r="L60" i="2"/>
  <c r="L59" i="2"/>
  <c r="L58" i="2"/>
  <c r="L57" i="2"/>
  <c r="K54" i="2"/>
  <c r="L53" i="2"/>
  <c r="L52" i="2"/>
  <c r="L51" i="2"/>
  <c r="L50" i="2"/>
  <c r="L49" i="2"/>
  <c r="L48" i="2"/>
  <c r="L47" i="2"/>
  <c r="L46" i="2"/>
  <c r="K43" i="2"/>
  <c r="L42" i="2"/>
  <c r="L41" i="2"/>
  <c r="L39" i="2"/>
  <c r="L38" i="2"/>
  <c r="L37" i="2"/>
  <c r="L36" i="2"/>
  <c r="L35" i="2"/>
  <c r="L34" i="2"/>
  <c r="L33" i="2"/>
  <c r="M33" i="2" s="1"/>
  <c r="L32" i="2"/>
  <c r="L31" i="2"/>
  <c r="L30" i="2"/>
  <c r="K27" i="2"/>
  <c r="L26" i="2"/>
  <c r="L25" i="2"/>
  <c r="L24" i="2"/>
  <c r="L23" i="2"/>
  <c r="L22" i="2"/>
  <c r="L21" i="2"/>
  <c r="K18" i="2"/>
  <c r="L17" i="2"/>
  <c r="L16" i="2"/>
  <c r="L15" i="2"/>
  <c r="L14" i="2"/>
  <c r="L13" i="2"/>
  <c r="L12" i="2"/>
  <c r="L11" i="2"/>
  <c r="L10" i="2"/>
  <c r="L9" i="2"/>
  <c r="L2" i="2"/>
  <c r="D67" i="2"/>
  <c r="E66" i="2"/>
  <c r="E65" i="2"/>
  <c r="E64" i="2"/>
  <c r="D61" i="2"/>
  <c r="E60" i="2"/>
  <c r="E59" i="2"/>
  <c r="E58" i="2"/>
  <c r="E57" i="2"/>
  <c r="D54" i="2"/>
  <c r="E53" i="2"/>
  <c r="E52" i="2"/>
  <c r="E51" i="2"/>
  <c r="F51" i="2" s="1"/>
  <c r="E50" i="2"/>
  <c r="E49" i="2"/>
  <c r="E48" i="2"/>
  <c r="E47" i="2"/>
  <c r="E46" i="2"/>
  <c r="D43" i="2"/>
  <c r="E42" i="2"/>
  <c r="E41" i="2"/>
  <c r="F41" i="2" s="1"/>
  <c r="E39" i="2"/>
  <c r="E38" i="2"/>
  <c r="E37" i="2"/>
  <c r="E36" i="2"/>
  <c r="E35" i="2"/>
  <c r="E34" i="2"/>
  <c r="E33" i="2"/>
  <c r="E32" i="2"/>
  <c r="E31" i="2"/>
  <c r="E30" i="2"/>
  <c r="D27" i="2"/>
  <c r="E26" i="2"/>
  <c r="F26" i="2" s="1"/>
  <c r="E25" i="2"/>
  <c r="E24" i="2"/>
  <c r="E23" i="2"/>
  <c r="E22" i="2"/>
  <c r="E21" i="2"/>
  <c r="D18" i="2"/>
  <c r="E17" i="2"/>
  <c r="E16" i="2"/>
  <c r="E15" i="2"/>
  <c r="E14" i="2"/>
  <c r="E13" i="2"/>
  <c r="E12" i="2"/>
  <c r="E11" i="2"/>
  <c r="F11" i="2" s="1"/>
  <c r="E10" i="2"/>
  <c r="E9" i="2"/>
  <c r="E2" i="2"/>
  <c r="F40" i="2" s="1"/>
  <c r="HT74" i="15" l="1"/>
  <c r="BM70" i="2"/>
  <c r="BM3" i="2" s="1"/>
  <c r="BM4" i="2" s="1"/>
  <c r="AX70" i="2"/>
  <c r="AX3" i="2" s="1"/>
  <c r="AX4" i="2" s="1"/>
  <c r="BL70" i="2"/>
  <c r="BL3" i="2" s="1"/>
  <c r="W17" i="4" s="1"/>
  <c r="AY70" i="2"/>
  <c r="AY3" i="2" s="1"/>
  <c r="AY4" i="2" s="1"/>
  <c r="GH70" i="2"/>
  <c r="GH3" i="2" s="1"/>
  <c r="GH4" i="2" s="1"/>
  <c r="DX70" i="2"/>
  <c r="DX3" i="2" s="1"/>
  <c r="DX4" i="2" s="1"/>
  <c r="CO70" i="2"/>
  <c r="CO3" i="2" s="1"/>
  <c r="CO4" i="2" s="1"/>
  <c r="CN70" i="2"/>
  <c r="CN3" i="2" s="1"/>
  <c r="CN4" i="2" s="1"/>
  <c r="GI70" i="2"/>
  <c r="GI3" i="2" s="1"/>
  <c r="GI4" i="2" s="1"/>
  <c r="DW70" i="2"/>
  <c r="DW3" i="2" s="1"/>
  <c r="DW4" i="2" s="1"/>
  <c r="FR47" i="2"/>
  <c r="M9" i="2"/>
  <c r="M17" i="2"/>
  <c r="M36" i="2"/>
  <c r="M47" i="2"/>
  <c r="L61" i="2"/>
  <c r="CY67" i="2"/>
  <c r="EV27" i="2"/>
  <c r="FY37" i="2"/>
  <c r="F21" i="2"/>
  <c r="F31" i="2"/>
  <c r="F39" i="2"/>
  <c r="M10" i="2"/>
  <c r="M30" i="2"/>
  <c r="M37" i="2"/>
  <c r="FR49" i="2"/>
  <c r="F13" i="2"/>
  <c r="M12" i="2"/>
  <c r="M22" i="2"/>
  <c r="BX30" i="2"/>
  <c r="BX49" i="2"/>
  <c r="BX59" i="2"/>
  <c r="EV61" i="2"/>
  <c r="FR41" i="2"/>
  <c r="FY21" i="2"/>
  <c r="FY31" i="2"/>
  <c r="FY38" i="2"/>
  <c r="EB34" i="2"/>
  <c r="EP12" i="2"/>
  <c r="F14" i="2"/>
  <c r="M13" i="2"/>
  <c r="BX21" i="2"/>
  <c r="CZ49" i="2"/>
  <c r="CZ59" i="2"/>
  <c r="EU70" i="2"/>
  <c r="EU3" i="2" s="1"/>
  <c r="EU4" i="2" s="1"/>
  <c r="FY22" i="2"/>
  <c r="FY39" i="2"/>
  <c r="EB15" i="2"/>
  <c r="EB25" i="2"/>
  <c r="EB66" i="2"/>
  <c r="F25" i="2"/>
  <c r="F35" i="2"/>
  <c r="E67" i="2"/>
  <c r="GT37" i="2"/>
  <c r="FY13" i="2"/>
  <c r="FY23" i="2"/>
  <c r="FW70" i="2"/>
  <c r="FW3" i="2" s="1"/>
  <c r="FW4" i="2" s="1"/>
  <c r="BW67" i="2"/>
  <c r="CZ12" i="2"/>
  <c r="CZ22" i="2"/>
  <c r="CZ32" i="2"/>
  <c r="CZ41" i="2"/>
  <c r="CZ51" i="2"/>
  <c r="FY14" i="2"/>
  <c r="FY42" i="2"/>
  <c r="FY52" i="2"/>
  <c r="FX67" i="2"/>
  <c r="EP65" i="2"/>
  <c r="FR64" i="2"/>
  <c r="E61" i="2"/>
  <c r="BX13" i="2"/>
  <c r="BX39" i="2"/>
  <c r="BX50" i="2"/>
  <c r="CZ47" i="2"/>
  <c r="FR9" i="2"/>
  <c r="FR53" i="2"/>
  <c r="FR65" i="2"/>
  <c r="FY11" i="2"/>
  <c r="FY36" i="2"/>
  <c r="DZ70" i="2"/>
  <c r="DZ3" i="2" s="1"/>
  <c r="DZ4" i="2" s="1"/>
  <c r="F37" i="2"/>
  <c r="M31" i="2"/>
  <c r="M66" i="2"/>
  <c r="BX41" i="2"/>
  <c r="BX51" i="2"/>
  <c r="BX60" i="2"/>
  <c r="DF27" i="2"/>
  <c r="DF67" i="2"/>
  <c r="BX15" i="2"/>
  <c r="BX23" i="2"/>
  <c r="BX33" i="2"/>
  <c r="BX42" i="2"/>
  <c r="BX52" i="2"/>
  <c r="FR11" i="2"/>
  <c r="FR57" i="2"/>
  <c r="FY47" i="2"/>
  <c r="FX61" i="2"/>
  <c r="FR58" i="2"/>
  <c r="FQ67" i="2"/>
  <c r="FJ70" i="2"/>
  <c r="FJ3" i="2" s="1"/>
  <c r="FJ4" i="2" s="1"/>
  <c r="BX34" i="2"/>
  <c r="L27" i="2"/>
  <c r="BX35" i="2"/>
  <c r="FR23" i="2"/>
  <c r="BX53" i="2"/>
  <c r="K70" i="2"/>
  <c r="K3" i="2" s="1"/>
  <c r="K4" i="2" s="1"/>
  <c r="BW18" i="2"/>
  <c r="BX25" i="2"/>
  <c r="FR13" i="2"/>
  <c r="FR33" i="2"/>
  <c r="FY15" i="2"/>
  <c r="FY33" i="2"/>
  <c r="FY49" i="2"/>
  <c r="FY59" i="2"/>
  <c r="BX10" i="2"/>
  <c r="BX26" i="2"/>
  <c r="BX36" i="2"/>
  <c r="BW61" i="2"/>
  <c r="FR42" i="2"/>
  <c r="FR50" i="2"/>
  <c r="FR60" i="2"/>
  <c r="FY16" i="2"/>
  <c r="FY34" i="2"/>
  <c r="FY40" i="2"/>
  <c r="FY50" i="2"/>
  <c r="FY60" i="2"/>
  <c r="DE70" i="2"/>
  <c r="DE3" i="2" s="1"/>
  <c r="DE4" i="2" s="1"/>
  <c r="F15" i="2"/>
  <c r="M23" i="2"/>
  <c r="M41" i="2"/>
  <c r="M51" i="2"/>
  <c r="BX11" i="2"/>
  <c r="BV70" i="2"/>
  <c r="BV3" i="2" s="1"/>
  <c r="BV4" i="2" s="1"/>
  <c r="BX37" i="2"/>
  <c r="CZ53" i="2"/>
  <c r="FR15" i="2"/>
  <c r="FR25" i="2"/>
  <c r="FR35" i="2"/>
  <c r="FR51" i="2"/>
  <c r="FY41" i="2"/>
  <c r="FY51" i="2"/>
  <c r="GT12" i="2"/>
  <c r="EP15" i="2"/>
  <c r="EP25" i="2"/>
  <c r="EP35" i="2"/>
  <c r="EP53" i="2"/>
  <c r="F12" i="2"/>
  <c r="D70" i="2"/>
  <c r="D3" i="2" s="1"/>
  <c r="D4" i="2" s="1"/>
  <c r="F42" i="2"/>
  <c r="F52" i="2"/>
  <c r="F64" i="2"/>
  <c r="M26" i="2"/>
  <c r="M34" i="2"/>
  <c r="M42" i="2"/>
  <c r="M52" i="2"/>
  <c r="L67" i="2"/>
  <c r="BX9" i="2"/>
  <c r="BX16" i="2"/>
  <c r="BX24" i="2"/>
  <c r="BX58" i="2"/>
  <c r="BX66" i="2"/>
  <c r="CZ13" i="2"/>
  <c r="CY27" i="2"/>
  <c r="CZ33" i="2"/>
  <c r="CZ64" i="2"/>
  <c r="EV43" i="2"/>
  <c r="GT42" i="2"/>
  <c r="GT52" i="2"/>
  <c r="GT64" i="2"/>
  <c r="FR21" i="2"/>
  <c r="FR31" i="2"/>
  <c r="FR39" i="2"/>
  <c r="FR48" i="2"/>
  <c r="FY26" i="2"/>
  <c r="FY48" i="2"/>
  <c r="FY58" i="2"/>
  <c r="DG14" i="2"/>
  <c r="DG24" i="2"/>
  <c r="DG34" i="2"/>
  <c r="EA27" i="2"/>
  <c r="EP9" i="2"/>
  <c r="GT51" i="2"/>
  <c r="E43" i="2"/>
  <c r="F36" i="2"/>
  <c r="F53" i="2"/>
  <c r="F65" i="2"/>
  <c r="M53" i="2"/>
  <c r="M65" i="2"/>
  <c r="CZ14" i="2"/>
  <c r="CZ24" i="2"/>
  <c r="CZ34" i="2"/>
  <c r="CZ42" i="2"/>
  <c r="CZ50" i="2"/>
  <c r="CZ57" i="2"/>
  <c r="GT53" i="2"/>
  <c r="GT65" i="2"/>
  <c r="FQ61" i="2"/>
  <c r="DG15" i="2"/>
  <c r="DG25" i="2"/>
  <c r="DG35" i="2"/>
  <c r="DF54" i="2"/>
  <c r="DG66" i="2"/>
  <c r="EP10" i="2"/>
  <c r="EP17" i="2"/>
  <c r="EP37" i="2"/>
  <c r="EP47" i="2"/>
  <c r="EO61" i="2"/>
  <c r="L54" i="2"/>
  <c r="CZ15" i="2"/>
  <c r="CZ25" i="2"/>
  <c r="CZ35" i="2"/>
  <c r="CZ58" i="2"/>
  <c r="CZ65" i="2"/>
  <c r="GT15" i="2"/>
  <c r="GT25" i="2"/>
  <c r="GT35" i="2"/>
  <c r="GS54" i="2"/>
  <c r="GT66" i="2"/>
  <c r="FX27" i="2"/>
  <c r="DG47" i="2"/>
  <c r="EP11" i="2"/>
  <c r="EN70" i="2"/>
  <c r="EN3" i="2" s="1"/>
  <c r="EN4" i="2" s="1"/>
  <c r="EP30" i="2"/>
  <c r="EP38" i="2"/>
  <c r="EP48" i="2"/>
  <c r="EP58" i="2"/>
  <c r="GT41" i="2"/>
  <c r="E27" i="2"/>
  <c r="CZ16" i="2"/>
  <c r="CZ26" i="2"/>
  <c r="CZ36" i="2"/>
  <c r="CY54" i="2"/>
  <c r="CZ66" i="2"/>
  <c r="GT16" i="2"/>
  <c r="GT26" i="2"/>
  <c r="GT47" i="2"/>
  <c r="GS61" i="2"/>
  <c r="FX18" i="2"/>
  <c r="FX43" i="2"/>
  <c r="EO27" i="2"/>
  <c r="EP31" i="2"/>
  <c r="EP39" i="2"/>
  <c r="EP49" i="2"/>
  <c r="EP59" i="2"/>
  <c r="GT22" i="2"/>
  <c r="F32" i="2"/>
  <c r="CY18" i="2"/>
  <c r="CZ37" i="2"/>
  <c r="GT48" i="2"/>
  <c r="GT58" i="2"/>
  <c r="DF43" i="2"/>
  <c r="EA43" i="2"/>
  <c r="EA54" i="2"/>
  <c r="F23" i="2"/>
  <c r="F47" i="2"/>
  <c r="E18" i="2"/>
  <c r="F24" i="2"/>
  <c r="F48" i="2"/>
  <c r="M14" i="2"/>
  <c r="M58" i="2"/>
  <c r="BW54" i="2"/>
  <c r="CX70" i="2"/>
  <c r="CX3" i="2" s="1"/>
  <c r="CX4" i="2" s="1"/>
  <c r="F10" i="2"/>
  <c r="F49" i="2"/>
  <c r="F59" i="2"/>
  <c r="M32" i="2"/>
  <c r="M38" i="2"/>
  <c r="M49" i="2"/>
  <c r="M59" i="2"/>
  <c r="BX22" i="2"/>
  <c r="BX31" i="2"/>
  <c r="BX47" i="2"/>
  <c r="CZ10" i="2"/>
  <c r="CZ30" i="2"/>
  <c r="CZ38" i="2"/>
  <c r="CZ60" i="2"/>
  <c r="EV54" i="2"/>
  <c r="GR70" i="2"/>
  <c r="GR3" i="2" s="1"/>
  <c r="GR4" i="2" s="1"/>
  <c r="GT49" i="2"/>
  <c r="GT59" i="2"/>
  <c r="FQ54" i="2"/>
  <c r="FR66" i="2"/>
  <c r="FY24" i="2"/>
  <c r="FY53" i="2"/>
  <c r="FY65" i="2"/>
  <c r="EB47" i="2"/>
  <c r="EA61" i="2"/>
  <c r="EP13" i="2"/>
  <c r="EP23" i="2"/>
  <c r="EP33" i="2"/>
  <c r="EP41" i="2"/>
  <c r="EP51" i="2"/>
  <c r="E54" i="2"/>
  <c r="F38" i="2"/>
  <c r="F58" i="2"/>
  <c r="M48" i="2"/>
  <c r="CZ17" i="2"/>
  <c r="CZ52" i="2"/>
  <c r="F16" i="2"/>
  <c r="F33" i="2"/>
  <c r="F17" i="2"/>
  <c r="F34" i="2"/>
  <c r="F50" i="2"/>
  <c r="F60" i="2"/>
  <c r="M16" i="2"/>
  <c r="M24" i="2"/>
  <c r="M50" i="2"/>
  <c r="M60" i="2"/>
  <c r="BX14" i="2"/>
  <c r="BX32" i="2"/>
  <c r="BX38" i="2"/>
  <c r="BX48" i="2"/>
  <c r="CZ11" i="2"/>
  <c r="CZ21" i="2"/>
  <c r="CZ31" i="2"/>
  <c r="CZ39" i="2"/>
  <c r="CZ48" i="2"/>
  <c r="EV18" i="2"/>
  <c r="GT11" i="2"/>
  <c r="GS27" i="2"/>
  <c r="GT31" i="2"/>
  <c r="GT39" i="2"/>
  <c r="GT50" i="2"/>
  <c r="GT60" i="2"/>
  <c r="FR17" i="2"/>
  <c r="FP70" i="2"/>
  <c r="FP3" i="2" s="1"/>
  <c r="FP4" i="2" s="1"/>
  <c r="FR37" i="2"/>
  <c r="FR52" i="2"/>
  <c r="FR59" i="2"/>
  <c r="FY12" i="2"/>
  <c r="FY17" i="2"/>
  <c r="FY32" i="2"/>
  <c r="FX54" i="2"/>
  <c r="FY66" i="2"/>
  <c r="EA18" i="2"/>
  <c r="EP14" i="2"/>
  <c r="EP24" i="2"/>
  <c r="EP34" i="2"/>
  <c r="EP42" i="2"/>
  <c r="EP52" i="2"/>
  <c r="EO67" i="2"/>
  <c r="CR70" i="2"/>
  <c r="CR3" i="2" s="1"/>
  <c r="CR4" i="2" s="1"/>
  <c r="EO18" i="2"/>
  <c r="EP64" i="2"/>
  <c r="EP21" i="2"/>
  <c r="EO43" i="2"/>
  <c r="EP16" i="2"/>
  <c r="EP22" i="2"/>
  <c r="EP26" i="2"/>
  <c r="EP32" i="2"/>
  <c r="EP36" i="2"/>
  <c r="EP40" i="2"/>
  <c r="EP46" i="2"/>
  <c r="EP50" i="2"/>
  <c r="EP60" i="2"/>
  <c r="EO54" i="2"/>
  <c r="EP57" i="2"/>
  <c r="EB48" i="2"/>
  <c r="EB10" i="2"/>
  <c r="EB30" i="2"/>
  <c r="EB38" i="2"/>
  <c r="EB37" i="2"/>
  <c r="EB33" i="2"/>
  <c r="EB23" i="2"/>
  <c r="EB17" i="2"/>
  <c r="EB13" i="2"/>
  <c r="EB9" i="2"/>
  <c r="EB49" i="2"/>
  <c r="EB36" i="2"/>
  <c r="EB32" i="2"/>
  <c r="EB26" i="2"/>
  <c r="EB22" i="2"/>
  <c r="EB16" i="2"/>
  <c r="EB12" i="2"/>
  <c r="EB40" i="2"/>
  <c r="EB53" i="2"/>
  <c r="EB59" i="2"/>
  <c r="EB65" i="2"/>
  <c r="EB11" i="2"/>
  <c r="EB31" i="2"/>
  <c r="EB39" i="2"/>
  <c r="EB50" i="2"/>
  <c r="EB60" i="2"/>
  <c r="EB58" i="2"/>
  <c r="EB41" i="2"/>
  <c r="EB51" i="2"/>
  <c r="EB21" i="2"/>
  <c r="EB35" i="2"/>
  <c r="EB46" i="2"/>
  <c r="EB57" i="2"/>
  <c r="EA67" i="2"/>
  <c r="DG9" i="2"/>
  <c r="DG17" i="2"/>
  <c r="DG37" i="2"/>
  <c r="DG48" i="2"/>
  <c r="DG58" i="2"/>
  <c r="DG10" i="2"/>
  <c r="DG38" i="2"/>
  <c r="DG50" i="2"/>
  <c r="DG41" i="2"/>
  <c r="DG51" i="2"/>
  <c r="DG40" i="2"/>
  <c r="DG65" i="2"/>
  <c r="DG53" i="2"/>
  <c r="DG49" i="2"/>
  <c r="DG32" i="2"/>
  <c r="DG22" i="2"/>
  <c r="DG59" i="2"/>
  <c r="DG36" i="2"/>
  <c r="DG12" i="2"/>
  <c r="DG26" i="2"/>
  <c r="DG16" i="2"/>
  <c r="DG57" i="2"/>
  <c r="DG11" i="2"/>
  <c r="DG21" i="2"/>
  <c r="DG31" i="2"/>
  <c r="DG39" i="2"/>
  <c r="DG60" i="2"/>
  <c r="DG13" i="2"/>
  <c r="DG33" i="2"/>
  <c r="DG42" i="2"/>
  <c r="DG52" i="2"/>
  <c r="DG64" i="2"/>
  <c r="DF61" i="2"/>
  <c r="DG23" i="2"/>
  <c r="DF18" i="2"/>
  <c r="DG30" i="2"/>
  <c r="DG46" i="2"/>
  <c r="FY64" i="2"/>
  <c r="FY10" i="2"/>
  <c r="FY30" i="2"/>
  <c r="FY46" i="2"/>
  <c r="FY57" i="2"/>
  <c r="FQ27" i="2"/>
  <c r="FR10" i="2"/>
  <c r="FR14" i="2"/>
  <c r="FQ18" i="2"/>
  <c r="FR24" i="2"/>
  <c r="FR30" i="2"/>
  <c r="FR34" i="2"/>
  <c r="FR38" i="2"/>
  <c r="FQ43" i="2"/>
  <c r="FR40" i="2"/>
  <c r="FR46" i="2"/>
  <c r="FR12" i="2"/>
  <c r="FR16" i="2"/>
  <c r="FR22" i="2"/>
  <c r="FR26" i="2"/>
  <c r="FR32" i="2"/>
  <c r="GT10" i="2"/>
  <c r="GT14" i="2"/>
  <c r="GS18" i="2"/>
  <c r="GT24" i="2"/>
  <c r="GT30" i="2"/>
  <c r="GT34" i="2"/>
  <c r="GT38" i="2"/>
  <c r="GS43" i="2"/>
  <c r="GT21" i="2"/>
  <c r="GT40" i="2"/>
  <c r="GT46" i="2"/>
  <c r="GT32" i="2"/>
  <c r="GT36" i="2"/>
  <c r="GT57" i="2"/>
  <c r="GS67" i="2"/>
  <c r="GT9" i="2"/>
  <c r="GT13" i="2"/>
  <c r="GT17" i="2"/>
  <c r="GT23" i="2"/>
  <c r="GT33" i="2"/>
  <c r="EW57" i="2"/>
  <c r="EW65" i="2"/>
  <c r="EW23" i="2"/>
  <c r="EW53" i="2"/>
  <c r="EW13" i="2"/>
  <c r="EW59" i="2"/>
  <c r="EW33" i="2"/>
  <c r="EW37" i="2"/>
  <c r="EW17" i="2"/>
  <c r="EW49" i="2"/>
  <c r="EW9" i="2"/>
  <c r="EW24" i="2"/>
  <c r="EW39" i="2"/>
  <c r="EW10" i="2"/>
  <c r="EW25" i="2"/>
  <c r="EW11" i="2"/>
  <c r="EW34" i="2"/>
  <c r="EW12" i="2"/>
  <c r="EW35" i="2"/>
  <c r="EW52" i="2"/>
  <c r="EW60" i="2"/>
  <c r="EW21" i="2"/>
  <c r="EW36" i="2"/>
  <c r="EW50" i="2"/>
  <c r="EW64" i="2"/>
  <c r="EW14" i="2"/>
  <c r="EW31" i="2"/>
  <c r="EW48" i="2"/>
  <c r="EW16" i="2"/>
  <c r="EW66" i="2"/>
  <c r="EW26" i="2"/>
  <c r="EW42" i="2"/>
  <c r="EW22" i="2"/>
  <c r="EW15" i="2"/>
  <c r="EW32" i="2"/>
  <c r="EW38" i="2"/>
  <c r="EW30" i="2"/>
  <c r="EW58" i="2"/>
  <c r="EW40" i="2"/>
  <c r="EW46" i="2"/>
  <c r="EW41" i="2"/>
  <c r="EW47" i="2"/>
  <c r="EW51" i="2"/>
  <c r="EV67" i="2"/>
  <c r="CZ9" i="2"/>
  <c r="CZ23" i="2"/>
  <c r="CZ46" i="2"/>
  <c r="CY43" i="2"/>
  <c r="BW27" i="2"/>
  <c r="BX64" i="2"/>
  <c r="BW43" i="2"/>
  <c r="BX46" i="2"/>
  <c r="BX57" i="2"/>
  <c r="L43" i="2"/>
  <c r="L18" i="2"/>
  <c r="L70" i="2" s="1"/>
  <c r="L3" i="2" s="1"/>
  <c r="L4" i="2" s="1"/>
  <c r="M21" i="2"/>
  <c r="M39" i="2"/>
  <c r="M40" i="2"/>
  <c r="M46" i="2"/>
  <c r="M64" i="2"/>
  <c r="M15" i="2"/>
  <c r="M25" i="2"/>
  <c r="M35" i="2"/>
  <c r="M11" i="2"/>
  <c r="M57" i="2"/>
  <c r="E70" i="2"/>
  <c r="E3" i="2" s="1"/>
  <c r="E4" i="2" s="1"/>
  <c r="F46" i="2"/>
  <c r="F66" i="2"/>
  <c r="F22" i="2"/>
  <c r="F57" i="2"/>
  <c r="F9" i="2"/>
  <c r="F30" i="2"/>
  <c r="BL4" i="2" l="1"/>
  <c r="W39" i="4"/>
  <c r="EA70" i="2"/>
  <c r="EA3" i="2" s="1"/>
  <c r="EA4" i="2" s="1"/>
  <c r="FX70" i="2"/>
  <c r="FX3" i="2" s="1"/>
  <c r="FX4" i="2" s="1"/>
  <c r="CY70" i="2"/>
  <c r="CY3" i="2" s="1"/>
  <c r="CY4" i="2" s="1"/>
  <c r="BW70" i="2"/>
  <c r="BW3" i="2" s="1"/>
  <c r="BW4" i="2" s="1"/>
  <c r="EV70" i="2"/>
  <c r="EV3" i="2" s="1"/>
  <c r="EV4" i="2" s="1"/>
  <c r="DF70" i="2"/>
  <c r="DF3" i="2" s="1"/>
  <c r="DF4" i="2" s="1"/>
  <c r="EO70" i="2"/>
  <c r="EO3" i="2" s="1"/>
  <c r="EO4" i="2" s="1"/>
  <c r="FQ70" i="2"/>
  <c r="FQ3" i="2" s="1"/>
  <c r="FQ4" i="2" s="1"/>
  <c r="GS70" i="2"/>
  <c r="GS3" i="2" s="1"/>
  <c r="GS4" i="2" s="1"/>
  <c r="HT67" i="2" l="1"/>
  <c r="HU66" i="2"/>
  <c r="HU65" i="2"/>
  <c r="HU64" i="2"/>
  <c r="HT61" i="2"/>
  <c r="HU60" i="2"/>
  <c r="HU59" i="2"/>
  <c r="HU58" i="2"/>
  <c r="HU57" i="2"/>
  <c r="HT54" i="2"/>
  <c r="HU53" i="2"/>
  <c r="HU52" i="2"/>
  <c r="HU51" i="2"/>
  <c r="HU50" i="2"/>
  <c r="HU49" i="2"/>
  <c r="HU48" i="2"/>
  <c r="HU47" i="2"/>
  <c r="HU46" i="2"/>
  <c r="HT43" i="2"/>
  <c r="HU42" i="2"/>
  <c r="HU41" i="2"/>
  <c r="HV41" i="2" s="1"/>
  <c r="HU40" i="2"/>
  <c r="HU39" i="2"/>
  <c r="HU38" i="2"/>
  <c r="HU37" i="2"/>
  <c r="HU36" i="2"/>
  <c r="HU35" i="2"/>
  <c r="HU34" i="2"/>
  <c r="HU33" i="2"/>
  <c r="HV33" i="2" s="1"/>
  <c r="HU32" i="2"/>
  <c r="HU31" i="2"/>
  <c r="HU30" i="2"/>
  <c r="HT27" i="2"/>
  <c r="HU26" i="2"/>
  <c r="HU25" i="2"/>
  <c r="HU24" i="2"/>
  <c r="HU23" i="2"/>
  <c r="HU22" i="2"/>
  <c r="HU21" i="2"/>
  <c r="HV21" i="2" s="1"/>
  <c r="HT18" i="2"/>
  <c r="HU17" i="2"/>
  <c r="HU16" i="2"/>
  <c r="HU15" i="2"/>
  <c r="HU14" i="2"/>
  <c r="HU13" i="2"/>
  <c r="HV13" i="2" s="1"/>
  <c r="HU12" i="2"/>
  <c r="HU11" i="2"/>
  <c r="HV11" i="2" s="1"/>
  <c r="HU10" i="2"/>
  <c r="HU9" i="2"/>
  <c r="HT2" i="2"/>
  <c r="HU2" i="2" s="1"/>
  <c r="DL67" i="2"/>
  <c r="DM66" i="2"/>
  <c r="DM65" i="2"/>
  <c r="DM64" i="2"/>
  <c r="DL61" i="2"/>
  <c r="DM60" i="2"/>
  <c r="DM59" i="2"/>
  <c r="DM58" i="2"/>
  <c r="DM57" i="2"/>
  <c r="DL54" i="2"/>
  <c r="DM53" i="2"/>
  <c r="DM52" i="2"/>
  <c r="DM51" i="2"/>
  <c r="DM50" i="2"/>
  <c r="DM49" i="2"/>
  <c r="DM48" i="2"/>
  <c r="DM47" i="2"/>
  <c r="DM46" i="2"/>
  <c r="DL43" i="2"/>
  <c r="DM42" i="2"/>
  <c r="DM41" i="2"/>
  <c r="DM40" i="2"/>
  <c r="DM39" i="2"/>
  <c r="DM38" i="2"/>
  <c r="DM37" i="2"/>
  <c r="DM36" i="2"/>
  <c r="DM35" i="2"/>
  <c r="DM34" i="2"/>
  <c r="DM33" i="2"/>
  <c r="DM32" i="2"/>
  <c r="DM31" i="2"/>
  <c r="DM30" i="2"/>
  <c r="DL27" i="2"/>
  <c r="DM26" i="2"/>
  <c r="DM25" i="2"/>
  <c r="DM24" i="2"/>
  <c r="DM23" i="2"/>
  <c r="DM22" i="2"/>
  <c r="DM21" i="2"/>
  <c r="DL18" i="2"/>
  <c r="DM17" i="2"/>
  <c r="DM16" i="2"/>
  <c r="DM15" i="2"/>
  <c r="DM14" i="2"/>
  <c r="DM13" i="2"/>
  <c r="DM12" i="2"/>
  <c r="DM11" i="2"/>
  <c r="DM10" i="2"/>
  <c r="DM9" i="2"/>
  <c r="DL2" i="2"/>
  <c r="DM2" i="2" s="1"/>
  <c r="CC67" i="2"/>
  <c r="CD66" i="2"/>
  <c r="CD65" i="2"/>
  <c r="CD64" i="2"/>
  <c r="CC61" i="2"/>
  <c r="CD60" i="2"/>
  <c r="CD59" i="2"/>
  <c r="CD58" i="2"/>
  <c r="CD57" i="2"/>
  <c r="CC54" i="2"/>
  <c r="CD53" i="2"/>
  <c r="CD52" i="2"/>
  <c r="CD51" i="2"/>
  <c r="CD50" i="2"/>
  <c r="CD49" i="2"/>
  <c r="CD48" i="2"/>
  <c r="CD47" i="2"/>
  <c r="CD46" i="2"/>
  <c r="CC43" i="2"/>
  <c r="CD42" i="2"/>
  <c r="CD41" i="2"/>
  <c r="CD40" i="2"/>
  <c r="CD39" i="2"/>
  <c r="CD38" i="2"/>
  <c r="CD37" i="2"/>
  <c r="CD36" i="2"/>
  <c r="CD35" i="2"/>
  <c r="CD34" i="2"/>
  <c r="CD33" i="2"/>
  <c r="CD32" i="2"/>
  <c r="CD31" i="2"/>
  <c r="CD30" i="2"/>
  <c r="CC27" i="2"/>
  <c r="CD26" i="2"/>
  <c r="CD25" i="2"/>
  <c r="CD24" i="2"/>
  <c r="CD23" i="2"/>
  <c r="CD22" i="2"/>
  <c r="CD21" i="2"/>
  <c r="CC18" i="2"/>
  <c r="CD17" i="2"/>
  <c r="CD16" i="2"/>
  <c r="CD15" i="2"/>
  <c r="CD14" i="2"/>
  <c r="CD13" i="2"/>
  <c r="CD12" i="2"/>
  <c r="CD11" i="2"/>
  <c r="CD10" i="2"/>
  <c r="CD9" i="2"/>
  <c r="CC2" i="2"/>
  <c r="CD2" i="2" s="1"/>
  <c r="BA67" i="2"/>
  <c r="BB66" i="2"/>
  <c r="BB65" i="2"/>
  <c r="BB64" i="2"/>
  <c r="BA61" i="2"/>
  <c r="BB60" i="2"/>
  <c r="BB59" i="2"/>
  <c r="BB58" i="2"/>
  <c r="BB57" i="2"/>
  <c r="BA54" i="2"/>
  <c r="BB53" i="2"/>
  <c r="BB52" i="2"/>
  <c r="BB51" i="2"/>
  <c r="BB50" i="2"/>
  <c r="BB49" i="2"/>
  <c r="BB48" i="2"/>
  <c r="BB47" i="2"/>
  <c r="BB46" i="2"/>
  <c r="BA43" i="2"/>
  <c r="BB42" i="2"/>
  <c r="BB41" i="2"/>
  <c r="BB40" i="2"/>
  <c r="BB39" i="2"/>
  <c r="BB38" i="2"/>
  <c r="BB37" i="2"/>
  <c r="BB36" i="2"/>
  <c r="BB35" i="2"/>
  <c r="BB34" i="2"/>
  <c r="BB33" i="2"/>
  <c r="BB32" i="2"/>
  <c r="BB31" i="2"/>
  <c r="BB30" i="2"/>
  <c r="BA27" i="2"/>
  <c r="BB26" i="2"/>
  <c r="BB25" i="2"/>
  <c r="BB24" i="2"/>
  <c r="BB23" i="2"/>
  <c r="BB22" i="2"/>
  <c r="BB21" i="2"/>
  <c r="BA18" i="2"/>
  <c r="BB17" i="2"/>
  <c r="BB16" i="2"/>
  <c r="BB15" i="2"/>
  <c r="BB14" i="2"/>
  <c r="BB13" i="2"/>
  <c r="BB12" i="2"/>
  <c r="BB11" i="2"/>
  <c r="BB10" i="2"/>
  <c r="BB9" i="2"/>
  <c r="BA2" i="2"/>
  <c r="BB2" i="2" s="1"/>
  <c r="DN38" i="2" l="1"/>
  <c r="DN48" i="2"/>
  <c r="DN58" i="2"/>
  <c r="BC15" i="2"/>
  <c r="BC25" i="2"/>
  <c r="BC35" i="2"/>
  <c r="BC53" i="2"/>
  <c r="BC65" i="2"/>
  <c r="DM18" i="2"/>
  <c r="DM43" i="2"/>
  <c r="DM27" i="2"/>
  <c r="CE52" i="2"/>
  <c r="CE64" i="2"/>
  <c r="DN12" i="2"/>
  <c r="DN22" i="2"/>
  <c r="HV51" i="2"/>
  <c r="CE48" i="2"/>
  <c r="CE58" i="2"/>
  <c r="DN66" i="2"/>
  <c r="HV14" i="2"/>
  <c r="HV24" i="2"/>
  <c r="HV34" i="2"/>
  <c r="HV42" i="2"/>
  <c r="HU67" i="2"/>
  <c r="CD43" i="2"/>
  <c r="DM61" i="2"/>
  <c r="HV15" i="2"/>
  <c r="HV25" i="2"/>
  <c r="HV35" i="2"/>
  <c r="HV53" i="2"/>
  <c r="HV65" i="2"/>
  <c r="HV31" i="2"/>
  <c r="HV39" i="2"/>
  <c r="HV49" i="2"/>
  <c r="HV59" i="2"/>
  <c r="BC14" i="2"/>
  <c r="BC24" i="2"/>
  <c r="BC34" i="2"/>
  <c r="BC42" i="2"/>
  <c r="BC52" i="2"/>
  <c r="BB67" i="2"/>
  <c r="DN36" i="2"/>
  <c r="DM54" i="2"/>
  <c r="HV12" i="2"/>
  <c r="HV22" i="2"/>
  <c r="HV32" i="2"/>
  <c r="HU27" i="2"/>
  <c r="HU54" i="2"/>
  <c r="CD18" i="2"/>
  <c r="CD54" i="2"/>
  <c r="CE66" i="2"/>
  <c r="DN14" i="2"/>
  <c r="DN24" i="2"/>
  <c r="HU18" i="2"/>
  <c r="HV17" i="2"/>
  <c r="HV37" i="2"/>
  <c r="HV47" i="2"/>
  <c r="HV57" i="2"/>
  <c r="BB54" i="2"/>
  <c r="DM67" i="2"/>
  <c r="BA70" i="2"/>
  <c r="BA3" i="2" s="1"/>
  <c r="BA4" i="2" s="1"/>
  <c r="BB61" i="2"/>
  <c r="CE10" i="2"/>
  <c r="CE30" i="2"/>
  <c r="CE38" i="2"/>
  <c r="DN34" i="2"/>
  <c r="DN42" i="2"/>
  <c r="DN52" i="2"/>
  <c r="HV10" i="2"/>
  <c r="HV30" i="2"/>
  <c r="HV38" i="2"/>
  <c r="HV48" i="2"/>
  <c r="HV58" i="2"/>
  <c r="HT70" i="2"/>
  <c r="HT3" i="2" s="1"/>
  <c r="HT4" i="2" s="1"/>
  <c r="DL70" i="2"/>
  <c r="DL3" i="2" s="1"/>
  <c r="DL4" i="2" s="1"/>
  <c r="CC70" i="2"/>
  <c r="CC3" i="2" s="1"/>
  <c r="CC4" i="2" s="1"/>
  <c r="BB27" i="2"/>
  <c r="HV40" i="2"/>
  <c r="HV50" i="2"/>
  <c r="HV60" i="2"/>
  <c r="HV52" i="2"/>
  <c r="HV64" i="2"/>
  <c r="HV16" i="2"/>
  <c r="HV26" i="2"/>
  <c r="HV36" i="2"/>
  <c r="HV66" i="2"/>
  <c r="HV23" i="2"/>
  <c r="HU43" i="2"/>
  <c r="HV9" i="2"/>
  <c r="HU61" i="2"/>
  <c r="HV46" i="2"/>
  <c r="DN32" i="2"/>
  <c r="DN40" i="2"/>
  <c r="DN50" i="2"/>
  <c r="DN60" i="2"/>
  <c r="DN65" i="2"/>
  <c r="DN53" i="2"/>
  <c r="DN49" i="2"/>
  <c r="DN35" i="2"/>
  <c r="DN31" i="2"/>
  <c r="DN21" i="2"/>
  <c r="DN11" i="2"/>
  <c r="DN47" i="2"/>
  <c r="DN33" i="2"/>
  <c r="DN23" i="2"/>
  <c r="DN13" i="2"/>
  <c r="DN59" i="2"/>
  <c r="DN39" i="2"/>
  <c r="DN25" i="2"/>
  <c r="DN15" i="2"/>
  <c r="DN57" i="2"/>
  <c r="DN41" i="2"/>
  <c r="DN51" i="2"/>
  <c r="DN37" i="2"/>
  <c r="DN17" i="2"/>
  <c r="DN9" i="2"/>
  <c r="DN16" i="2"/>
  <c r="DN26" i="2"/>
  <c r="DN64" i="2"/>
  <c r="DN10" i="2"/>
  <c r="DN30" i="2"/>
  <c r="DN46" i="2"/>
  <c r="CE22" i="2"/>
  <c r="CE40" i="2"/>
  <c r="CE12" i="2"/>
  <c r="CE32" i="2"/>
  <c r="CE50" i="2"/>
  <c r="CE60" i="2"/>
  <c r="CE14" i="2"/>
  <c r="CE24" i="2"/>
  <c r="CE34" i="2"/>
  <c r="CE42" i="2"/>
  <c r="CE59" i="2"/>
  <c r="CE49" i="2"/>
  <c r="CE39" i="2"/>
  <c r="CE35" i="2"/>
  <c r="CE25" i="2"/>
  <c r="CE15" i="2"/>
  <c r="CE57" i="2"/>
  <c r="CE51" i="2"/>
  <c r="CE47" i="2"/>
  <c r="CE41" i="2"/>
  <c r="CE37" i="2"/>
  <c r="CE33" i="2"/>
  <c r="CE23" i="2"/>
  <c r="CE17" i="2"/>
  <c r="CE13" i="2"/>
  <c r="CE9" i="2"/>
  <c r="CE65" i="2"/>
  <c r="CE53" i="2"/>
  <c r="CE31" i="2"/>
  <c r="CE21" i="2"/>
  <c r="CE11" i="2"/>
  <c r="CE16" i="2"/>
  <c r="CE26" i="2"/>
  <c r="CE36" i="2"/>
  <c r="CD27" i="2"/>
  <c r="CD61" i="2"/>
  <c r="CD67" i="2"/>
  <c r="CE46" i="2"/>
  <c r="BC16" i="2"/>
  <c r="BC66" i="2"/>
  <c r="BC9" i="2"/>
  <c r="BC17" i="2"/>
  <c r="BC37" i="2"/>
  <c r="BC10" i="2"/>
  <c r="BC30" i="2"/>
  <c r="BC38" i="2"/>
  <c r="BC48" i="2"/>
  <c r="BC57" i="2"/>
  <c r="BC51" i="2"/>
  <c r="BC47" i="2"/>
  <c r="BC26" i="2"/>
  <c r="BC36" i="2"/>
  <c r="BC11" i="2"/>
  <c r="BC31" i="2"/>
  <c r="BC39" i="2"/>
  <c r="BC49" i="2"/>
  <c r="BC59" i="2"/>
  <c r="BC12" i="2"/>
  <c r="BC22" i="2"/>
  <c r="BC32" i="2"/>
  <c r="BC40" i="2"/>
  <c r="BC50" i="2"/>
  <c r="BC60" i="2"/>
  <c r="BC13" i="2"/>
  <c r="BC23" i="2"/>
  <c r="BC33" i="2"/>
  <c r="BC41" i="2"/>
  <c r="BC64" i="2"/>
  <c r="BB18" i="2"/>
  <c r="BC58" i="2"/>
  <c r="BC21" i="2"/>
  <c r="BB43" i="2"/>
  <c r="BC46" i="2"/>
  <c r="HG65" i="2"/>
  <c r="GZ65" i="2"/>
  <c r="GL65" i="2"/>
  <c r="FC65" i="2"/>
  <c r="BP65" i="2"/>
  <c r="AN65" i="2"/>
  <c r="AG65" i="2"/>
  <c r="Z65" i="2"/>
  <c r="S65" i="2"/>
  <c r="HG25" i="2"/>
  <c r="GZ25" i="2"/>
  <c r="GL25" i="2"/>
  <c r="FC25" i="2"/>
  <c r="BP25" i="2"/>
  <c r="AN25" i="2"/>
  <c r="AG25" i="2"/>
  <c r="Z25" i="2"/>
  <c r="S25" i="2"/>
  <c r="HW6" i="2"/>
  <c r="HP6" i="2"/>
  <c r="HI6" i="2"/>
  <c r="HB6" i="2"/>
  <c r="GU6" i="2"/>
  <c r="GN6" i="2"/>
  <c r="FZ6" i="2"/>
  <c r="FS6" i="2"/>
  <c r="FL6" i="2"/>
  <c r="FE6" i="2"/>
  <c r="EX6" i="2"/>
  <c r="EQ6" i="2"/>
  <c r="EJ6" i="2"/>
  <c r="EC6" i="2"/>
  <c r="DO6" i="2"/>
  <c r="DH6" i="2"/>
  <c r="DA6" i="2"/>
  <c r="CT6" i="2"/>
  <c r="HF67" i="2"/>
  <c r="GY67" i="2"/>
  <c r="GK67" i="2"/>
  <c r="FB67" i="2"/>
  <c r="HG66" i="2"/>
  <c r="GZ66" i="2"/>
  <c r="GL66" i="2"/>
  <c r="FC66" i="2"/>
  <c r="HG64" i="2"/>
  <c r="GZ64" i="2"/>
  <c r="GL64" i="2"/>
  <c r="FC64" i="2"/>
  <c r="HF61" i="2"/>
  <c r="GY61" i="2"/>
  <c r="GK61" i="2"/>
  <c r="FB61" i="2"/>
  <c r="HG60" i="2"/>
  <c r="GZ60" i="2"/>
  <c r="GL60" i="2"/>
  <c r="FC60" i="2"/>
  <c r="HG59" i="2"/>
  <c r="GZ59" i="2"/>
  <c r="GL59" i="2"/>
  <c r="FC59" i="2"/>
  <c r="HG58" i="2"/>
  <c r="GZ58" i="2"/>
  <c r="GL58" i="2"/>
  <c r="FC58" i="2"/>
  <c r="HG57" i="2"/>
  <c r="GZ57" i="2"/>
  <c r="GL57" i="2"/>
  <c r="FC57" i="2"/>
  <c r="HF54" i="2"/>
  <c r="GY54" i="2"/>
  <c r="GK54" i="2"/>
  <c r="FB54" i="2"/>
  <c r="HG53" i="2"/>
  <c r="GZ53" i="2"/>
  <c r="GL53" i="2"/>
  <c r="FC53" i="2"/>
  <c r="HG52" i="2"/>
  <c r="GZ52" i="2"/>
  <c r="GL52" i="2"/>
  <c r="FC52" i="2"/>
  <c r="HG51" i="2"/>
  <c r="GZ51" i="2"/>
  <c r="GL51" i="2"/>
  <c r="FC51" i="2"/>
  <c r="HG50" i="2"/>
  <c r="GZ50" i="2"/>
  <c r="GL50" i="2"/>
  <c r="FC50" i="2"/>
  <c r="HG49" i="2"/>
  <c r="GZ49" i="2"/>
  <c r="GL49" i="2"/>
  <c r="FC49" i="2"/>
  <c r="HG48" i="2"/>
  <c r="GZ48" i="2"/>
  <c r="GL48" i="2"/>
  <c r="FC48" i="2"/>
  <c r="HG47" i="2"/>
  <c r="GZ47" i="2"/>
  <c r="GL47" i="2"/>
  <c r="FC47" i="2"/>
  <c r="HG46" i="2"/>
  <c r="GZ46" i="2"/>
  <c r="GL46" i="2"/>
  <c r="FC46" i="2"/>
  <c r="HF43" i="2"/>
  <c r="GY43" i="2"/>
  <c r="GK43" i="2"/>
  <c r="FB43" i="2"/>
  <c r="HG42" i="2"/>
  <c r="GZ42" i="2"/>
  <c r="GL42" i="2"/>
  <c r="FC42" i="2"/>
  <c r="HG41" i="2"/>
  <c r="GZ41" i="2"/>
  <c r="GL41" i="2"/>
  <c r="FC41" i="2"/>
  <c r="FC40" i="2"/>
  <c r="HG39" i="2"/>
  <c r="GZ39" i="2"/>
  <c r="GL39" i="2"/>
  <c r="FC39" i="2"/>
  <c r="HG38" i="2"/>
  <c r="GZ38" i="2"/>
  <c r="GL38" i="2"/>
  <c r="FC38" i="2"/>
  <c r="HG37" i="2"/>
  <c r="GZ37" i="2"/>
  <c r="GL37" i="2"/>
  <c r="FC37" i="2"/>
  <c r="HG36" i="2"/>
  <c r="GZ36" i="2"/>
  <c r="GL36" i="2"/>
  <c r="FC36" i="2"/>
  <c r="HG35" i="2"/>
  <c r="GZ35" i="2"/>
  <c r="GL35" i="2"/>
  <c r="FC35" i="2"/>
  <c r="HG34" i="2"/>
  <c r="GZ34" i="2"/>
  <c r="GL34" i="2"/>
  <c r="FC34" i="2"/>
  <c r="HG33" i="2"/>
  <c r="GZ33" i="2"/>
  <c r="GL33" i="2"/>
  <c r="FC33" i="2"/>
  <c r="HG32" i="2"/>
  <c r="GZ32" i="2"/>
  <c r="GL32" i="2"/>
  <c r="FC32" i="2"/>
  <c r="HG31" i="2"/>
  <c r="GZ31" i="2"/>
  <c r="GL31" i="2"/>
  <c r="FC31" i="2"/>
  <c r="HG30" i="2"/>
  <c r="GZ30" i="2"/>
  <c r="GL30" i="2"/>
  <c r="FC30" i="2"/>
  <c r="HF27" i="2"/>
  <c r="GY27" i="2"/>
  <c r="GK27" i="2"/>
  <c r="FB27" i="2"/>
  <c r="HG26" i="2"/>
  <c r="GZ26" i="2"/>
  <c r="GL26" i="2"/>
  <c r="FC26" i="2"/>
  <c r="HG24" i="2"/>
  <c r="GZ24" i="2"/>
  <c r="GL24" i="2"/>
  <c r="FC24" i="2"/>
  <c r="HG23" i="2"/>
  <c r="GZ23" i="2"/>
  <c r="GL23" i="2"/>
  <c r="FC23" i="2"/>
  <c r="HG22" i="2"/>
  <c r="GZ22" i="2"/>
  <c r="GL22" i="2"/>
  <c r="FC22" i="2"/>
  <c r="HG21" i="2"/>
  <c r="GZ21" i="2"/>
  <c r="GL21" i="2"/>
  <c r="FC21" i="2"/>
  <c r="HF18" i="2"/>
  <c r="GY18" i="2"/>
  <c r="GK18" i="2"/>
  <c r="FB18" i="2"/>
  <c r="HG17" i="2"/>
  <c r="GZ17" i="2"/>
  <c r="GL17" i="2"/>
  <c r="FC17" i="2"/>
  <c r="HG16" i="2"/>
  <c r="GZ16" i="2"/>
  <c r="GL16" i="2"/>
  <c r="FC16" i="2"/>
  <c r="HG15" i="2"/>
  <c r="GZ15" i="2"/>
  <c r="GL15" i="2"/>
  <c r="FC15" i="2"/>
  <c r="HG14" i="2"/>
  <c r="GZ14" i="2"/>
  <c r="GL14" i="2"/>
  <c r="FC14" i="2"/>
  <c r="HG13" i="2"/>
  <c r="GZ13" i="2"/>
  <c r="GL13" i="2"/>
  <c r="FC13" i="2"/>
  <c r="HG12" i="2"/>
  <c r="GZ12" i="2"/>
  <c r="GL12" i="2"/>
  <c r="FC12" i="2"/>
  <c r="HG11" i="2"/>
  <c r="GZ11" i="2"/>
  <c r="GL11" i="2"/>
  <c r="FC11" i="2"/>
  <c r="HG10" i="2"/>
  <c r="GZ10" i="2"/>
  <c r="GL10" i="2"/>
  <c r="FC10" i="2"/>
  <c r="HG9" i="2"/>
  <c r="GZ9" i="2"/>
  <c r="GL9" i="2"/>
  <c r="FC9" i="2"/>
  <c r="HG2" i="2"/>
  <c r="HH53" i="2" s="1"/>
  <c r="GZ2" i="2"/>
  <c r="GL2" i="2"/>
  <c r="FC2" i="2"/>
  <c r="I45" i="4"/>
  <c r="I44" i="4"/>
  <c r="I42" i="4"/>
  <c r="I41" i="4"/>
  <c r="I40" i="4"/>
  <c r="H46" i="4"/>
  <c r="I46" i="4" s="1"/>
  <c r="H38" i="4"/>
  <c r="I38" i="4" s="1"/>
  <c r="H36" i="4"/>
  <c r="I36" i="4" s="1"/>
  <c r="H35" i="4"/>
  <c r="I35" i="4" s="1"/>
  <c r="H34" i="4"/>
  <c r="I34" i="4" s="1"/>
  <c r="H31" i="4"/>
  <c r="I31" i="4" s="1"/>
  <c r="H30" i="4"/>
  <c r="I30" i="4" s="1"/>
  <c r="H26" i="4"/>
  <c r="I26" i="4" s="1"/>
  <c r="H25" i="4"/>
  <c r="I25" i="4" s="1"/>
  <c r="H23" i="4"/>
  <c r="I23" i="4" s="1"/>
  <c r="H20" i="4"/>
  <c r="H18" i="4"/>
  <c r="H14" i="4"/>
  <c r="H12" i="4"/>
  <c r="H11" i="4"/>
  <c r="H6" i="4"/>
  <c r="H10" i="4"/>
  <c r="H8" i="4"/>
  <c r="F47" i="4"/>
  <c r="I32" i="4"/>
  <c r="I29" i="4"/>
  <c r="I24" i="4"/>
  <c r="FF2" i="2" l="1"/>
  <c r="FF58" i="2" s="1"/>
  <c r="EK2" i="2"/>
  <c r="EL2" i="2" s="1"/>
  <c r="GO2" i="2"/>
  <c r="GO36" i="2" s="1"/>
  <c r="ER2" i="2"/>
  <c r="ER25" i="2" s="1"/>
  <c r="GV2" i="2"/>
  <c r="GV49" i="2" s="1"/>
  <c r="EY2" i="2"/>
  <c r="EY31" i="2" s="1"/>
  <c r="HC2" i="2"/>
  <c r="HC59" i="2" s="1"/>
  <c r="ED2" i="2"/>
  <c r="ED65" i="2" s="1"/>
  <c r="EE65" i="2" s="1"/>
  <c r="FM2" i="2"/>
  <c r="FM49" i="2" s="1"/>
  <c r="HJ2" i="2"/>
  <c r="HJ35" i="2" s="1"/>
  <c r="GA2" i="2"/>
  <c r="GA52" i="2" s="1"/>
  <c r="FT2" i="2"/>
  <c r="FT52" i="2" s="1"/>
  <c r="CU2" i="2"/>
  <c r="CU64" i="2" s="1"/>
  <c r="HX2" i="2"/>
  <c r="HX10" i="2" s="1"/>
  <c r="HQ2" i="2"/>
  <c r="HQ36" i="2" s="1"/>
  <c r="DI2" i="2"/>
  <c r="DI25" i="2" s="1"/>
  <c r="DB2" i="2"/>
  <c r="DB25" i="2" s="1"/>
  <c r="DP2" i="2"/>
  <c r="DP31" i="2" s="1"/>
  <c r="FD13" i="2"/>
  <c r="FD23" i="2"/>
  <c r="FD26" i="2"/>
  <c r="FD36" i="2"/>
  <c r="GM64" i="2"/>
  <c r="HH58" i="2"/>
  <c r="FD14" i="2"/>
  <c r="FD46" i="2"/>
  <c r="FD48" i="2"/>
  <c r="FD58" i="2"/>
  <c r="FD47" i="2"/>
  <c r="FD57" i="2"/>
  <c r="FD59" i="2"/>
  <c r="GM41" i="2"/>
  <c r="GM66" i="2"/>
  <c r="HH26" i="2"/>
  <c r="HH36" i="2"/>
  <c r="DM70" i="2"/>
  <c r="DM3" i="2" s="1"/>
  <c r="DM4" i="2" s="1"/>
  <c r="HH37" i="2"/>
  <c r="HA64" i="2"/>
  <c r="GM52" i="2"/>
  <c r="FD25" i="2"/>
  <c r="CD70" i="2"/>
  <c r="CD3" i="2" s="1"/>
  <c r="CD4" i="2" s="1"/>
  <c r="GM22" i="2"/>
  <c r="HH14" i="2"/>
  <c r="HH24" i="2"/>
  <c r="GM25" i="2"/>
  <c r="HH59" i="2"/>
  <c r="GM10" i="2"/>
  <c r="HH48" i="2"/>
  <c r="GM42" i="2"/>
  <c r="GM11" i="2"/>
  <c r="GM21" i="2"/>
  <c r="GL18" i="2"/>
  <c r="HH13" i="2"/>
  <c r="HG43" i="2"/>
  <c r="GM33" i="2"/>
  <c r="GM34" i="2"/>
  <c r="FC54" i="2"/>
  <c r="GM53" i="2"/>
  <c r="FD53" i="2"/>
  <c r="FD12" i="2"/>
  <c r="FD24" i="2"/>
  <c r="FD35" i="2"/>
  <c r="FD37" i="2"/>
  <c r="HH47" i="2"/>
  <c r="HU70" i="2"/>
  <c r="HU3" i="2" s="1"/>
  <c r="HU4" i="2" s="1"/>
  <c r="FC18" i="2"/>
  <c r="FD15" i="2"/>
  <c r="FD30" i="2"/>
  <c r="FD38" i="2"/>
  <c r="FD49" i="2"/>
  <c r="FD60" i="2"/>
  <c r="FD16" i="2"/>
  <c r="FD31" i="2"/>
  <c r="FD39" i="2"/>
  <c r="FD50" i="2"/>
  <c r="FD64" i="2"/>
  <c r="FD9" i="2"/>
  <c r="FD17" i="2"/>
  <c r="FD32" i="2"/>
  <c r="FD40" i="2"/>
  <c r="FD51" i="2"/>
  <c r="FD65" i="2"/>
  <c r="FD10" i="2"/>
  <c r="FD21" i="2"/>
  <c r="FD33" i="2"/>
  <c r="FD41" i="2"/>
  <c r="FD52" i="2"/>
  <c r="FD66" i="2"/>
  <c r="FD11" i="2"/>
  <c r="FD22" i="2"/>
  <c r="FD34" i="2"/>
  <c r="FD42" i="2"/>
  <c r="HH12" i="2"/>
  <c r="HH23" i="2"/>
  <c r="HH35" i="2"/>
  <c r="HH46" i="2"/>
  <c r="HH57" i="2"/>
  <c r="HH15" i="2"/>
  <c r="HH30" i="2"/>
  <c r="HH38" i="2"/>
  <c r="HH49" i="2"/>
  <c r="HH60" i="2"/>
  <c r="HH16" i="2"/>
  <c r="HH31" i="2"/>
  <c r="HH39" i="2"/>
  <c r="HH50" i="2"/>
  <c r="HH64" i="2"/>
  <c r="HH9" i="2"/>
  <c r="HH17" i="2"/>
  <c r="HH32" i="2"/>
  <c r="HH40" i="2"/>
  <c r="HH51" i="2"/>
  <c r="HH65" i="2"/>
  <c r="HH25" i="2"/>
  <c r="HH10" i="2"/>
  <c r="HH21" i="2"/>
  <c r="HH33" i="2"/>
  <c r="HH41" i="2"/>
  <c r="HH52" i="2"/>
  <c r="HH66" i="2"/>
  <c r="HH11" i="2"/>
  <c r="HH22" i="2"/>
  <c r="HH34" i="2"/>
  <c r="HH42" i="2"/>
  <c r="GL54" i="2"/>
  <c r="GM9" i="2"/>
  <c r="GM17" i="2"/>
  <c r="GM32" i="2"/>
  <c r="GM40" i="2"/>
  <c r="GM51" i="2"/>
  <c r="GM65" i="2"/>
  <c r="GM12" i="2"/>
  <c r="GM23" i="2"/>
  <c r="GM35" i="2"/>
  <c r="GM46" i="2"/>
  <c r="GM57" i="2"/>
  <c r="GM13" i="2"/>
  <c r="GM24" i="2"/>
  <c r="GM36" i="2"/>
  <c r="GM47" i="2"/>
  <c r="GM58" i="2"/>
  <c r="GM14" i="2"/>
  <c r="GM26" i="2"/>
  <c r="GM37" i="2"/>
  <c r="GM48" i="2"/>
  <c r="GM59" i="2"/>
  <c r="GM15" i="2"/>
  <c r="GM30" i="2"/>
  <c r="GM38" i="2"/>
  <c r="GM49" i="2"/>
  <c r="GM60" i="2"/>
  <c r="GM16" i="2"/>
  <c r="GM31" i="2"/>
  <c r="GM39" i="2"/>
  <c r="GM50" i="2"/>
  <c r="GZ54" i="2"/>
  <c r="GZ18" i="2"/>
  <c r="HA11" i="2"/>
  <c r="HA22" i="2"/>
  <c r="HA34" i="2"/>
  <c r="HA42" i="2"/>
  <c r="HA53" i="2"/>
  <c r="HA17" i="2"/>
  <c r="HA32" i="2"/>
  <c r="HA51" i="2"/>
  <c r="HA10" i="2"/>
  <c r="HA33" i="2"/>
  <c r="HA41" i="2"/>
  <c r="HA52" i="2"/>
  <c r="HA66" i="2"/>
  <c r="HA12" i="2"/>
  <c r="HA23" i="2"/>
  <c r="HA57" i="2"/>
  <c r="HA25" i="2"/>
  <c r="HA13" i="2"/>
  <c r="HA24" i="2"/>
  <c r="HA36" i="2"/>
  <c r="HA47" i="2"/>
  <c r="HA58" i="2"/>
  <c r="HA35" i="2"/>
  <c r="HA14" i="2"/>
  <c r="HA26" i="2"/>
  <c r="HA37" i="2"/>
  <c r="HA48" i="2"/>
  <c r="HA59" i="2"/>
  <c r="HA9" i="2"/>
  <c r="HA40" i="2"/>
  <c r="HA65" i="2"/>
  <c r="HA21" i="2"/>
  <c r="HA46" i="2"/>
  <c r="HA15" i="2"/>
  <c r="HA30" i="2"/>
  <c r="HA38" i="2"/>
  <c r="HA49" i="2"/>
  <c r="HA60" i="2"/>
  <c r="HA16" i="2"/>
  <c r="HA31" i="2"/>
  <c r="HA39" i="2"/>
  <c r="HA50" i="2"/>
  <c r="HF70" i="2"/>
  <c r="HF3" i="2" s="1"/>
  <c r="HF4" i="2" s="1"/>
  <c r="FB70" i="2"/>
  <c r="FB3" i="2" s="1"/>
  <c r="FB4" i="2" s="1"/>
  <c r="BB70" i="2"/>
  <c r="BB3" i="2" s="1"/>
  <c r="BB4" i="2" s="1"/>
  <c r="GY70" i="2"/>
  <c r="GY3" i="2" s="1"/>
  <c r="GY4" i="2" s="1"/>
  <c r="GK70" i="2"/>
  <c r="GK3" i="2" s="1"/>
  <c r="GK4" i="2" s="1"/>
  <c r="HG27" i="2"/>
  <c r="HG18" i="2"/>
  <c r="FC61" i="2"/>
  <c r="GL61" i="2"/>
  <c r="FC27" i="2"/>
  <c r="GL27" i="2"/>
  <c r="GZ27" i="2"/>
  <c r="GZ61" i="2"/>
  <c r="GZ67" i="2"/>
  <c r="FC67" i="2"/>
  <c r="GL67" i="2"/>
  <c r="FC43" i="2"/>
  <c r="GL43" i="2"/>
  <c r="GZ43" i="2"/>
  <c r="HG67" i="2"/>
  <c r="HG54" i="2"/>
  <c r="HG61" i="2"/>
  <c r="H47" i="4"/>
  <c r="EY57" i="2" l="1"/>
  <c r="DP39" i="2"/>
  <c r="EY34" i="2"/>
  <c r="EK11" i="2"/>
  <c r="GO41" i="2"/>
  <c r="EK9" i="2"/>
  <c r="EY59" i="2"/>
  <c r="EY9" i="2"/>
  <c r="EY52" i="2"/>
  <c r="CU36" i="2"/>
  <c r="CU13" i="2"/>
  <c r="FF39" i="2"/>
  <c r="FF16" i="2"/>
  <c r="DB37" i="2"/>
  <c r="GV16" i="2"/>
  <c r="EK52" i="2"/>
  <c r="EK23" i="2"/>
  <c r="EY36" i="2"/>
  <c r="EK34" i="2"/>
  <c r="ER33" i="2"/>
  <c r="HJ47" i="2"/>
  <c r="DP24" i="2"/>
  <c r="ER48" i="2"/>
  <c r="DI51" i="2"/>
  <c r="EY14" i="2"/>
  <c r="HJ17" i="2"/>
  <c r="HJ14" i="2"/>
  <c r="ED51" i="2"/>
  <c r="EK14" i="2"/>
  <c r="DP57" i="2"/>
  <c r="DP38" i="2"/>
  <c r="EY49" i="2"/>
  <c r="DI66" i="2"/>
  <c r="FT14" i="2"/>
  <c r="DP65" i="2"/>
  <c r="DQ65" i="2" s="1"/>
  <c r="EY60" i="2"/>
  <c r="HJ22" i="2"/>
  <c r="DP25" i="2"/>
  <c r="DP22" i="2"/>
  <c r="EY16" i="2"/>
  <c r="EY33" i="2"/>
  <c r="EK22" i="2"/>
  <c r="EK48" i="2"/>
  <c r="HJ51" i="2"/>
  <c r="HX46" i="2"/>
  <c r="EK60" i="2"/>
  <c r="DP17" i="2"/>
  <c r="EK31" i="2"/>
  <c r="EK42" i="2"/>
  <c r="DP46" i="2"/>
  <c r="DP11" i="2"/>
  <c r="EY46" i="2"/>
  <c r="EY22" i="2"/>
  <c r="EK53" i="2"/>
  <c r="HJ58" i="2"/>
  <c r="DP48" i="2"/>
  <c r="DP33" i="2"/>
  <c r="EY47" i="2"/>
  <c r="EY41" i="2"/>
  <c r="EK51" i="2"/>
  <c r="EK59" i="2"/>
  <c r="HJ53" i="2"/>
  <c r="HX38" i="2"/>
  <c r="HQ49" i="2"/>
  <c r="DP26" i="2"/>
  <c r="DP41" i="2"/>
  <c r="EY26" i="2"/>
  <c r="EY11" i="2"/>
  <c r="DP42" i="2"/>
  <c r="EK15" i="2"/>
  <c r="HJ36" i="2"/>
  <c r="DP53" i="2"/>
  <c r="EK57" i="2"/>
  <c r="EY10" i="2"/>
  <c r="EY64" i="2"/>
  <c r="EK16" i="2"/>
  <c r="HJ31" i="2"/>
  <c r="DP36" i="2"/>
  <c r="DP23" i="2"/>
  <c r="DP10" i="2"/>
  <c r="EK10" i="2"/>
  <c r="DP59" i="2"/>
  <c r="EY25" i="2"/>
  <c r="EY32" i="2"/>
  <c r="EY23" i="2"/>
  <c r="EK21" i="2"/>
  <c r="EK66" i="2"/>
  <c r="EK26" i="2"/>
  <c r="DB39" i="2"/>
  <c r="HJ66" i="2"/>
  <c r="HC48" i="2"/>
  <c r="HX50" i="2"/>
  <c r="GA30" i="2"/>
  <c r="EY50" i="2"/>
  <c r="DP49" i="2"/>
  <c r="EY53" i="2"/>
  <c r="DP13" i="2"/>
  <c r="EK32" i="2"/>
  <c r="HQ42" i="2"/>
  <c r="HX36" i="2"/>
  <c r="EK65" i="2"/>
  <c r="EL65" i="2" s="1"/>
  <c r="DP60" i="2"/>
  <c r="EK38" i="2"/>
  <c r="EY21" i="2"/>
  <c r="EK49" i="2"/>
  <c r="HX53" i="2"/>
  <c r="EY48" i="2"/>
  <c r="DP37" i="2"/>
  <c r="DP21" i="2"/>
  <c r="DP12" i="2"/>
  <c r="EY42" i="2"/>
  <c r="EY12" i="2"/>
  <c r="EK35" i="2"/>
  <c r="EK46" i="2"/>
  <c r="EK17" i="2"/>
  <c r="EK37" i="2"/>
  <c r="HK2" i="2"/>
  <c r="HJ33" i="2"/>
  <c r="HX64" i="2"/>
  <c r="DI60" i="2"/>
  <c r="FT50" i="2"/>
  <c r="ER47" i="2"/>
  <c r="ED37" i="2"/>
  <c r="FT51" i="2"/>
  <c r="FT66" i="2"/>
  <c r="ER57" i="2"/>
  <c r="ED58" i="2"/>
  <c r="GO21" i="2"/>
  <c r="GV60" i="2"/>
  <c r="HQ57" i="2"/>
  <c r="GA10" i="2"/>
  <c r="FT21" i="2"/>
  <c r="FT12" i="2"/>
  <c r="ER14" i="2"/>
  <c r="ED15" i="2"/>
  <c r="ER50" i="2"/>
  <c r="ER59" i="2"/>
  <c r="ED64" i="2"/>
  <c r="DI41" i="2"/>
  <c r="ER53" i="2"/>
  <c r="DI35" i="2"/>
  <c r="CU46" i="2"/>
  <c r="FT13" i="2"/>
  <c r="ER16" i="2"/>
  <c r="ED49" i="2"/>
  <c r="FM12" i="2"/>
  <c r="DI31" i="2"/>
  <c r="DI33" i="2"/>
  <c r="FT37" i="2"/>
  <c r="DI37" i="2"/>
  <c r="FT60" i="2"/>
  <c r="ER65" i="2"/>
  <c r="ES65" i="2" s="1"/>
  <c r="ED26" i="2"/>
  <c r="DI46" i="2"/>
  <c r="GO31" i="2"/>
  <c r="HC53" i="2"/>
  <c r="FT39" i="2"/>
  <c r="ER23" i="2"/>
  <c r="ED60" i="2"/>
  <c r="GV39" i="2"/>
  <c r="GO47" i="2"/>
  <c r="DB50" i="2"/>
  <c r="CU22" i="2"/>
  <c r="FF34" i="2"/>
  <c r="GV41" i="2"/>
  <c r="GV21" i="2"/>
  <c r="HQ38" i="2"/>
  <c r="DB51" i="2"/>
  <c r="GA14" i="2"/>
  <c r="CU32" i="2"/>
  <c r="FF15" i="2"/>
  <c r="DB48" i="2"/>
  <c r="GA39" i="2"/>
  <c r="HC17" i="2"/>
  <c r="ED17" i="2"/>
  <c r="ED13" i="2"/>
  <c r="FM26" i="2"/>
  <c r="GV51" i="2"/>
  <c r="DB42" i="2"/>
  <c r="CU60" i="2"/>
  <c r="FM36" i="2"/>
  <c r="GV23" i="2"/>
  <c r="HQ64" i="2"/>
  <c r="GV25" i="2"/>
  <c r="GO40" i="2"/>
  <c r="HQ65" i="2"/>
  <c r="HR65" i="2" s="1"/>
  <c r="GA33" i="2"/>
  <c r="HC52" i="2"/>
  <c r="FF24" i="2"/>
  <c r="HJ12" i="2"/>
  <c r="HJ59" i="2"/>
  <c r="HJ24" i="2"/>
  <c r="HX49" i="2"/>
  <c r="EY13" i="2"/>
  <c r="EY17" i="2"/>
  <c r="EY66" i="2"/>
  <c r="GO48" i="2"/>
  <c r="EK30" i="2"/>
  <c r="EK36" i="2"/>
  <c r="HQ51" i="2"/>
  <c r="HJ26" i="2"/>
  <c r="HJ46" i="2"/>
  <c r="HX23" i="2"/>
  <c r="HX65" i="2"/>
  <c r="HY65" i="2" s="1"/>
  <c r="GO10" i="2"/>
  <c r="DP35" i="2"/>
  <c r="DP16" i="2"/>
  <c r="DP40" i="2"/>
  <c r="DP66" i="2"/>
  <c r="GW2" i="2"/>
  <c r="EY35" i="2"/>
  <c r="EY39" i="2"/>
  <c r="EY30" i="2"/>
  <c r="EY51" i="2"/>
  <c r="EK40" i="2"/>
  <c r="DP9" i="2"/>
  <c r="GV10" i="2"/>
  <c r="EK12" i="2"/>
  <c r="EK41" i="2"/>
  <c r="EK50" i="2"/>
  <c r="EK47" i="2"/>
  <c r="GO23" i="2"/>
  <c r="HQ32" i="2"/>
  <c r="HQ37" i="2"/>
  <c r="DB52" i="2"/>
  <c r="HJ25" i="2"/>
  <c r="HJ41" i="2"/>
  <c r="HJ32" i="2"/>
  <c r="GA48" i="2"/>
  <c r="CU39" i="2"/>
  <c r="HD2" i="2"/>
  <c r="HX34" i="2"/>
  <c r="HX26" i="2"/>
  <c r="HY2" i="2"/>
  <c r="FM22" i="2"/>
  <c r="HX58" i="2"/>
  <c r="DP34" i="2"/>
  <c r="DP15" i="2"/>
  <c r="DP58" i="2"/>
  <c r="DP32" i="2"/>
  <c r="DP52" i="2"/>
  <c r="EY24" i="2"/>
  <c r="EY40" i="2"/>
  <c r="DP47" i="2"/>
  <c r="EK33" i="2"/>
  <c r="GO60" i="2"/>
  <c r="HQ47" i="2"/>
  <c r="HJ52" i="2"/>
  <c r="HJ11" i="2"/>
  <c r="GA23" i="2"/>
  <c r="HX15" i="2"/>
  <c r="GV48" i="2"/>
  <c r="DP14" i="2"/>
  <c r="DP50" i="2"/>
  <c r="DP30" i="2"/>
  <c r="DP51" i="2"/>
  <c r="EY37" i="2"/>
  <c r="DQ2" i="2"/>
  <c r="EY15" i="2"/>
  <c r="EY58" i="2"/>
  <c r="EY38" i="2"/>
  <c r="EY65" i="2"/>
  <c r="EZ65" i="2" s="1"/>
  <c r="DP64" i="2"/>
  <c r="GV35" i="2"/>
  <c r="EK39" i="2"/>
  <c r="EK64" i="2"/>
  <c r="EK13" i="2"/>
  <c r="EK58" i="2"/>
  <c r="GO38" i="2"/>
  <c r="HQ66" i="2"/>
  <c r="DB60" i="2"/>
  <c r="DB57" i="2"/>
  <c r="HJ38" i="2"/>
  <c r="HJ60" i="2"/>
  <c r="HJ40" i="2"/>
  <c r="GA16" i="2"/>
  <c r="CU41" i="2"/>
  <c r="HC66" i="2"/>
  <c r="HX16" i="2"/>
  <c r="HX37" i="2"/>
  <c r="FM39" i="2"/>
  <c r="HX30" i="2"/>
  <c r="HX59" i="2"/>
  <c r="HJ9" i="2"/>
  <c r="HJ50" i="2"/>
  <c r="HJ48" i="2"/>
  <c r="HJ13" i="2"/>
  <c r="HX35" i="2"/>
  <c r="HX22" i="2"/>
  <c r="HX39" i="2"/>
  <c r="HJ49" i="2"/>
  <c r="HX21" i="2"/>
  <c r="GO37" i="2"/>
  <c r="GV42" i="2"/>
  <c r="GO64" i="2"/>
  <c r="GV33" i="2"/>
  <c r="GV22" i="2"/>
  <c r="GV36" i="2"/>
  <c r="GV9" i="2"/>
  <c r="GO22" i="2"/>
  <c r="GO51" i="2"/>
  <c r="GO42" i="2"/>
  <c r="GO58" i="2"/>
  <c r="HQ21" i="2"/>
  <c r="HQ16" i="2"/>
  <c r="HQ11" i="2"/>
  <c r="HQ12" i="2"/>
  <c r="HQ58" i="2"/>
  <c r="DB16" i="2"/>
  <c r="DB17" i="2"/>
  <c r="DB59" i="2"/>
  <c r="DB11" i="2"/>
  <c r="DB14" i="2"/>
  <c r="GA21" i="2"/>
  <c r="GA26" i="2"/>
  <c r="GA50" i="2"/>
  <c r="GA42" i="2"/>
  <c r="CU48" i="2"/>
  <c r="CU52" i="2"/>
  <c r="CU57" i="2"/>
  <c r="CU50" i="2"/>
  <c r="HC38" i="2"/>
  <c r="HC23" i="2"/>
  <c r="HC11" i="2"/>
  <c r="FF22" i="2"/>
  <c r="FF11" i="2"/>
  <c r="FF25" i="2"/>
  <c r="FM23" i="2"/>
  <c r="FM17" i="2"/>
  <c r="FM16" i="2"/>
  <c r="DC2" i="2"/>
  <c r="GO11" i="2"/>
  <c r="GO26" i="2"/>
  <c r="GO53" i="2"/>
  <c r="GO49" i="2"/>
  <c r="GV65" i="2"/>
  <c r="GW65" i="2" s="1"/>
  <c r="GV37" i="2"/>
  <c r="GV47" i="2"/>
  <c r="GV17" i="2"/>
  <c r="GO39" i="2"/>
  <c r="GO16" i="2"/>
  <c r="GO59" i="2"/>
  <c r="GP2" i="2"/>
  <c r="HQ60" i="2"/>
  <c r="HQ40" i="2"/>
  <c r="HQ30" i="2"/>
  <c r="HQ23" i="2"/>
  <c r="HQ15" i="2"/>
  <c r="DB34" i="2"/>
  <c r="DB49" i="2"/>
  <c r="DB10" i="2"/>
  <c r="DB22" i="2"/>
  <c r="DB47" i="2"/>
  <c r="GA25" i="2"/>
  <c r="GA32" i="2"/>
  <c r="GA60" i="2"/>
  <c r="GA64" i="2"/>
  <c r="GA53" i="2"/>
  <c r="CU31" i="2"/>
  <c r="CU17" i="2"/>
  <c r="CU12" i="2"/>
  <c r="CU42" i="2"/>
  <c r="HC15" i="2"/>
  <c r="HC25" i="2"/>
  <c r="HC51" i="2"/>
  <c r="FF49" i="2"/>
  <c r="FF31" i="2"/>
  <c r="FF36" i="2"/>
  <c r="FM64" i="2"/>
  <c r="FM34" i="2"/>
  <c r="FM30" i="2"/>
  <c r="GV46" i="2"/>
  <c r="GO50" i="2"/>
  <c r="GO24" i="2"/>
  <c r="GO13" i="2"/>
  <c r="GV11" i="2"/>
  <c r="GV53" i="2"/>
  <c r="GV58" i="2"/>
  <c r="GV31" i="2"/>
  <c r="GO65" i="2"/>
  <c r="GP65" i="2" s="1"/>
  <c r="GO30" i="2"/>
  <c r="GO33" i="2"/>
  <c r="HR2" i="2"/>
  <c r="HQ24" i="2"/>
  <c r="HQ17" i="2"/>
  <c r="HQ41" i="2"/>
  <c r="HQ34" i="2"/>
  <c r="HQ26" i="2"/>
  <c r="DB21" i="2"/>
  <c r="DB26" i="2"/>
  <c r="DB30" i="2"/>
  <c r="DB33" i="2"/>
  <c r="DB58" i="2"/>
  <c r="GA35" i="2"/>
  <c r="GA57" i="2"/>
  <c r="GA13" i="2"/>
  <c r="GA22" i="2"/>
  <c r="CU9" i="2"/>
  <c r="CU49" i="2"/>
  <c r="CU58" i="2"/>
  <c r="CU23" i="2"/>
  <c r="CU53" i="2"/>
  <c r="HC47" i="2"/>
  <c r="HC39" i="2"/>
  <c r="HC65" i="2"/>
  <c r="HD65" i="2" s="1"/>
  <c r="FF30" i="2"/>
  <c r="FF46" i="2"/>
  <c r="FF47" i="2"/>
  <c r="FM25" i="2"/>
  <c r="FM51" i="2"/>
  <c r="FM38" i="2"/>
  <c r="FM60" i="2"/>
  <c r="GV12" i="2"/>
  <c r="GO32" i="2"/>
  <c r="GO12" i="2"/>
  <c r="GV66" i="2"/>
  <c r="GV40" i="2"/>
  <c r="GV30" i="2"/>
  <c r="GV50" i="2"/>
  <c r="GO46" i="2"/>
  <c r="GO57" i="2"/>
  <c r="GO52" i="2"/>
  <c r="HQ50" i="2"/>
  <c r="HQ33" i="2"/>
  <c r="HQ9" i="2"/>
  <c r="HQ13" i="2"/>
  <c r="HQ53" i="2"/>
  <c r="HQ48" i="2"/>
  <c r="DB38" i="2"/>
  <c r="DB32" i="2"/>
  <c r="DB64" i="2"/>
  <c r="DB66" i="2"/>
  <c r="GA40" i="2"/>
  <c r="GA37" i="2"/>
  <c r="GA65" i="2"/>
  <c r="GB65" i="2" s="1"/>
  <c r="GA41" i="2"/>
  <c r="CU66" i="2"/>
  <c r="CU15" i="2"/>
  <c r="CU38" i="2"/>
  <c r="CU59" i="2"/>
  <c r="HC24" i="2"/>
  <c r="HC22" i="2"/>
  <c r="HC30" i="2"/>
  <c r="FF9" i="2"/>
  <c r="FF35" i="2"/>
  <c r="FF59" i="2"/>
  <c r="FM40" i="2"/>
  <c r="FM35" i="2"/>
  <c r="GV24" i="2"/>
  <c r="GV32" i="2"/>
  <c r="GV59" i="2"/>
  <c r="GV26" i="2"/>
  <c r="GV15" i="2"/>
  <c r="GV57" i="2"/>
  <c r="GV38" i="2"/>
  <c r="GV64" i="2"/>
  <c r="GV67" i="2" s="1"/>
  <c r="GO15" i="2"/>
  <c r="GO14" i="2"/>
  <c r="GO9" i="2"/>
  <c r="GO66" i="2"/>
  <c r="HQ14" i="2"/>
  <c r="HQ10" i="2"/>
  <c r="HQ22" i="2"/>
  <c r="HQ31" i="2"/>
  <c r="HQ25" i="2"/>
  <c r="HQ59" i="2"/>
  <c r="DB40" i="2"/>
  <c r="DB53" i="2"/>
  <c r="DB12" i="2"/>
  <c r="DB13" i="2"/>
  <c r="GA15" i="2"/>
  <c r="GA24" i="2"/>
  <c r="GA9" i="2"/>
  <c r="GA66" i="2"/>
  <c r="CV2" i="2"/>
  <c r="CU33" i="2"/>
  <c r="CU10" i="2"/>
  <c r="CU24" i="2"/>
  <c r="HC64" i="2"/>
  <c r="HC9" i="2"/>
  <c r="HC26" i="2"/>
  <c r="FF38" i="2"/>
  <c r="FF51" i="2"/>
  <c r="FG2" i="2"/>
  <c r="FM66" i="2"/>
  <c r="FM46" i="2"/>
  <c r="GO34" i="2"/>
  <c r="GV13" i="2"/>
  <c r="GV52" i="2"/>
  <c r="GV34" i="2"/>
  <c r="GV14" i="2"/>
  <c r="GO35" i="2"/>
  <c r="GO25" i="2"/>
  <c r="GO17" i="2"/>
  <c r="HQ52" i="2"/>
  <c r="HQ35" i="2"/>
  <c r="HQ39" i="2"/>
  <c r="HQ46" i="2"/>
  <c r="DB15" i="2"/>
  <c r="DB9" i="2"/>
  <c r="DB23" i="2"/>
  <c r="DB31" i="2"/>
  <c r="DB46" i="2"/>
  <c r="GA51" i="2"/>
  <c r="GA58" i="2"/>
  <c r="GA17" i="2"/>
  <c r="GA12" i="2"/>
  <c r="CU26" i="2"/>
  <c r="CU51" i="2"/>
  <c r="CU21" i="2"/>
  <c r="CU47" i="2"/>
  <c r="HC35" i="2"/>
  <c r="HC33" i="2"/>
  <c r="HC37" i="2"/>
  <c r="FF64" i="2"/>
  <c r="FF12" i="2"/>
  <c r="FM42" i="2"/>
  <c r="FM14" i="2"/>
  <c r="FM57" i="2"/>
  <c r="DB24" i="2"/>
  <c r="DI47" i="2"/>
  <c r="DI40" i="2"/>
  <c r="DI58" i="2"/>
  <c r="DI57" i="2"/>
  <c r="DI53" i="2"/>
  <c r="DI10" i="2"/>
  <c r="FT49" i="2"/>
  <c r="FT24" i="2"/>
  <c r="FT30" i="2"/>
  <c r="FT64" i="2"/>
  <c r="FT23" i="2"/>
  <c r="ER12" i="2"/>
  <c r="ER36" i="2"/>
  <c r="ER11" i="2"/>
  <c r="ER31" i="2"/>
  <c r="ER64" i="2"/>
  <c r="ED39" i="2"/>
  <c r="ED33" i="2"/>
  <c r="ED11" i="2"/>
  <c r="ED42" i="2"/>
  <c r="ED24" i="2"/>
  <c r="DI65" i="2"/>
  <c r="DJ65" i="2" s="1"/>
  <c r="FT15" i="2"/>
  <c r="FT32" i="2"/>
  <c r="FT38" i="2"/>
  <c r="FT47" i="2"/>
  <c r="FT11" i="2"/>
  <c r="FT34" i="2"/>
  <c r="ER35" i="2"/>
  <c r="ER66" i="2"/>
  <c r="ER38" i="2"/>
  <c r="ER42" i="2"/>
  <c r="ER10" i="2"/>
  <c r="ED66" i="2"/>
  <c r="ED50" i="2"/>
  <c r="ED38" i="2"/>
  <c r="ED59" i="2"/>
  <c r="ED35" i="2"/>
  <c r="DI48" i="2"/>
  <c r="DI21" i="2"/>
  <c r="DI12" i="2"/>
  <c r="DI17" i="2"/>
  <c r="DI11" i="2"/>
  <c r="DI26" i="2"/>
  <c r="FT40" i="2"/>
  <c r="FT57" i="2"/>
  <c r="FT58" i="2"/>
  <c r="FT65" i="2"/>
  <c r="FU65" i="2" s="1"/>
  <c r="FT22" i="2"/>
  <c r="FT42" i="2"/>
  <c r="ER60" i="2"/>
  <c r="ER17" i="2"/>
  <c r="ER52" i="2"/>
  <c r="ER58" i="2"/>
  <c r="ER21" i="2"/>
  <c r="ED47" i="2"/>
  <c r="ED34" i="2"/>
  <c r="ED52" i="2"/>
  <c r="ED10" i="2"/>
  <c r="ED46" i="2"/>
  <c r="DI23" i="2"/>
  <c r="DI9" i="2"/>
  <c r="DI34" i="2"/>
  <c r="DI32" i="2"/>
  <c r="DI39" i="2"/>
  <c r="DI42" i="2"/>
  <c r="DI30" i="2"/>
  <c r="DI64" i="2"/>
  <c r="FT16" i="2"/>
  <c r="FT35" i="2"/>
  <c r="FT10" i="2"/>
  <c r="FT9" i="2"/>
  <c r="FT33" i="2"/>
  <c r="FT53" i="2"/>
  <c r="ES2" i="2"/>
  <c r="ER39" i="2"/>
  <c r="ER13" i="2"/>
  <c r="ER15" i="2"/>
  <c r="ER32" i="2"/>
  <c r="ED48" i="2"/>
  <c r="ED53" i="2"/>
  <c r="ED14" i="2"/>
  <c r="ED21" i="2"/>
  <c r="ED57" i="2"/>
  <c r="DI52" i="2"/>
  <c r="DI38" i="2"/>
  <c r="DJ2" i="2"/>
  <c r="DI36" i="2"/>
  <c r="FT48" i="2"/>
  <c r="FT59" i="2"/>
  <c r="FT26" i="2"/>
  <c r="FT17" i="2"/>
  <c r="FT41" i="2"/>
  <c r="FU2" i="2"/>
  <c r="ER9" i="2"/>
  <c r="ER22" i="2"/>
  <c r="ER30" i="2"/>
  <c r="ER26" i="2"/>
  <c r="ER40" i="2"/>
  <c r="ED22" i="2"/>
  <c r="ED12" i="2"/>
  <c r="ED30" i="2"/>
  <c r="ED32" i="2"/>
  <c r="HX25" i="2"/>
  <c r="DI22" i="2"/>
  <c r="DI16" i="2"/>
  <c r="DI50" i="2"/>
  <c r="DI59" i="2"/>
  <c r="DI15" i="2"/>
  <c r="DI14" i="2"/>
  <c r="DI49" i="2"/>
  <c r="DI13" i="2"/>
  <c r="FT25" i="2"/>
  <c r="FT36" i="2"/>
  <c r="FT46" i="2"/>
  <c r="FT31" i="2"/>
  <c r="ER49" i="2"/>
  <c r="ER34" i="2"/>
  <c r="ER46" i="2"/>
  <c r="ER41" i="2"/>
  <c r="ER37" i="2"/>
  <c r="ER51" i="2"/>
  <c r="ED16" i="2"/>
  <c r="EE2" i="2"/>
  <c r="ED36" i="2"/>
  <c r="ED41" i="2"/>
  <c r="ED40" i="2"/>
  <c r="ER24" i="2"/>
  <c r="ED23" i="2"/>
  <c r="ED9" i="2"/>
  <c r="ED25" i="2"/>
  <c r="ED31" i="2"/>
  <c r="HJ23" i="2"/>
  <c r="HJ57" i="2"/>
  <c r="HC46" i="2"/>
  <c r="HC36" i="2"/>
  <c r="HC41" i="2"/>
  <c r="HC21" i="2"/>
  <c r="HX13" i="2"/>
  <c r="HX52" i="2"/>
  <c r="HX11" i="2"/>
  <c r="HX9" i="2"/>
  <c r="HX32" i="2"/>
  <c r="FF52" i="2"/>
  <c r="FF66" i="2"/>
  <c r="FF33" i="2"/>
  <c r="FF42" i="2"/>
  <c r="FF26" i="2"/>
  <c r="FM58" i="2"/>
  <c r="FM9" i="2"/>
  <c r="FM32" i="2"/>
  <c r="FM52" i="2"/>
  <c r="FM37" i="2"/>
  <c r="FN2" i="2"/>
  <c r="EK24" i="2"/>
  <c r="HJ34" i="2"/>
  <c r="HC12" i="2"/>
  <c r="HC31" i="2"/>
  <c r="HC50" i="2"/>
  <c r="HC57" i="2"/>
  <c r="HC32" i="2"/>
  <c r="HX66" i="2"/>
  <c r="HX33" i="2"/>
  <c r="HX42" i="2"/>
  <c r="HX17" i="2"/>
  <c r="HX40" i="2"/>
  <c r="FF21" i="2"/>
  <c r="FF32" i="2"/>
  <c r="FF13" i="2"/>
  <c r="FF50" i="2"/>
  <c r="FF53" i="2"/>
  <c r="FF37" i="2"/>
  <c r="FM10" i="2"/>
  <c r="FM33" i="2"/>
  <c r="FM47" i="2"/>
  <c r="FM13" i="2"/>
  <c r="FM48" i="2"/>
  <c r="EZ2" i="2"/>
  <c r="EK25" i="2"/>
  <c r="DB41" i="2"/>
  <c r="DB36" i="2"/>
  <c r="HJ64" i="2"/>
  <c r="HJ30" i="2"/>
  <c r="HJ15" i="2"/>
  <c r="HJ21" i="2"/>
  <c r="HJ42" i="2"/>
  <c r="GB2" i="2"/>
  <c r="GA59" i="2"/>
  <c r="GA38" i="2"/>
  <c r="GA47" i="2"/>
  <c r="GA11" i="2"/>
  <c r="GA34" i="2"/>
  <c r="CU11" i="2"/>
  <c r="CU30" i="2"/>
  <c r="CU37" i="2"/>
  <c r="CU40" i="2"/>
  <c r="CU35" i="2"/>
  <c r="HC60" i="2"/>
  <c r="HC42" i="2"/>
  <c r="HC49" i="2"/>
  <c r="HC13" i="2"/>
  <c r="HC16" i="2"/>
  <c r="HC40" i="2"/>
  <c r="HX14" i="2"/>
  <c r="HX57" i="2"/>
  <c r="HX60" i="2"/>
  <c r="HX31" i="2"/>
  <c r="HX51" i="2"/>
  <c r="FF41" i="2"/>
  <c r="FF60" i="2"/>
  <c r="FF40" i="2"/>
  <c r="FF17" i="2"/>
  <c r="FF14" i="2"/>
  <c r="FF48" i="2"/>
  <c r="FM53" i="2"/>
  <c r="FM11" i="2"/>
  <c r="FM65" i="2"/>
  <c r="FN65" i="2" s="1"/>
  <c r="FM24" i="2"/>
  <c r="FM59" i="2"/>
  <c r="DI24" i="2"/>
  <c r="HX24" i="2"/>
  <c r="DB65" i="2"/>
  <c r="DC65" i="2" s="1"/>
  <c r="DB35" i="2"/>
  <c r="HJ39" i="2"/>
  <c r="HJ37" i="2"/>
  <c r="HJ10" i="2"/>
  <c r="HJ16" i="2"/>
  <c r="HJ65" i="2"/>
  <c r="HK65" i="2" s="1"/>
  <c r="GA49" i="2"/>
  <c r="GA36" i="2"/>
  <c r="GA46" i="2"/>
  <c r="GA31" i="2"/>
  <c r="CU25" i="2"/>
  <c r="CU14" i="2"/>
  <c r="CU16" i="2"/>
  <c r="CU65" i="2"/>
  <c r="CV65" i="2" s="1"/>
  <c r="CU34" i="2"/>
  <c r="HC34" i="2"/>
  <c r="HC58" i="2"/>
  <c r="HC10" i="2"/>
  <c r="HC14" i="2"/>
  <c r="HX12" i="2"/>
  <c r="HX47" i="2"/>
  <c r="HX41" i="2"/>
  <c r="HX48" i="2"/>
  <c r="FF57" i="2"/>
  <c r="FF10" i="2"/>
  <c r="FF65" i="2"/>
  <c r="FG65" i="2" s="1"/>
  <c r="FF23" i="2"/>
  <c r="FM50" i="2"/>
  <c r="FM31" i="2"/>
  <c r="FM41" i="2"/>
  <c r="FM21" i="2"/>
  <c r="FM15" i="2"/>
  <c r="FC70" i="2"/>
  <c r="FC3" i="2" s="1"/>
  <c r="FC4" i="2" s="1"/>
  <c r="GZ70" i="2"/>
  <c r="GZ3" i="2" s="1"/>
  <c r="GZ4" i="2" s="1"/>
  <c r="GL70" i="2"/>
  <c r="GL3" i="2" s="1"/>
  <c r="GL4" i="2" s="1"/>
  <c r="HG70" i="2"/>
  <c r="HG3" i="2" s="1"/>
  <c r="HG4" i="2" s="1"/>
  <c r="BP60" i="2"/>
  <c r="AN60" i="2"/>
  <c r="AG60" i="2"/>
  <c r="Z60" i="2"/>
  <c r="S60" i="2"/>
  <c r="BP59" i="2"/>
  <c r="AN59" i="2"/>
  <c r="AG59" i="2"/>
  <c r="Z59" i="2"/>
  <c r="S59" i="2"/>
  <c r="I20" i="4"/>
  <c r="I19" i="4"/>
  <c r="I18" i="4"/>
  <c r="I14" i="4"/>
  <c r="I12" i="4"/>
  <c r="I11" i="4"/>
  <c r="I10" i="4"/>
  <c r="I9" i="4"/>
  <c r="I8" i="4"/>
  <c r="EY61" i="2" l="1"/>
  <c r="DP27" i="2"/>
  <c r="ED67" i="2"/>
  <c r="HQ18" i="2"/>
  <c r="EK27" i="2"/>
  <c r="HC27" i="2"/>
  <c r="HX67" i="2"/>
  <c r="HQ61" i="2"/>
  <c r="HQ43" i="2"/>
  <c r="GV54" i="2"/>
  <c r="ED54" i="2"/>
  <c r="FT27" i="2"/>
  <c r="CU61" i="2"/>
  <c r="GV27" i="2"/>
  <c r="DI61" i="2"/>
  <c r="EY18" i="2"/>
  <c r="FM27" i="2"/>
  <c r="HX27" i="2"/>
  <c r="ED61" i="2"/>
  <c r="EK54" i="2"/>
  <c r="GA61" i="2"/>
  <c r="ED18" i="2"/>
  <c r="ED27" i="2"/>
  <c r="GV18" i="2"/>
  <c r="GA27" i="2"/>
  <c r="DB27" i="2"/>
  <c r="GA67" i="2"/>
  <c r="EY43" i="2"/>
  <c r="FT67" i="2"/>
  <c r="EK61" i="2"/>
  <c r="EY27" i="2"/>
  <c r="HJ27" i="2"/>
  <c r="EK18" i="2"/>
  <c r="EK67" i="2"/>
  <c r="DI27" i="2"/>
  <c r="DP61" i="2"/>
  <c r="FF67" i="2"/>
  <c r="FM67" i="2"/>
  <c r="FT43" i="2"/>
  <c r="ER67" i="2"/>
  <c r="CU27" i="2"/>
  <c r="GV61" i="2"/>
  <c r="FF43" i="2"/>
  <c r="GO61" i="2"/>
  <c r="HJ54" i="2"/>
  <c r="DP54" i="2"/>
  <c r="GO27" i="2"/>
  <c r="EY54" i="2"/>
  <c r="ER61" i="2"/>
  <c r="FF18" i="2"/>
  <c r="EY67" i="2"/>
  <c r="GA18" i="2"/>
  <c r="HJ43" i="2"/>
  <c r="FF27" i="2"/>
  <c r="ER54" i="2"/>
  <c r="ED43" i="2"/>
  <c r="ER18" i="2"/>
  <c r="FT18" i="2"/>
  <c r="DI43" i="2"/>
  <c r="ER27" i="2"/>
  <c r="FT61" i="2"/>
  <c r="ER43" i="2"/>
  <c r="FT54" i="2"/>
  <c r="FM61" i="2"/>
  <c r="CU54" i="2"/>
  <c r="DB54" i="2"/>
  <c r="GO43" i="2"/>
  <c r="HC67" i="2"/>
  <c r="HQ27" i="2"/>
  <c r="GV43" i="2"/>
  <c r="DB67" i="2"/>
  <c r="GO18" i="2"/>
  <c r="FF54" i="2"/>
  <c r="DB43" i="2"/>
  <c r="CU43" i="2"/>
  <c r="DB18" i="2"/>
  <c r="GO54" i="2"/>
  <c r="DB61" i="2"/>
  <c r="GO67" i="2"/>
  <c r="DP67" i="2"/>
  <c r="DP43" i="2"/>
  <c r="HQ54" i="2"/>
  <c r="DP18" i="2"/>
  <c r="EK43" i="2"/>
  <c r="HJ61" i="2"/>
  <c r="HQ67" i="2"/>
  <c r="DI67" i="2"/>
  <c r="GA54" i="2"/>
  <c r="FF61" i="2"/>
  <c r="DI54" i="2"/>
  <c r="HX18" i="2"/>
  <c r="HC54" i="2"/>
  <c r="HJ67" i="2"/>
  <c r="HC18" i="2"/>
  <c r="HX61" i="2"/>
  <c r="DI18" i="2"/>
  <c r="FM18" i="2"/>
  <c r="HC43" i="2"/>
  <c r="HX43" i="2"/>
  <c r="CU67" i="2"/>
  <c r="FM54" i="2"/>
  <c r="CU18" i="2"/>
  <c r="HX54" i="2"/>
  <c r="GA43" i="2"/>
  <c r="HJ18" i="2"/>
  <c r="HC61" i="2"/>
  <c r="FM43" i="2"/>
  <c r="I6" i="4"/>
  <c r="BO67" i="2"/>
  <c r="BP66" i="2"/>
  <c r="BP64" i="2"/>
  <c r="BO61" i="2"/>
  <c r="BP58" i="2"/>
  <c r="BP57" i="2"/>
  <c r="BO54" i="2"/>
  <c r="BP53" i="2"/>
  <c r="BP52" i="2"/>
  <c r="BP51" i="2"/>
  <c r="BP50" i="2"/>
  <c r="BP49" i="2"/>
  <c r="BP48" i="2"/>
  <c r="BP47" i="2"/>
  <c r="BP46" i="2"/>
  <c r="BO43" i="2"/>
  <c r="BP42" i="2"/>
  <c r="BP41" i="2"/>
  <c r="BP40" i="2"/>
  <c r="BP39" i="2"/>
  <c r="BP38" i="2"/>
  <c r="BP37" i="2"/>
  <c r="BP36" i="2"/>
  <c r="BP35" i="2"/>
  <c r="BP34" i="2"/>
  <c r="BP33" i="2"/>
  <c r="BP32" i="2"/>
  <c r="BP31" i="2"/>
  <c r="BP30" i="2"/>
  <c r="BO27" i="2"/>
  <c r="BP26" i="2"/>
  <c r="BP24" i="2"/>
  <c r="BP23" i="2"/>
  <c r="BP22" i="2"/>
  <c r="BP21" i="2"/>
  <c r="BO18" i="2"/>
  <c r="BP17" i="2"/>
  <c r="BP16" i="2"/>
  <c r="BP15" i="2"/>
  <c r="BP14" i="2"/>
  <c r="BP13" i="2"/>
  <c r="BP12" i="2"/>
  <c r="BP11" i="2"/>
  <c r="BP10" i="2"/>
  <c r="BP9" i="2"/>
  <c r="I47" i="4" l="1"/>
  <c r="BP61" i="2"/>
  <c r="BO70" i="2"/>
  <c r="BP27" i="2"/>
  <c r="BP67" i="2"/>
  <c r="BP43" i="2"/>
  <c r="BP54" i="2"/>
  <c r="BP18" i="2"/>
  <c r="BP70" i="2" l="1"/>
  <c r="AG9" i="2" l="1"/>
  <c r="AF67" i="2"/>
  <c r="AG66" i="2"/>
  <c r="AG64" i="2"/>
  <c r="AG67" i="2" s="1"/>
  <c r="AF61" i="2"/>
  <c r="AG58" i="2"/>
  <c r="AG57" i="2"/>
  <c r="AF54" i="2"/>
  <c r="AG53" i="2"/>
  <c r="AG52" i="2"/>
  <c r="AG51" i="2"/>
  <c r="AG50" i="2"/>
  <c r="AG49" i="2"/>
  <c r="AG48" i="2"/>
  <c r="AG47" i="2"/>
  <c r="AG46" i="2"/>
  <c r="AF43" i="2"/>
  <c r="AG42" i="2"/>
  <c r="AG41" i="2"/>
  <c r="AG39" i="2"/>
  <c r="AG38" i="2"/>
  <c r="AG37" i="2"/>
  <c r="AG36" i="2"/>
  <c r="AG35" i="2"/>
  <c r="AG34" i="2"/>
  <c r="AG33" i="2"/>
  <c r="AG32" i="2"/>
  <c r="AG31" i="2"/>
  <c r="AG30" i="2"/>
  <c r="AF27" i="2"/>
  <c r="AG26" i="2"/>
  <c r="AG24" i="2"/>
  <c r="AG23" i="2"/>
  <c r="AG22" i="2"/>
  <c r="AG21" i="2"/>
  <c r="AF18" i="2"/>
  <c r="AG17" i="2"/>
  <c r="AG16" i="2"/>
  <c r="AG15" i="2"/>
  <c r="AG14" i="2"/>
  <c r="AG13" i="2"/>
  <c r="AG12" i="2"/>
  <c r="AG11" i="2"/>
  <c r="AG10" i="2"/>
  <c r="AG61" i="2" l="1"/>
  <c r="AG54" i="2"/>
  <c r="AG43" i="2"/>
  <c r="AG18" i="2"/>
  <c r="AG27" i="2"/>
  <c r="AF70" i="2"/>
  <c r="AG70" i="2" l="1"/>
  <c r="BO3" i="2" l="1"/>
  <c r="BO4" i="2" s="1"/>
  <c r="BP2" i="2"/>
  <c r="BQ58" i="2" l="1"/>
  <c r="BQ47" i="2"/>
  <c r="BQ36" i="2"/>
  <c r="BQ25" i="2"/>
  <c r="BQ14" i="2"/>
  <c r="BQ57" i="2"/>
  <c r="BQ46" i="2"/>
  <c r="BQ35" i="2"/>
  <c r="BQ24" i="2"/>
  <c r="BQ13" i="2"/>
  <c r="BQ53" i="2"/>
  <c r="BQ42" i="2"/>
  <c r="BQ34" i="2"/>
  <c r="BQ23" i="2"/>
  <c r="BQ12" i="2"/>
  <c r="BQ66" i="2"/>
  <c r="BQ52" i="2"/>
  <c r="BQ41" i="2"/>
  <c r="BQ33" i="2"/>
  <c r="BQ22" i="2"/>
  <c r="BQ11" i="2"/>
  <c r="BQ65" i="2"/>
  <c r="BQ51" i="2"/>
  <c r="BQ40" i="2"/>
  <c r="BQ32" i="2"/>
  <c r="BQ21" i="2"/>
  <c r="BQ10" i="2"/>
  <c r="BQ50" i="2"/>
  <c r="BQ31" i="2"/>
  <c r="BQ49" i="2"/>
  <c r="BQ38" i="2"/>
  <c r="BQ16" i="2"/>
  <c r="BQ59" i="2"/>
  <c r="BQ48" i="2"/>
  <c r="BQ37" i="2"/>
  <c r="BQ26" i="2"/>
  <c r="BQ15" i="2"/>
  <c r="BQ64" i="2"/>
  <c r="BQ39" i="2"/>
  <c r="BQ17" i="2"/>
  <c r="BQ60" i="2"/>
  <c r="BQ30" i="2"/>
  <c r="BQ9" i="2"/>
  <c r="BP3" i="2"/>
  <c r="BP4" i="2" s="1"/>
  <c r="CF6" i="2" l="1"/>
  <c r="BY6" i="2"/>
  <c r="BR6" i="2"/>
  <c r="BD6" i="2"/>
  <c r="AP6" i="2"/>
  <c r="AI6" i="2"/>
  <c r="AB6" i="2"/>
  <c r="U6" i="2"/>
  <c r="N6" i="2"/>
  <c r="G6" i="2"/>
  <c r="CG2" i="2" l="1"/>
  <c r="BZ2" i="2"/>
  <c r="BS2" i="2"/>
  <c r="BE2" i="2"/>
  <c r="AQ2" i="2"/>
  <c r="AJ2" i="2"/>
  <c r="AC2" i="2"/>
  <c r="V2" i="2"/>
  <c r="O2" i="2"/>
  <c r="BS25" i="2" l="1"/>
  <c r="BT25" i="2" s="1"/>
  <c r="BS24" i="2"/>
  <c r="AJ25" i="2"/>
  <c r="AK25" i="2" s="1"/>
  <c r="AJ24" i="2"/>
  <c r="BS53" i="2"/>
  <c r="BS42" i="2"/>
  <c r="BS34" i="2"/>
  <c r="BS23" i="2"/>
  <c r="BS12" i="2"/>
  <c r="BS66" i="2"/>
  <c r="BS52" i="2"/>
  <c r="BS41" i="2"/>
  <c r="BS33" i="2"/>
  <c r="BS22" i="2"/>
  <c r="BS11" i="2"/>
  <c r="BS64" i="2"/>
  <c r="BT64" i="2" s="1"/>
  <c r="BS50" i="2"/>
  <c r="BS39" i="2"/>
  <c r="BS31" i="2"/>
  <c r="BS17" i="2"/>
  <c r="BS9" i="2"/>
  <c r="BS59" i="2"/>
  <c r="BT59" i="2" s="1"/>
  <c r="BS40" i="2"/>
  <c r="BT40" i="2" s="1"/>
  <c r="BS58" i="2"/>
  <c r="BS38" i="2"/>
  <c r="BS51" i="2"/>
  <c r="BS36" i="2"/>
  <c r="BS16" i="2"/>
  <c r="BS65" i="2"/>
  <c r="BT65" i="2" s="1"/>
  <c r="BS35" i="2"/>
  <c r="BS10" i="2"/>
  <c r="BS60" i="2"/>
  <c r="BT60" i="2" s="1"/>
  <c r="BS32" i="2"/>
  <c r="BS49" i="2"/>
  <c r="BS26" i="2"/>
  <c r="BS37" i="2"/>
  <c r="BS30" i="2"/>
  <c r="BS21" i="2"/>
  <c r="BS15" i="2"/>
  <c r="BS48" i="2"/>
  <c r="BS57" i="2"/>
  <c r="BS14" i="2"/>
  <c r="BS13" i="2"/>
  <c r="BS47" i="2"/>
  <c r="BS46" i="2"/>
  <c r="CG64" i="2"/>
  <c r="CH64" i="2" s="1"/>
  <c r="CG50" i="2"/>
  <c r="CH50" i="2" s="1"/>
  <c r="CG39" i="2"/>
  <c r="CH39" i="2" s="1"/>
  <c r="CG31" i="2"/>
  <c r="CH31" i="2" s="1"/>
  <c r="CG17" i="2"/>
  <c r="CG9" i="2"/>
  <c r="CH9" i="2" s="1"/>
  <c r="CG60" i="2"/>
  <c r="CH60" i="2" s="1"/>
  <c r="CG49" i="2"/>
  <c r="CH49" i="2" s="1"/>
  <c r="CG38" i="2"/>
  <c r="CH38" i="2" s="1"/>
  <c r="CG30" i="2"/>
  <c r="CH30" i="2" s="1"/>
  <c r="CG16" i="2"/>
  <c r="CH16" i="2" s="1"/>
  <c r="CG58" i="2"/>
  <c r="CG47" i="2"/>
  <c r="CG36" i="2"/>
  <c r="CH36" i="2" s="1"/>
  <c r="CG25" i="2"/>
  <c r="CH25" i="2" s="1"/>
  <c r="CG14" i="2"/>
  <c r="CH14" i="2" s="1"/>
  <c r="CG52" i="2"/>
  <c r="CH52" i="2" s="1"/>
  <c r="CG35" i="2"/>
  <c r="CH35" i="2" s="1"/>
  <c r="CG21" i="2"/>
  <c r="CH21" i="2" s="1"/>
  <c r="CG51" i="2"/>
  <c r="CH51" i="2" s="1"/>
  <c r="CG34" i="2"/>
  <c r="CH34" i="2" s="1"/>
  <c r="CG15" i="2"/>
  <c r="CH15" i="2" s="1"/>
  <c r="CG66" i="2"/>
  <c r="CH66" i="2" s="1"/>
  <c r="CG46" i="2"/>
  <c r="CG32" i="2"/>
  <c r="CH32" i="2" s="1"/>
  <c r="CG12" i="2"/>
  <c r="CH12" i="2" s="1"/>
  <c r="CG59" i="2"/>
  <c r="CH59" i="2" s="1"/>
  <c r="CG33" i="2"/>
  <c r="CH33" i="2" s="1"/>
  <c r="CG57" i="2"/>
  <c r="CH57" i="2" s="1"/>
  <c r="CG26" i="2"/>
  <c r="CH26" i="2" s="1"/>
  <c r="CG48" i="2"/>
  <c r="CH48" i="2" s="1"/>
  <c r="CG23" i="2"/>
  <c r="CH23" i="2" s="1"/>
  <c r="CG22" i="2"/>
  <c r="CH22" i="2" s="1"/>
  <c r="CG65" i="2"/>
  <c r="CH65" i="2" s="1"/>
  <c r="CG13" i="2"/>
  <c r="CH13" i="2" s="1"/>
  <c r="CG53" i="2"/>
  <c r="CH53" i="2" s="1"/>
  <c r="CG11" i="2"/>
  <c r="CH11" i="2" s="1"/>
  <c r="CG42" i="2"/>
  <c r="CH42" i="2" s="1"/>
  <c r="CG10" i="2"/>
  <c r="CH10" i="2" s="1"/>
  <c r="CG40" i="2"/>
  <c r="CH40" i="2" s="1"/>
  <c r="CG41" i="2"/>
  <c r="CH41" i="2" s="1"/>
  <c r="CG37" i="2"/>
  <c r="CH37" i="2" s="1"/>
  <c r="CG24" i="2"/>
  <c r="CH24" i="2" s="1"/>
  <c r="V66" i="2"/>
  <c r="V52" i="2"/>
  <c r="V41" i="2"/>
  <c r="V33" i="2"/>
  <c r="V22" i="2"/>
  <c r="V11" i="2"/>
  <c r="V64" i="2"/>
  <c r="V50" i="2"/>
  <c r="V39" i="2"/>
  <c r="V31" i="2"/>
  <c r="V17" i="2"/>
  <c r="V9" i="2"/>
  <c r="V57" i="2"/>
  <c r="V40" i="2"/>
  <c r="W40" i="2" s="1"/>
  <c r="V26" i="2"/>
  <c r="V13" i="2"/>
  <c r="V53" i="2"/>
  <c r="V38" i="2"/>
  <c r="V25" i="2"/>
  <c r="W25" i="2" s="1"/>
  <c r="V12" i="2"/>
  <c r="V51" i="2"/>
  <c r="V37" i="2"/>
  <c r="V24" i="2"/>
  <c r="V10" i="2"/>
  <c r="V49" i="2"/>
  <c r="V36" i="2"/>
  <c r="V23" i="2"/>
  <c r="V60" i="2"/>
  <c r="W60" i="2" s="1"/>
  <c r="V34" i="2"/>
  <c r="V65" i="2"/>
  <c r="W65" i="2" s="1"/>
  <c r="V48" i="2"/>
  <c r="V35" i="2"/>
  <c r="V21" i="2"/>
  <c r="V47" i="2"/>
  <c r="V16" i="2"/>
  <c r="V59" i="2"/>
  <c r="W59" i="2" s="1"/>
  <c r="V46" i="2"/>
  <c r="V32" i="2"/>
  <c r="V15" i="2"/>
  <c r="V58" i="2"/>
  <c r="V42" i="2"/>
  <c r="V30" i="2"/>
  <c r="V14" i="2"/>
  <c r="O9" i="2"/>
  <c r="O64" i="2"/>
  <c r="O50" i="2"/>
  <c r="O39" i="2"/>
  <c r="O31" i="2"/>
  <c r="O59" i="2"/>
  <c r="P59" i="2" s="1"/>
  <c r="O48" i="2"/>
  <c r="O37" i="2"/>
  <c r="O26" i="2"/>
  <c r="O47" i="2"/>
  <c r="O16" i="2"/>
  <c r="O60" i="2"/>
  <c r="P60" i="2" s="1"/>
  <c r="O46" i="2"/>
  <c r="O33" i="2"/>
  <c r="O17" i="2"/>
  <c r="O32" i="2"/>
  <c r="O57" i="2"/>
  <c r="O41" i="2"/>
  <c r="O30" i="2"/>
  <c r="O15" i="2"/>
  <c r="O53" i="2"/>
  <c r="O40" i="2"/>
  <c r="P40" i="2" s="1"/>
  <c r="O25" i="2"/>
  <c r="P25" i="2" s="1"/>
  <c r="O14" i="2"/>
  <c r="O36" i="2"/>
  <c r="O12" i="2"/>
  <c r="O42" i="2"/>
  <c r="O52" i="2"/>
  <c r="O38" i="2"/>
  <c r="O24" i="2"/>
  <c r="O13" i="2"/>
  <c r="O51" i="2"/>
  <c r="O23" i="2"/>
  <c r="O66" i="2"/>
  <c r="O49" i="2"/>
  <c r="O35" i="2"/>
  <c r="O22" i="2"/>
  <c r="O11" i="2"/>
  <c r="O65" i="2"/>
  <c r="P65" i="2" s="1"/>
  <c r="O34" i="2"/>
  <c r="O21" i="2"/>
  <c r="O10" i="2"/>
  <c r="O58" i="2"/>
  <c r="AQ59" i="2"/>
  <c r="AR59" i="2" s="1"/>
  <c r="AQ48" i="2"/>
  <c r="AQ37" i="2"/>
  <c r="AQ26" i="2"/>
  <c r="AQ15" i="2"/>
  <c r="AQ58" i="2"/>
  <c r="AQ47" i="2"/>
  <c r="AQ36" i="2"/>
  <c r="AQ25" i="2"/>
  <c r="AR25" i="2" s="1"/>
  <c r="AQ14" i="2"/>
  <c r="AQ53" i="2"/>
  <c r="AQ42" i="2"/>
  <c r="AQ34" i="2"/>
  <c r="AQ23" i="2"/>
  <c r="AQ12" i="2"/>
  <c r="AQ66" i="2"/>
  <c r="AQ49" i="2"/>
  <c r="AQ32" i="2"/>
  <c r="AQ13" i="2"/>
  <c r="AQ65" i="2"/>
  <c r="AQ46" i="2"/>
  <c r="AQ31" i="2"/>
  <c r="AQ11" i="2"/>
  <c r="AQ60" i="2"/>
  <c r="AR60" i="2" s="1"/>
  <c r="AQ40" i="2"/>
  <c r="AR40" i="2" s="1"/>
  <c r="AQ24" i="2"/>
  <c r="AQ9" i="2"/>
  <c r="AR9" i="2" s="1"/>
  <c r="AQ38" i="2"/>
  <c r="AQ10" i="2"/>
  <c r="AQ64" i="2"/>
  <c r="AR64" i="2" s="1"/>
  <c r="AQ35" i="2"/>
  <c r="AQ52" i="2"/>
  <c r="AQ30" i="2"/>
  <c r="AQ50" i="2"/>
  <c r="AQ41" i="2"/>
  <c r="AQ39" i="2"/>
  <c r="AQ33" i="2"/>
  <c r="AQ21" i="2"/>
  <c r="AQ22" i="2"/>
  <c r="AQ57" i="2"/>
  <c r="AQ17" i="2"/>
  <c r="AQ51" i="2"/>
  <c r="AQ16" i="2"/>
  <c r="BZ60" i="2"/>
  <c r="CA60" i="2" s="1"/>
  <c r="BZ49" i="2"/>
  <c r="BZ38" i="2"/>
  <c r="BZ30" i="2"/>
  <c r="BZ16" i="2"/>
  <c r="BZ58" i="2"/>
  <c r="BZ47" i="2"/>
  <c r="BZ36" i="2"/>
  <c r="BZ25" i="2"/>
  <c r="CA25" i="2" s="1"/>
  <c r="BZ14" i="2"/>
  <c r="BZ51" i="2"/>
  <c r="BZ37" i="2"/>
  <c r="BZ23" i="2"/>
  <c r="BZ10" i="2"/>
  <c r="BZ66" i="2"/>
  <c r="BZ50" i="2"/>
  <c r="BZ35" i="2"/>
  <c r="BZ22" i="2"/>
  <c r="BZ9" i="2"/>
  <c r="BZ65" i="2"/>
  <c r="CA65" i="2" s="1"/>
  <c r="BZ48" i="2"/>
  <c r="BZ34" i="2"/>
  <c r="BZ21" i="2"/>
  <c r="BZ64" i="2"/>
  <c r="BZ46" i="2"/>
  <c r="BZ33" i="2"/>
  <c r="BZ17" i="2"/>
  <c r="BZ41" i="2"/>
  <c r="BZ13" i="2"/>
  <c r="BZ59" i="2"/>
  <c r="CA59" i="2" s="1"/>
  <c r="BZ42" i="2"/>
  <c r="BZ32" i="2"/>
  <c r="BZ15" i="2"/>
  <c r="BZ57" i="2"/>
  <c r="BZ31" i="2"/>
  <c r="BZ53" i="2"/>
  <c r="BZ40" i="2"/>
  <c r="CA40" i="2" s="1"/>
  <c r="BZ26" i="2"/>
  <c r="BZ12" i="2"/>
  <c r="BZ52" i="2"/>
  <c r="BZ39" i="2"/>
  <c r="BZ24" i="2"/>
  <c r="BZ11" i="2"/>
  <c r="AC65" i="2"/>
  <c r="AD65" i="2" s="1"/>
  <c r="AC51" i="2"/>
  <c r="AC40" i="2"/>
  <c r="AD40" i="2" s="1"/>
  <c r="AC32" i="2"/>
  <c r="AC21" i="2"/>
  <c r="AC11" i="2"/>
  <c r="AC64" i="2"/>
  <c r="AD64" i="2" s="1"/>
  <c r="AC50" i="2"/>
  <c r="AC39" i="2"/>
  <c r="AC31" i="2"/>
  <c r="AC10" i="2"/>
  <c r="AC59" i="2"/>
  <c r="AD59" i="2" s="1"/>
  <c r="AC48" i="2"/>
  <c r="AC37" i="2"/>
  <c r="AC26" i="2"/>
  <c r="AC16" i="2"/>
  <c r="AC53" i="2"/>
  <c r="AC36" i="2"/>
  <c r="AC22" i="2"/>
  <c r="AC52" i="2"/>
  <c r="AC35" i="2"/>
  <c r="AC17" i="2"/>
  <c r="AC47" i="2"/>
  <c r="AC33" i="2"/>
  <c r="AC14" i="2"/>
  <c r="AC41" i="2"/>
  <c r="AC13" i="2"/>
  <c r="AC66" i="2"/>
  <c r="AC38" i="2"/>
  <c r="AC12" i="2"/>
  <c r="AC58" i="2"/>
  <c r="AC30" i="2"/>
  <c r="AC60" i="2"/>
  <c r="AD60" i="2" s="1"/>
  <c r="AC23" i="2"/>
  <c r="AC57" i="2"/>
  <c r="AC15" i="2"/>
  <c r="AC49" i="2"/>
  <c r="AC9" i="2"/>
  <c r="AC46" i="2"/>
  <c r="AC34" i="2"/>
  <c r="AC42" i="2"/>
  <c r="AC25" i="2"/>
  <c r="AD25" i="2" s="1"/>
  <c r="AC24" i="2"/>
  <c r="AJ59" i="2"/>
  <c r="AK59" i="2" s="1"/>
  <c r="AJ48" i="2"/>
  <c r="AJ37" i="2"/>
  <c r="AJ26" i="2"/>
  <c r="AJ16" i="2"/>
  <c r="AJ57" i="2"/>
  <c r="AJ46" i="2"/>
  <c r="AJ35" i="2"/>
  <c r="AJ14" i="2"/>
  <c r="AJ53" i="2"/>
  <c r="AJ52" i="2"/>
  <c r="AJ39" i="2"/>
  <c r="AJ12" i="2"/>
  <c r="AJ51" i="2"/>
  <c r="AJ38" i="2"/>
  <c r="AJ23" i="2"/>
  <c r="AJ11" i="2"/>
  <c r="AJ66" i="2"/>
  <c r="AJ50" i="2"/>
  <c r="AJ36" i="2"/>
  <c r="AJ22" i="2"/>
  <c r="AJ10" i="2"/>
  <c r="AJ65" i="2"/>
  <c r="AJ49" i="2"/>
  <c r="AJ34" i="2"/>
  <c r="AJ21" i="2"/>
  <c r="AJ9" i="2"/>
  <c r="AJ60" i="2"/>
  <c r="AK60" i="2" s="1"/>
  <c r="AJ32" i="2"/>
  <c r="AJ64" i="2"/>
  <c r="AJ47" i="2"/>
  <c r="AJ33" i="2"/>
  <c r="AJ42" i="2"/>
  <c r="AJ17" i="2"/>
  <c r="AJ58" i="2"/>
  <c r="AJ41" i="2"/>
  <c r="AJ31" i="2"/>
  <c r="AJ15" i="2"/>
  <c r="AJ40" i="2"/>
  <c r="AK40" i="2" s="1"/>
  <c r="AJ30" i="2"/>
  <c r="AJ13" i="2"/>
  <c r="BE66" i="2"/>
  <c r="BE52" i="2"/>
  <c r="BE41" i="2"/>
  <c r="BE33" i="2"/>
  <c r="BE22" i="2"/>
  <c r="BE12" i="2"/>
  <c r="BE64" i="2"/>
  <c r="BF64" i="2" s="1"/>
  <c r="BE50" i="2"/>
  <c r="BE39" i="2"/>
  <c r="BE31" i="2"/>
  <c r="BE10" i="2"/>
  <c r="BE51" i="2"/>
  <c r="BE37" i="2"/>
  <c r="BE24" i="2"/>
  <c r="BE11" i="2"/>
  <c r="BE49" i="2"/>
  <c r="BE36" i="2"/>
  <c r="BE23" i="2"/>
  <c r="BE9" i="2"/>
  <c r="BE65" i="2"/>
  <c r="BF65" i="2" s="1"/>
  <c r="BE48" i="2"/>
  <c r="BE35" i="2"/>
  <c r="BE21" i="2"/>
  <c r="BE60" i="2"/>
  <c r="BF60" i="2" s="1"/>
  <c r="BE47" i="2"/>
  <c r="BE34" i="2"/>
  <c r="BE17" i="2"/>
  <c r="BE42" i="2"/>
  <c r="BE15" i="2"/>
  <c r="BE59" i="2"/>
  <c r="BF59" i="2" s="1"/>
  <c r="BE46" i="2"/>
  <c r="BE32" i="2"/>
  <c r="BE16" i="2"/>
  <c r="BE58" i="2"/>
  <c r="BE30" i="2"/>
  <c r="BE57" i="2"/>
  <c r="BE40" i="2"/>
  <c r="BF40" i="2" s="1"/>
  <c r="BE26" i="2"/>
  <c r="BE14" i="2"/>
  <c r="BE53" i="2"/>
  <c r="BE38" i="2"/>
  <c r="BE25" i="2"/>
  <c r="BF25" i="2" s="1"/>
  <c r="BE13" i="2"/>
  <c r="EZ25" i="2"/>
  <c r="FN25" i="2"/>
  <c r="FU25" i="2"/>
  <c r="HR25" i="2"/>
  <c r="CV25" i="2"/>
  <c r="GP25" i="2"/>
  <c r="DJ25" i="2"/>
  <c r="HD25" i="2"/>
  <c r="EE25" i="2"/>
  <c r="GW25" i="2"/>
  <c r="DQ25" i="2"/>
  <c r="HK25" i="2"/>
  <c r="EL25" i="2"/>
  <c r="GB25" i="2"/>
  <c r="HY25" i="2"/>
  <c r="DC25" i="2"/>
  <c r="ES25" i="2"/>
  <c r="FG25" i="2"/>
  <c r="HR66" i="2"/>
  <c r="HR59" i="2"/>
  <c r="GP58" i="2"/>
  <c r="HR53" i="2"/>
  <c r="GP52" i="2"/>
  <c r="HR50" i="2"/>
  <c r="FU60" i="2"/>
  <c r="HD51" i="2"/>
  <c r="HR40" i="2"/>
  <c r="GP66" i="2"/>
  <c r="HR60" i="2"/>
  <c r="GP59" i="2"/>
  <c r="GP53" i="2"/>
  <c r="HR49" i="2"/>
  <c r="HD49" i="2"/>
  <c r="GP49" i="2"/>
  <c r="FU49" i="2"/>
  <c r="HR48" i="2"/>
  <c r="HD48" i="2"/>
  <c r="GP48" i="2"/>
  <c r="FU48" i="2"/>
  <c r="HR47" i="2"/>
  <c r="HD47" i="2"/>
  <c r="GP47" i="2"/>
  <c r="FU47" i="2"/>
  <c r="HR42" i="2"/>
  <c r="HD42" i="2"/>
  <c r="GP42" i="2"/>
  <c r="FU42" i="2"/>
  <c r="HR41" i="2"/>
  <c r="HD41" i="2"/>
  <c r="GP41" i="2"/>
  <c r="FU41" i="2"/>
  <c r="HD58" i="2"/>
  <c r="HD52" i="2"/>
  <c r="FU51" i="2"/>
  <c r="FU40" i="2"/>
  <c r="GP60" i="2"/>
  <c r="HR51" i="2"/>
  <c r="HD66" i="2"/>
  <c r="HD59" i="2"/>
  <c r="FU58" i="2"/>
  <c r="HD53" i="2"/>
  <c r="FU52" i="2"/>
  <c r="FU50" i="2"/>
  <c r="GP40" i="2"/>
  <c r="FU66" i="2"/>
  <c r="GP51" i="2"/>
  <c r="FU53" i="2"/>
  <c r="HR52" i="2"/>
  <c r="FU39" i="2"/>
  <c r="HR38" i="2"/>
  <c r="HD38" i="2"/>
  <c r="GP38" i="2"/>
  <c r="FU38" i="2"/>
  <c r="HR37" i="2"/>
  <c r="HD37" i="2"/>
  <c r="GP37" i="2"/>
  <c r="FU37" i="2"/>
  <c r="HR36" i="2"/>
  <c r="HD36" i="2"/>
  <c r="GP36" i="2"/>
  <c r="FU36" i="2"/>
  <c r="HR35" i="2"/>
  <c r="HD35" i="2"/>
  <c r="GP35" i="2"/>
  <c r="FU35" i="2"/>
  <c r="HR34" i="2"/>
  <c r="HD34" i="2"/>
  <c r="GP34" i="2"/>
  <c r="FU34" i="2"/>
  <c r="HR33" i="2"/>
  <c r="HD33" i="2"/>
  <c r="GP33" i="2"/>
  <c r="FU33" i="2"/>
  <c r="HR32" i="2"/>
  <c r="HD32" i="2"/>
  <c r="GP32" i="2"/>
  <c r="FU32" i="2"/>
  <c r="FU59" i="2"/>
  <c r="HR58" i="2"/>
  <c r="GP31" i="2"/>
  <c r="HR23" i="2"/>
  <c r="GP39" i="2"/>
  <c r="FU26" i="2"/>
  <c r="HD60" i="2"/>
  <c r="HD50" i="2"/>
  <c r="HD39" i="2"/>
  <c r="HD40" i="2"/>
  <c r="HD26" i="2"/>
  <c r="GP24" i="2"/>
  <c r="HR39" i="2"/>
  <c r="HR31" i="2"/>
  <c r="HD24" i="2"/>
  <c r="GP22" i="2"/>
  <c r="HR17" i="2"/>
  <c r="GP16" i="2"/>
  <c r="HR15" i="2"/>
  <c r="GP14" i="2"/>
  <c r="HR13" i="2"/>
  <c r="GP50" i="2"/>
  <c r="FU22" i="2"/>
  <c r="HD23" i="2"/>
  <c r="HD31" i="2"/>
  <c r="FU23" i="2"/>
  <c r="HD22" i="2"/>
  <c r="FU17" i="2"/>
  <c r="HD16" i="2"/>
  <c r="FU15" i="2"/>
  <c r="HD14" i="2"/>
  <c r="FU13" i="2"/>
  <c r="HD12" i="2"/>
  <c r="GP12" i="2"/>
  <c r="FU12" i="2"/>
  <c r="HR11" i="2"/>
  <c r="HD11" i="2"/>
  <c r="GP11" i="2"/>
  <c r="FU11" i="2"/>
  <c r="HR10" i="2"/>
  <c r="HD10" i="2"/>
  <c r="GP10" i="2"/>
  <c r="FU10" i="2"/>
  <c r="HR24" i="2"/>
  <c r="FU16" i="2"/>
  <c r="FU14" i="2"/>
  <c r="HD13" i="2"/>
  <c r="FU31" i="2"/>
  <c r="GP26" i="2"/>
  <c r="FU24" i="2"/>
  <c r="HR26" i="2"/>
  <c r="GP23" i="2"/>
  <c r="HR22" i="2"/>
  <c r="GP17" i="2"/>
  <c r="HR16" i="2"/>
  <c r="GP15" i="2"/>
  <c r="HR14" i="2"/>
  <c r="GP13" i="2"/>
  <c r="HR12" i="2"/>
  <c r="HD17" i="2"/>
  <c r="HD15" i="2"/>
  <c r="ES40" i="2"/>
  <c r="ES66" i="2"/>
  <c r="ES59" i="2"/>
  <c r="ES53" i="2"/>
  <c r="ES51" i="2"/>
  <c r="ES49" i="2"/>
  <c r="ES48" i="2"/>
  <c r="ES47" i="2"/>
  <c r="ES42" i="2"/>
  <c r="ES41" i="2"/>
  <c r="ES60" i="2"/>
  <c r="ES50" i="2"/>
  <c r="ES52" i="2"/>
  <c r="ES32" i="2"/>
  <c r="ES39" i="2"/>
  <c r="ES38" i="2"/>
  <c r="ES37" i="2"/>
  <c r="ES36" i="2"/>
  <c r="ES35" i="2"/>
  <c r="ES34" i="2"/>
  <c r="ES33" i="2"/>
  <c r="ES24" i="2"/>
  <c r="ES26" i="2"/>
  <c r="ES23" i="2"/>
  <c r="ES15" i="2"/>
  <c r="ES22" i="2"/>
  <c r="ES16" i="2"/>
  <c r="ES14" i="2"/>
  <c r="ES12" i="2"/>
  <c r="ES11" i="2"/>
  <c r="ES10" i="2"/>
  <c r="ES58" i="2"/>
  <c r="ES31" i="2"/>
  <c r="ES17" i="2"/>
  <c r="ES13" i="2"/>
  <c r="EZ60" i="2"/>
  <c r="EZ58" i="2"/>
  <c r="EZ52" i="2"/>
  <c r="EZ51" i="2"/>
  <c r="EZ53" i="2"/>
  <c r="EZ66" i="2"/>
  <c r="EZ48" i="2"/>
  <c r="EZ41" i="2"/>
  <c r="EZ47" i="2"/>
  <c r="EZ40" i="2"/>
  <c r="EZ39" i="2"/>
  <c r="EZ37" i="2"/>
  <c r="EZ35" i="2"/>
  <c r="EZ33" i="2"/>
  <c r="EZ31" i="2"/>
  <c r="EZ49" i="2"/>
  <c r="EZ59" i="2"/>
  <c r="EZ38" i="2"/>
  <c r="EZ36" i="2"/>
  <c r="EZ34" i="2"/>
  <c r="EZ26" i="2"/>
  <c r="EZ22" i="2"/>
  <c r="EZ16" i="2"/>
  <c r="EZ14" i="2"/>
  <c r="EZ10" i="2"/>
  <c r="EZ50" i="2"/>
  <c r="EZ32" i="2"/>
  <c r="EZ12" i="2"/>
  <c r="EZ23" i="2"/>
  <c r="EZ17" i="2"/>
  <c r="EZ15" i="2"/>
  <c r="EZ13" i="2"/>
  <c r="EZ11" i="2"/>
  <c r="EZ24" i="2"/>
  <c r="EZ42" i="2"/>
  <c r="FG58" i="2"/>
  <c r="FG52" i="2"/>
  <c r="FG51" i="2"/>
  <c r="FG49" i="2"/>
  <c r="FG48" i="2"/>
  <c r="FG47" i="2"/>
  <c r="FG42" i="2"/>
  <c r="FG41" i="2"/>
  <c r="FG40" i="2"/>
  <c r="FG66" i="2"/>
  <c r="FG59" i="2"/>
  <c r="FG53" i="2"/>
  <c r="FG50" i="2"/>
  <c r="FG39" i="2"/>
  <c r="FG38" i="2"/>
  <c r="FG37" i="2"/>
  <c r="FG36" i="2"/>
  <c r="FG35" i="2"/>
  <c r="FG34" i="2"/>
  <c r="FG33" i="2"/>
  <c r="FG32" i="2"/>
  <c r="FG26" i="2"/>
  <c r="FG60" i="2"/>
  <c r="FG31" i="2"/>
  <c r="FG23" i="2"/>
  <c r="FG17" i="2"/>
  <c r="FG15" i="2"/>
  <c r="FG13" i="2"/>
  <c r="FG24" i="2"/>
  <c r="FG12" i="2"/>
  <c r="FG11" i="2"/>
  <c r="FG10" i="2"/>
  <c r="FG22" i="2"/>
  <c r="FG16" i="2"/>
  <c r="FG14" i="2"/>
  <c r="FN58" i="2"/>
  <c r="FN52" i="2"/>
  <c r="FN50" i="2"/>
  <c r="FN66" i="2"/>
  <c r="FN59" i="2"/>
  <c r="FN53" i="2"/>
  <c r="FN60" i="2"/>
  <c r="FN48" i="2"/>
  <c r="FN51" i="2"/>
  <c r="FN42" i="2"/>
  <c r="FN31" i="2"/>
  <c r="FN39" i="2"/>
  <c r="FN37" i="2"/>
  <c r="FN35" i="2"/>
  <c r="FN47" i="2"/>
  <c r="FN40" i="2"/>
  <c r="FN49" i="2"/>
  <c r="FN26" i="2"/>
  <c r="FN38" i="2"/>
  <c r="FN24" i="2"/>
  <c r="FN11" i="2"/>
  <c r="FN32" i="2"/>
  <c r="FN22" i="2"/>
  <c r="FN16" i="2"/>
  <c r="FN14" i="2"/>
  <c r="FN12" i="2"/>
  <c r="FN33" i="2"/>
  <c r="FN34" i="2"/>
  <c r="FN17" i="2"/>
  <c r="FN15" i="2"/>
  <c r="FN13" i="2"/>
  <c r="FN10" i="2"/>
  <c r="FN41" i="2"/>
  <c r="FN36" i="2"/>
  <c r="FN23" i="2"/>
  <c r="GW66" i="2"/>
  <c r="HY60" i="2"/>
  <c r="GW59" i="2"/>
  <c r="GW53" i="2"/>
  <c r="GB40" i="2"/>
  <c r="HK58" i="2"/>
  <c r="HK52" i="2"/>
  <c r="GB51" i="2"/>
  <c r="GB50" i="2"/>
  <c r="GW60" i="2"/>
  <c r="HY51" i="2"/>
  <c r="GW50" i="2"/>
  <c r="GW40" i="2"/>
  <c r="HK66" i="2"/>
  <c r="HK59" i="2"/>
  <c r="GB58" i="2"/>
  <c r="HK53" i="2"/>
  <c r="GB52" i="2"/>
  <c r="HK50" i="2"/>
  <c r="HY39" i="2"/>
  <c r="HK39" i="2"/>
  <c r="HY58" i="2"/>
  <c r="HY52" i="2"/>
  <c r="GW51" i="2"/>
  <c r="HY50" i="2"/>
  <c r="HK40" i="2"/>
  <c r="GB66" i="2"/>
  <c r="HK60" i="2"/>
  <c r="GB59" i="2"/>
  <c r="GB53" i="2"/>
  <c r="HK51" i="2"/>
  <c r="GW49" i="2"/>
  <c r="GW42" i="2"/>
  <c r="HK48" i="2"/>
  <c r="GB47" i="2"/>
  <c r="HY48" i="2"/>
  <c r="GW47" i="2"/>
  <c r="HY41" i="2"/>
  <c r="GB31" i="2"/>
  <c r="HK26" i="2"/>
  <c r="GW26" i="2"/>
  <c r="HY59" i="2"/>
  <c r="GW58" i="2"/>
  <c r="GB49" i="2"/>
  <c r="GB42" i="2"/>
  <c r="GW31" i="2"/>
  <c r="HY26" i="2"/>
  <c r="HY53" i="2"/>
  <c r="HK49" i="2"/>
  <c r="GB38" i="2"/>
  <c r="HK37" i="2"/>
  <c r="GB36" i="2"/>
  <c r="HK35" i="2"/>
  <c r="GB34" i="2"/>
  <c r="HK33" i="2"/>
  <c r="GB32" i="2"/>
  <c r="GB24" i="2"/>
  <c r="HY47" i="2"/>
  <c r="GB41" i="2"/>
  <c r="HY31" i="2"/>
  <c r="GW24" i="2"/>
  <c r="GW38" i="2"/>
  <c r="HY37" i="2"/>
  <c r="GW36" i="2"/>
  <c r="HY35" i="2"/>
  <c r="HY49" i="2"/>
  <c r="HY66" i="2"/>
  <c r="GW52" i="2"/>
  <c r="GB48" i="2"/>
  <c r="HK42" i="2"/>
  <c r="GW41" i="2"/>
  <c r="GB39" i="2"/>
  <c r="HK38" i="2"/>
  <c r="GB37" i="2"/>
  <c r="HK36" i="2"/>
  <c r="GB35" i="2"/>
  <c r="HK34" i="2"/>
  <c r="GB33" i="2"/>
  <c r="HK32" i="2"/>
  <c r="HK23" i="2"/>
  <c r="HY23" i="2"/>
  <c r="HK47" i="2"/>
  <c r="HK41" i="2"/>
  <c r="GW35" i="2"/>
  <c r="HY33" i="2"/>
  <c r="GW32" i="2"/>
  <c r="GB23" i="2"/>
  <c r="HK22" i="2"/>
  <c r="GB17" i="2"/>
  <c r="HK16" i="2"/>
  <c r="GB15" i="2"/>
  <c r="HK14" i="2"/>
  <c r="GB13" i="2"/>
  <c r="HK12" i="2"/>
  <c r="HK31" i="2"/>
  <c r="GB12" i="2"/>
  <c r="GB10" i="2"/>
  <c r="HY42" i="2"/>
  <c r="GW37" i="2"/>
  <c r="HY34" i="2"/>
  <c r="GW33" i="2"/>
  <c r="HK24" i="2"/>
  <c r="HY22" i="2"/>
  <c r="GW17" i="2"/>
  <c r="HY16" i="2"/>
  <c r="GW15" i="2"/>
  <c r="HY14" i="2"/>
  <c r="GW13" i="2"/>
  <c r="HY12" i="2"/>
  <c r="GW11" i="2"/>
  <c r="HY10" i="2"/>
  <c r="GB60" i="2"/>
  <c r="GW48" i="2"/>
  <c r="GW23" i="2"/>
  <c r="GW12" i="2"/>
  <c r="GB11" i="2"/>
  <c r="HK10" i="2"/>
  <c r="GW39" i="2"/>
  <c r="HY36" i="2"/>
  <c r="GW34" i="2"/>
  <c r="GB22" i="2"/>
  <c r="HK17" i="2"/>
  <c r="GB16" i="2"/>
  <c r="HK15" i="2"/>
  <c r="GB14" i="2"/>
  <c r="HK13" i="2"/>
  <c r="HY40" i="2"/>
  <c r="GW22" i="2"/>
  <c r="HY17" i="2"/>
  <c r="GW16" i="2"/>
  <c r="HY15" i="2"/>
  <c r="GW14" i="2"/>
  <c r="HY13" i="2"/>
  <c r="GB26" i="2"/>
  <c r="HY11" i="2"/>
  <c r="HY24" i="2"/>
  <c r="HY38" i="2"/>
  <c r="HY32" i="2"/>
  <c r="HK11" i="2"/>
  <c r="GW10" i="2"/>
  <c r="EE39" i="2"/>
  <c r="DJ39" i="2"/>
  <c r="EE38" i="2"/>
  <c r="DJ38" i="2"/>
  <c r="EE37" i="2"/>
  <c r="DJ37" i="2"/>
  <c r="EE36" i="2"/>
  <c r="DJ36" i="2"/>
  <c r="EE35" i="2"/>
  <c r="DJ35" i="2"/>
  <c r="EE34" i="2"/>
  <c r="DJ34" i="2"/>
  <c r="EE33" i="2"/>
  <c r="DJ33" i="2"/>
  <c r="EE32" i="2"/>
  <c r="DJ32" i="2"/>
  <c r="EE31" i="2"/>
  <c r="DJ31" i="2"/>
  <c r="EE26" i="2"/>
  <c r="DJ26" i="2"/>
  <c r="EE24" i="2"/>
  <c r="DJ24" i="2"/>
  <c r="EE23" i="2"/>
  <c r="DJ23" i="2"/>
  <c r="EE22" i="2"/>
  <c r="DJ22" i="2"/>
  <c r="EE17" i="2"/>
  <c r="DJ17" i="2"/>
  <c r="EE16" i="2"/>
  <c r="DJ16" i="2"/>
  <c r="EE15" i="2"/>
  <c r="DJ15" i="2"/>
  <c r="EE14" i="2"/>
  <c r="EE66" i="2"/>
  <c r="DJ66" i="2"/>
  <c r="EE60" i="2"/>
  <c r="DJ60" i="2"/>
  <c r="EE59" i="2"/>
  <c r="DJ59" i="2"/>
  <c r="EE58" i="2"/>
  <c r="DJ58" i="2"/>
  <c r="EE53" i="2"/>
  <c r="DJ53" i="2"/>
  <c r="EE52" i="2"/>
  <c r="DJ52" i="2"/>
  <c r="EE51" i="2"/>
  <c r="DJ51" i="2"/>
  <c r="EE50" i="2"/>
  <c r="DJ50" i="2"/>
  <c r="EE49" i="2"/>
  <c r="DJ49" i="2"/>
  <c r="EE48" i="2"/>
  <c r="DJ48" i="2"/>
  <c r="EE47" i="2"/>
  <c r="DJ47" i="2"/>
  <c r="EE42" i="2"/>
  <c r="DJ42" i="2"/>
  <c r="EE41" i="2"/>
  <c r="DJ41" i="2"/>
  <c r="EE40" i="2"/>
  <c r="DJ40" i="2"/>
  <c r="EE13" i="2"/>
  <c r="DJ13" i="2"/>
  <c r="EE12" i="2"/>
  <c r="DJ12" i="2"/>
  <c r="EE11" i="2"/>
  <c r="DJ11" i="2"/>
  <c r="EE10" i="2"/>
  <c r="DJ10" i="2"/>
  <c r="DJ14" i="2"/>
  <c r="EL66" i="2"/>
  <c r="DQ66" i="2"/>
  <c r="EL60" i="2"/>
  <c r="DQ60" i="2"/>
  <c r="EL59" i="2"/>
  <c r="DQ59" i="2"/>
  <c r="EL58" i="2"/>
  <c r="DQ58" i="2"/>
  <c r="EL53" i="2"/>
  <c r="DQ53" i="2"/>
  <c r="EL52" i="2"/>
  <c r="DQ52" i="2"/>
  <c r="EL51" i="2"/>
  <c r="DQ51" i="2"/>
  <c r="EL50" i="2"/>
  <c r="DQ50" i="2"/>
  <c r="EL49" i="2"/>
  <c r="DQ49" i="2"/>
  <c r="EL48" i="2"/>
  <c r="DQ48" i="2"/>
  <c r="EL47" i="2"/>
  <c r="DQ47" i="2"/>
  <c r="EL42" i="2"/>
  <c r="DQ42" i="2"/>
  <c r="EL41" i="2"/>
  <c r="DQ41" i="2"/>
  <c r="EL40" i="2"/>
  <c r="EL39" i="2"/>
  <c r="DQ39" i="2"/>
  <c r="EL38" i="2"/>
  <c r="DQ38" i="2"/>
  <c r="EL37" i="2"/>
  <c r="DQ37" i="2"/>
  <c r="EL36" i="2"/>
  <c r="DQ36" i="2"/>
  <c r="EL35" i="2"/>
  <c r="DQ35" i="2"/>
  <c r="EL34" i="2"/>
  <c r="DQ34" i="2"/>
  <c r="EL33" i="2"/>
  <c r="DQ33" i="2"/>
  <c r="EL32" i="2"/>
  <c r="DQ32" i="2"/>
  <c r="EL31" i="2"/>
  <c r="DQ31" i="2"/>
  <c r="EL26" i="2"/>
  <c r="DQ26" i="2"/>
  <c r="EL24" i="2"/>
  <c r="DQ24" i="2"/>
  <c r="EL23" i="2"/>
  <c r="DQ23" i="2"/>
  <c r="EL22" i="2"/>
  <c r="DQ22" i="2"/>
  <c r="EL17" i="2"/>
  <c r="DQ17" i="2"/>
  <c r="EL16" i="2"/>
  <c r="DQ16" i="2"/>
  <c r="EL15" i="2"/>
  <c r="DQ15" i="2"/>
  <c r="EL14" i="2"/>
  <c r="DQ14" i="2"/>
  <c r="EL13" i="2"/>
  <c r="DQ40" i="2"/>
  <c r="EL12" i="2"/>
  <c r="EL10" i="2"/>
  <c r="EL11" i="2"/>
  <c r="DQ12" i="2"/>
  <c r="DQ11" i="2"/>
  <c r="DQ13" i="2"/>
  <c r="DQ10" i="2"/>
  <c r="CV31" i="2"/>
  <c r="CV24" i="2"/>
  <c r="CV17" i="2"/>
  <c r="CV12" i="2"/>
  <c r="CV33" i="2"/>
  <c r="CV26" i="2"/>
  <c r="CV16" i="2"/>
  <c r="CV13" i="2"/>
  <c r="CV10" i="2"/>
  <c r="CV34" i="2"/>
  <c r="CV23" i="2"/>
  <c r="CV14" i="2"/>
  <c r="CV11" i="2"/>
  <c r="CV39" i="2"/>
  <c r="CV38" i="2"/>
  <c r="CV37" i="2"/>
  <c r="CV36" i="2"/>
  <c r="CV35" i="2"/>
  <c r="CV32" i="2"/>
  <c r="CV22" i="2"/>
  <c r="CV15" i="2"/>
  <c r="CV40" i="2"/>
  <c r="CV66" i="2"/>
  <c r="CV60" i="2"/>
  <c r="CV59" i="2"/>
  <c r="CV58" i="2"/>
  <c r="CV53" i="2"/>
  <c r="CV52" i="2"/>
  <c r="CV51" i="2"/>
  <c r="CV50" i="2"/>
  <c r="CV49" i="2"/>
  <c r="CV48" i="2"/>
  <c r="CV47" i="2"/>
  <c r="CV42" i="2"/>
  <c r="CV41" i="2"/>
  <c r="DC66" i="2"/>
  <c r="DC60" i="2"/>
  <c r="DC59" i="2"/>
  <c r="DC58" i="2"/>
  <c r="DC53" i="2"/>
  <c r="DC52" i="2"/>
  <c r="DC51" i="2"/>
  <c r="DC50" i="2"/>
  <c r="DC49" i="2"/>
  <c r="DC48" i="2"/>
  <c r="DC47" i="2"/>
  <c r="DC42" i="2"/>
  <c r="DC41" i="2"/>
  <c r="DC40" i="2"/>
  <c r="DC35" i="2"/>
  <c r="DC24" i="2"/>
  <c r="DC15" i="2"/>
  <c r="DC10" i="2"/>
  <c r="DC38" i="2"/>
  <c r="DC23" i="2"/>
  <c r="DC12" i="2"/>
  <c r="DC34" i="2"/>
  <c r="DC22" i="2"/>
  <c r="DC14" i="2"/>
  <c r="DC36" i="2"/>
  <c r="DC13" i="2"/>
  <c r="DC39" i="2"/>
  <c r="DC33" i="2"/>
  <c r="DC31" i="2"/>
  <c r="DC17" i="2"/>
  <c r="DC37" i="2"/>
  <c r="DC32" i="2"/>
  <c r="DC26" i="2"/>
  <c r="DC16" i="2"/>
  <c r="DC11" i="2"/>
  <c r="H2" i="2"/>
  <c r="CA2" i="2"/>
  <c r="CH2" i="2"/>
  <c r="CH17" i="2"/>
  <c r="CH47" i="2"/>
  <c r="V67" i="2" l="1"/>
  <c r="BZ67" i="2"/>
  <c r="CG61" i="2"/>
  <c r="BZ18" i="2"/>
  <c r="H24" i="2"/>
  <c r="H25" i="2"/>
  <c r="CG18" i="2"/>
  <c r="AC18" i="2"/>
  <c r="BZ54" i="2"/>
  <c r="BE27" i="2"/>
  <c r="AQ43" i="2"/>
  <c r="AJ61" i="2"/>
  <c r="AJ54" i="2"/>
  <c r="V18" i="2"/>
  <c r="AJ67" i="2"/>
  <c r="AK65" i="2"/>
  <c r="H50" i="2"/>
  <c r="H60" i="2"/>
  <c r="I60" i="2" s="1"/>
  <c r="H49" i="2"/>
  <c r="H38" i="2"/>
  <c r="H30" i="2"/>
  <c r="H16" i="2"/>
  <c r="H59" i="2"/>
  <c r="I59" i="2" s="1"/>
  <c r="H48" i="2"/>
  <c r="H58" i="2"/>
  <c r="H47" i="2"/>
  <c r="H36" i="2"/>
  <c r="H14" i="2"/>
  <c r="H9" i="2"/>
  <c r="I9" i="2" s="1"/>
  <c r="H57" i="2"/>
  <c r="H46" i="2"/>
  <c r="H35" i="2"/>
  <c r="H13" i="2"/>
  <c r="H66" i="2"/>
  <c r="H41" i="2"/>
  <c r="H33" i="2"/>
  <c r="H11" i="2"/>
  <c r="H26" i="2"/>
  <c r="H53" i="2"/>
  <c r="H42" i="2"/>
  <c r="H34" i="2"/>
  <c r="H23" i="2"/>
  <c r="H12" i="2"/>
  <c r="H52" i="2"/>
  <c r="H22" i="2"/>
  <c r="H15" i="2"/>
  <c r="H65" i="2"/>
  <c r="I65" i="2" s="1"/>
  <c r="H51" i="2"/>
  <c r="H40" i="2"/>
  <c r="I40" i="2" s="1"/>
  <c r="H32" i="2"/>
  <c r="H21" i="2"/>
  <c r="H10" i="2"/>
  <c r="H64" i="2"/>
  <c r="H39" i="2"/>
  <c r="H31" i="2"/>
  <c r="H17" i="2"/>
  <c r="H37" i="2"/>
  <c r="BZ27" i="2"/>
  <c r="O54" i="2"/>
  <c r="AQ61" i="2"/>
  <c r="O43" i="2"/>
  <c r="CG27" i="2"/>
  <c r="BE43" i="2"/>
  <c r="BE18" i="2"/>
  <c r="CH58" i="2"/>
  <c r="CH61" i="2" s="1"/>
  <c r="BE61" i="2"/>
  <c r="AJ18" i="2"/>
  <c r="AC43" i="2"/>
  <c r="BZ43" i="2"/>
  <c r="AQ27" i="2"/>
  <c r="O67" i="2"/>
  <c r="CG43" i="2"/>
  <c r="BS18" i="2"/>
  <c r="BS61" i="2"/>
  <c r="AC54" i="2"/>
  <c r="AC61" i="2"/>
  <c r="AC67" i="2"/>
  <c r="O27" i="2"/>
  <c r="O61" i="2"/>
  <c r="O18" i="2"/>
  <c r="V54" i="2"/>
  <c r="V61" i="2"/>
  <c r="V27" i="2"/>
  <c r="CG67" i="2"/>
  <c r="BS27" i="2"/>
  <c r="BS67" i="2"/>
  <c r="BZ61" i="2"/>
  <c r="AQ18" i="2"/>
  <c r="AQ54" i="2"/>
  <c r="CG54" i="2"/>
  <c r="BS54" i="2"/>
  <c r="BS43" i="2"/>
  <c r="BE54" i="2"/>
  <c r="BE67" i="2"/>
  <c r="AJ43" i="2"/>
  <c r="AJ27" i="2"/>
  <c r="AC27" i="2"/>
  <c r="AQ67" i="2"/>
  <c r="AR65" i="2"/>
  <c r="V43" i="2"/>
  <c r="HK21" i="2"/>
  <c r="HK27" i="2" s="1"/>
  <c r="GB21" i="2"/>
  <c r="GB27" i="2" s="1"/>
  <c r="GW30" i="2"/>
  <c r="GW43" i="2" s="1"/>
  <c r="HK64" i="2"/>
  <c r="HK67" i="2" s="1"/>
  <c r="EZ9" i="2"/>
  <c r="EZ18" i="2" s="1"/>
  <c r="HD64" i="2"/>
  <c r="HD67" i="2" s="1"/>
  <c r="GW46" i="2"/>
  <c r="GW54" i="2" s="1"/>
  <c r="HY57" i="2"/>
  <c r="HY61" i="2" s="1"/>
  <c r="EZ46" i="2"/>
  <c r="EZ54" i="2" s="1"/>
  <c r="ES30" i="2"/>
  <c r="ES43" i="2" s="1"/>
  <c r="FU9" i="2"/>
  <c r="FU18" i="2" s="1"/>
  <c r="HR57" i="2"/>
  <c r="HR61" i="2" s="1"/>
  <c r="FU46" i="2"/>
  <c r="FU54" i="2" s="1"/>
  <c r="GW9" i="2"/>
  <c r="GW18" i="2" s="1"/>
  <c r="GB30" i="2"/>
  <c r="GB43" i="2" s="1"/>
  <c r="HK46" i="2"/>
  <c r="HK54" i="2" s="1"/>
  <c r="GW57" i="2"/>
  <c r="GW61" i="2" s="1"/>
  <c r="FN9" i="2"/>
  <c r="FN18" i="2" s="1"/>
  <c r="FN30" i="2"/>
  <c r="FN43" i="2" s="1"/>
  <c r="FG9" i="2"/>
  <c r="FG18" i="2" s="1"/>
  <c r="FG21" i="2"/>
  <c r="FG27" i="2" s="1"/>
  <c r="ES46" i="2"/>
  <c r="ES54" i="2" s="1"/>
  <c r="GP9" i="2"/>
  <c r="GP18" i="2" s="1"/>
  <c r="FU30" i="2"/>
  <c r="FU43" i="2" s="1"/>
  <c r="HR21" i="2"/>
  <c r="HR27" i="2" s="1"/>
  <c r="GP46" i="2"/>
  <c r="GP54" i="2" s="1"/>
  <c r="HK30" i="2"/>
  <c r="HK43" i="2" s="1"/>
  <c r="FN57" i="2"/>
  <c r="FN61" i="2" s="1"/>
  <c r="HD9" i="2"/>
  <c r="HD18" i="2" s="1"/>
  <c r="HD46" i="2"/>
  <c r="HD54" i="2" s="1"/>
  <c r="GB64" i="2"/>
  <c r="GB67" i="2" s="1"/>
  <c r="FN46" i="2"/>
  <c r="FN54" i="2" s="1"/>
  <c r="ES64" i="2"/>
  <c r="ES67" i="2" s="1"/>
  <c r="HR9" i="2"/>
  <c r="HR18" i="2" s="1"/>
  <c r="HR30" i="2"/>
  <c r="HR43" i="2" s="1"/>
  <c r="HD30" i="2"/>
  <c r="HD43" i="2" s="1"/>
  <c r="HR46" i="2"/>
  <c r="HR54" i="2" s="1"/>
  <c r="HY64" i="2"/>
  <c r="HY67" i="2" s="1"/>
  <c r="HY21" i="2"/>
  <c r="HY27" i="2" s="1"/>
  <c r="HY9" i="2"/>
  <c r="HY18" i="2" s="1"/>
  <c r="GB46" i="2"/>
  <c r="GB54" i="2" s="1"/>
  <c r="ES21" i="2"/>
  <c r="ES27" i="2" s="1"/>
  <c r="ES57" i="2"/>
  <c r="ES61" i="2" s="1"/>
  <c r="GP21" i="2"/>
  <c r="GP27" i="2" s="1"/>
  <c r="FU21" i="2"/>
  <c r="FU27" i="2" s="1"/>
  <c r="GP30" i="2"/>
  <c r="GP43" i="2" s="1"/>
  <c r="HY30" i="2"/>
  <c r="HY43" i="2" s="1"/>
  <c r="GB9" i="2"/>
  <c r="GB18" i="2" s="1"/>
  <c r="HK9" i="2"/>
  <c r="HK18" i="2" s="1"/>
  <c r="HK57" i="2"/>
  <c r="HK61" i="2" s="1"/>
  <c r="GW64" i="2"/>
  <c r="GW67" i="2" s="1"/>
  <c r="GB57" i="2"/>
  <c r="GB61" i="2" s="1"/>
  <c r="FN21" i="2"/>
  <c r="FN27" i="2" s="1"/>
  <c r="FN64" i="2"/>
  <c r="FN67" i="2" s="1"/>
  <c r="FG64" i="2"/>
  <c r="FG67" i="2" s="1"/>
  <c r="EZ21" i="2"/>
  <c r="EZ27" i="2" s="1"/>
  <c r="EZ64" i="2"/>
  <c r="EZ67" i="2" s="1"/>
  <c r="GP57" i="2"/>
  <c r="GP61" i="2" s="1"/>
  <c r="HR64" i="2"/>
  <c r="HR67" i="2" s="1"/>
  <c r="FU64" i="2"/>
  <c r="FU67" i="2" s="1"/>
  <c r="FU57" i="2"/>
  <c r="FU61" i="2" s="1"/>
  <c r="GP64" i="2"/>
  <c r="GP67" i="2" s="1"/>
  <c r="GW21" i="2"/>
  <c r="GW27" i="2" s="1"/>
  <c r="HY46" i="2"/>
  <c r="HY54" i="2" s="1"/>
  <c r="FG30" i="2"/>
  <c r="FG43" i="2" s="1"/>
  <c r="FG46" i="2"/>
  <c r="FG54" i="2" s="1"/>
  <c r="FG57" i="2"/>
  <c r="FG61" i="2" s="1"/>
  <c r="EZ30" i="2"/>
  <c r="EZ43" i="2" s="1"/>
  <c r="EZ57" i="2"/>
  <c r="EZ61" i="2" s="1"/>
  <c r="ES9" i="2"/>
  <c r="ES18" i="2" s="1"/>
  <c r="HD21" i="2"/>
  <c r="HD27" i="2" s="1"/>
  <c r="HD57" i="2"/>
  <c r="HD61" i="2" s="1"/>
  <c r="EL46" i="2"/>
  <c r="EL54" i="2" s="1"/>
  <c r="EL57" i="2"/>
  <c r="EL61" i="2" s="1"/>
  <c r="EL64" i="2"/>
  <c r="EL67" i="2" s="1"/>
  <c r="EE21" i="2"/>
  <c r="EE27" i="2" s="1"/>
  <c r="EE9" i="2"/>
  <c r="EE18" i="2" s="1"/>
  <c r="EE57" i="2"/>
  <c r="EE61" i="2" s="1"/>
  <c r="DQ64" i="2"/>
  <c r="DQ67" i="2" s="1"/>
  <c r="DJ30" i="2"/>
  <c r="DJ43" i="2" s="1"/>
  <c r="EL21" i="2"/>
  <c r="EL27" i="2" s="1"/>
  <c r="EE64" i="2"/>
  <c r="EE67" i="2" s="1"/>
  <c r="EL30" i="2"/>
  <c r="EL43" i="2" s="1"/>
  <c r="DQ46" i="2"/>
  <c r="DQ54" i="2" s="1"/>
  <c r="DQ57" i="2"/>
  <c r="DQ61" i="2" s="1"/>
  <c r="EE30" i="2"/>
  <c r="EE43" i="2" s="1"/>
  <c r="EE46" i="2"/>
  <c r="EE54" i="2" s="1"/>
  <c r="DJ21" i="2"/>
  <c r="DJ27" i="2" s="1"/>
  <c r="DQ9" i="2"/>
  <c r="DQ18" i="2" s="1"/>
  <c r="EL9" i="2"/>
  <c r="EL18" i="2" s="1"/>
  <c r="DQ30" i="2"/>
  <c r="DQ43" i="2" s="1"/>
  <c r="DQ21" i="2"/>
  <c r="DQ27" i="2" s="1"/>
  <c r="DJ9" i="2"/>
  <c r="DJ18" i="2" s="1"/>
  <c r="DJ46" i="2"/>
  <c r="DJ54" i="2" s="1"/>
  <c r="DJ57" i="2"/>
  <c r="DJ61" i="2" s="1"/>
  <c r="DJ64" i="2"/>
  <c r="DJ67" i="2" s="1"/>
  <c r="CV9" i="2"/>
  <c r="CV18" i="2" s="1"/>
  <c r="DC9" i="2"/>
  <c r="DC18" i="2" s="1"/>
  <c r="CV46" i="2"/>
  <c r="CV54" i="2" s="1"/>
  <c r="CV30" i="2"/>
  <c r="CV43" i="2" s="1"/>
  <c r="DC64" i="2"/>
  <c r="DC67" i="2" s="1"/>
  <c r="CV64" i="2"/>
  <c r="CV67" i="2" s="1"/>
  <c r="DC46" i="2"/>
  <c r="DC54" i="2" s="1"/>
  <c r="CV57" i="2"/>
  <c r="CV61" i="2" s="1"/>
  <c r="DC21" i="2"/>
  <c r="DC27" i="2" s="1"/>
  <c r="CV21" i="2"/>
  <c r="CV27" i="2" s="1"/>
  <c r="DC30" i="2"/>
  <c r="DC43" i="2" s="1"/>
  <c r="DC57" i="2"/>
  <c r="DC61" i="2" s="1"/>
  <c r="CH67" i="2"/>
  <c r="CH27" i="2"/>
  <c r="CH43" i="2"/>
  <c r="CH18" i="2"/>
  <c r="CH46" i="2"/>
  <c r="CH54" i="2" s="1"/>
  <c r="H18" i="2" l="1"/>
  <c r="FG70" i="2"/>
  <c r="FG3" i="2" s="1"/>
  <c r="FG4" i="2" s="1"/>
  <c r="GP70" i="2"/>
  <c r="GP3" i="2" s="1"/>
  <c r="GP4" i="2" s="1"/>
  <c r="GA70" i="2"/>
  <c r="GA3" i="2" s="1"/>
  <c r="HX70" i="2"/>
  <c r="HX3" i="2" s="1"/>
  <c r="HK70" i="2"/>
  <c r="HK3" i="2" s="1"/>
  <c r="HK4" i="2" s="1"/>
  <c r="HC70" i="2"/>
  <c r="HC3" i="2" s="1"/>
  <c r="EZ70" i="2"/>
  <c r="EZ3" i="2" s="1"/>
  <c r="EZ4" i="2" s="1"/>
  <c r="HJ70" i="2"/>
  <c r="HJ3" i="2" s="1"/>
  <c r="HD70" i="2"/>
  <c r="HD3" i="2" s="1"/>
  <c r="HD4" i="2" s="1"/>
  <c r="EY70" i="2"/>
  <c r="EY3" i="2" s="1"/>
  <c r="GB70" i="2"/>
  <c r="GB3" i="2" s="1"/>
  <c r="GB4" i="2" s="1"/>
  <c r="HY70" i="2"/>
  <c r="HY3" i="2" s="1"/>
  <c r="HY4" i="2" s="1"/>
  <c r="FF70" i="2"/>
  <c r="FF3" i="2" s="1"/>
  <c r="FT70" i="2"/>
  <c r="FT3" i="2" s="1"/>
  <c r="GO70" i="2"/>
  <c r="GO3" i="2" s="1"/>
  <c r="FU70" i="2"/>
  <c r="FU3" i="2" s="1"/>
  <c r="FU4" i="2" s="1"/>
  <c r="ER70" i="2"/>
  <c r="ER3" i="2" s="1"/>
  <c r="HQ70" i="2"/>
  <c r="HQ3" i="2" s="1"/>
  <c r="FN70" i="2"/>
  <c r="FN3" i="2" s="1"/>
  <c r="FN4" i="2" s="1"/>
  <c r="GV70" i="2"/>
  <c r="GV3" i="2" s="1"/>
  <c r="ES70" i="2"/>
  <c r="ES3" i="2" s="1"/>
  <c r="ES4" i="2" s="1"/>
  <c r="HR70" i="2"/>
  <c r="HR3" i="2" s="1"/>
  <c r="HR4" i="2" s="1"/>
  <c r="FM70" i="2"/>
  <c r="FM3" i="2" s="1"/>
  <c r="GW70" i="2"/>
  <c r="GW3" i="2" s="1"/>
  <c r="GW4" i="2" s="1"/>
  <c r="EL70" i="2"/>
  <c r="EL3" i="2" s="1"/>
  <c r="EL4" i="2" s="1"/>
  <c r="EK70" i="2"/>
  <c r="EK3" i="2" s="1"/>
  <c r="DJ70" i="2"/>
  <c r="DJ3" i="2" s="1"/>
  <c r="DJ4" i="2" s="1"/>
  <c r="EE70" i="2"/>
  <c r="EE3" i="2" s="1"/>
  <c r="EE4" i="2" s="1"/>
  <c r="DQ70" i="2"/>
  <c r="DQ3" i="2" s="1"/>
  <c r="DQ4" i="2" s="1"/>
  <c r="DI70" i="2"/>
  <c r="DI3" i="2" s="1"/>
  <c r="DP70" i="2"/>
  <c r="DP3" i="2" s="1"/>
  <c r="ED70" i="2"/>
  <c r="ED3" i="2" s="1"/>
  <c r="DC70" i="2"/>
  <c r="DC3" i="2" s="1"/>
  <c r="DC4" i="2" s="1"/>
  <c r="DB70" i="2"/>
  <c r="DB3" i="2" s="1"/>
  <c r="CU70" i="2"/>
  <c r="CU3" i="2" s="1"/>
  <c r="CV70" i="2"/>
  <c r="CV3" i="2" s="1"/>
  <c r="CV4" i="2" s="1"/>
  <c r="H61" i="2"/>
  <c r="CH70" i="2"/>
  <c r="CG70" i="2"/>
  <c r="DP4" i="2" l="1"/>
  <c r="W26" i="4"/>
  <c r="DI4" i="2"/>
  <c r="W25" i="4"/>
  <c r="EK4" i="2"/>
  <c r="HQ4" i="2"/>
  <c r="W45" i="4"/>
  <c r="EY4" i="2"/>
  <c r="W32" i="4"/>
  <c r="ER4" i="2"/>
  <c r="W31" i="4"/>
  <c r="GO4" i="2"/>
  <c r="W40" i="4"/>
  <c r="FT4" i="2"/>
  <c r="W36" i="4"/>
  <c r="HC4" i="2"/>
  <c r="FF4" i="2"/>
  <c r="GV4" i="2"/>
  <c r="HX4" i="2"/>
  <c r="W46" i="4"/>
  <c r="ED4" i="2"/>
  <c r="W29" i="4"/>
  <c r="HJ4" i="2"/>
  <c r="FM4" i="2"/>
  <c r="W35" i="4"/>
  <c r="GA4" i="2"/>
  <c r="W38" i="4"/>
  <c r="DB4" i="2"/>
  <c r="CU4" i="2"/>
  <c r="CG3" i="2"/>
  <c r="CH3" i="2"/>
  <c r="CH4" i="2" s="1"/>
  <c r="CA66" i="2"/>
  <c r="CA58" i="2"/>
  <c r="CA53" i="2"/>
  <c r="CA52" i="2"/>
  <c r="CA51" i="2"/>
  <c r="CA50" i="2"/>
  <c r="CA49" i="2"/>
  <c r="CA48" i="2"/>
  <c r="CA47" i="2"/>
  <c r="CA42" i="2"/>
  <c r="CA41" i="2"/>
  <c r="CA39" i="2"/>
  <c r="CA38" i="2"/>
  <c r="CA37" i="2"/>
  <c r="CA36" i="2"/>
  <c r="CA35" i="2"/>
  <c r="CA34" i="2"/>
  <c r="CA33" i="2"/>
  <c r="CA32" i="2"/>
  <c r="CA31" i="2"/>
  <c r="CA26" i="2"/>
  <c r="CA24" i="2"/>
  <c r="CA22" i="2"/>
  <c r="CA16" i="2"/>
  <c r="CA14" i="2"/>
  <c r="CA12" i="2"/>
  <c r="CA10" i="2"/>
  <c r="CA23" i="2"/>
  <c r="CA17" i="2"/>
  <c r="CA15" i="2"/>
  <c r="CA13" i="2"/>
  <c r="CA11" i="2"/>
  <c r="W23" i="4" l="1"/>
  <c r="W24" i="4"/>
  <c r="CG4" i="2"/>
  <c r="CA30" i="2"/>
  <c r="CA43" i="2" s="1"/>
  <c r="CA46" i="2"/>
  <c r="CA54" i="2" s="1"/>
  <c r="CA9" i="2"/>
  <c r="CA18" i="2" s="1"/>
  <c r="CA57" i="2"/>
  <c r="CA61" i="2" s="1"/>
  <c r="CA64" i="2"/>
  <c r="CA67" i="2" s="1"/>
  <c r="CA21" i="2"/>
  <c r="CA27" i="2" s="1"/>
  <c r="BZ70" i="2" l="1"/>
  <c r="CA70" i="2"/>
  <c r="CA3" i="2" l="1"/>
  <c r="BZ3" i="2"/>
  <c r="BF9" i="2"/>
  <c r="BZ4" i="2" l="1"/>
  <c r="CA4" i="2"/>
  <c r="BT66" i="2"/>
  <c r="BT58" i="2"/>
  <c r="BT57" i="2"/>
  <c r="BT53" i="2"/>
  <c r="BT52" i="2"/>
  <c r="BT51" i="2"/>
  <c r="BT50" i="2"/>
  <c r="BT49" i="2"/>
  <c r="BT48" i="2"/>
  <c r="BT47" i="2"/>
  <c r="BT46" i="2"/>
  <c r="BT42" i="2"/>
  <c r="BT41" i="2"/>
  <c r="BT39" i="2"/>
  <c r="BT38" i="2"/>
  <c r="BT37" i="2"/>
  <c r="BT36" i="2"/>
  <c r="BT35" i="2"/>
  <c r="BT34" i="2"/>
  <c r="BT33" i="2"/>
  <c r="BT32" i="2"/>
  <c r="BT31" i="2"/>
  <c r="BT30" i="2"/>
  <c r="BT26" i="2"/>
  <c r="BT24" i="2"/>
  <c r="BT23" i="2"/>
  <c r="BT22" i="2"/>
  <c r="BT21" i="2"/>
  <c r="BT17" i="2"/>
  <c r="BT16" i="2"/>
  <c r="BT15" i="2"/>
  <c r="BT14" i="2"/>
  <c r="BT13" i="2"/>
  <c r="BT12" i="2"/>
  <c r="BT11" i="2"/>
  <c r="BT10" i="2"/>
  <c r="BT9" i="2"/>
  <c r="BT2" i="2"/>
  <c r="BT61" i="2" l="1"/>
  <c r="BT43" i="2"/>
  <c r="BT27" i="2"/>
  <c r="BT54" i="2"/>
  <c r="BT67" i="2"/>
  <c r="BT18" i="2"/>
  <c r="BS70" i="2" l="1"/>
  <c r="BT70" i="2"/>
  <c r="BT3" i="2" l="1"/>
  <c r="BT4" i="2" s="1"/>
  <c r="BS3" i="2"/>
  <c r="BF66" i="2"/>
  <c r="BF58" i="2"/>
  <c r="BF53" i="2"/>
  <c r="BF52" i="2"/>
  <c r="BF51" i="2"/>
  <c r="BF50" i="2"/>
  <c r="BF49" i="2"/>
  <c r="BF48" i="2"/>
  <c r="BF47" i="2"/>
  <c r="BF46" i="2"/>
  <c r="BF42" i="2"/>
  <c r="BF41" i="2"/>
  <c r="BF39" i="2"/>
  <c r="BF38" i="2"/>
  <c r="BF37" i="2"/>
  <c r="BF36" i="2"/>
  <c r="BF35" i="2"/>
  <c r="BF34" i="2"/>
  <c r="BF33" i="2"/>
  <c r="BF32" i="2"/>
  <c r="BF31" i="2"/>
  <c r="BF30" i="2"/>
  <c r="BF26" i="2"/>
  <c r="BF24" i="2"/>
  <c r="BF23" i="2"/>
  <c r="BF22" i="2"/>
  <c r="BF21" i="2"/>
  <c r="BF17" i="2"/>
  <c r="BF16" i="2"/>
  <c r="BF15" i="2"/>
  <c r="BF14" i="2"/>
  <c r="BF13" i="2"/>
  <c r="BF12" i="2"/>
  <c r="BF11" i="2"/>
  <c r="BF10" i="2"/>
  <c r="BF2" i="2"/>
  <c r="AG2" i="2"/>
  <c r="AM61" i="2"/>
  <c r="AM54" i="2"/>
  <c r="AM43" i="2"/>
  <c r="AM27" i="2"/>
  <c r="AM18" i="2"/>
  <c r="AN66" i="2"/>
  <c r="Z66" i="2"/>
  <c r="S66" i="2"/>
  <c r="AN64" i="2"/>
  <c r="Z64" i="2"/>
  <c r="S64" i="2"/>
  <c r="AN58" i="2"/>
  <c r="Z58" i="2"/>
  <c r="S58" i="2"/>
  <c r="AN57" i="2"/>
  <c r="Z57" i="2"/>
  <c r="S57" i="2"/>
  <c r="AN53" i="2"/>
  <c r="Z53" i="2"/>
  <c r="S53" i="2"/>
  <c r="AN52" i="2"/>
  <c r="Z52" i="2"/>
  <c r="S52" i="2"/>
  <c r="AN51" i="2"/>
  <c r="Z51" i="2"/>
  <c r="S51" i="2"/>
  <c r="AN50" i="2"/>
  <c r="Z50" i="2"/>
  <c r="S50" i="2"/>
  <c r="AN49" i="2"/>
  <c r="Z49" i="2"/>
  <c r="S49" i="2"/>
  <c r="AN48" i="2"/>
  <c r="Z48" i="2"/>
  <c r="S48" i="2"/>
  <c r="AN47" i="2"/>
  <c r="Z47" i="2"/>
  <c r="S47" i="2"/>
  <c r="AN46" i="2"/>
  <c r="Z46" i="2"/>
  <c r="S46" i="2"/>
  <c r="AN42" i="2"/>
  <c r="Z42" i="2"/>
  <c r="S42" i="2"/>
  <c r="AN41" i="2"/>
  <c r="Z41" i="2"/>
  <c r="S41" i="2"/>
  <c r="AN39" i="2"/>
  <c r="Z39" i="2"/>
  <c r="S39" i="2"/>
  <c r="AN38" i="2"/>
  <c r="Z38" i="2"/>
  <c r="S38" i="2"/>
  <c r="AN37" i="2"/>
  <c r="Z37" i="2"/>
  <c r="S37" i="2"/>
  <c r="AN36" i="2"/>
  <c r="Z36" i="2"/>
  <c r="S36" i="2"/>
  <c r="AN35" i="2"/>
  <c r="Z35" i="2"/>
  <c r="S35" i="2"/>
  <c r="AN34" i="2"/>
  <c r="Z34" i="2"/>
  <c r="S34" i="2"/>
  <c r="AN33" i="2"/>
  <c r="Z33" i="2"/>
  <c r="S33" i="2"/>
  <c r="AN32" i="2"/>
  <c r="Z32" i="2"/>
  <c r="S32" i="2"/>
  <c r="AN31" i="2"/>
  <c r="Z31" i="2"/>
  <c r="S31" i="2"/>
  <c r="AN30" i="2"/>
  <c r="Z30" i="2"/>
  <c r="S30" i="2"/>
  <c r="AN26" i="2"/>
  <c r="Z26" i="2"/>
  <c r="S26" i="2"/>
  <c r="AN24" i="2"/>
  <c r="Z24" i="2"/>
  <c r="S24" i="2"/>
  <c r="AR23" i="2"/>
  <c r="AN23" i="2"/>
  <c r="Z23" i="2"/>
  <c r="S23" i="2"/>
  <c r="AN22" i="2"/>
  <c r="Z22" i="2"/>
  <c r="S22" i="2"/>
  <c r="AN21" i="2"/>
  <c r="Z21" i="2"/>
  <c r="S21" i="2"/>
  <c r="AN17" i="2"/>
  <c r="Z17" i="2"/>
  <c r="S17" i="2"/>
  <c r="AN16" i="2"/>
  <c r="Z16" i="2"/>
  <c r="S16" i="2"/>
  <c r="AN15" i="2"/>
  <c r="Z15" i="2"/>
  <c r="S15" i="2"/>
  <c r="AR14" i="2"/>
  <c r="AN14" i="2"/>
  <c r="Z14" i="2"/>
  <c r="S14" i="2"/>
  <c r="AN13" i="2"/>
  <c r="Z13" i="2"/>
  <c r="S13" i="2"/>
  <c r="AN12" i="2"/>
  <c r="Z12" i="2"/>
  <c r="S12" i="2"/>
  <c r="AN11" i="2"/>
  <c r="Z11" i="2"/>
  <c r="S11" i="2"/>
  <c r="AR10" i="2"/>
  <c r="AN10" i="2"/>
  <c r="Z10" i="2"/>
  <c r="S10" i="2"/>
  <c r="AM67" i="2"/>
  <c r="AN9" i="2"/>
  <c r="AR30" i="2"/>
  <c r="AN2" i="2"/>
  <c r="Y67" i="2"/>
  <c r="Y61" i="2"/>
  <c r="Y54" i="2"/>
  <c r="Y43" i="2"/>
  <c r="Y27" i="2"/>
  <c r="Y18" i="2"/>
  <c r="Z9" i="2"/>
  <c r="Z2" i="2"/>
  <c r="R67" i="2"/>
  <c r="R61" i="2"/>
  <c r="R54" i="2"/>
  <c r="R43" i="2"/>
  <c r="R27" i="2"/>
  <c r="R18" i="2"/>
  <c r="S9" i="2"/>
  <c r="S2" i="2"/>
  <c r="P32" i="2"/>
  <c r="AR16" i="2"/>
  <c r="AR32" i="2"/>
  <c r="AR12" i="2"/>
  <c r="AR21" i="2"/>
  <c r="W2" i="2"/>
  <c r="W66" i="2"/>
  <c r="W58" i="2"/>
  <c r="W48" i="2"/>
  <c r="W64" i="2"/>
  <c r="W57" i="2"/>
  <c r="W51" i="2"/>
  <c r="W49" i="2"/>
  <c r="W47" i="2"/>
  <c r="W42" i="2"/>
  <c r="W39" i="2"/>
  <c r="W41" i="2"/>
  <c r="W37" i="2"/>
  <c r="W46" i="2"/>
  <c r="W36" i="2"/>
  <c r="W34" i="2"/>
  <c r="W32" i="2"/>
  <c r="W30" i="2"/>
  <c r="AD57" i="2"/>
  <c r="AD53" i="2"/>
  <c r="AD51" i="2"/>
  <c r="AD49" i="2"/>
  <c r="AD47" i="2"/>
  <c r="AD66" i="2"/>
  <c r="AD58" i="2"/>
  <c r="AD52" i="2"/>
  <c r="AD50" i="2"/>
  <c r="AD46" i="2"/>
  <c r="AD41" i="2"/>
  <c r="AD38" i="2"/>
  <c r="AD39" i="2"/>
  <c r="AD36" i="2"/>
  <c r="AD42" i="2"/>
  <c r="AD37" i="2"/>
  <c r="AD35" i="2"/>
  <c r="AD33" i="2"/>
  <c r="AD31" i="2"/>
  <c r="AD26" i="2"/>
  <c r="AK66" i="2"/>
  <c r="AK58" i="2"/>
  <c r="AK52" i="2"/>
  <c r="AK50" i="2"/>
  <c r="AK48" i="2"/>
  <c r="AK64" i="2"/>
  <c r="AK57" i="2"/>
  <c r="AK53" i="2"/>
  <c r="AK51" i="2"/>
  <c r="AK49" i="2"/>
  <c r="AK47" i="2"/>
  <c r="AK42" i="2"/>
  <c r="AK39" i="2"/>
  <c r="AK38" i="2"/>
  <c r="AK37" i="2"/>
  <c r="AK41" i="2"/>
  <c r="AK46" i="2"/>
  <c r="AK36" i="2"/>
  <c r="AK34" i="2"/>
  <c r="AK32" i="2"/>
  <c r="AK30" i="2"/>
  <c r="AD9" i="2"/>
  <c r="AK33" i="2"/>
  <c r="P36" i="2"/>
  <c r="W11" i="2"/>
  <c r="AK11" i="2"/>
  <c r="P12" i="2"/>
  <c r="AD12" i="2"/>
  <c r="W13" i="2"/>
  <c r="AK13" i="2"/>
  <c r="P14" i="2"/>
  <c r="AD14" i="2"/>
  <c r="W15" i="2"/>
  <c r="AK15" i="2"/>
  <c r="P16" i="2"/>
  <c r="AD16" i="2"/>
  <c r="W17" i="2"/>
  <c r="AK17" i="2"/>
  <c r="AD21" i="2"/>
  <c r="W22" i="2"/>
  <c r="AK22" i="2"/>
  <c r="P23" i="2"/>
  <c r="AD23" i="2"/>
  <c r="W24" i="2"/>
  <c r="AK24" i="2"/>
  <c r="P26" i="2"/>
  <c r="AK31" i="2"/>
  <c r="AD32" i="2"/>
  <c r="W33" i="2"/>
  <c r="AD34" i="2"/>
  <c r="W35" i="2"/>
  <c r="AD2" i="2"/>
  <c r="AK2" i="2"/>
  <c r="AK9" i="2"/>
  <c r="W9" i="2"/>
  <c r="AK26" i="2"/>
  <c r="AD30" i="2"/>
  <c r="W31" i="2"/>
  <c r="P2" i="2"/>
  <c r="P64" i="2"/>
  <c r="P53" i="2"/>
  <c r="P51" i="2"/>
  <c r="P49" i="2"/>
  <c r="P47" i="2"/>
  <c r="P66" i="2"/>
  <c r="P58" i="2"/>
  <c r="P52" i="2"/>
  <c r="P50" i="2"/>
  <c r="P48" i="2"/>
  <c r="P46" i="2"/>
  <c r="P41" i="2"/>
  <c r="P38" i="2"/>
  <c r="P39" i="2"/>
  <c r="P42" i="2"/>
  <c r="P37" i="2"/>
  <c r="P35" i="2"/>
  <c r="P33" i="2"/>
  <c r="P31" i="2"/>
  <c r="AD10" i="2"/>
  <c r="AR2" i="2"/>
  <c r="AR57" i="2"/>
  <c r="AR53" i="2"/>
  <c r="AR51" i="2"/>
  <c r="AR49" i="2"/>
  <c r="AR47" i="2"/>
  <c r="AR66" i="2"/>
  <c r="AR58" i="2"/>
  <c r="AR52" i="2"/>
  <c r="AR50" i="2"/>
  <c r="AR48" i="2"/>
  <c r="AR46" i="2"/>
  <c r="AR41" i="2"/>
  <c r="AR38" i="2"/>
  <c r="AR36" i="2"/>
  <c r="AR39" i="2"/>
  <c r="AR42" i="2"/>
  <c r="AR37" i="2"/>
  <c r="AR35" i="2"/>
  <c r="AR33" i="2"/>
  <c r="AR31" i="2"/>
  <c r="AR26" i="2"/>
  <c r="W10" i="2"/>
  <c r="AK10" i="2"/>
  <c r="P11" i="2"/>
  <c r="AD11" i="2"/>
  <c r="AR11" i="2"/>
  <c r="AK12" i="2"/>
  <c r="P13" i="2"/>
  <c r="AD13" i="2"/>
  <c r="AR13" i="2"/>
  <c r="W14" i="2"/>
  <c r="AK14" i="2"/>
  <c r="P15" i="2"/>
  <c r="AD15" i="2"/>
  <c r="AR15" i="2"/>
  <c r="W16" i="2"/>
  <c r="AK16" i="2"/>
  <c r="P17" i="2"/>
  <c r="AD17" i="2"/>
  <c r="AR17" i="2"/>
  <c r="W21" i="2"/>
  <c r="AK21" i="2"/>
  <c r="P22" i="2"/>
  <c r="AR22" i="2"/>
  <c r="W23" i="2"/>
  <c r="AK23" i="2"/>
  <c r="P24" i="2"/>
  <c r="AD24" i="2"/>
  <c r="AR24" i="2"/>
  <c r="W26" i="2"/>
  <c r="P30" i="2"/>
  <c r="AR34" i="2"/>
  <c r="AK35" i="2"/>
  <c r="I57" i="2"/>
  <c r="I2" i="2"/>
  <c r="I58" i="2"/>
  <c r="AO57" i="2" l="1"/>
  <c r="AO46" i="2"/>
  <c r="AO35" i="2"/>
  <c r="AO23" i="2"/>
  <c r="AO12" i="2"/>
  <c r="AO53" i="2"/>
  <c r="AO42" i="2"/>
  <c r="AO34" i="2"/>
  <c r="AO22" i="2"/>
  <c r="AO11" i="2"/>
  <c r="AO66" i="2"/>
  <c r="AO52" i="2"/>
  <c r="AO41" i="2"/>
  <c r="AO33" i="2"/>
  <c r="AO21" i="2"/>
  <c r="AO10" i="2"/>
  <c r="AO65" i="2"/>
  <c r="AO51" i="2"/>
  <c r="AO40" i="2"/>
  <c r="AO32" i="2"/>
  <c r="AO17" i="2"/>
  <c r="AO9" i="2"/>
  <c r="AO64" i="2"/>
  <c r="AO50" i="2"/>
  <c r="AO39" i="2"/>
  <c r="AO31" i="2"/>
  <c r="AO16" i="2"/>
  <c r="AO24" i="2"/>
  <c r="AO60" i="2"/>
  <c r="AO49" i="2"/>
  <c r="AO38" i="2"/>
  <c r="AO30" i="2"/>
  <c r="AO15" i="2"/>
  <c r="AO58" i="2"/>
  <c r="AO36" i="2"/>
  <c r="AO59" i="2"/>
  <c r="AO48" i="2"/>
  <c r="AO37" i="2"/>
  <c r="AO26" i="2"/>
  <c r="AO14" i="2"/>
  <c r="AO47" i="2"/>
  <c r="AO13" i="2"/>
  <c r="AO25" i="2"/>
  <c r="AH64" i="2"/>
  <c r="AH50" i="2"/>
  <c r="AH39" i="2"/>
  <c r="AH31" i="2"/>
  <c r="AH16" i="2"/>
  <c r="AH60" i="2"/>
  <c r="AH49" i="2"/>
  <c r="AH38" i="2"/>
  <c r="AH30" i="2"/>
  <c r="AH15" i="2"/>
  <c r="AH66" i="2"/>
  <c r="AH59" i="2"/>
  <c r="AH48" i="2"/>
  <c r="AH37" i="2"/>
  <c r="AH26" i="2"/>
  <c r="AH14" i="2"/>
  <c r="AH34" i="2"/>
  <c r="AH58" i="2"/>
  <c r="AH47" i="2"/>
  <c r="AH36" i="2"/>
  <c r="AH24" i="2"/>
  <c r="AH13" i="2"/>
  <c r="AH57" i="2"/>
  <c r="AH46" i="2"/>
  <c r="AH35" i="2"/>
  <c r="AH23" i="2"/>
  <c r="AH12" i="2"/>
  <c r="AH42" i="2"/>
  <c r="AH11" i="2"/>
  <c r="AH41" i="2"/>
  <c r="AH21" i="2"/>
  <c r="AH10" i="2"/>
  <c r="AH65" i="2"/>
  <c r="AH51" i="2"/>
  <c r="AH40" i="2"/>
  <c r="AH32" i="2"/>
  <c r="AH17" i="2"/>
  <c r="AH9" i="2"/>
  <c r="AH53" i="2"/>
  <c r="AH22" i="2"/>
  <c r="AH52" i="2"/>
  <c r="AH33" i="2"/>
  <c r="AH25" i="2"/>
  <c r="AA59" i="2"/>
  <c r="AA48" i="2"/>
  <c r="AA37" i="2"/>
  <c r="AA26" i="2"/>
  <c r="AA14" i="2"/>
  <c r="AA58" i="2"/>
  <c r="AA47" i="2"/>
  <c r="AA36" i="2"/>
  <c r="AA24" i="2"/>
  <c r="AA13" i="2"/>
  <c r="AA57" i="2"/>
  <c r="AA46" i="2"/>
  <c r="AA35" i="2"/>
  <c r="AA23" i="2"/>
  <c r="AA12" i="2"/>
  <c r="AA53" i="2"/>
  <c r="AA42" i="2"/>
  <c r="AA34" i="2"/>
  <c r="AA22" i="2"/>
  <c r="AA11" i="2"/>
  <c r="AA66" i="2"/>
  <c r="AA52" i="2"/>
  <c r="AA41" i="2"/>
  <c r="AA33" i="2"/>
  <c r="AA21" i="2"/>
  <c r="AA10" i="2"/>
  <c r="AA65" i="2"/>
  <c r="AA40" i="2"/>
  <c r="AA17" i="2"/>
  <c r="AA50" i="2"/>
  <c r="AA31" i="2"/>
  <c r="AA60" i="2"/>
  <c r="AA49" i="2"/>
  <c r="AA38" i="2"/>
  <c r="AA30" i="2"/>
  <c r="AA15" i="2"/>
  <c r="AA51" i="2"/>
  <c r="AA32" i="2"/>
  <c r="AA9" i="2"/>
  <c r="AA64" i="2"/>
  <c r="AA39" i="2"/>
  <c r="AA16" i="2"/>
  <c r="AA25" i="2"/>
  <c r="T53" i="2"/>
  <c r="T42" i="2"/>
  <c r="T34" i="2"/>
  <c r="T22" i="2"/>
  <c r="T11" i="2"/>
  <c r="T60" i="2"/>
  <c r="T49" i="2"/>
  <c r="T38" i="2"/>
  <c r="T30" i="2"/>
  <c r="T57" i="2"/>
  <c r="T12" i="2"/>
  <c r="T66" i="2"/>
  <c r="T52" i="2"/>
  <c r="T41" i="2"/>
  <c r="T33" i="2"/>
  <c r="T21" i="2"/>
  <c r="T10" i="2"/>
  <c r="T46" i="2"/>
  <c r="T65" i="2"/>
  <c r="T51" i="2"/>
  <c r="T40" i="2"/>
  <c r="T32" i="2"/>
  <c r="T17" i="2"/>
  <c r="T9" i="2"/>
  <c r="T64" i="2"/>
  <c r="T50" i="2"/>
  <c r="T39" i="2"/>
  <c r="T31" i="2"/>
  <c r="T16" i="2"/>
  <c r="T15" i="2"/>
  <c r="T23" i="2"/>
  <c r="T59" i="2"/>
  <c r="T48" i="2"/>
  <c r="T37" i="2"/>
  <c r="T26" i="2"/>
  <c r="T14" i="2"/>
  <c r="T58" i="2"/>
  <c r="T47" i="2"/>
  <c r="T36" i="2"/>
  <c r="T24" i="2"/>
  <c r="T13" i="2"/>
  <c r="T35" i="2"/>
  <c r="T25" i="2"/>
  <c r="BS4" i="2"/>
  <c r="H54" i="2"/>
  <c r="I12" i="2"/>
  <c r="I23" i="2"/>
  <c r="I34" i="2"/>
  <c r="I50" i="2"/>
  <c r="I15" i="2"/>
  <c r="I37" i="2"/>
  <c r="I53" i="2"/>
  <c r="I11" i="2"/>
  <c r="I16" i="2"/>
  <c r="I41" i="2"/>
  <c r="S67" i="2"/>
  <c r="I13" i="2"/>
  <c r="I10" i="2"/>
  <c r="I21" i="2"/>
  <c r="I30" i="2"/>
  <c r="I38" i="2"/>
  <c r="I51" i="2"/>
  <c r="I64" i="2"/>
  <c r="W12" i="2"/>
  <c r="P9" i="2"/>
  <c r="AN18" i="2"/>
  <c r="AN67" i="2"/>
  <c r="Z61" i="2"/>
  <c r="BF18" i="2"/>
  <c r="W67" i="2"/>
  <c r="Z18" i="2"/>
  <c r="Z43" i="2"/>
  <c r="AN43" i="2"/>
  <c r="AN54" i="2"/>
  <c r="S54" i="2"/>
  <c r="AN61" i="2"/>
  <c r="Z67" i="2"/>
  <c r="S61" i="2"/>
  <c r="AF3" i="2"/>
  <c r="AF4" i="2" s="1"/>
  <c r="I26" i="2"/>
  <c r="I22" i="2"/>
  <c r="AN27" i="2"/>
  <c r="S27" i="2"/>
  <c r="Z54" i="2"/>
  <c r="I14" i="2"/>
  <c r="I66" i="2"/>
  <c r="Z27" i="2"/>
  <c r="P57" i="2"/>
  <c r="P61" i="2" s="1"/>
  <c r="AK67" i="2"/>
  <c r="W50" i="2"/>
  <c r="W52" i="2"/>
  <c r="W53" i="2"/>
  <c r="AK61" i="2"/>
  <c r="I49" i="2"/>
  <c r="I48" i="2"/>
  <c r="I46" i="2"/>
  <c r="I42" i="2"/>
  <c r="I39" i="2"/>
  <c r="I35" i="2"/>
  <c r="I33" i="2"/>
  <c r="I32" i="2"/>
  <c r="I31" i="2"/>
  <c r="H43" i="2"/>
  <c r="I24" i="2"/>
  <c r="Y70" i="2"/>
  <c r="Y3" i="2" s="1"/>
  <c r="Y4" i="2" s="1"/>
  <c r="BF67" i="2"/>
  <c r="AM70" i="2"/>
  <c r="AM3" i="2" s="1"/>
  <c r="AM4" i="2" s="1"/>
  <c r="R70" i="2"/>
  <c r="R3" i="2" s="1"/>
  <c r="R4" i="2" s="1"/>
  <c r="S43" i="2"/>
  <c r="S18" i="2"/>
  <c r="BF27" i="2"/>
  <c r="BF57" i="2"/>
  <c r="AR67" i="2"/>
  <c r="AR27" i="2"/>
  <c r="AR18" i="2"/>
  <c r="AK54" i="2"/>
  <c r="AK27" i="2"/>
  <c r="AD48" i="2"/>
  <c r="AD54" i="2" s="1"/>
  <c r="W61" i="2"/>
  <c r="P54" i="2"/>
  <c r="P67" i="2"/>
  <c r="BF43" i="2"/>
  <c r="BF54" i="2"/>
  <c r="AR54" i="2"/>
  <c r="AR43" i="2"/>
  <c r="AR61" i="2"/>
  <c r="AK18" i="2"/>
  <c r="AK43" i="2"/>
  <c r="AD61" i="2"/>
  <c r="AD43" i="2"/>
  <c r="AD18" i="2"/>
  <c r="AD22" i="2"/>
  <c r="AD27" i="2" s="1"/>
  <c r="AD67" i="2"/>
  <c r="W27" i="2"/>
  <c r="W38" i="2"/>
  <c r="W43" i="2" s="1"/>
  <c r="P34" i="2"/>
  <c r="P43" i="2" s="1"/>
  <c r="P21" i="2"/>
  <c r="P27" i="2" s="1"/>
  <c r="P10" i="2"/>
  <c r="I47" i="2"/>
  <c r="I17" i="2"/>
  <c r="I36" i="2"/>
  <c r="H67" i="2"/>
  <c r="I52" i="2"/>
  <c r="W18" i="4" l="1"/>
  <c r="BF61" i="2"/>
  <c r="BF70" i="2" s="1"/>
  <c r="W18" i="2"/>
  <c r="I67" i="2"/>
  <c r="I61" i="2"/>
  <c r="P18" i="2"/>
  <c r="P70" i="2" s="1"/>
  <c r="W54" i="2"/>
  <c r="Z70" i="2"/>
  <c r="Z3" i="2" s="1"/>
  <c r="Z4" i="2" s="1"/>
  <c r="AN70" i="2"/>
  <c r="AN3" i="2" s="1"/>
  <c r="AN4" i="2" s="1"/>
  <c r="I43" i="2"/>
  <c r="BE70" i="2"/>
  <c r="AG3" i="2"/>
  <c r="AG4" i="2" s="1"/>
  <c r="S70" i="2"/>
  <c r="S3" i="2" s="1"/>
  <c r="S4" i="2" s="1"/>
  <c r="AJ70" i="2"/>
  <c r="AC70" i="2"/>
  <c r="AQ70" i="2"/>
  <c r="V70" i="2"/>
  <c r="O70" i="2"/>
  <c r="I18" i="2"/>
  <c r="I54" i="2"/>
  <c r="AR70" i="2"/>
  <c r="AK70" i="2"/>
  <c r="AD70" i="2"/>
  <c r="AK3" i="2" l="1"/>
  <c r="AC3" i="2"/>
  <c r="V3" i="2"/>
  <c r="AQ3" i="2"/>
  <c r="BE3" i="2"/>
  <c r="AR3" i="2"/>
  <c r="AR4" i="2" s="1"/>
  <c r="AJ3" i="2"/>
  <c r="AD3" i="2"/>
  <c r="BF3" i="2"/>
  <c r="W70" i="2"/>
  <c r="P3" i="2"/>
  <c r="O3" i="2"/>
  <c r="BE4" i="2" l="1"/>
  <c r="AJ4" i="2"/>
  <c r="AQ4" i="2"/>
  <c r="AC4" i="2"/>
  <c r="O4" i="2"/>
  <c r="V4" i="2"/>
  <c r="AK4" i="2"/>
  <c r="AD4" i="2"/>
  <c r="BF4" i="2"/>
  <c r="W3" i="2"/>
  <c r="W4" i="2" s="1"/>
  <c r="P4" i="2"/>
  <c r="W9" i="4" l="1"/>
  <c r="W10" i="4"/>
  <c r="W11" i="4"/>
  <c r="W8" i="4"/>
  <c r="H27" i="2"/>
  <c r="H70" i="2" s="1"/>
  <c r="H3" i="2" s="1"/>
  <c r="I25" i="2"/>
  <c r="I27" i="2" s="1"/>
  <c r="I70" i="2" s="1"/>
  <c r="I3" i="2" s="1"/>
  <c r="I4" i="2" s="1"/>
  <c r="H4" i="2" l="1"/>
  <c r="W6" i="4" l="1"/>
  <c r="GK70" i="15"/>
  <c r="GK3" i="15" s="1"/>
  <c r="GK4" i="15" s="1"/>
  <c r="GL70" i="15"/>
  <c r="GL3" i="15" s="1"/>
  <c r="GL4" i="15" s="1"/>
  <c r="W47" i="4" l="1"/>
  <c r="W58" i="4" s="1"/>
  <c r="AB24" i="17"/>
  <c r="AC24" i="17" l="1"/>
  <c r="AF24" i="17" s="1"/>
  <c r="AB21" i="17"/>
  <c r="AB27" i="17" s="1"/>
  <c r="AB71" i="17" s="1"/>
  <c r="AB3" i="17" s="1"/>
  <c r="M5" i="18" l="1"/>
  <c r="M37" i="18" s="1"/>
  <c r="M45" i="18" s="1"/>
  <c r="AB4" i="17"/>
  <c r="AC21" i="17"/>
  <c r="AC27" i="17" l="1"/>
  <c r="AF21" i="17"/>
  <c r="N5" i="18"/>
  <c r="N37" i="18" l="1"/>
  <c r="O5" i="18"/>
  <c r="O37" i="18" s="1"/>
  <c r="N45" i="18"/>
  <c r="U37" i="18"/>
  <c r="AC71" i="17"/>
  <c r="AF27" i="17"/>
  <c r="U5" i="18"/>
  <c r="Q5" i="18"/>
  <c r="R5" i="18"/>
  <c r="AC3" i="17" l="1"/>
  <c r="AC4" i="17" s="1"/>
  <c r="AF71" i="17"/>
  <c r="U45" i="18"/>
  <c r="N47" i="18"/>
</calcChain>
</file>

<file path=xl/comments1.xml><?xml version="1.0" encoding="utf-8"?>
<comments xmlns="http://schemas.openxmlformats.org/spreadsheetml/2006/main">
  <authors>
    <author>Suraj Kumbhar</author>
    <author>Urmila Jadhav</author>
  </authors>
  <commentList>
    <comment ref="H56" authorId="0" shapeId="0">
      <text>
        <r>
          <rPr>
            <b/>
            <sz val="9"/>
            <color indexed="81"/>
            <rFont val="Tahoma"/>
            <family val="2"/>
          </rPr>
          <t>Suraj Kumbhar:</t>
        </r>
        <r>
          <rPr>
            <sz val="9"/>
            <color indexed="81"/>
            <rFont val="Tahoma"/>
            <family val="2"/>
          </rPr>
          <t xml:space="preserve">
PO revised added below with same PO no</t>
        </r>
      </text>
    </comment>
    <comment ref="H57" authorId="0" shapeId="0">
      <text>
        <r>
          <rPr>
            <b/>
            <sz val="9"/>
            <color indexed="81"/>
            <rFont val="Tahoma"/>
            <family val="2"/>
          </rPr>
          <t>Suraj Kumbhar:</t>
        </r>
        <r>
          <rPr>
            <sz val="9"/>
            <color indexed="81"/>
            <rFont val="Tahoma"/>
            <family val="2"/>
          </rPr>
          <t xml:space="preserve">
PO revised added below</t>
        </r>
      </text>
    </comment>
    <comment ref="H75" authorId="1" shapeId="0">
      <text>
        <r>
          <rPr>
            <b/>
            <sz val="9"/>
            <color indexed="81"/>
            <rFont val="Tahoma"/>
            <charset val="1"/>
          </rPr>
          <t>Urmila Jadhav:</t>
        </r>
        <r>
          <rPr>
            <sz val="9"/>
            <color indexed="81"/>
            <rFont val="Tahoma"/>
            <charset val="1"/>
          </rPr>
          <t xml:space="preserve">
PO Revised added below
</t>
        </r>
      </text>
    </comment>
  </commentList>
</comments>
</file>

<file path=xl/sharedStrings.xml><?xml version="1.0" encoding="utf-8"?>
<sst xmlns="http://schemas.openxmlformats.org/spreadsheetml/2006/main" count="4706" uniqueCount="993">
  <si>
    <t>Area in Sq Ft</t>
  </si>
  <si>
    <t>Approved Budget</t>
  </si>
  <si>
    <t>Budget Per Sq Ft</t>
  </si>
  <si>
    <t xml:space="preserve">Budget </t>
  </si>
  <si>
    <t>Remark</t>
  </si>
  <si>
    <t>Sr. No.</t>
  </si>
  <si>
    <t>Items</t>
  </si>
  <si>
    <t>Amount</t>
  </si>
  <si>
    <t>Rate / Sqft</t>
  </si>
  <si>
    <t>Rate / SqFt</t>
  </si>
  <si>
    <t>A:</t>
  </si>
  <si>
    <t>Consultants</t>
  </si>
  <si>
    <t>Interior Consultant</t>
  </si>
  <si>
    <t>Concept Consultant</t>
  </si>
  <si>
    <t>Kitchen Consultant</t>
  </si>
  <si>
    <t>MEP</t>
  </si>
  <si>
    <t>GAS</t>
  </si>
  <si>
    <t>PMC</t>
  </si>
  <si>
    <t>Lighting Consultant</t>
  </si>
  <si>
    <t>Acoustic Consultant</t>
  </si>
  <si>
    <t>Structure Consultant</t>
  </si>
  <si>
    <t>Total for section A:</t>
  </si>
  <si>
    <t>B:</t>
  </si>
  <si>
    <t>Interiors:</t>
  </si>
  <si>
    <t>Barricade</t>
  </si>
  <si>
    <t>Demolition</t>
  </si>
  <si>
    <t>Civil Work</t>
  </si>
  <si>
    <t>MS Structure</t>
  </si>
  <si>
    <t>Total for section B:</t>
  </si>
  <si>
    <t>C:</t>
  </si>
  <si>
    <t>Services</t>
  </si>
  <si>
    <t>Fire Sprinkler System</t>
  </si>
  <si>
    <t>Fire Detection System</t>
  </si>
  <si>
    <t>CCTV System</t>
  </si>
  <si>
    <t>Plumbing Work</t>
  </si>
  <si>
    <t>Interior Electrical</t>
  </si>
  <si>
    <t>Air-Conditioning</t>
  </si>
  <si>
    <t>Ventilation System</t>
  </si>
  <si>
    <t>LPG Internal Pipeline</t>
  </si>
  <si>
    <t>Fire Suppression System</t>
  </si>
  <si>
    <t>DG System</t>
  </si>
  <si>
    <t>RO Plant with Tanks and Pumps</t>
  </si>
  <si>
    <t>Total for section C:</t>
  </si>
  <si>
    <t>D:</t>
  </si>
  <si>
    <t>Decoration &amp; Other Fixture:</t>
  </si>
  <si>
    <t>Music System</t>
  </si>
  <si>
    <t>Decorative Items &amp; Artworks</t>
  </si>
  <si>
    <t>Loose Furniture</t>
  </si>
  <si>
    <t>Light fittings</t>
  </si>
  <si>
    <t>Lighting Automation</t>
  </si>
  <si>
    <t xml:space="preserve">Graphics </t>
  </si>
  <si>
    <t>Green Wall</t>
  </si>
  <si>
    <t>LCD / Screens.</t>
  </si>
  <si>
    <t>IT</t>
  </si>
  <si>
    <t>Marketing</t>
  </si>
  <si>
    <t>SOE &amp; HR</t>
  </si>
  <si>
    <t>E:</t>
  </si>
  <si>
    <t>Equipment's:</t>
  </si>
  <si>
    <t xml:space="preserve">Equipment's </t>
  </si>
  <si>
    <t>Equipment's for Bar</t>
  </si>
  <si>
    <t>Total for section E:</t>
  </si>
  <si>
    <t xml:space="preserve">Total approximate budget </t>
  </si>
  <si>
    <t>Note :</t>
  </si>
  <si>
    <t>No deviation in budget spend wrt line item will be allowed. The saving if any in each mentioned above line item will accrue to the overall saving and cannot be used for any other line item. In case the project team feels that they need some additional budget in another line item, the same will have to be approved by COO &amp; CFO</t>
  </si>
  <si>
    <t>Benchmark</t>
  </si>
  <si>
    <t>Budget</t>
  </si>
  <si>
    <t>Amount with Tax</t>
  </si>
  <si>
    <t>F:</t>
  </si>
  <si>
    <t>Other's:</t>
  </si>
  <si>
    <t>Total for section F:</t>
  </si>
  <si>
    <t>Cafeccino &amp; Bar - Goa</t>
  </si>
  <si>
    <t>Own</t>
  </si>
  <si>
    <t>KFC - Goa</t>
  </si>
  <si>
    <t>Amount Including Taxes</t>
  </si>
  <si>
    <t>Location</t>
  </si>
  <si>
    <t>Outlet Name</t>
  </si>
  <si>
    <t>Type</t>
  </si>
  <si>
    <t>Franchise</t>
  </si>
  <si>
    <t>Unit Code</t>
  </si>
  <si>
    <t>KFC</t>
  </si>
  <si>
    <t>Outlet Area (Sqm)</t>
  </si>
  <si>
    <t>Sub Total</t>
  </si>
  <si>
    <t>Notes :</t>
  </si>
  <si>
    <t>Fire Extinguishers</t>
  </si>
  <si>
    <t>No Self Exhaust unit has been considered</t>
  </si>
  <si>
    <t>Speed Oven cost is not considered in this budget</t>
  </si>
  <si>
    <t>Dilli Streat - Delhi IFC</t>
  </si>
  <si>
    <t>Miscellaneous / Contigency</t>
  </si>
  <si>
    <t>Outlet Area (SqFt)</t>
  </si>
  <si>
    <t>Amount without Tax</t>
  </si>
  <si>
    <t>POS will be provided by Adani</t>
  </si>
  <si>
    <t>Toilet / Kitchen Fixtures</t>
  </si>
  <si>
    <t>RO will be rented hence not considered in Capex</t>
  </si>
  <si>
    <t>Seating</t>
  </si>
  <si>
    <r>
      <rPr>
        <sz val="11"/>
        <rFont val="Arial MT"/>
        <family val="2"/>
      </rPr>
      <t>S.no</t>
    </r>
  </si>
  <si>
    <r>
      <rPr>
        <sz val="11"/>
        <rFont val="Arial MT"/>
        <family val="2"/>
      </rPr>
      <t>Location</t>
    </r>
  </si>
  <si>
    <r>
      <rPr>
        <sz val="11"/>
        <rFont val="Arial MT"/>
        <family val="2"/>
      </rPr>
      <t>Sub-location</t>
    </r>
  </si>
  <si>
    <r>
      <rPr>
        <sz val="11"/>
        <rFont val="Arial MT"/>
        <family val="2"/>
      </rPr>
      <t>Unit No.</t>
    </r>
  </si>
  <si>
    <r>
      <rPr>
        <sz val="11"/>
        <rFont val="Arial MT"/>
        <family val="2"/>
      </rPr>
      <t>Area</t>
    </r>
  </si>
  <si>
    <r>
      <rPr>
        <b/>
        <sz val="11"/>
        <rFont val="Arial"/>
        <family val="2"/>
      </rPr>
      <t>Category</t>
    </r>
  </si>
  <si>
    <r>
      <rPr>
        <b/>
        <sz val="11"/>
        <rFont val="Arial"/>
        <family val="2"/>
      </rPr>
      <t>Sub-Category</t>
    </r>
  </si>
  <si>
    <r>
      <rPr>
        <b/>
        <sz val="11"/>
        <rFont val="Arial"/>
        <family val="2"/>
      </rPr>
      <t>Terminal</t>
    </r>
  </si>
  <si>
    <r>
      <rPr>
        <sz val="11"/>
        <rFont val="Arial MT"/>
        <family val="2"/>
      </rPr>
      <t>Proposed Brand</t>
    </r>
  </si>
  <si>
    <r>
      <rPr>
        <sz val="11"/>
        <rFont val="Arial MT"/>
        <family val="2"/>
      </rPr>
      <t>Departures</t>
    </r>
  </si>
  <si>
    <r>
      <rPr>
        <sz val="11"/>
        <rFont val="Arial MT"/>
        <family val="2"/>
      </rPr>
      <t>Check In</t>
    </r>
  </si>
  <si>
    <r>
      <rPr>
        <sz val="11"/>
        <rFont val="Arial MT"/>
        <family val="2"/>
      </rPr>
      <t>D-02</t>
    </r>
  </si>
  <si>
    <r>
      <rPr>
        <sz val="11"/>
        <rFont val="Arial MT"/>
        <family val="2"/>
      </rPr>
      <t>F&amp;B</t>
    </r>
  </si>
  <si>
    <r>
      <rPr>
        <sz val="11"/>
        <rFont val="Arial MT"/>
        <family val="2"/>
      </rPr>
      <t>Coffee</t>
    </r>
  </si>
  <si>
    <r>
      <rPr>
        <sz val="11"/>
        <rFont val="Arial MT"/>
        <family val="2"/>
      </rPr>
      <t>Dorn</t>
    </r>
  </si>
  <si>
    <r>
      <rPr>
        <sz val="11"/>
        <rFont val="Arial MT"/>
        <family val="2"/>
      </rPr>
      <t>Cafeccino with Seating</t>
    </r>
  </si>
  <si>
    <r>
      <rPr>
        <sz val="11"/>
        <rFont val="Arial MT"/>
        <family val="2"/>
      </rPr>
      <t>SHA</t>
    </r>
  </si>
  <si>
    <r>
      <rPr>
        <sz val="11"/>
        <rFont val="Arial MT"/>
        <family val="2"/>
      </rPr>
      <t>D-08</t>
    </r>
  </si>
  <si>
    <r>
      <rPr>
        <sz val="11"/>
        <rFont val="Arial MT"/>
        <family val="2"/>
      </rPr>
      <t>Int</t>
    </r>
  </si>
  <si>
    <r>
      <rPr>
        <sz val="11"/>
        <rFont val="Arial MT"/>
        <family val="2"/>
      </rPr>
      <t xml:space="preserve">Cafeccino + Maggi / Local concept          </t>
    </r>
    <r>
      <rPr>
        <sz val="11"/>
        <color rgb="FF212D50"/>
        <rFont val="Arial MT"/>
        <family val="2"/>
      </rPr>
      <t>1</t>
    </r>
  </si>
  <si>
    <r>
      <rPr>
        <sz val="11"/>
        <rFont val="Arial MT"/>
        <family val="2"/>
      </rPr>
      <t>D-09</t>
    </r>
  </si>
  <si>
    <r>
      <rPr>
        <sz val="11"/>
        <rFont val="Arial MT"/>
        <family val="2"/>
      </rPr>
      <t>Coffee/QSR</t>
    </r>
  </si>
  <si>
    <r>
      <rPr>
        <sz val="11"/>
        <rFont val="Arial MT"/>
        <family val="2"/>
      </rPr>
      <t xml:space="preserve">Sweets / Mithai Concept Shop       </t>
    </r>
    <r>
      <rPr>
        <sz val="11"/>
        <color rgb="FF44496E"/>
        <rFont val="Arial MT"/>
        <family val="2"/>
      </rPr>
      <t>.}</t>
    </r>
  </si>
  <si>
    <r>
      <rPr>
        <sz val="11"/>
        <rFont val="Arial MT"/>
        <family val="2"/>
      </rPr>
      <t>D-14</t>
    </r>
  </si>
  <si>
    <r>
      <rPr>
        <sz val="11"/>
        <rFont val="Arial MT"/>
        <family val="2"/>
      </rPr>
      <t>Bar</t>
    </r>
  </si>
  <si>
    <r>
      <rPr>
        <sz val="11"/>
        <rFont val="Arial MT"/>
        <family val="2"/>
      </rPr>
      <t>Ultra / GTB</t>
    </r>
  </si>
  <si>
    <r>
      <rPr>
        <sz val="11"/>
        <rFont val="Arial MT"/>
        <family val="2"/>
      </rPr>
      <t>D-15</t>
    </r>
  </si>
  <si>
    <r>
      <rPr>
        <sz val="11"/>
        <rFont val="Arial MT"/>
        <family val="2"/>
      </rPr>
      <t>Curry Kitchen + ldIi.com &amp; one Local Concept</t>
    </r>
  </si>
  <si>
    <r>
      <rPr>
        <sz val="11"/>
        <rFont val="Arial MT"/>
        <family val="2"/>
      </rPr>
      <t>D-16</t>
    </r>
  </si>
  <si>
    <r>
      <rPr>
        <sz val="11"/>
        <rFont val="Arial MT"/>
        <family val="2"/>
      </rPr>
      <t>D-18</t>
    </r>
  </si>
  <si>
    <r>
      <rPr>
        <sz val="11"/>
        <rFont val="Arial MT"/>
        <family val="2"/>
      </rPr>
      <t>Lounge</t>
    </r>
  </si>
  <si>
    <r>
      <rPr>
        <sz val="11"/>
        <rFont val="Arial MT"/>
        <family val="2"/>
      </rPr>
      <t>Travel Club Lounge</t>
    </r>
  </si>
  <si>
    <r>
      <rPr>
        <sz val="11"/>
        <rFont val="Arial MT"/>
        <family val="2"/>
      </rPr>
      <t>D-20</t>
    </r>
  </si>
  <si>
    <r>
      <rPr>
        <sz val="11"/>
        <rFont val="Arial MT"/>
        <family val="2"/>
      </rPr>
      <t>Food Hall</t>
    </r>
  </si>
  <si>
    <r>
      <rPr>
        <sz val="11"/>
        <rFont val="Arial MT"/>
        <family val="2"/>
      </rPr>
      <t xml:space="preserve">Chappan Bhog + Cafeccino (Need to Confirm the
</t>
    </r>
    <r>
      <rPr>
        <sz val="11"/>
        <rFont val="Arial MT"/>
        <family val="2"/>
      </rPr>
      <t>location)</t>
    </r>
  </si>
  <si>
    <r>
      <rPr>
        <sz val="11"/>
        <rFont val="Arial MT"/>
        <family val="2"/>
      </rPr>
      <t>D-30</t>
    </r>
  </si>
  <si>
    <r>
      <rPr>
        <sz val="11"/>
        <rFont val="Arial MT"/>
        <family val="2"/>
      </rPr>
      <t>Grab &amp; Go</t>
    </r>
  </si>
  <si>
    <r>
      <rPr>
        <sz val="11"/>
        <rFont val="Arial MT"/>
        <family val="2"/>
      </rPr>
      <t>Flying bites with Mithai Shop / Chappan Bhog)</t>
    </r>
  </si>
  <si>
    <r>
      <rPr>
        <sz val="11"/>
        <rFont val="Arial MT"/>
        <family val="2"/>
      </rPr>
      <t>D-40</t>
    </r>
  </si>
  <si>
    <r>
      <rPr>
        <sz val="11"/>
        <rFont val="Arial MT"/>
        <family val="2"/>
      </rPr>
      <t>D-42</t>
    </r>
  </si>
  <si>
    <r>
      <rPr>
        <sz val="11"/>
        <rFont val="Arial MT"/>
        <family val="2"/>
      </rPr>
      <t>Ultra Bar</t>
    </r>
  </si>
  <si>
    <r>
      <rPr>
        <sz val="11"/>
        <rFont val="Arial MT"/>
        <family val="2"/>
      </rPr>
      <t>D-43</t>
    </r>
  </si>
  <si>
    <r>
      <rPr>
        <sz val="11"/>
        <rFont val="Arial MT"/>
        <family val="2"/>
      </rPr>
      <t>Local Fav with Dining Area (Chappan Bhog)</t>
    </r>
  </si>
  <si>
    <r>
      <rPr>
        <sz val="11"/>
        <rFont val="Arial MT"/>
        <family val="2"/>
      </rPr>
      <t>D-44</t>
    </r>
  </si>
  <si>
    <r>
      <rPr>
        <sz val="11"/>
        <rFont val="Arial MT"/>
        <family val="2"/>
      </rPr>
      <t>Casual Dining</t>
    </r>
  </si>
  <si>
    <r>
      <rPr>
        <sz val="11"/>
        <rFont val="Arial MT"/>
        <family val="2"/>
      </rPr>
      <t>Idris Biryani with Curry Kitchen &amp; IdIi.com</t>
    </r>
  </si>
  <si>
    <r>
      <rPr>
        <sz val="11"/>
        <rFont val="Arial MT"/>
        <family val="2"/>
      </rPr>
      <t>D-45</t>
    </r>
  </si>
  <si>
    <r>
      <rPr>
        <sz val="11"/>
        <rFont val="Arial MT"/>
        <family val="2"/>
      </rPr>
      <t>D-46</t>
    </r>
  </si>
  <si>
    <r>
      <rPr>
        <sz val="11"/>
        <rFont val="Arial MT"/>
        <family val="2"/>
      </rPr>
      <t>KFC / Subway with &amp; Kebab Counter</t>
    </r>
  </si>
  <si>
    <r>
      <rPr>
        <sz val="11"/>
        <rFont val="Arial MT"/>
        <family val="2"/>
      </rPr>
      <t>D-53</t>
    </r>
  </si>
  <si>
    <r>
      <rPr>
        <sz val="11"/>
        <rFont val="Arial MT"/>
        <family val="2"/>
      </rPr>
      <t>Flying Bites</t>
    </r>
  </si>
  <si>
    <r>
      <rPr>
        <sz val="11"/>
        <rFont val="Arial MT"/>
        <family val="2"/>
      </rPr>
      <t>D-54</t>
    </r>
  </si>
  <si>
    <r>
      <rPr>
        <sz val="11"/>
        <rFont val="Arial MT"/>
        <family val="2"/>
      </rPr>
      <t>Not demarked on map</t>
    </r>
  </si>
  <si>
    <r>
      <rPr>
        <sz val="11"/>
        <rFont val="Arial MT"/>
        <family val="2"/>
      </rPr>
      <t>D-55</t>
    </r>
  </si>
  <si>
    <r>
      <rPr>
        <sz val="11"/>
        <rFont val="Arial MT"/>
        <family val="2"/>
      </rPr>
      <t>Arrivals</t>
    </r>
  </si>
  <si>
    <r>
      <rPr>
        <sz val="11"/>
        <rFont val="Arial MT"/>
        <family val="2"/>
      </rPr>
      <t>A-09</t>
    </r>
  </si>
  <si>
    <r>
      <rPr>
        <sz val="11"/>
        <rFont val="Arial MT"/>
        <family val="2"/>
      </rPr>
      <t>Coffee &amp; More + Food Truck Concept + Maggi</t>
    </r>
  </si>
  <si>
    <r>
      <rPr>
        <sz val="11"/>
        <rFont val="Arial MT"/>
        <family val="2"/>
      </rPr>
      <t>A-09A</t>
    </r>
  </si>
  <si>
    <r>
      <rPr>
        <sz val="11"/>
        <rFont val="Arial MT"/>
        <family val="2"/>
      </rPr>
      <t>Seating</t>
    </r>
  </si>
  <si>
    <r>
      <rPr>
        <sz val="11"/>
        <rFont val="Arial MT"/>
        <family val="2"/>
      </rPr>
      <t>A-12</t>
    </r>
  </si>
  <si>
    <r>
      <rPr>
        <sz val="11"/>
        <rFont val="Arial MT"/>
        <family val="2"/>
      </rPr>
      <t xml:space="preserve">This area is between in the Baggage belt - Coffee
</t>
    </r>
    <r>
      <rPr>
        <sz val="11"/>
        <rFont val="Arial MT"/>
        <family val="2"/>
      </rPr>
      <t>box &amp; Chappan Bhog</t>
    </r>
  </si>
  <si>
    <r>
      <rPr>
        <b/>
        <sz val="11"/>
        <rFont val="Arial"/>
        <family val="2"/>
      </rPr>
      <t>Total</t>
    </r>
  </si>
  <si>
    <t>Sub Location</t>
  </si>
  <si>
    <t>Departures</t>
  </si>
  <si>
    <t>Check In</t>
  </si>
  <si>
    <t>SHA</t>
  </si>
  <si>
    <t>Arrivals</t>
  </si>
  <si>
    <t>D-02</t>
  </si>
  <si>
    <t>D-08</t>
  </si>
  <si>
    <t>D-09</t>
  </si>
  <si>
    <t>D-14</t>
  </si>
  <si>
    <t>D-15</t>
  </si>
  <si>
    <t>D-16</t>
  </si>
  <si>
    <t>D-18</t>
  </si>
  <si>
    <t>D-20</t>
  </si>
  <si>
    <t>D-30</t>
  </si>
  <si>
    <t>D-40</t>
  </si>
  <si>
    <t>D-42</t>
  </si>
  <si>
    <t>D-43</t>
  </si>
  <si>
    <t>D-44</t>
  </si>
  <si>
    <t>D-45</t>
  </si>
  <si>
    <t>D-46</t>
  </si>
  <si>
    <t>D-53</t>
  </si>
  <si>
    <t>D-54</t>
  </si>
  <si>
    <t>D-55</t>
  </si>
  <si>
    <t>A-09</t>
  </si>
  <si>
    <t>A-09A</t>
  </si>
  <si>
    <t>A-12</t>
  </si>
  <si>
    <t>Cafeccino with Seating</t>
  </si>
  <si>
    <t>Sweets / Mithai Concept Shop       .}</t>
  </si>
  <si>
    <t>Ultra / GTB</t>
  </si>
  <si>
    <t>Curry Kitchen + ldIi.com &amp; one Local Concept</t>
  </si>
  <si>
    <t>Travel Club Lounge</t>
  </si>
  <si>
    <t>Flying bites with Mithai Shop / Chappan Bhog)</t>
  </si>
  <si>
    <t>Ultra Bar</t>
  </si>
  <si>
    <t>Local Fav with Dining Area (Chappan Bhog)</t>
  </si>
  <si>
    <t>Idris Biryani with Curry Kitchen &amp; IdIi.com</t>
  </si>
  <si>
    <t>KFC / Subway with &amp; Kebab Counter</t>
  </si>
  <si>
    <t>Flying Bites</t>
  </si>
  <si>
    <t>Not demarked on map</t>
  </si>
  <si>
    <t>Coffee &amp; More + Food Truck Concept + Maggi</t>
  </si>
  <si>
    <t>This area is between in the Baggage belt - Coffee box &amp; Chappan Bhog</t>
  </si>
  <si>
    <t>Cafeccino + Maggi / Local concept 1</t>
  </si>
  <si>
    <t>Chappan Bhog + Cafeccino (Need to Confirm the location)</t>
  </si>
  <si>
    <t>Terminal</t>
  </si>
  <si>
    <t>Int</t>
  </si>
  <si>
    <t>Dom</t>
  </si>
  <si>
    <t>Maggi</t>
  </si>
  <si>
    <t xml:space="preserve">Cafeccino </t>
  </si>
  <si>
    <t>Sweets / Mithai Concept</t>
  </si>
  <si>
    <t>Curry Kitchen + ldIi.com</t>
  </si>
  <si>
    <t>Flying bites with Mithai Shop</t>
  </si>
  <si>
    <t>Coffee &amp; More</t>
  </si>
  <si>
    <t>Coffee box</t>
  </si>
  <si>
    <t>Interior Work - BOH</t>
  </si>
  <si>
    <t>Interior Work - FOH</t>
  </si>
  <si>
    <t>Chappan Bhog + Seating</t>
  </si>
  <si>
    <t>Idris Biryani + Seating</t>
  </si>
  <si>
    <t>Kebab Counter + Seating</t>
  </si>
  <si>
    <t>Food Truck Concept + Seating</t>
  </si>
  <si>
    <t>Equipment's for Stores</t>
  </si>
  <si>
    <t>Cafeccino</t>
  </si>
  <si>
    <t>Maggi - Goa</t>
  </si>
  <si>
    <t>CAPEX - LUCKNOW - F&amp;B</t>
  </si>
  <si>
    <t>GTB - Goa</t>
  </si>
  <si>
    <t>Curry Kitchen + Idli.com - Goa</t>
  </si>
  <si>
    <t>Food Truck - Goa</t>
  </si>
  <si>
    <t>TCL - Mumbai T1</t>
  </si>
  <si>
    <t>Flying Bites - Chennai</t>
  </si>
  <si>
    <t>Coffee &amp; More - Chennai</t>
  </si>
  <si>
    <t>Seating - IFC Delhi</t>
  </si>
  <si>
    <t>Kusum Roll &amp; Biryani Bhai - Mumbai</t>
  </si>
  <si>
    <t>Open to Airport Ceiling</t>
  </si>
  <si>
    <t>Closed</t>
  </si>
  <si>
    <t>D-15a</t>
  </si>
  <si>
    <t>D-16a</t>
  </si>
  <si>
    <t>D-20a</t>
  </si>
  <si>
    <t xml:space="preserve">Closed </t>
  </si>
  <si>
    <t>D-43a</t>
  </si>
  <si>
    <t>A-04</t>
  </si>
  <si>
    <t>Missing in list</t>
  </si>
  <si>
    <t>Check In (Staff)</t>
  </si>
  <si>
    <t>D-02A</t>
  </si>
  <si>
    <t>D-42 (Barricade)</t>
  </si>
  <si>
    <t>D-43 (Barricade)</t>
  </si>
  <si>
    <t>D-44 (Barricade)</t>
  </si>
  <si>
    <t>D-54 (Barricade)</t>
  </si>
  <si>
    <t>D-55 (Barricade)</t>
  </si>
  <si>
    <t>A-09 (Barricade)</t>
  </si>
  <si>
    <t>A04</t>
  </si>
  <si>
    <t>Coffee</t>
  </si>
  <si>
    <t>3rd Wave / CBTL / Chayoos / Barista - Suggest to open two outlets with some common Seatings</t>
  </si>
  <si>
    <t>CBTL / AJ Kitchen / Chayoos</t>
  </si>
  <si>
    <t>Coffee/QSR</t>
  </si>
  <si>
    <t>Sharmaji Ki Chai</t>
  </si>
  <si>
    <t>Bar</t>
  </si>
  <si>
    <t>Lounge</t>
  </si>
  <si>
    <t xml:space="preserve">Lounge </t>
  </si>
  <si>
    <t>Food Hall</t>
  </si>
  <si>
    <t>Grab &amp; Go</t>
  </si>
  <si>
    <t xml:space="preserve">Subway </t>
  </si>
  <si>
    <t xml:space="preserve">CBTL/ Brioche Doree / AJ Kitchen </t>
  </si>
  <si>
    <t>Irish House / Heineken Bar with Seating (Need More Space)</t>
  </si>
  <si>
    <t>F&amp;B</t>
  </si>
  <si>
    <t>Casual Dining</t>
  </si>
  <si>
    <t>Jamie's Pizzeria</t>
  </si>
  <si>
    <t>Lounge (Half will be opened in Phase 1)</t>
  </si>
  <si>
    <t>Tunde Kebab Counter (Take away Counter)</t>
  </si>
  <si>
    <t>Nourish</t>
  </si>
  <si>
    <t xml:space="preserve">Chaayos / CBTL / 3rd Wave </t>
  </si>
  <si>
    <t>CBTL</t>
  </si>
  <si>
    <t>FINAL APPROVED</t>
  </si>
  <si>
    <t>Outlet Area (Sqft)</t>
  </si>
  <si>
    <t>CBTL/ Chayoos</t>
  </si>
  <si>
    <t>Irish House - Delhi</t>
  </si>
  <si>
    <t>#Nourish - Delhi</t>
  </si>
  <si>
    <t>EARLIER</t>
  </si>
  <si>
    <t>3rd Wave / CBTL / Chayoos / Barista</t>
  </si>
  <si>
    <t xml:space="preserve">Lucknow Super Giants (Bar) Themed Sports Bar  </t>
  </si>
  <si>
    <t>AJ Kitchen</t>
  </si>
  <si>
    <t>Nando's</t>
  </si>
  <si>
    <t xml:space="preserve">Wagamama </t>
  </si>
  <si>
    <t>Seating-1</t>
  </si>
  <si>
    <t>Seating-2</t>
  </si>
  <si>
    <t xml:space="preserve">Lucknow Dastarkhwan / Royal Café </t>
  </si>
  <si>
    <t>Tundey Kebab (Take away Counter)</t>
  </si>
  <si>
    <t xml:space="preserve">MOD (Take away Counter) </t>
  </si>
  <si>
    <t xml:space="preserve">Use Minimum frontage of the outlet to create two F&amp;B Concepts - Chinese / Oriental Concept + Middle Eastern Concept / Pizza &amp; Pasta Concept. Back Area to be used for </t>
  </si>
  <si>
    <t xml:space="preserve">Chinese / Oriental Concept </t>
  </si>
  <si>
    <t>Middle Eastern Concept / Pizza &amp; Pasta Concept</t>
  </si>
  <si>
    <t>Lucknow -- BM --KUSUM ROLL MUMBAI</t>
  </si>
  <si>
    <t>NO BM</t>
  </si>
  <si>
    <t>A-09a</t>
  </si>
  <si>
    <t xml:space="preserve">Store </t>
  </si>
  <si>
    <t>Central Kitchen</t>
  </si>
  <si>
    <t>Staff Room</t>
  </si>
  <si>
    <t>Office</t>
  </si>
  <si>
    <t>Location,</t>
  </si>
  <si>
    <t>RA ROOM</t>
  </si>
  <si>
    <t>Cost</t>
  </si>
  <si>
    <t>KFC - Domestic - Delhi</t>
  </si>
  <si>
    <t>No Benchmark</t>
  </si>
  <si>
    <t>KFC DELHI ---done</t>
  </si>
  <si>
    <t>Lucknow Local Concept</t>
  </si>
  <si>
    <t>Done</t>
  </si>
  <si>
    <t>Cafeccino goa-done</t>
  </si>
  <si>
    <t>Dilli street -Done</t>
  </si>
  <si>
    <t>Cafeccino goa-Done</t>
  </si>
  <si>
    <t>Subway Delhi</t>
  </si>
  <si>
    <t>subway delhi -Done</t>
  </si>
  <si>
    <t>Subway delhi -Done</t>
  </si>
  <si>
    <t>Dominos -Delhi</t>
  </si>
  <si>
    <t>Dominos delhi -Done</t>
  </si>
  <si>
    <t>Seating- D20</t>
  </si>
  <si>
    <t>Seating- Middle Eastern Concept / Pizza &amp; Pasta Concept</t>
  </si>
  <si>
    <t>Seating -Subway</t>
  </si>
  <si>
    <t>Subway</t>
  </si>
  <si>
    <t>No details available</t>
  </si>
  <si>
    <t>Total Budget</t>
  </si>
  <si>
    <t>BM - MOPA Cafeccino -checkin</t>
  </si>
  <si>
    <t>Cafeccino - Goa</t>
  </si>
  <si>
    <t>S. No.</t>
  </si>
  <si>
    <t>Location Detail</t>
  </si>
  <si>
    <t>Area (Sqm)</t>
  </si>
  <si>
    <t>Handover Date</t>
  </si>
  <si>
    <t>Current Brand (Vacant)</t>
  </si>
  <si>
    <t>Final Brand</t>
  </si>
  <si>
    <t>Fit-out Period</t>
  </si>
  <si>
    <t>Target COD</t>
  </si>
  <si>
    <t>Vacant</t>
  </si>
  <si>
    <t>Wrapafella</t>
  </si>
  <si>
    <t xml:space="preserve">Check In </t>
  </si>
  <si>
    <t xml:space="preserve"> Brioche Doree</t>
  </si>
  <si>
    <t>Dona Italia</t>
  </si>
  <si>
    <t xml:space="preserve">D-55 </t>
  </si>
  <si>
    <t xml:space="preserve">A-09 </t>
  </si>
  <si>
    <t>Area (Sqft)</t>
  </si>
  <si>
    <t>Amount B. Taxes</t>
  </si>
  <si>
    <t>Amount with Taxes</t>
  </si>
  <si>
    <t>1a</t>
  </si>
  <si>
    <t>Total Area in sqm</t>
  </si>
  <si>
    <t>Lucknow Super Giants (Bar) Themed Sports Bar</t>
  </si>
  <si>
    <t xml:space="preserve">Nando's </t>
  </si>
  <si>
    <t>Tundey Kebab Full Outlet</t>
  </si>
  <si>
    <t>Chaat Concept</t>
  </si>
  <si>
    <t>Local Sweets</t>
  </si>
  <si>
    <t>Chinese / Oriental Concept</t>
  </si>
  <si>
    <t>Middle Eastern Concept</t>
  </si>
  <si>
    <t>Chaayos</t>
  </si>
  <si>
    <t>Wow Momos</t>
  </si>
  <si>
    <t>D-14,15,16 Area split on tentitive basis and seating as per plan</t>
  </si>
  <si>
    <t>D20a</t>
  </si>
  <si>
    <t>A09a</t>
  </si>
  <si>
    <t>Ball Park figures</t>
  </si>
  <si>
    <t>S.No</t>
  </si>
  <si>
    <t>Sub- location</t>
  </si>
  <si>
    <t>Unit No.</t>
  </si>
  <si>
    <t>Category</t>
  </si>
  <si>
    <t>F &amp; B</t>
  </si>
  <si>
    <t>Irish Bar</t>
  </si>
  <si>
    <t>Carls Jr</t>
  </si>
  <si>
    <t>D-21</t>
  </si>
  <si>
    <t>Dominos + MOD</t>
  </si>
  <si>
    <t>Busing Gate</t>
  </si>
  <si>
    <t>Forecourt</t>
  </si>
  <si>
    <t>F-01</t>
  </si>
  <si>
    <t>Nescafe</t>
  </si>
  <si>
    <t>F-03</t>
  </si>
  <si>
    <t>Chaipoint</t>
  </si>
  <si>
    <t>Boarding Gates</t>
  </si>
  <si>
    <t>Boarding Bites</t>
  </si>
  <si>
    <t>Flying Bytes</t>
  </si>
  <si>
    <t>Outlet Scrapped</t>
  </si>
  <si>
    <t xml:space="preserve"> Chai Point</t>
  </si>
  <si>
    <t>D-38</t>
  </si>
  <si>
    <t>On Hold till increase in traffic</t>
  </si>
  <si>
    <t>D-41</t>
  </si>
  <si>
    <t>Shawarma + Taco's Burger</t>
  </si>
  <si>
    <t>D-50</t>
  </si>
  <si>
    <t>D-51</t>
  </si>
  <si>
    <t>D-52</t>
  </si>
  <si>
    <t>B-01</t>
  </si>
  <si>
    <t>P-02</t>
  </si>
  <si>
    <t xml:space="preserve">Adani Lounge- kitchen </t>
  </si>
  <si>
    <t>3rd Wave Coffee</t>
  </si>
  <si>
    <t>Capex Before Taxes</t>
  </si>
  <si>
    <t>Capex with Taxes</t>
  </si>
  <si>
    <t>Cost/ Sqm</t>
  </si>
  <si>
    <t>Cost/ Sqft</t>
  </si>
  <si>
    <t>CBTL -BLR T2</t>
  </si>
  <si>
    <t xml:space="preserve">IT/POS cost -Adani </t>
  </si>
  <si>
    <t>Third wave coffee + Wrapafella</t>
  </si>
  <si>
    <t>Cafeccino- Guwahati</t>
  </si>
  <si>
    <t>Kiosk - Trivandrum- Caffecino</t>
  </si>
  <si>
    <t>ARA design PO given</t>
  </si>
  <si>
    <t>PO- Genesis</t>
  </si>
  <si>
    <t>no hvac</t>
  </si>
  <si>
    <t>seating</t>
  </si>
  <si>
    <t>no ventilation only ac required</t>
  </si>
  <si>
    <t>all required</t>
  </si>
  <si>
    <t>all required - high side not in scope, ac chilled tap off given</t>
  </si>
  <si>
    <t>small seating</t>
  </si>
  <si>
    <t>common seating</t>
  </si>
  <si>
    <t>brand design, brand design</t>
  </si>
  <si>
    <t>brand design</t>
  </si>
  <si>
    <t>no seating</t>
  </si>
  <si>
    <t>brand capex</t>
  </si>
  <si>
    <t>only barrication</t>
  </si>
  <si>
    <t>design by brand</t>
  </si>
  <si>
    <t>camera it, interor po received</t>
  </si>
  <si>
    <t>only ac</t>
  </si>
  <si>
    <t>no hvac- open to airport ceiling</t>
  </si>
  <si>
    <t>servery bar/ lounge type</t>
  </si>
  <si>
    <t>design by asset</t>
  </si>
  <si>
    <t>all requyired</t>
  </si>
  <si>
    <t>extra kitchen</t>
  </si>
  <si>
    <t>no ventilation</t>
  </si>
  <si>
    <t>Region</t>
  </si>
  <si>
    <t>Unit Name</t>
  </si>
  <si>
    <t>Codes</t>
  </si>
  <si>
    <t>Area in sq Mtr</t>
  </si>
  <si>
    <t>Type of Project</t>
  </si>
  <si>
    <t>Lucknow</t>
  </si>
  <si>
    <r>
      <t>Starbucks</t>
    </r>
    <r>
      <rPr>
        <strike/>
        <sz val="12"/>
        <color rgb="FF000000"/>
        <rFont val="Calibri"/>
        <family val="2"/>
      </rPr>
      <t xml:space="preserve">/CBTL </t>
    </r>
    <r>
      <rPr>
        <sz val="12"/>
        <color rgb="FF000000"/>
        <rFont val="Calibri"/>
        <family val="2"/>
      </rPr>
      <t>THIRD WAVE COFFEE</t>
    </r>
  </si>
  <si>
    <t>New Project</t>
  </si>
  <si>
    <t>Flying bytes</t>
  </si>
  <si>
    <t>A-09 &amp; A-09a</t>
  </si>
  <si>
    <r>
      <t>CBTL</t>
    </r>
    <r>
      <rPr>
        <sz val="12"/>
        <color rgb="FF000000"/>
        <rFont val="Calibri"/>
        <family val="2"/>
      </rPr>
      <t xml:space="preserve"> THIRD WAVE COFFEE + Wrapafella</t>
    </r>
  </si>
  <si>
    <r>
      <t>Low Price point</t>
    </r>
    <r>
      <rPr>
        <sz val="12"/>
        <color rgb="FF000000"/>
        <rFont val="Calibri"/>
        <family val="2"/>
      </rPr>
      <t xml:space="preserve"> </t>
    </r>
    <r>
      <rPr>
        <strike/>
        <sz val="12"/>
        <color rgb="FF000000"/>
        <rFont val="Calibri"/>
        <family val="2"/>
      </rPr>
      <t> Snacks Bar</t>
    </r>
    <r>
      <rPr>
        <sz val="12"/>
        <color rgb="FF000000"/>
        <rFont val="Calibri"/>
        <family val="2"/>
      </rPr>
      <t>  Swamy's</t>
    </r>
  </si>
  <si>
    <t xml:space="preserve">The Irish House </t>
  </si>
  <si>
    <t>D-15/D 15A</t>
  </si>
  <si>
    <t>Lucknowi concept</t>
  </si>
  <si>
    <t>AJ KITCHEN</t>
  </si>
  <si>
    <t>Carl's Junior</t>
  </si>
  <si>
    <t>D-16 A</t>
  </si>
  <si>
    <t>Adani Lounge</t>
  </si>
  <si>
    <t>Domino's</t>
  </si>
  <si>
    <t>MOD</t>
  </si>
  <si>
    <t>D-21. 1</t>
  </si>
  <si>
    <t xml:space="preserve">food hall seating </t>
  </si>
  <si>
    <t>D-21 A</t>
  </si>
  <si>
    <t>Nothing in D40</t>
  </si>
  <si>
    <t xml:space="preserve">Not in design right now </t>
  </si>
  <si>
    <r>
      <t>D41 &amp; 41A ,Shawarma,Tacos,Burger + Indian +</t>
    </r>
    <r>
      <rPr>
        <strike/>
        <sz val="12"/>
        <color rgb="FF000000"/>
        <rFont val="Calibri"/>
        <family val="2"/>
      </rPr>
      <t>Coffee kiosk</t>
    </r>
  </si>
  <si>
    <t>D-41 + D-41a</t>
  </si>
  <si>
    <t>67.82 + 51.17</t>
  </si>
  <si>
    <t>Not to be made operational till Intl numbers double</t>
  </si>
  <si>
    <t>Not in design right now</t>
  </si>
  <si>
    <r>
      <t xml:space="preserve">Caffeccino 14 sqm + </t>
    </r>
    <r>
      <rPr>
        <strike/>
        <sz val="12"/>
        <color rgb="FF000000"/>
        <rFont val="Calibri"/>
        <family val="2"/>
      </rPr>
      <t>Kebab</t>
    </r>
    <r>
      <rPr>
        <sz val="12"/>
        <color rgb="FF000000"/>
        <rFont val="Calibri"/>
        <family val="2"/>
      </rPr>
      <t xml:space="preserve"> POP CORN 4 sqm</t>
    </r>
  </si>
  <si>
    <t>B-03 &amp; 4</t>
  </si>
  <si>
    <t>Chai Point</t>
  </si>
  <si>
    <t>Food @ Gates</t>
  </si>
  <si>
    <t>P - 02</t>
  </si>
  <si>
    <t>P - 03</t>
  </si>
  <si>
    <t>Kitchen &amp; Warehouse</t>
  </si>
  <si>
    <t>Kitchen &amp; Store + office</t>
  </si>
  <si>
    <t>To confirm the area</t>
  </si>
  <si>
    <t>Transit Hotel</t>
  </si>
  <si>
    <t>Not in design</t>
  </si>
  <si>
    <t>Brioche Doree</t>
  </si>
  <si>
    <r>
      <t>good times bar</t>
    </r>
    <r>
      <rPr>
        <sz val="12"/>
        <color rgb="FF000000"/>
        <rFont val="Calibri"/>
        <family val="2"/>
      </rPr>
      <t>  Budweiser bar</t>
    </r>
  </si>
  <si>
    <t>Hoegarden or similar Bar</t>
  </si>
  <si>
    <t>Arrival</t>
  </si>
  <si>
    <t>Dastarkhwan+Prakash Kulfi (Local Ice Cream Brand)</t>
  </si>
  <si>
    <t>Subway+ Baskin Robbins (Ice Cream Brand)</t>
  </si>
  <si>
    <t xml:space="preserve">Starbucks / AJ Café </t>
  </si>
  <si>
    <t>Dosa Factory, Bikanerwala/Haldiram’s</t>
  </si>
  <si>
    <t>Old brand</t>
  </si>
  <si>
    <t>Low price concept</t>
  </si>
  <si>
    <t>Swamys</t>
  </si>
  <si>
    <t>Good Times Bar</t>
  </si>
  <si>
    <t>D-15/ D-15A</t>
  </si>
  <si>
    <t>D-16A</t>
  </si>
  <si>
    <t>D-21/ 21A</t>
  </si>
  <si>
    <t>D-21B</t>
  </si>
  <si>
    <t>Food Hall seating</t>
  </si>
  <si>
    <t>B-03 &amp; B-04</t>
  </si>
  <si>
    <t>Kitchen &amp; Ware house</t>
  </si>
  <si>
    <t>Cafeccino + Popcorn</t>
  </si>
  <si>
    <t>AJ 1881</t>
  </si>
  <si>
    <t>Budweiser Bar</t>
  </si>
  <si>
    <t>Total =</t>
  </si>
  <si>
    <t xml:space="preserve">Lucknow Capex Budget </t>
  </si>
  <si>
    <t>Food Hall Seating</t>
  </si>
  <si>
    <t>Lucknowi Concept</t>
  </si>
  <si>
    <t>Design by Adani Asset team.</t>
  </si>
  <si>
    <t>IT Cables etc</t>
  </si>
  <si>
    <t>Prep- Kitchen / store</t>
  </si>
  <si>
    <t>13a</t>
  </si>
  <si>
    <t>New outlet added</t>
  </si>
  <si>
    <t>Area increased -Earlier area-50.7 Sqm</t>
  </si>
  <si>
    <t xml:space="preserve"> </t>
  </si>
  <si>
    <t>Kiosk -4 Nos</t>
  </si>
  <si>
    <t>Common seating for 4 Kiosk</t>
  </si>
  <si>
    <t>Loose Furniture Cost</t>
  </si>
  <si>
    <t>Amount before taxes</t>
  </si>
  <si>
    <t>Amount with taxes</t>
  </si>
  <si>
    <t>Will be provided by Brand</t>
  </si>
  <si>
    <t>Snack Bar</t>
  </si>
  <si>
    <t>Approved Capex (Amt with Taxes)</t>
  </si>
  <si>
    <t xml:space="preserve">Lucknow Capex Tracker </t>
  </si>
  <si>
    <t>Dom/Intl</t>
  </si>
  <si>
    <t>Area SqM</t>
  </si>
  <si>
    <t>Capex Budget (INR)</t>
  </si>
  <si>
    <t>PO Amount (INR)</t>
  </si>
  <si>
    <t>Balance Budget</t>
  </si>
  <si>
    <t>AJ1881</t>
  </si>
  <si>
    <t>Irish House</t>
  </si>
  <si>
    <t xml:space="preserve">CDH/ Mamagoto/Own Lucknowi concept </t>
  </si>
  <si>
    <t>Third Wave Coffee</t>
  </si>
  <si>
    <t>Cafeccino+ Ice Cream</t>
  </si>
  <si>
    <t>Chai Point-1</t>
  </si>
  <si>
    <t>Chai Point -2</t>
  </si>
  <si>
    <t>Low price point</t>
  </si>
  <si>
    <t>subway</t>
  </si>
  <si>
    <t>Lucknow street</t>
  </si>
  <si>
    <t>Shawarma,Tacos,Burger</t>
  </si>
  <si>
    <t>Seating Space D-21a</t>
  </si>
  <si>
    <t>Carl's Jr.</t>
  </si>
  <si>
    <t>Kitchen and Warehouse</t>
  </si>
  <si>
    <t>Third Wave Coffee + Wrapafella</t>
  </si>
  <si>
    <t>Boarding Bites -1</t>
  </si>
  <si>
    <t>Boarding Bites -2</t>
  </si>
  <si>
    <t>Back Office IT</t>
  </si>
  <si>
    <t>Flying bites-1</t>
  </si>
  <si>
    <t>Flying bites-2</t>
  </si>
  <si>
    <t>Total Amount=</t>
  </si>
  <si>
    <t>Lucknow Capex Tracker</t>
  </si>
  <si>
    <t>Particulars</t>
  </si>
  <si>
    <t xml:space="preserve"> Budget (INR)</t>
  </si>
  <si>
    <t>Utilization (INR)</t>
  </si>
  <si>
    <t>Utilization</t>
  </si>
  <si>
    <t>Area in SqM</t>
  </si>
  <si>
    <t xml:space="preserve">     All Outlets</t>
  </si>
  <si>
    <t>Actual</t>
  </si>
  <si>
    <t>Consultants (Inrterior, Kitchen…)</t>
  </si>
  <si>
    <t>MAX</t>
  </si>
  <si>
    <t>Interior, Civil Work</t>
  </si>
  <si>
    <t>Services (Electrical, CCTV, Fire….)</t>
  </si>
  <si>
    <t>Decoration &amp; Other Fixtures</t>
  </si>
  <si>
    <t>IT, Marketing</t>
  </si>
  <si>
    <t>Equipment's</t>
  </si>
  <si>
    <t>Barrication</t>
  </si>
  <si>
    <t>`</t>
  </si>
  <si>
    <t>REMARK SURAJ</t>
  </si>
  <si>
    <t>Vendor Name</t>
  </si>
  <si>
    <t>Date</t>
  </si>
  <si>
    <t>Month</t>
  </si>
  <si>
    <t>PO No.</t>
  </si>
  <si>
    <t>nill</t>
  </si>
  <si>
    <t>Basic Amount</t>
  </si>
  <si>
    <t>Tax</t>
  </si>
  <si>
    <t>PO Value</t>
  </si>
  <si>
    <t>Outlet</t>
  </si>
  <si>
    <t>Item</t>
  </si>
  <si>
    <t xml:space="preserve">Remark- Finance </t>
  </si>
  <si>
    <t>Adani TC Approval</t>
  </si>
  <si>
    <t>Finance Data</t>
  </si>
  <si>
    <t>Stauts</t>
  </si>
  <si>
    <t>NSA Design</t>
  </si>
  <si>
    <t>PO/SKPL/23-24/001104</t>
  </si>
  <si>
    <t>Interior consultant</t>
  </si>
  <si>
    <t>Approved</t>
  </si>
  <si>
    <t>Consultant PO -Adani tc not required</t>
  </si>
  <si>
    <t>ARA design</t>
  </si>
  <si>
    <t>PO/SKPL/23-24/00995</t>
  </si>
  <si>
    <t>PO/SKPL/23-24/00996</t>
  </si>
  <si>
    <t>PO/SKPL/23-24/001004</t>
  </si>
  <si>
    <t>PO/SKPL/23-24/001005</t>
  </si>
  <si>
    <t>PO/SKPL/23-24/001006</t>
  </si>
  <si>
    <t>PO/SKPL/23-24/001007</t>
  </si>
  <si>
    <t>PO/SKPL/23-24/000997</t>
  </si>
  <si>
    <t>PO/SKPL/23-24/000998</t>
  </si>
  <si>
    <t>PO/SKPL/23-24/000999</t>
  </si>
  <si>
    <t>PO/SKPL/23-24/001002</t>
  </si>
  <si>
    <t>PO/SKPL/23-24/001003</t>
  </si>
  <si>
    <t>PO/SKPL/23-24/001008</t>
  </si>
  <si>
    <t>Good times bar</t>
  </si>
  <si>
    <t>PO/SKPL/23-24/001158</t>
  </si>
  <si>
    <t>MEP Consultant</t>
  </si>
  <si>
    <t>INVENTECH SOLUTIONS</t>
  </si>
  <si>
    <t>PO/SKPL/23-24/001367</t>
  </si>
  <si>
    <t>PO/SKPL/23-24/001372</t>
  </si>
  <si>
    <t>PO/SKPL/23-24/001373</t>
  </si>
  <si>
    <t>PO/SKPL/23-24/001374</t>
  </si>
  <si>
    <t>PO/SKPL/23-24/001377</t>
  </si>
  <si>
    <t>PO/SKPL/23-24/001378</t>
  </si>
  <si>
    <t>PO/SKPL/23-24/001379</t>
  </si>
  <si>
    <t>PO/SKPL/23-24/001381</t>
  </si>
  <si>
    <t>PO/SKPL/23-24/001382</t>
  </si>
  <si>
    <t>PO/SKPL/23-24/001385</t>
  </si>
  <si>
    <t>PO/SKPL/23-24/001386</t>
  </si>
  <si>
    <t>PO/SKPL/23-24/001388</t>
  </si>
  <si>
    <t>PO/SKPL/23-24/001389</t>
  </si>
  <si>
    <t>VART INFRACON PRIVATE LIMITED</t>
  </si>
  <si>
    <t>PO/SKPL/23-24/001470</t>
  </si>
  <si>
    <t>Civil and interior work</t>
  </si>
  <si>
    <t>ARA DESIGNS</t>
  </si>
  <si>
    <t>PO/SKPL/23-24/001444</t>
  </si>
  <si>
    <t>PO/SKPL/23-24/001419</t>
  </si>
  <si>
    <t>Pioneer Infra And Turnkey Solutions</t>
  </si>
  <si>
    <t>PO/SKPL/23-24/001487</t>
  </si>
  <si>
    <t>interior work</t>
  </si>
  <si>
    <t>Impulse Branding Solutions</t>
  </si>
  <si>
    <t>PO/SKPL/23-24/001516</t>
  </si>
  <si>
    <t>A K Projects</t>
  </si>
  <si>
    <t>PO/SKPL/23-24/001595</t>
  </si>
  <si>
    <t>Plumbing work</t>
  </si>
  <si>
    <t>Shah Enterprises</t>
  </si>
  <si>
    <t>PO/SKPL/23-24/001589</t>
  </si>
  <si>
    <t>Civil, Interior,Plumbing, electrical, HVAC, Lights, Misc.</t>
  </si>
  <si>
    <t>Order Cancelled by Adani TC given orders to Fallow dezience</t>
  </si>
  <si>
    <t>PO/SKPL/23-24/001591</t>
  </si>
  <si>
    <t>PO/SKPL/23-24/001592</t>
  </si>
  <si>
    <t>PO/SKPL/23-24/001661</t>
  </si>
  <si>
    <t>PO/SKPL/23-24/001662</t>
  </si>
  <si>
    <t>PO/SKPL/23-24/001663</t>
  </si>
  <si>
    <t>PO/SKPL/23-24/001639</t>
  </si>
  <si>
    <t>PO/SKPL/23-24/001658</t>
  </si>
  <si>
    <t>PO/SKPL/23-24/001637</t>
  </si>
  <si>
    <t>PO/SKPL/23-24/001669</t>
  </si>
  <si>
    <t>PO/SKPL/23-24/001670</t>
  </si>
  <si>
    <t>FALLOW DEZIENCE TREE LLP</t>
  </si>
  <si>
    <t>PO/SKPL/23-24/001795</t>
  </si>
  <si>
    <t>PO/SKPL/23-24/001796</t>
  </si>
  <si>
    <t>PO/SKPL/23-24/001797</t>
  </si>
  <si>
    <t>PO/SKPL/23-24/001798</t>
  </si>
  <si>
    <t>PO/SKPL/23-24/001799</t>
  </si>
  <si>
    <t>PLUGD</t>
  </si>
  <si>
    <t>PO/SKPL/23-24/001791</t>
  </si>
  <si>
    <t>Consultant</t>
  </si>
  <si>
    <t>PO/SKPL/23-24/001793</t>
  </si>
  <si>
    <t>WESTERN REFRIGERATION PRIVATE LIMITED</t>
  </si>
  <si>
    <t>PO/SKPL/23-24/001849</t>
  </si>
  <si>
    <t>NUGREEN BUILDING TECHNOLOGIES PRIVATE</t>
  </si>
  <si>
    <t>PO/SKPL/23-24/001851</t>
  </si>
  <si>
    <t>Blue Star Limited</t>
  </si>
  <si>
    <t>PO/SKPL/23-24/001852</t>
  </si>
  <si>
    <t>Middleby Celfrost Innovations Private Limited</t>
  </si>
  <si>
    <t>PO/SKPL/23-24/001853</t>
  </si>
  <si>
    <t>FRESH AND HONEST CAFE LIMITEd</t>
  </si>
  <si>
    <t>PO/SKPL/23-24/001839</t>
  </si>
  <si>
    <t>PO/SKPL/23-24/001841</t>
  </si>
  <si>
    <t>PO/SKPL/23-24/001846</t>
  </si>
  <si>
    <t>PO/SKPL/23-24/001847</t>
  </si>
  <si>
    <t>PO/SKPL/23-24/001848</t>
  </si>
  <si>
    <t>PO/SKPL/23-24/001827</t>
  </si>
  <si>
    <t>PO/SKPL/23-24/001828</t>
  </si>
  <si>
    <t>PO/SKPL/23-24/001829</t>
  </si>
  <si>
    <t>MITTAL INTERNATIONAL</t>
  </si>
  <si>
    <t>PO/SKPL/23-24/001830</t>
  </si>
  <si>
    <t xml:space="preserve">NUGREEN BUILDING TECHNOLOGIES PRIVATE </t>
  </si>
  <si>
    <t>PO/SKPL/23-24/001831</t>
  </si>
  <si>
    <t>Flying Bites-1</t>
  </si>
  <si>
    <t>PO/SKPL/23-24/001832</t>
  </si>
  <si>
    <t xml:space="preserve">Middleby Celfrost Innovations Private Limited
</t>
  </si>
  <si>
    <t>PO/SKPL/23-24/001833</t>
  </si>
  <si>
    <t>PO/SKPL/23-24/001834</t>
  </si>
  <si>
    <t>PO/SKPL/23-24/001836</t>
  </si>
  <si>
    <t>FRESH AND HONEST CAFE LIMITED</t>
  </si>
  <si>
    <t>PO/SKPL/23-24/001867</t>
  </si>
  <si>
    <t>PO/SKPL/23-24/001856</t>
  </si>
  <si>
    <t>PO/SKPL/23-24/001863</t>
  </si>
  <si>
    <t>The Oven Co</t>
  </si>
  <si>
    <t>PO/SKPL/23-24/001868</t>
  </si>
  <si>
    <t>PO/SKPL/23-24/001862</t>
  </si>
  <si>
    <t>Cambro Nilkamal Private Limited</t>
  </si>
  <si>
    <t>PO/SKPL/23-24/001875</t>
  </si>
  <si>
    <t>PO/SKPL/23-24/001865</t>
  </si>
  <si>
    <t>PO/SKPL/23-24/001857</t>
  </si>
  <si>
    <t>PO/SKPL/23-24/001858</t>
  </si>
  <si>
    <t>PO/SKPL/23-24/001864</t>
  </si>
  <si>
    <t>PO/SKPL/23-24/001882</t>
  </si>
  <si>
    <t>PO/SKPL/23-24/001885</t>
  </si>
  <si>
    <t>PO/SKPL/23-24/001860</t>
  </si>
  <si>
    <t>PO/SKPL/23-24/001881</t>
  </si>
  <si>
    <t>PO/SKPL/23-24/001884</t>
  </si>
  <si>
    <t>PO/SKPL/23-24/001872</t>
  </si>
  <si>
    <t>SSP Beverages</t>
  </si>
  <si>
    <t>PO/SKPL/23-24/001890</t>
  </si>
  <si>
    <t>PO/SKPL/23-24/001891</t>
  </si>
  <si>
    <t>PO/SKPL/23-24/001778</t>
  </si>
  <si>
    <t>Consultant - Civil &amp; MEP</t>
  </si>
  <si>
    <t>HDS Consulting</t>
  </si>
  <si>
    <t>PO/SKPL/23-24/001818</t>
  </si>
  <si>
    <t xml:space="preserve">Consultant - Kitchen </t>
  </si>
  <si>
    <t>PO/SKPL/23-24/001923</t>
  </si>
  <si>
    <t>PO/SKPL/23-24/001922</t>
  </si>
  <si>
    <t>PO/SKPL/23-24/001945</t>
  </si>
  <si>
    <t>PO/SKPL/23-24/001944</t>
  </si>
  <si>
    <t>PO/SKPL/23-24/001942</t>
  </si>
  <si>
    <t>PO/SKPL/23-24/001941</t>
  </si>
  <si>
    <t>PO/SKPL/23-24/001874</t>
  </si>
  <si>
    <t>NSA DESIGN STUDIO</t>
  </si>
  <si>
    <t xml:space="preserve">VART INFRACON PRIVATE LIMITED </t>
  </si>
  <si>
    <t>Semolina/PO/23-24/000014</t>
  </si>
  <si>
    <t>Semolina/PO/23-24/000016</t>
  </si>
  <si>
    <t>Semolina/PO/23-24/000017</t>
  </si>
  <si>
    <t>Semolina/PO/23-24/000018</t>
  </si>
  <si>
    <t>Semolina/PO/23-24/000019</t>
  </si>
  <si>
    <t>Semolina/PO/23-24/000020</t>
  </si>
  <si>
    <t>Semolina/PO/23-24/000021</t>
  </si>
  <si>
    <t>Semolina/PO/23-24/000022</t>
  </si>
  <si>
    <t>Semolina/PO/23-24/000023</t>
  </si>
  <si>
    <t xml:space="preserve">M/S GOYAL KITCHEN EQUIPMENTS </t>
  </si>
  <si>
    <t>Semolina/PO/23-24/000030</t>
  </si>
  <si>
    <t>Semolina/PO/23-24/000031</t>
  </si>
  <si>
    <t>Semolina/PO/23-24/000032</t>
  </si>
  <si>
    <t>Semolina/PO/23-24/000034</t>
  </si>
  <si>
    <t>MUKUNDA FOODS PRIVATE LTD</t>
  </si>
  <si>
    <t>Semolina/PO/23-24/000035</t>
  </si>
  <si>
    <t>Semolina/PO/23-24/000036</t>
  </si>
  <si>
    <t>Semolina/PO/23-24/000037</t>
  </si>
  <si>
    <t>Semolina/PO/23-24/000038</t>
  </si>
  <si>
    <t>Semolina/PO/23-24/000041</t>
  </si>
  <si>
    <t>Semolina/PO/23-24/000043</t>
  </si>
  <si>
    <t>Semolina/PO/23-24/000044</t>
  </si>
  <si>
    <t xml:space="preserve">FALLOW DEZIENCE TREE LLP </t>
  </si>
  <si>
    <t>Semolina/PO/23-24/000049</t>
  </si>
  <si>
    <t>Semolina/PO/23-24/000050</t>
  </si>
  <si>
    <t>GLOBAL ACCESS HOSPITALITY</t>
  </si>
  <si>
    <t>Semolina/PO/23-24/000140</t>
  </si>
  <si>
    <t>White Gloves Company Inc</t>
  </si>
  <si>
    <t>Semolina/PO/23-24/000138</t>
  </si>
  <si>
    <t>Semolina/PO/23-24/000137</t>
  </si>
  <si>
    <t>Semolina/PO/23-24/000133</t>
  </si>
  <si>
    <t>Semolina/PO/23-24/000132</t>
  </si>
  <si>
    <t>APEX EQUIPMENTS</t>
  </si>
  <si>
    <t>Semolina/PO/23-24/000131</t>
  </si>
  <si>
    <t>NUGREEN BUILDING TECHNOLOGIES PRIVATE LIMITED</t>
  </si>
  <si>
    <t>Semolina/PO/23-24/000130</t>
  </si>
  <si>
    <t>Lazarus Industries</t>
  </si>
  <si>
    <t>Semolina/PO/23-24/000129</t>
  </si>
  <si>
    <t>Semolina/PO/23-24/000120</t>
  </si>
  <si>
    <t>GILLY PROFESSIONAL KITCHENS</t>
  </si>
  <si>
    <t>Semolina/PO/23-24/000117</t>
  </si>
  <si>
    <t>Shree Enterprises</t>
  </si>
  <si>
    <t>Semolina/PO/23-24/000114</t>
  </si>
  <si>
    <t>HARMONY INTERNATIONAL</t>
  </si>
  <si>
    <t>Semolina/PO/23-24/000113</t>
  </si>
  <si>
    <t>Semolina/PO/23-24/000111</t>
  </si>
  <si>
    <t>VSAS GROUP</t>
  </si>
  <si>
    <t>Semolina/PO/23-24/000070</t>
  </si>
  <si>
    <t>Semolina/PO/23-24/000068</t>
  </si>
  <si>
    <t>ELAN PROFESSIONAL APPLIANCES PRIVATE LIMITED</t>
  </si>
  <si>
    <t>Semolina/PO/23-24/000067</t>
  </si>
  <si>
    <t>Semolina/PO/23-24/000063</t>
  </si>
  <si>
    <t>UMR Trade Links Pvt Ltd</t>
  </si>
  <si>
    <t>Semolina/PO/23-24/000061</t>
  </si>
  <si>
    <t>Technocrats Security Systems Private Limited</t>
  </si>
  <si>
    <t>Semolina/PO/23-24/000058</t>
  </si>
  <si>
    <t>PRIFAR SIGNS</t>
  </si>
  <si>
    <t>Semolina/PO/23-24/000162</t>
  </si>
  <si>
    <t>Semolina/PO/23-24/000161</t>
  </si>
  <si>
    <t>Semolina/PO/23-24/000160</t>
  </si>
  <si>
    <t>Semolina/PO/23-24/000159</t>
  </si>
  <si>
    <t>Semolina/PO/23-24/000158</t>
  </si>
  <si>
    <t>SHEARLING SKINS PRIVATE LIMITED</t>
  </si>
  <si>
    <t>Semolina/PO/23-24/000181</t>
  </si>
  <si>
    <t>Approval Pending</t>
  </si>
  <si>
    <t>Semolina/PO/23-24/000180</t>
  </si>
  <si>
    <t>Semolina/PO/23-24/000179</t>
  </si>
  <si>
    <t>Semolina/PO/23-24/000166</t>
  </si>
  <si>
    <t>Semolina/PO/23-24/000157</t>
  </si>
  <si>
    <t>Semolina/PO/23-24/000156</t>
  </si>
  <si>
    <t>Semolina/PO/23-24/000139</t>
  </si>
  <si>
    <t>Semolina/PO/23-24/000065</t>
  </si>
  <si>
    <t>Semolina/PO/23-24/000062</t>
  </si>
  <si>
    <t>Semolina/PO/23-24/000060</t>
  </si>
  <si>
    <t>Semolina/PO/23-24/000059</t>
  </si>
  <si>
    <t>24/01/2024</t>
  </si>
  <si>
    <t>Semolina/PO/23-24/000272</t>
  </si>
  <si>
    <t>InReview</t>
  </si>
  <si>
    <t>Semolina/PO/23-24/000271</t>
  </si>
  <si>
    <t>23/01/2024</t>
  </si>
  <si>
    <t>Semolina/PO/23-24/000270</t>
  </si>
  <si>
    <t>Semolina/PO/23-24/000269</t>
  </si>
  <si>
    <t>Semolina/PO/23-24/000268</t>
  </si>
  <si>
    <t>Semolina/PO/23-24/000265</t>
  </si>
  <si>
    <t>Rans Technocrats India Private limited</t>
  </si>
  <si>
    <t>Semolina/PO/23-24/000263</t>
  </si>
  <si>
    <t>DS Techworks Solutions Private Limited</t>
  </si>
  <si>
    <t>22/01/2024</t>
  </si>
  <si>
    <t>Semolina/PO/23-24/000261</t>
  </si>
  <si>
    <t>Semolina/PO/23-24/000260</t>
  </si>
  <si>
    <t>Semolina/PO/23-24/000259</t>
  </si>
  <si>
    <t>Semolina/PO/23-24/000258</t>
  </si>
  <si>
    <t>Semolina/PO/23-24/000257</t>
  </si>
  <si>
    <t>Semolina/PO/23-24/000254</t>
  </si>
  <si>
    <t>Semolina/PO/23-24/000253</t>
  </si>
  <si>
    <t>Semolina/PO/23-24/000252</t>
  </si>
  <si>
    <t>Semolina/PO/23-24/000251</t>
  </si>
  <si>
    <t>Semolina/PO/23-24/000250</t>
  </si>
  <si>
    <t>Semolina/PO/23-24/000249</t>
  </si>
  <si>
    <t>Semolina/PO/23-24/000248</t>
  </si>
  <si>
    <t>Semolina/PO/23-24/000247</t>
  </si>
  <si>
    <t>Semolina/PO/23-24/000246</t>
  </si>
  <si>
    <t>Semolina/PO/23-24/000245</t>
  </si>
  <si>
    <t>Semolina/PO/23-24/000244</t>
  </si>
  <si>
    <t>Semolina/PO/23-24/000243</t>
  </si>
  <si>
    <t>M/S GOYAL KITCHEN EQUIPMENTS</t>
  </si>
  <si>
    <t>Semolina/PO/23-24/000242</t>
  </si>
  <si>
    <t>Semolina/PO/23-24/000240</t>
  </si>
  <si>
    <t>Semolina/PO/23-24/000239</t>
  </si>
  <si>
    <t>Semolina/PO/23-24/000237</t>
  </si>
  <si>
    <t>Semolina/PO/23-24/000236</t>
  </si>
  <si>
    <t>Semolina/PO/23-24/000235</t>
  </si>
  <si>
    <t>Semolina/PO/23-24/000234</t>
  </si>
  <si>
    <t>Semolina/PO/23-24/000233</t>
  </si>
  <si>
    <t>Semolina/PO/23-24/000231</t>
  </si>
  <si>
    <t>Semolina/PO/23-24/000227</t>
  </si>
  <si>
    <t>20/01/2024</t>
  </si>
  <si>
    <t>Semolina/PO/23-24/000222</t>
  </si>
  <si>
    <t>Semolina/PO/23-24/000221</t>
  </si>
  <si>
    <t>Semolina/PO/23-24/000220</t>
  </si>
  <si>
    <t>Semolina/PO/23-24/000217</t>
  </si>
  <si>
    <t>19/01/2024</t>
  </si>
  <si>
    <t>Semolina/PO/23-24/000216</t>
  </si>
  <si>
    <t>A M HASANALI AND SONS</t>
  </si>
  <si>
    <t>Semolina/PO/23-24/000215</t>
  </si>
  <si>
    <t>RAHUL MENS WEAR</t>
  </si>
  <si>
    <t>Semolina/PO/23-24/000214</t>
  </si>
  <si>
    <t>SAMEER HOTEL SUPPLIES</t>
  </si>
  <si>
    <t>Semolina/PO/23-24/000212</t>
  </si>
  <si>
    <t>VENUS INDUSTRIES</t>
  </si>
  <si>
    <t>Semolina/PO/23-24/000209</t>
  </si>
  <si>
    <t>Kite International</t>
  </si>
  <si>
    <t>18/01/2024</t>
  </si>
  <si>
    <t>Semolina/PO/23-24/000197</t>
  </si>
  <si>
    <t>15/01/2024</t>
  </si>
  <si>
    <t>Semolina/PO/23-24/000187</t>
  </si>
  <si>
    <t>Acknowledgement By Supplier</t>
  </si>
  <si>
    <t>GROSS KITCHEN EQUIPMENTS</t>
  </si>
  <si>
    <t>Semolina/PO/23-24/000186</t>
  </si>
  <si>
    <t>Semolina/PO/23-24/000185</t>
  </si>
  <si>
    <t>Semolina/PO/23-24/000184</t>
  </si>
  <si>
    <t>UNIFORMS GURU</t>
  </si>
  <si>
    <t>22/12/2023</t>
  </si>
  <si>
    <t>Semolina/PO/23-24/000027</t>
  </si>
  <si>
    <t>Team Computers Private limited</t>
  </si>
  <si>
    <t>26/12/2023</t>
  </si>
  <si>
    <t>Semolina/PO/23-24/000033</t>
  </si>
  <si>
    <t>05/01/2024</t>
  </si>
  <si>
    <t>Semolina/PO/23-24/000141</t>
  </si>
  <si>
    <t>PO/SKPL/23-24/001994</t>
  </si>
  <si>
    <t>PO/SKPL/23-24/001992</t>
  </si>
  <si>
    <t>PO/SKPL/23-24/001993</t>
  </si>
  <si>
    <t>PO/SKPL/23-24/001995</t>
  </si>
  <si>
    <t>PO/SKPL/23-24/001996</t>
  </si>
  <si>
    <t>PO/SKPL/23-24/001997</t>
  </si>
  <si>
    <t>PO/SKPL/23-24/002008</t>
  </si>
  <si>
    <t>PO/SKPL/23-24/001999</t>
  </si>
  <si>
    <t>PO/SKPL/23-24/002002</t>
  </si>
  <si>
    <t>PO/SKPL/23-24/002004</t>
  </si>
  <si>
    <t>PO/SKPL/23-24/002005</t>
  </si>
  <si>
    <t>PO/SKPL/23-24/002007</t>
  </si>
  <si>
    <t>PO Issued</t>
  </si>
  <si>
    <t>TFS</t>
  </si>
  <si>
    <t>Brand</t>
  </si>
  <si>
    <t>Utlization</t>
  </si>
  <si>
    <t xml:space="preserve">% </t>
  </si>
  <si>
    <t>Check</t>
  </si>
  <si>
    <t xml:space="preserve">Kiosk_Masala Kitchen </t>
  </si>
  <si>
    <t>Kiosk_Shawarma</t>
  </si>
  <si>
    <t>Kiosk_Burger &amp; Tacos</t>
  </si>
  <si>
    <t>Kiosk_Cafeccino</t>
  </si>
  <si>
    <t>Brand change CBTL to 3rd wave coffee variation is due to equipment</t>
  </si>
  <si>
    <t>Saving</t>
  </si>
  <si>
    <t>New store Added/ Area added</t>
  </si>
  <si>
    <t>PO Terminated</t>
  </si>
  <si>
    <t>A STAR INNOVATION</t>
  </si>
  <si>
    <t>03/02/2024</t>
  </si>
  <si>
    <t>Semolina/PO/23-24/000401</t>
  </si>
  <si>
    <t>Semolina/PO/23-24/000400</t>
  </si>
  <si>
    <t>Semolina/PO/23-24/000399</t>
  </si>
  <si>
    <t>GALAXYA INDUSTRIES</t>
  </si>
  <si>
    <t>Semolina/PO/23-24/000398</t>
  </si>
  <si>
    <t>Semolina/PO/23-24/000397</t>
  </si>
  <si>
    <t>Semolina/PO/23-24/000396</t>
  </si>
  <si>
    <t>02/02/2024</t>
  </si>
  <si>
    <t>Semolina/PO/23-24/000395</t>
  </si>
  <si>
    <t>KAMALAKSHI MARKETING PVT LTD</t>
  </si>
  <si>
    <t>Semolina/PO/23-24/000394</t>
  </si>
  <si>
    <t>Semolina/PO/23-24/000393</t>
  </si>
  <si>
    <t>Semolina/PO/23-24/000392</t>
  </si>
  <si>
    <t>Semolina/PO/23-24/000391</t>
  </si>
  <si>
    <t>Semolina/PO/23-24/000390</t>
  </si>
  <si>
    <t>3MB Technologies</t>
  </si>
  <si>
    <t>Semolina/PO/23-24/000388</t>
  </si>
  <si>
    <t>Semolina/PO/23-24/000387</t>
  </si>
  <si>
    <t>Semolina/PO/23-24/000386</t>
  </si>
  <si>
    <t>Semolina/PO/23-24/000385</t>
  </si>
  <si>
    <t>Semolina/PO/23-24/000384</t>
  </si>
  <si>
    <t>Semolina/PO/23-24/000383</t>
  </si>
  <si>
    <t>KAAPI MACHINES INDIA PRIVATE LIMITED</t>
  </si>
  <si>
    <t>31/01/2024</t>
  </si>
  <si>
    <t>Semolina/PO/23-24/000359</t>
  </si>
  <si>
    <t>Semolina/PO/23-24/000358</t>
  </si>
  <si>
    <t>Semolina/PO/23-24/000357</t>
  </si>
  <si>
    <t>Semolina/PO/23-24/000356</t>
  </si>
  <si>
    <t>Semolina/PO/23-24/000355</t>
  </si>
  <si>
    <t>Semolina/PO/23-24/000354</t>
  </si>
  <si>
    <t>Semolina/PO/23-24/000353</t>
  </si>
  <si>
    <t>Semolina/PO/23-24/000352</t>
  </si>
  <si>
    <t>Semolina/PO/23-24/000351</t>
  </si>
  <si>
    <t>Semolina/PO/23-24/000350</t>
  </si>
  <si>
    <t>Semolina/PO/23-24/000349</t>
  </si>
  <si>
    <t>Semolina/PO/23-24/000346</t>
  </si>
  <si>
    <t>Semolina/PO/23-24/000345</t>
  </si>
  <si>
    <t>Semolina/PO/23-24/000344</t>
  </si>
  <si>
    <t>Semolina/PO/23-24/000343</t>
  </si>
  <si>
    <t>Semolina/PO/23-24/000342</t>
  </si>
  <si>
    <t>Semolina/PO/23-24/000340</t>
  </si>
  <si>
    <t>Semolina/PO/23-24/000338</t>
  </si>
  <si>
    <t>Semolina/PO/23-24/000336</t>
  </si>
  <si>
    <t>Semolina/PO/23-24/000335</t>
  </si>
  <si>
    <t>30/01/2024</t>
  </si>
  <si>
    <t>Semolina/PO/23-24/000316</t>
  </si>
  <si>
    <t>Semolina/PO/23-24/000315</t>
  </si>
  <si>
    <t>Semolina/PO/23-24/000314</t>
  </si>
  <si>
    <t>Semolina/PO/23-24/000313</t>
  </si>
  <si>
    <t>Semolina/PO/23-24/000312</t>
  </si>
  <si>
    <t>Semolina/PO/23-24/000311</t>
  </si>
  <si>
    <t>Raja Engineering</t>
  </si>
  <si>
    <t>Semolina/PO/23-24/000310</t>
  </si>
  <si>
    <t>Krishna Office Solutions</t>
  </si>
  <si>
    <t>29/01/2024</t>
  </si>
  <si>
    <t>Semolina/PO/23-24/000303</t>
  </si>
  <si>
    <t>Semolina/PO/23-24/000301</t>
  </si>
  <si>
    <t>25/01/2024</t>
  </si>
  <si>
    <t>Semolina/PO/23-24/000300</t>
  </si>
  <si>
    <t>Semolina/PO/23-24/000299</t>
  </si>
  <si>
    <t>Semolina/PO/23-24/000298</t>
  </si>
  <si>
    <t>Semolina/PO/23-24/000297</t>
  </si>
  <si>
    <t>INTERNATIONAL EQUIPMENT CO</t>
  </si>
  <si>
    <t>Semolina/PO/23-24/000296</t>
  </si>
  <si>
    <t>STELLAR GASTRONOM PVT LTD</t>
  </si>
  <si>
    <t>Semolina/PO/23-24/000295</t>
  </si>
  <si>
    <t>Semolina/PO/23-24/000294</t>
  </si>
  <si>
    <t>Euronics Industries Private Limited</t>
  </si>
  <si>
    <t>Semolina/PO/23-24/000293</t>
  </si>
  <si>
    <t>R P Lasertech Pvt. Ltd.</t>
  </si>
  <si>
    <t>Semolina/PO/23-24/000292</t>
  </si>
  <si>
    <t>Semolina/PO/23-24/000290</t>
  </si>
  <si>
    <t>Shaullintiger Hygiene Solutions</t>
  </si>
  <si>
    <t>Semolina/PO/23-24/000289</t>
  </si>
  <si>
    <t>Semolina/PO/23-24/000288</t>
  </si>
  <si>
    <t>Micro Weigh</t>
  </si>
  <si>
    <t>Semolina/PO/23-24/000287</t>
  </si>
  <si>
    <t>Man Envirocare Research Centre</t>
  </si>
  <si>
    <t>Semolina/PO/23-24/000286</t>
  </si>
  <si>
    <t>Meghdoot Refrigeration Industries Pvt. Ltd.</t>
  </si>
  <si>
    <t>Semolina/PO/23-24/000284</t>
  </si>
  <si>
    <t>Semolina/PO/23-24/000281</t>
  </si>
  <si>
    <t>Semolina/PO/23-24/000277</t>
  </si>
  <si>
    <t>Semolina/PO/23-24/000276</t>
  </si>
  <si>
    <t>Semolina/PO/23-24/000275</t>
  </si>
  <si>
    <t>Semolina/PO/23-24/000274</t>
  </si>
  <si>
    <t>Semolina/PO/23-24/000256</t>
  </si>
  <si>
    <t>Semolina/PO/23-24/000255</t>
  </si>
  <si>
    <t>17/01/2024</t>
  </si>
  <si>
    <t>Semolina/PO/23-24/000195</t>
  </si>
  <si>
    <t>06/02/2024</t>
  </si>
  <si>
    <t>Semolina/PO/23-24/000429</t>
  </si>
  <si>
    <t>Semolina/PO/23-24/000427</t>
  </si>
  <si>
    <t>Semolina/PO/23-24/000425</t>
  </si>
  <si>
    <t>Semolina/PO/23-24/000424</t>
  </si>
  <si>
    <t>Semolina/PO/23-24/000423</t>
  </si>
  <si>
    <t>Ashirwad Printers</t>
  </si>
  <si>
    <t>Semolina/PO/23-24/000422</t>
  </si>
  <si>
    <t>Semolina/PO/23-24/000421</t>
  </si>
  <si>
    <t>Semolina/PO/23-24/000419</t>
  </si>
  <si>
    <t>J C LUMIERES</t>
  </si>
  <si>
    <t>Semolina/PO/23-24/000416</t>
  </si>
  <si>
    <t>Semolina/PO/23-24/000415</t>
  </si>
  <si>
    <t>Semolina/PO/23-24/000409</t>
  </si>
  <si>
    <t>Semolina/PO/23-24/000406</t>
  </si>
  <si>
    <t>Semolina/PO/23-24/000404</t>
  </si>
  <si>
    <t>Semolina/PO/23-24/000402</t>
  </si>
  <si>
    <t>01/02/2024</t>
  </si>
  <si>
    <t>Semolina/PO/23-24/000378</t>
  </si>
  <si>
    <t>Semolina/PO/23-24/000371</t>
  </si>
  <si>
    <t>SHREE ENTERPRISES</t>
  </si>
  <si>
    <t>Semolina/PO/23-24/000360</t>
  </si>
  <si>
    <t>Semolina/PO/23-24/000347</t>
  </si>
  <si>
    <t>Semolina/PO/23-24/000334</t>
  </si>
  <si>
    <t>Semolina/PO/23-24/000332</t>
  </si>
  <si>
    <t>Semolina/PO/23-24/000328</t>
  </si>
  <si>
    <t>Semolina/PO/23-24/000326</t>
  </si>
  <si>
    <t>Semolina/PO/23-24/000323</t>
  </si>
  <si>
    <t>Semolina/PO/23-24/000319</t>
  </si>
  <si>
    <t>Semolina/PO/23-24/000318</t>
  </si>
  <si>
    <t>Jubilant Food Works Limited</t>
  </si>
  <si>
    <t>Semolina/PO/23-24/000291</t>
  </si>
  <si>
    <t>Semolina/PO/23-24/000285</t>
  </si>
  <si>
    <t>Approved Capex (Amt before Taxes)</t>
  </si>
  <si>
    <t>Variance</t>
  </si>
  <si>
    <t>Capex amounts increases due to brand requirement</t>
  </si>
  <si>
    <t xml:space="preserve">Earlier lower capex amounts considered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</si>
</sst>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8" formatCode="&quot;₹&quot;\ #,##0.00;[Red]&quot;₹&quot;\ \-#,##0.00"/>
    <numFmt numFmtId="43" formatCode="_ * #,##0.00_ ;_ * \-#,##0.00_ ;_ * &quot;-&quot;??_ ;_ @_ "/>
    <numFmt numFmtId="164" formatCode="_(* #,##0.00_);_(* \(#,##0.00\);_(* &quot;-&quot;??_);_(@_)"/>
    <numFmt numFmtId="165" formatCode="_(* #,##0.00_);_(* \(#,##0.00\);_(* \-??_);_(@_)"/>
    <numFmt numFmtId="166" formatCode="_(* #,##0_);_(* \(#,##0\);_(* &quot;-&quot;??_);_(@_)"/>
    <numFmt numFmtId="167" formatCode="&quot; &quot;#,##0.00&quot; &quot;;&quot; (&quot;#,##0.00&quot;)&quot;;&quot; -&quot;00&quot; &quot;;&quot; &quot;@&quot; &quot;"/>
    <numFmt numFmtId="168" formatCode="0.0"/>
    <numFmt numFmtId="169" formatCode="_ * #,##0_ ;_ * \-#,##0_ ;_ * &quot;-&quot;??_ ;_ @_ "/>
    <numFmt numFmtId="170" formatCode="[$-409]d/mmm/yy;@"/>
    <numFmt numFmtId="171" formatCode="_-* #,##0.00_-;\-* #,##0.00_-;_-* &quot;-&quot;??_-;_-@_-"/>
  </numFmts>
  <fonts count="69">
    <font>
      <sz val="11"/>
      <color theme="1"/>
      <name val="Calibri"/>
      <family val="2"/>
      <scheme val="minor"/>
    </font>
    <font>
      <sz val="11"/>
      <color theme="1"/>
      <name val="Calibri"/>
      <family val="2"/>
      <scheme val="minor"/>
    </font>
    <font>
      <sz val="10"/>
      <name val="Arial"/>
      <family val="2"/>
    </font>
    <font>
      <b/>
      <sz val="14"/>
      <name val="Book Antiqua"/>
      <family val="1"/>
    </font>
    <font>
      <sz val="10"/>
      <name val="Book Antiqua"/>
      <family val="1"/>
    </font>
    <font>
      <b/>
      <sz val="10"/>
      <name val="Book Antiqua"/>
      <family val="1"/>
    </font>
    <font>
      <sz val="10"/>
      <name val="Mangal"/>
      <family val="2"/>
    </font>
    <font>
      <sz val="10"/>
      <color theme="1"/>
      <name val="Book Antiqua"/>
      <family val="1"/>
    </font>
    <font>
      <b/>
      <sz val="11"/>
      <color theme="1"/>
      <name val="Calibri"/>
      <family val="2"/>
      <scheme val="minor"/>
    </font>
    <font>
      <b/>
      <sz val="12"/>
      <color theme="1"/>
      <name val="Calibri"/>
      <family val="2"/>
      <scheme val="minor"/>
    </font>
    <font>
      <sz val="12"/>
      <color theme="1"/>
      <name val="Calibri"/>
      <family val="2"/>
      <scheme val="minor"/>
    </font>
    <font>
      <sz val="12"/>
      <name val="Arial"/>
      <family val="2"/>
    </font>
    <font>
      <sz val="10"/>
      <color indexed="8"/>
      <name val="Arial"/>
      <family val="2"/>
    </font>
    <font>
      <sz val="10"/>
      <name val="Helv"/>
    </font>
    <font>
      <sz val="10"/>
      <name val="Helv"/>
      <charset val="204"/>
    </font>
    <font>
      <sz val="11"/>
      <color rgb="FF000000"/>
      <name val="Calibri"/>
      <family val="2"/>
    </font>
    <font>
      <sz val="10"/>
      <name val="Arial"/>
      <family val="2"/>
    </font>
    <font>
      <sz val="10"/>
      <color rgb="FF000000"/>
      <name val="Times New Roman"/>
      <family val="1"/>
    </font>
    <font>
      <sz val="11"/>
      <name val="Arial MT"/>
    </font>
    <font>
      <sz val="11"/>
      <name val="Arial MT"/>
      <family val="2"/>
    </font>
    <font>
      <b/>
      <sz val="11"/>
      <name val="Arial"/>
      <family val="2"/>
    </font>
    <font>
      <sz val="11"/>
      <color rgb="FF000000"/>
      <name val="Arial MT"/>
      <family val="2"/>
    </font>
    <font>
      <sz val="11"/>
      <color rgb="FF212D50"/>
      <name val="Arial MT"/>
      <family val="2"/>
    </font>
    <font>
      <sz val="11"/>
      <color rgb="FF44496E"/>
      <name val="Arial MT"/>
      <family val="2"/>
    </font>
    <font>
      <b/>
      <sz val="11"/>
      <color rgb="FF000000"/>
      <name val="Arial"/>
      <family val="2"/>
    </font>
    <font>
      <sz val="12"/>
      <color rgb="FF000000"/>
      <name val="Calibri"/>
      <family val="2"/>
      <scheme val="minor"/>
    </font>
    <font>
      <sz val="12"/>
      <name val="Calibri"/>
      <family val="2"/>
      <scheme val="minor"/>
    </font>
    <font>
      <b/>
      <sz val="9"/>
      <name val="Book Antiqua"/>
      <family val="1"/>
    </font>
    <font>
      <sz val="12"/>
      <color theme="1"/>
      <name val="Adani Regular"/>
    </font>
    <font>
      <b/>
      <sz val="10"/>
      <color theme="1"/>
      <name val="Adani Regular"/>
    </font>
    <font>
      <sz val="10"/>
      <color theme="1"/>
      <name val="Calibri"/>
      <family val="2"/>
      <scheme val="minor"/>
    </font>
    <font>
      <sz val="11"/>
      <color rgb="FF000000"/>
      <name val="Adani Regular"/>
    </font>
    <font>
      <sz val="11"/>
      <name val="Adani Regular"/>
    </font>
    <font>
      <b/>
      <sz val="11"/>
      <color rgb="FF000000"/>
      <name val="Adani regular"/>
    </font>
    <font>
      <b/>
      <sz val="12"/>
      <color theme="1"/>
      <name val="Adani Regular"/>
    </font>
    <font>
      <b/>
      <sz val="9"/>
      <color theme="1"/>
      <name val="Calibri"/>
      <family val="2"/>
      <scheme val="minor"/>
    </font>
    <font>
      <sz val="9"/>
      <name val="Calibri"/>
      <family val="2"/>
      <scheme val="minor"/>
    </font>
    <font>
      <sz val="9"/>
      <color rgb="FFFF0000"/>
      <name val="Calibri"/>
      <family val="2"/>
      <scheme val="minor"/>
    </font>
    <font>
      <b/>
      <sz val="12"/>
      <color rgb="FF000000"/>
      <name val="Calibri"/>
      <family val="2"/>
    </font>
    <font>
      <sz val="12"/>
      <color theme="1"/>
      <name val="Calibri"/>
      <family val="2"/>
    </font>
    <font>
      <sz val="12"/>
      <color rgb="FF000000"/>
      <name val="Calibri"/>
      <family val="2"/>
    </font>
    <font>
      <b/>
      <strike/>
      <sz val="12"/>
      <color rgb="FF000000"/>
      <name val="Calibri"/>
      <family val="2"/>
    </font>
    <font>
      <strike/>
      <sz val="12"/>
      <color rgb="FF000000"/>
      <name val="Calibri"/>
      <family val="2"/>
    </font>
    <font>
      <u/>
      <sz val="11"/>
      <color theme="10"/>
      <name val="Calibri"/>
      <family val="2"/>
      <scheme val="minor"/>
    </font>
    <font>
      <b/>
      <sz val="11"/>
      <name val="Calibri"/>
      <family val="2"/>
      <scheme val="minor"/>
    </font>
    <font>
      <b/>
      <u/>
      <sz val="18"/>
      <color theme="1"/>
      <name val="Calibri"/>
      <family val="2"/>
      <scheme val="minor"/>
    </font>
    <font>
      <b/>
      <sz val="9"/>
      <name val="Calibri"/>
      <family val="2"/>
      <scheme val="minor"/>
    </font>
    <font>
      <b/>
      <sz val="15"/>
      <color theme="3"/>
      <name val="Calibri"/>
      <family val="2"/>
      <scheme val="minor"/>
    </font>
    <font>
      <sz val="11"/>
      <color theme="0"/>
      <name val="Calibri"/>
      <family val="2"/>
      <scheme val="minor"/>
    </font>
    <font>
      <b/>
      <u/>
      <sz val="16"/>
      <color theme="1"/>
      <name val="Calibri"/>
      <family val="2"/>
      <scheme val="minor"/>
    </font>
    <font>
      <b/>
      <sz val="10"/>
      <color theme="0"/>
      <name val="Calibri"/>
      <family val="2"/>
      <scheme val="minor"/>
    </font>
    <font>
      <sz val="10"/>
      <color theme="1" tint="0.14999847407452621"/>
      <name val="Calibri"/>
      <family val="2"/>
      <scheme val="minor"/>
    </font>
    <font>
      <sz val="10"/>
      <color theme="1"/>
      <name val="Arial"/>
      <family val="2"/>
    </font>
    <font>
      <b/>
      <sz val="10"/>
      <name val="Calibri"/>
      <family val="2"/>
      <scheme val="minor"/>
    </font>
    <font>
      <b/>
      <sz val="10"/>
      <color theme="1" tint="0.14999847407452621"/>
      <name val="Bahnschrift"/>
      <family val="2"/>
    </font>
    <font>
      <b/>
      <sz val="10"/>
      <color theme="1"/>
      <name val="Calibri"/>
      <family val="2"/>
      <scheme val="minor"/>
    </font>
    <font>
      <b/>
      <sz val="10"/>
      <color theme="0"/>
      <name val="Bahnschrift"/>
      <family val="2"/>
    </font>
    <font>
      <sz val="10"/>
      <color theme="0"/>
      <name val="Calibri"/>
      <family val="2"/>
      <scheme val="minor"/>
    </font>
    <font>
      <sz val="10"/>
      <name val="Calibri"/>
      <family val="2"/>
      <scheme val="minor"/>
    </font>
    <font>
      <b/>
      <sz val="10"/>
      <color theme="1" tint="0.14999847407452621"/>
      <name val="Calibri"/>
      <family val="2"/>
      <scheme val="minor"/>
    </font>
    <font>
      <sz val="11"/>
      <name val="Calibri"/>
      <family val="2"/>
      <scheme val="minor"/>
    </font>
    <font>
      <sz val="10"/>
      <color rgb="FFC00000"/>
      <name val="Calibri"/>
      <family val="2"/>
      <scheme val="minor"/>
    </font>
    <font>
      <b/>
      <sz val="10"/>
      <color theme="0" tint="-0.499984740745262"/>
      <name val="Calibri"/>
      <family val="2"/>
      <scheme val="minor"/>
    </font>
    <font>
      <sz val="10"/>
      <color rgb="FFFF0000"/>
      <name val="Calibri"/>
      <family val="2"/>
      <scheme val="minor"/>
    </font>
    <font>
      <b/>
      <sz val="9"/>
      <color indexed="81"/>
      <name val="Tahoma"/>
      <family val="2"/>
    </font>
    <font>
      <sz val="9"/>
      <color indexed="81"/>
      <name val="Tahoma"/>
      <family val="2"/>
    </font>
    <font>
      <sz val="10"/>
      <color rgb="FF000000"/>
      <name val="Calibri"/>
      <family val="2"/>
      <scheme val="minor"/>
    </font>
    <font>
      <sz val="9"/>
      <color indexed="81"/>
      <name val="Tahoma"/>
      <charset val="1"/>
    </font>
    <font>
      <b/>
      <sz val="9"/>
      <color indexed="81"/>
      <name val="Tahoma"/>
      <charset val="1"/>
    </font>
  </fonts>
  <fills count="28">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1"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FF0000"/>
        <bgColor indexed="64"/>
      </patternFill>
    </fill>
    <fill>
      <patternFill patternType="solid">
        <fgColor theme="4" tint="-0.249977111117893"/>
        <bgColor indexed="64"/>
      </patternFill>
    </fill>
    <fill>
      <patternFill patternType="solid">
        <fgColor theme="3" tint="0.59999389629810485"/>
        <bgColor indexed="64"/>
      </patternFill>
    </fill>
    <fill>
      <patternFill patternType="solid">
        <fgColor rgb="FFFFC000"/>
        <bgColor indexed="64"/>
      </patternFill>
    </fill>
    <fill>
      <patternFill patternType="solid">
        <fgColor theme="8" tint="0.79998168889431442"/>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rgb="FFFCD5B4"/>
        <bgColor indexed="64"/>
      </patternFill>
    </fill>
    <fill>
      <patternFill patternType="solid">
        <fgColor rgb="FFDA9694"/>
        <bgColor indexed="64"/>
      </patternFill>
    </fill>
    <fill>
      <patternFill patternType="solid">
        <fgColor rgb="FF9900FF"/>
        <bgColor indexed="64"/>
      </patternFill>
    </fill>
    <fill>
      <patternFill patternType="solid">
        <fgColor rgb="FFC4D79B"/>
        <bgColor indexed="64"/>
      </patternFill>
    </fill>
    <fill>
      <patternFill patternType="solid">
        <fgColor theme="4" tint="0.39997558519241921"/>
        <bgColor indexed="64"/>
      </patternFill>
    </fill>
    <fill>
      <patternFill patternType="solid">
        <fgColor rgb="FF002060"/>
        <bgColor indexed="64"/>
      </patternFill>
    </fill>
    <fill>
      <patternFill patternType="solid">
        <fgColor rgb="FF00B050"/>
        <bgColor indexed="64"/>
      </patternFill>
    </fill>
    <fill>
      <patternFill patternType="solid">
        <fgColor theme="5" tint="-0.249977111117893"/>
        <bgColor indexed="64"/>
      </patternFill>
    </fill>
  </fills>
  <borders count="77">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131313"/>
      </left>
      <right style="thin">
        <color rgb="FF131313"/>
      </right>
      <top style="thin">
        <color rgb="FF131313"/>
      </top>
      <bottom style="thin">
        <color rgb="FF131313"/>
      </bottom>
      <diagonal/>
    </border>
    <border>
      <left style="thin">
        <color rgb="FF131313"/>
      </left>
      <right style="thin">
        <color rgb="FF131313"/>
      </right>
      <top style="thin">
        <color rgb="FF131313"/>
      </top>
      <bottom/>
      <diagonal/>
    </border>
    <border>
      <left style="thin">
        <color rgb="FF131313"/>
      </left>
      <right style="thin">
        <color rgb="FF131313"/>
      </right>
      <top/>
      <bottom style="thin">
        <color rgb="FF131313"/>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rgb="FF000000"/>
      </right>
      <top style="medium">
        <color indexed="64"/>
      </top>
      <bottom style="medium">
        <color indexed="64"/>
      </bottom>
      <diagonal/>
    </border>
    <border>
      <left/>
      <right/>
      <top/>
      <bottom style="thick">
        <color theme="4"/>
      </bottom>
      <diagonal/>
    </border>
    <border>
      <left/>
      <right style="thin">
        <color theme="0"/>
      </right>
      <top style="thin">
        <color theme="0" tint="-0.249977111117893"/>
      </top>
      <bottom style="thin">
        <color theme="0" tint="-0.249977111117893"/>
      </bottom>
      <diagonal/>
    </border>
    <border>
      <left style="thin">
        <color theme="0"/>
      </left>
      <right style="thin">
        <color theme="0"/>
      </right>
      <top/>
      <bottom style="thin">
        <color theme="0" tint="-0.249977111117893"/>
      </bottom>
      <diagonal/>
    </border>
    <border>
      <left style="thin">
        <color theme="0"/>
      </left>
      <right style="thin">
        <color theme="0"/>
      </right>
      <top style="thin">
        <color theme="0" tint="-0.249977111117893"/>
      </top>
      <bottom style="thin">
        <color theme="0" tint="-0.249977111117893"/>
      </bottom>
      <diagonal/>
    </border>
    <border>
      <left style="thin">
        <color theme="0"/>
      </left>
      <right/>
      <top style="thin">
        <color theme="0" tint="-0.249977111117893"/>
      </top>
      <bottom style="thin">
        <color theme="0" tint="-0.249977111117893"/>
      </bottom>
      <diagonal/>
    </border>
    <border>
      <left style="thin">
        <color theme="0"/>
      </left>
      <right/>
      <top/>
      <bottom style="thin">
        <color theme="0" tint="-0.249977111117893"/>
      </bottom>
      <diagonal/>
    </border>
    <border>
      <left/>
      <right/>
      <top/>
      <bottom style="thin">
        <color theme="0" tint="-0.249977111117893"/>
      </bottom>
      <diagonal/>
    </border>
    <border>
      <left style="thin">
        <color auto="1"/>
      </left>
      <right style="thin">
        <color auto="1"/>
      </right>
      <top style="hair">
        <color auto="1"/>
      </top>
      <bottom/>
      <diagonal/>
    </border>
    <border>
      <left style="thin">
        <color auto="1"/>
      </left>
      <right style="thin">
        <color auto="1"/>
      </right>
      <top style="hair">
        <color auto="1"/>
      </top>
      <bottom style="thin">
        <color auto="1"/>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s>
  <cellStyleXfs count="256">
    <xf numFmtId="0" fontId="0" fillId="0" borderId="0"/>
    <xf numFmtId="0" fontId="2" fillId="0" borderId="0"/>
    <xf numFmtId="0" fontId="1" fillId="0" borderId="0"/>
    <xf numFmtId="165" fontId="6" fillId="0" borderId="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0" fontId="2" fillId="0" borderId="0"/>
    <xf numFmtId="0" fontId="12" fillId="0" borderId="0" applyBorder="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8" fontId="2" fillId="0" borderId="0" applyFill="0" applyBorder="0" applyAlignment="0" applyProtection="0"/>
    <xf numFmtId="43" fontId="2" fillId="0" borderId="0" applyFill="0" applyBorder="0" applyAlignment="0" applyProtection="0"/>
    <xf numFmtId="0" fontId="2" fillId="0" borderId="0"/>
    <xf numFmtId="0" fontId="1" fillId="0" borderId="0"/>
    <xf numFmtId="0" fontId="2" fillId="0" borderId="0"/>
    <xf numFmtId="0" fontId="2" fillId="0" borderId="0"/>
    <xf numFmtId="0" fontId="2" fillId="0" borderId="0"/>
    <xf numFmtId="0" fontId="12" fillId="0" borderId="0" applyBorder="0" applyProtection="0"/>
    <xf numFmtId="0" fontId="11" fillId="0" borderId="0"/>
    <xf numFmtId="0" fontId="2" fillId="0" borderId="0"/>
    <xf numFmtId="0" fontId="13" fillId="0" borderId="0"/>
    <xf numFmtId="0" fontId="14"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12" fillId="0" borderId="0" applyBorder="0" applyProtection="0"/>
    <xf numFmtId="0" fontId="13" fillId="0" borderId="0"/>
    <xf numFmtId="0" fontId="14"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12" fillId="0" borderId="0" applyBorder="0" applyProtection="0"/>
    <xf numFmtId="0" fontId="12" fillId="0" borderId="0" applyBorder="0" applyProtection="0"/>
    <xf numFmtId="0" fontId="13" fillId="0" borderId="0"/>
    <xf numFmtId="0" fontId="14" fillId="0" borderId="0"/>
    <xf numFmtId="0" fontId="2" fillId="0" borderId="0"/>
    <xf numFmtId="0" fontId="12" fillId="0" borderId="0" applyBorder="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13" fillId="0" borderId="0"/>
    <xf numFmtId="0" fontId="14" fillId="0" borderId="0"/>
    <xf numFmtId="0" fontId="13" fillId="0" borderId="0"/>
    <xf numFmtId="0" fontId="14"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12" fillId="0" borderId="0" applyBorder="0" applyProtection="0"/>
    <xf numFmtId="0" fontId="13" fillId="0" borderId="0"/>
    <xf numFmtId="0" fontId="14"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2" fillId="0" borderId="0" applyBorder="0" applyProtection="0"/>
    <xf numFmtId="0" fontId="2" fillId="0" borderId="0"/>
    <xf numFmtId="0" fontId="2" fillId="0" borderId="0"/>
    <xf numFmtId="0" fontId="12" fillId="0" borderId="0" applyBorder="0" applyProtection="0"/>
    <xf numFmtId="0" fontId="13" fillId="0" borderId="0"/>
    <xf numFmtId="0" fontId="14" fillId="0" borderId="0"/>
    <xf numFmtId="0" fontId="2" fillId="0" borderId="0"/>
    <xf numFmtId="0" fontId="2" fillId="0" borderId="0"/>
    <xf numFmtId="0" fontId="2" fillId="0" borderId="0"/>
    <xf numFmtId="0" fontId="2" fillId="0" borderId="0"/>
    <xf numFmtId="0" fontId="12" fillId="0" borderId="0" applyBorder="0" applyProtection="0"/>
    <xf numFmtId="164" fontId="2" fillId="0" borderId="0" applyFont="0" applyFill="0" applyBorder="0" applyAlignment="0" applyProtection="0"/>
    <xf numFmtId="164" fontId="2" fillId="0" borderId="0" applyFont="0" applyFill="0" applyBorder="0" applyAlignment="0" applyProtection="0"/>
    <xf numFmtId="0" fontId="12" fillId="0" borderId="0" applyBorder="0" applyProtection="0"/>
    <xf numFmtId="0" fontId="2" fillId="0" borderId="0"/>
    <xf numFmtId="0" fontId="13" fillId="0" borderId="0"/>
    <xf numFmtId="0" fontId="14" fillId="0" borderId="0"/>
    <xf numFmtId="164" fontId="2" fillId="0" borderId="0" applyFont="0" applyFill="0" applyBorder="0" applyAlignment="0" applyProtection="0"/>
    <xf numFmtId="164" fontId="2" fillId="0" borderId="0" applyFont="0" applyFill="0" applyBorder="0" applyAlignment="0" applyProtection="0"/>
    <xf numFmtId="0" fontId="12" fillId="0" borderId="0" applyBorder="0" applyProtection="0"/>
    <xf numFmtId="0" fontId="2" fillId="0" borderId="0"/>
    <xf numFmtId="0" fontId="13" fillId="0" borderId="0"/>
    <xf numFmtId="0" fontId="14"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3" fillId="0" borderId="0"/>
    <xf numFmtId="0" fontId="14" fillId="0" borderId="0"/>
    <xf numFmtId="0" fontId="13" fillId="0" borderId="0"/>
    <xf numFmtId="0" fontId="14"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12" fillId="0" borderId="0" applyBorder="0" applyProtection="0"/>
    <xf numFmtId="0" fontId="12" fillId="0" borderId="0" applyBorder="0" applyProtection="0"/>
    <xf numFmtId="0" fontId="2" fillId="0" borderId="0"/>
    <xf numFmtId="0" fontId="13" fillId="0" borderId="0"/>
    <xf numFmtId="0" fontId="14" fillId="0" borderId="0"/>
    <xf numFmtId="0" fontId="12" fillId="0" borderId="0" applyBorder="0" applyProtection="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12" fillId="0" borderId="0" applyBorder="0" applyProtection="0"/>
    <xf numFmtId="164" fontId="2" fillId="0" borderId="0" applyFont="0" applyFill="0" applyBorder="0" applyAlignment="0" applyProtection="0"/>
    <xf numFmtId="164" fontId="2" fillId="0" borderId="0" applyFont="0" applyFill="0" applyBorder="0" applyAlignment="0" applyProtection="0"/>
    <xf numFmtId="0" fontId="12" fillId="0" borderId="0" applyBorder="0" applyProtection="0"/>
    <xf numFmtId="0" fontId="2" fillId="0" borderId="0"/>
    <xf numFmtId="0" fontId="13" fillId="0" borderId="0"/>
    <xf numFmtId="0" fontId="14" fillId="0" borderId="0"/>
    <xf numFmtId="164" fontId="2" fillId="0" borderId="0" applyFont="0" applyFill="0" applyBorder="0" applyAlignment="0" applyProtection="0"/>
    <xf numFmtId="164" fontId="2" fillId="0" borderId="0" applyFont="0" applyFill="0" applyBorder="0" applyAlignment="0" applyProtection="0"/>
    <xf numFmtId="0" fontId="12" fillId="0" borderId="0" applyBorder="0" applyProtection="0"/>
    <xf numFmtId="0" fontId="2" fillId="0" borderId="0"/>
    <xf numFmtId="0" fontId="13" fillId="0" borderId="0"/>
    <xf numFmtId="0" fontId="14"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3" fillId="0" borderId="0"/>
    <xf numFmtId="0" fontId="14" fillId="0" borderId="0"/>
    <xf numFmtId="0" fontId="13" fillId="0" borderId="0"/>
    <xf numFmtId="0" fontId="14" fillId="0" borderId="0"/>
    <xf numFmtId="0" fontId="2" fillId="0" borderId="0"/>
    <xf numFmtId="0" fontId="2" fillId="0" borderId="0"/>
    <xf numFmtId="0" fontId="2" fillId="0" borderId="0"/>
    <xf numFmtId="0" fontId="12" fillId="0" borderId="0" applyBorder="0" applyProtection="0"/>
    <xf numFmtId="164" fontId="2" fillId="0" borderId="0" applyFont="0" applyFill="0" applyBorder="0" applyAlignment="0" applyProtection="0"/>
    <xf numFmtId="164" fontId="2" fillId="0" borderId="0" applyFont="0" applyFill="0" applyBorder="0" applyAlignment="0" applyProtection="0"/>
    <xf numFmtId="0" fontId="12" fillId="0" borderId="0" applyBorder="0" applyProtection="0"/>
    <xf numFmtId="0" fontId="2" fillId="0" borderId="0"/>
    <xf numFmtId="0" fontId="13" fillId="0" borderId="0"/>
    <xf numFmtId="0" fontId="14"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13" fillId="0" borderId="0"/>
    <xf numFmtId="0" fontId="14" fillId="0" borderId="0"/>
    <xf numFmtId="0" fontId="13" fillId="0" borderId="0"/>
    <xf numFmtId="0" fontId="14" fillId="0" borderId="0"/>
    <xf numFmtId="0" fontId="2" fillId="0" borderId="0"/>
    <xf numFmtId="0" fontId="12" fillId="0" borderId="0" applyBorder="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12" fillId="0" borderId="0" applyBorder="0" applyProtection="0"/>
    <xf numFmtId="164" fontId="2" fillId="0" borderId="0" applyFont="0" applyFill="0" applyBorder="0" applyAlignment="0" applyProtection="0"/>
    <xf numFmtId="164" fontId="2" fillId="0" borderId="0" applyFont="0" applyFill="0" applyBorder="0" applyAlignment="0" applyProtection="0"/>
    <xf numFmtId="0" fontId="12" fillId="0" borderId="0" applyBorder="0" applyProtection="0"/>
    <xf numFmtId="0" fontId="2" fillId="0" borderId="0"/>
    <xf numFmtId="0" fontId="13" fillId="0" borderId="0"/>
    <xf numFmtId="0" fontId="14" fillId="0" borderId="0"/>
    <xf numFmtId="164" fontId="2" fillId="0" borderId="0" applyFont="0" applyFill="0" applyBorder="0" applyAlignment="0" applyProtection="0"/>
    <xf numFmtId="164" fontId="2" fillId="0" borderId="0" applyFont="0" applyFill="0" applyBorder="0" applyAlignment="0" applyProtection="0"/>
    <xf numFmtId="0" fontId="12" fillId="0" borderId="0" applyBorder="0" applyProtection="0"/>
    <xf numFmtId="0" fontId="2" fillId="0" borderId="0"/>
    <xf numFmtId="0" fontId="13" fillId="0" borderId="0"/>
    <xf numFmtId="0" fontId="14" fillId="0" borderId="0"/>
    <xf numFmtId="164" fontId="2" fillId="0" borderId="0" applyFont="0" applyFill="0" applyBorder="0" applyAlignment="0" applyProtection="0"/>
    <xf numFmtId="164" fontId="2" fillId="0" borderId="0" applyFont="0" applyFill="0" applyBorder="0" applyAlignment="0" applyProtection="0"/>
    <xf numFmtId="0" fontId="13" fillId="0" borderId="0"/>
    <xf numFmtId="0" fontId="14" fillId="0" borderId="0"/>
    <xf numFmtId="0" fontId="13" fillId="0" borderId="0"/>
    <xf numFmtId="0" fontId="14"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12" fillId="0" borderId="0" applyBorder="0" applyProtection="0"/>
    <xf numFmtId="0" fontId="2" fillId="0" borderId="0"/>
    <xf numFmtId="0" fontId="2" fillId="0" borderId="0"/>
    <xf numFmtId="0" fontId="12" fillId="0" borderId="0" applyBorder="0" applyProtection="0"/>
    <xf numFmtId="0" fontId="13" fillId="0" borderId="0"/>
    <xf numFmtId="0" fontId="14" fillId="0" borderId="0"/>
    <xf numFmtId="0" fontId="2" fillId="0" borderId="0"/>
    <xf numFmtId="0" fontId="2" fillId="0" borderId="0"/>
    <xf numFmtId="0" fontId="12" fillId="0" borderId="0" applyBorder="0" applyProtection="0"/>
    <xf numFmtId="164" fontId="2" fillId="0" borderId="0" applyFont="0" applyFill="0" applyBorder="0" applyAlignment="0" applyProtection="0"/>
    <xf numFmtId="164" fontId="2" fillId="0" borderId="0" applyFont="0" applyFill="0" applyBorder="0" applyAlignment="0" applyProtection="0"/>
    <xf numFmtId="0" fontId="12" fillId="0" borderId="0" applyBorder="0" applyProtection="0"/>
    <xf numFmtId="0" fontId="2" fillId="0" borderId="0"/>
    <xf numFmtId="0" fontId="13" fillId="0" borderId="0"/>
    <xf numFmtId="0" fontId="14"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13" fillId="0" borderId="0"/>
    <xf numFmtId="0" fontId="14" fillId="0" borderId="0"/>
    <xf numFmtId="0" fontId="13" fillId="0" borderId="0"/>
    <xf numFmtId="0" fontId="14" fillId="0" borderId="0"/>
    <xf numFmtId="164" fontId="2" fillId="0" borderId="0" applyFont="0" applyFill="0" applyBorder="0" applyAlignment="0" applyProtection="0"/>
    <xf numFmtId="164" fontId="2" fillId="0" borderId="0" applyFont="0" applyFill="0" applyBorder="0" applyAlignment="0" applyProtection="0"/>
    <xf numFmtId="167" fontId="15" fillId="0" borderId="0" applyFont="0" applyFill="0" applyBorder="0" applyAlignment="0" applyProtection="0"/>
    <xf numFmtId="9" fontId="2" fillId="0" borderId="0" applyFont="0" applyFill="0" applyBorder="0" applyAlignment="0" applyProtection="0"/>
    <xf numFmtId="0" fontId="16" fillId="0" borderId="0"/>
    <xf numFmtId="164" fontId="16" fillId="0" borderId="0" applyFont="0" applyFill="0" applyBorder="0" applyAlignment="0" applyProtection="0"/>
    <xf numFmtId="0" fontId="17" fillId="0" borderId="0"/>
    <xf numFmtId="0" fontId="10" fillId="0" borderId="0"/>
    <xf numFmtId="0" fontId="43" fillId="0" borderId="0" applyNumberFormat="0" applyFill="0" applyBorder="0" applyAlignment="0" applyProtection="0"/>
    <xf numFmtId="9" fontId="1" fillId="0" borderId="0" applyFont="0" applyFill="0" applyBorder="0" applyAlignment="0" applyProtection="0"/>
    <xf numFmtId="0" fontId="47" fillId="0" borderId="61" applyNumberFormat="0" applyFill="0" applyAlignment="0" applyProtection="0"/>
    <xf numFmtId="0" fontId="1" fillId="0" borderId="0"/>
    <xf numFmtId="0" fontId="66" fillId="0" borderId="0"/>
    <xf numFmtId="9" fontId="6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6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21">
    <xf numFmtId="0" fontId="0" fillId="0" borderId="0" xfId="0"/>
    <xf numFmtId="0" fontId="4" fillId="0" borderId="0" xfId="2" applyFont="1" applyFill="1"/>
    <xf numFmtId="1" fontId="5" fillId="0" borderId="8" xfId="3" applyNumberFormat="1" applyFont="1" applyFill="1" applyBorder="1" applyAlignment="1">
      <alignment vertical="center"/>
    </xf>
    <xf numFmtId="1" fontId="5" fillId="0" borderId="8" xfId="1" applyNumberFormat="1" applyFont="1" applyFill="1" applyBorder="1" applyAlignment="1">
      <alignment horizontal="center" vertical="center"/>
    </xf>
    <xf numFmtId="2" fontId="5" fillId="0" borderId="10" xfId="3" applyNumberFormat="1" applyFont="1" applyFill="1" applyBorder="1" applyAlignment="1">
      <alignment vertical="center"/>
    </xf>
    <xf numFmtId="166" fontId="4" fillId="0" borderId="9" xfId="2" applyNumberFormat="1" applyFont="1" applyFill="1" applyBorder="1" applyAlignment="1">
      <alignment vertical="center"/>
    </xf>
    <xf numFmtId="166" fontId="5" fillId="0" borderId="8" xfId="1" applyNumberFormat="1" applyFont="1" applyFill="1" applyBorder="1" applyAlignment="1">
      <alignment horizontal="center" vertical="center"/>
    </xf>
    <xf numFmtId="164" fontId="5" fillId="0" borderId="10" xfId="1" applyNumberFormat="1" applyFont="1" applyFill="1" applyBorder="1" applyAlignment="1">
      <alignment horizontal="center" vertical="center"/>
    </xf>
    <xf numFmtId="166" fontId="5" fillId="0" borderId="12" xfId="1" applyNumberFormat="1" applyFont="1" applyFill="1" applyBorder="1" applyAlignment="1">
      <alignment horizontal="center" vertical="center"/>
    </xf>
    <xf numFmtId="164" fontId="5" fillId="0" borderId="13" xfId="1" applyNumberFormat="1" applyFont="1" applyFill="1" applyBorder="1" applyAlignment="1">
      <alignment horizontal="center" vertical="center"/>
    </xf>
    <xf numFmtId="0" fontId="5" fillId="0" borderId="4" xfId="1" applyFont="1" applyFill="1" applyBorder="1" applyAlignment="1">
      <alignment horizontal="center" vertical="center"/>
    </xf>
    <xf numFmtId="0" fontId="5" fillId="0" borderId="9" xfId="1" applyFont="1" applyFill="1" applyBorder="1" applyAlignment="1">
      <alignment vertical="center"/>
    </xf>
    <xf numFmtId="0" fontId="5" fillId="0" borderId="7"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vertical="center"/>
    </xf>
    <xf numFmtId="0" fontId="5" fillId="2" borderId="9" xfId="1" applyFont="1" applyFill="1" applyBorder="1" applyAlignment="1">
      <alignment vertical="center"/>
    </xf>
    <xf numFmtId="164" fontId="5" fillId="2" borderId="9" xfId="1" applyNumberFormat="1" applyFont="1" applyFill="1" applyBorder="1" applyAlignment="1">
      <alignment horizontal="center" vertical="center"/>
    </xf>
    <xf numFmtId="164" fontId="5" fillId="2" borderId="10" xfId="1" applyNumberFormat="1" applyFont="1" applyFill="1" applyBorder="1" applyAlignment="1">
      <alignment horizontal="center" vertical="center"/>
    </xf>
    <xf numFmtId="0" fontId="4" fillId="0" borderId="7" xfId="1" applyFont="1" applyFill="1" applyBorder="1" applyAlignment="1">
      <alignment horizontal="center" vertical="center"/>
    </xf>
    <xf numFmtId="0" fontId="4" fillId="0" borderId="8" xfId="1" applyFont="1" applyFill="1" applyBorder="1" applyAlignment="1">
      <alignment vertical="center"/>
    </xf>
    <xf numFmtId="166" fontId="4" fillId="0" borderId="9" xfId="1" applyNumberFormat="1" applyFont="1" applyFill="1" applyBorder="1" applyAlignment="1">
      <alignment vertical="center"/>
    </xf>
    <xf numFmtId="164" fontId="4" fillId="0" borderId="10" xfId="2" applyNumberFormat="1" applyFont="1" applyFill="1" applyBorder="1" applyAlignment="1">
      <alignment vertical="center"/>
    </xf>
    <xf numFmtId="164" fontId="4" fillId="0" borderId="10" xfId="2" applyNumberFormat="1" applyFont="1" applyFill="1" applyBorder="1" applyAlignment="1">
      <alignment vertical="center" wrapText="1"/>
    </xf>
    <xf numFmtId="0" fontId="5" fillId="0" borderId="8" xfId="1" applyFont="1" applyFill="1" applyBorder="1" applyAlignment="1">
      <alignment vertical="center"/>
    </xf>
    <xf numFmtId="166" fontId="5" fillId="0" borderId="8" xfId="1" applyNumberFormat="1" applyFont="1" applyFill="1" applyBorder="1" applyAlignment="1">
      <alignment vertical="center"/>
    </xf>
    <xf numFmtId="164" fontId="5" fillId="0" borderId="10" xfId="1" applyNumberFormat="1" applyFont="1" applyFill="1" applyBorder="1" applyAlignment="1">
      <alignment vertical="center"/>
    </xf>
    <xf numFmtId="0" fontId="5" fillId="0" borderId="0" xfId="2" applyFont="1" applyFill="1"/>
    <xf numFmtId="164" fontId="5" fillId="2" borderId="9" xfId="1" applyNumberFormat="1" applyFont="1" applyFill="1" applyBorder="1" applyAlignment="1">
      <alignment vertical="center"/>
    </xf>
    <xf numFmtId="166" fontId="5" fillId="2" borderId="9" xfId="1" applyNumberFormat="1" applyFont="1" applyFill="1" applyBorder="1" applyAlignment="1">
      <alignment vertical="center"/>
    </xf>
    <xf numFmtId="164" fontId="5" fillId="2" borderId="10" xfId="1" applyNumberFormat="1" applyFont="1" applyFill="1" applyBorder="1" applyAlignment="1">
      <alignment vertical="center"/>
    </xf>
    <xf numFmtId="166" fontId="5" fillId="0" borderId="8" xfId="4" applyNumberFormat="1" applyFont="1" applyFill="1" applyBorder="1" applyAlignment="1">
      <alignment vertical="center"/>
    </xf>
    <xf numFmtId="164" fontId="5" fillId="0" borderId="10" xfId="4" applyNumberFormat="1" applyFont="1" applyFill="1" applyBorder="1" applyAlignment="1">
      <alignment vertical="center"/>
    </xf>
    <xf numFmtId="0" fontId="4" fillId="0" borderId="10" xfId="2" applyNumberFormat="1" applyFont="1" applyFill="1" applyBorder="1" applyAlignment="1">
      <alignment vertical="center" wrapText="1"/>
    </xf>
    <xf numFmtId="166" fontId="4" fillId="0" borderId="10" xfId="4" applyNumberFormat="1" applyFont="1" applyFill="1" applyBorder="1" applyAlignment="1">
      <alignment vertical="center"/>
    </xf>
    <xf numFmtId="166" fontId="4" fillId="0" borderId="10" xfId="4" applyNumberFormat="1" applyFont="1" applyFill="1" applyBorder="1" applyAlignment="1">
      <alignment vertical="center" wrapText="1"/>
    </xf>
    <xf numFmtId="166" fontId="4" fillId="0" borderId="10" xfId="4" applyNumberFormat="1" applyFont="1" applyFill="1" applyBorder="1" applyAlignment="1">
      <alignment horizontal="left" vertical="center" wrapText="1"/>
    </xf>
    <xf numFmtId="166" fontId="5" fillId="0" borderId="10" xfId="4" applyNumberFormat="1" applyFont="1" applyFill="1" applyBorder="1" applyAlignment="1">
      <alignment vertical="center"/>
    </xf>
    <xf numFmtId="0" fontId="4" fillId="0" borderId="20" xfId="1" applyFont="1" applyFill="1" applyBorder="1" applyAlignment="1">
      <alignment horizontal="center" vertical="center"/>
    </xf>
    <xf numFmtId="0" fontId="4" fillId="0" borderId="19" xfId="1" applyFont="1" applyFill="1" applyBorder="1" applyAlignment="1">
      <alignment vertical="center"/>
    </xf>
    <xf numFmtId="166" fontId="4" fillId="0" borderId="21" xfId="1" applyNumberFormat="1" applyFont="1" applyFill="1" applyBorder="1" applyAlignment="1">
      <alignment vertical="center"/>
    </xf>
    <xf numFmtId="166" fontId="4" fillId="0" borderId="18" xfId="4" applyNumberFormat="1" applyFont="1" applyFill="1" applyBorder="1" applyAlignment="1">
      <alignment vertical="center"/>
    </xf>
    <xf numFmtId="166" fontId="5" fillId="2" borderId="10" xfId="1" applyNumberFormat="1" applyFont="1" applyFill="1" applyBorder="1" applyAlignment="1">
      <alignment vertical="center"/>
    </xf>
    <xf numFmtId="166" fontId="4" fillId="0" borderId="18" xfId="4" applyNumberFormat="1" applyFont="1" applyFill="1" applyBorder="1" applyAlignment="1">
      <alignment vertical="center" wrapText="1"/>
    </xf>
    <xf numFmtId="0" fontId="4" fillId="0" borderId="11" xfId="1" applyFont="1" applyFill="1" applyBorder="1" applyAlignment="1">
      <alignment horizontal="center" vertical="center"/>
    </xf>
    <xf numFmtId="0" fontId="5" fillId="0" borderId="12" xfId="1" applyFont="1" applyFill="1" applyBorder="1" applyAlignment="1">
      <alignment vertical="center"/>
    </xf>
    <xf numFmtId="166" fontId="5" fillId="0" borderId="12" xfId="1" applyNumberFormat="1" applyFont="1" applyFill="1" applyBorder="1" applyAlignment="1">
      <alignment vertical="center"/>
    </xf>
    <xf numFmtId="166" fontId="5" fillId="0" borderId="13" xfId="1" applyNumberFormat="1" applyFont="1" applyFill="1" applyBorder="1" applyAlignment="1">
      <alignment vertical="center"/>
    </xf>
    <xf numFmtId="0" fontId="4" fillId="0" borderId="23" xfId="1" applyFont="1" applyFill="1" applyBorder="1" applyAlignment="1">
      <alignment horizontal="center" vertical="center"/>
    </xf>
    <xf numFmtId="0" fontId="5" fillId="0" borderId="24" xfId="1" applyFont="1" applyFill="1" applyBorder="1" applyAlignment="1">
      <alignment vertical="center"/>
    </xf>
    <xf numFmtId="166" fontId="5" fillId="0" borderId="25" xfId="1" applyNumberFormat="1" applyFont="1" applyFill="1" applyBorder="1" applyAlignment="1">
      <alignment vertical="center"/>
    </xf>
    <xf numFmtId="166" fontId="5" fillId="0" borderId="26" xfId="1" applyNumberFormat="1" applyFont="1" applyFill="1" applyBorder="1" applyAlignment="1">
      <alignment vertical="center"/>
    </xf>
    <xf numFmtId="0" fontId="5" fillId="3" borderId="7" xfId="1" applyFont="1" applyFill="1" applyBorder="1" applyAlignment="1">
      <alignment horizontal="center" vertical="center" wrapText="1"/>
    </xf>
    <xf numFmtId="0" fontId="5" fillId="3" borderId="8" xfId="1" applyFont="1" applyFill="1" applyBorder="1" applyAlignment="1">
      <alignment vertical="center" wrapText="1"/>
    </xf>
    <xf numFmtId="166" fontId="5" fillId="3" borderId="8" xfId="1" applyNumberFormat="1" applyFont="1" applyFill="1" applyBorder="1" applyAlignment="1">
      <alignment vertical="center" wrapText="1"/>
    </xf>
    <xf numFmtId="166" fontId="5" fillId="3" borderId="10" xfId="1" applyNumberFormat="1" applyFont="1" applyFill="1" applyBorder="1" applyAlignment="1">
      <alignment vertical="center" wrapText="1"/>
    </xf>
    <xf numFmtId="0" fontId="4" fillId="0" borderId="11" xfId="2" applyFont="1" applyFill="1" applyBorder="1" applyAlignment="1">
      <alignment vertical="center"/>
    </xf>
    <xf numFmtId="0" fontId="4" fillId="0" borderId="12" xfId="2" applyFont="1" applyFill="1" applyBorder="1" applyAlignment="1">
      <alignment vertical="center"/>
    </xf>
    <xf numFmtId="166" fontId="4" fillId="0" borderId="22" xfId="2" applyNumberFormat="1" applyFont="1" applyFill="1" applyBorder="1" applyAlignment="1">
      <alignment vertical="center"/>
    </xf>
    <xf numFmtId="166" fontId="4" fillId="0" borderId="13" xfId="2" applyNumberFormat="1" applyFont="1" applyFill="1" applyBorder="1" applyAlignment="1">
      <alignment vertical="center"/>
    </xf>
    <xf numFmtId="0" fontId="5" fillId="0" borderId="27" xfId="0" applyFont="1" applyFill="1" applyBorder="1" applyAlignment="1">
      <alignment vertical="center"/>
    </xf>
    <xf numFmtId="0" fontId="4" fillId="0" borderId="0" xfId="2" applyFont="1" applyFill="1" applyBorder="1" applyAlignment="1">
      <alignment vertical="center"/>
    </xf>
    <xf numFmtId="0" fontId="4" fillId="0" borderId="28" xfId="2" applyFont="1" applyFill="1" applyBorder="1" applyAlignment="1">
      <alignment vertical="center"/>
    </xf>
    <xf numFmtId="0" fontId="7" fillId="0" borderId="27" xfId="0" applyFont="1" applyBorder="1" applyAlignment="1">
      <alignment vertical="center"/>
    </xf>
    <xf numFmtId="0" fontId="7" fillId="0" borderId="0" xfId="0" applyFont="1" applyBorder="1" applyAlignment="1">
      <alignment vertical="center" wrapText="1"/>
    </xf>
    <xf numFmtId="0" fontId="7" fillId="0" borderId="28" xfId="0" applyFont="1" applyBorder="1" applyAlignment="1">
      <alignment vertical="center" wrapText="1"/>
    </xf>
    <xf numFmtId="0" fontId="4" fillId="0" borderId="29" xfId="2" applyFont="1" applyFill="1" applyBorder="1" applyAlignment="1">
      <alignment vertical="center"/>
    </xf>
    <xf numFmtId="0" fontId="4" fillId="0" borderId="30" xfId="2" applyFont="1" applyFill="1" applyBorder="1" applyAlignment="1">
      <alignment vertical="center"/>
    </xf>
    <xf numFmtId="0" fontId="4" fillId="0" borderId="31" xfId="2" applyFont="1" applyFill="1" applyBorder="1" applyAlignment="1">
      <alignment vertical="center"/>
    </xf>
    <xf numFmtId="1" fontId="5" fillId="4" borderId="9" xfId="3" applyNumberFormat="1" applyFont="1" applyFill="1" applyBorder="1" applyAlignment="1">
      <alignment vertical="center"/>
    </xf>
    <xf numFmtId="166" fontId="5" fillId="4" borderId="8" xfId="1" applyNumberFormat="1" applyFont="1" applyFill="1" applyBorder="1" applyAlignment="1">
      <alignment horizontal="center" vertical="center"/>
    </xf>
    <xf numFmtId="166" fontId="5" fillId="4" borderId="12" xfId="1" applyNumberFormat="1" applyFont="1" applyFill="1" applyBorder="1" applyAlignment="1">
      <alignment horizontal="center" vertical="center"/>
    </xf>
    <xf numFmtId="0" fontId="5" fillId="4" borderId="5" xfId="1" applyFont="1" applyFill="1" applyBorder="1" applyAlignment="1">
      <alignment horizontal="center" vertical="center" wrapText="1"/>
    </xf>
    <xf numFmtId="0" fontId="5" fillId="4" borderId="15" xfId="1" applyFont="1" applyFill="1" applyBorder="1" applyAlignment="1">
      <alignment horizontal="center" vertical="center" wrapText="1"/>
    </xf>
    <xf numFmtId="166" fontId="4" fillId="4" borderId="9" xfId="2" applyNumberFormat="1" applyFont="1" applyFill="1" applyBorder="1" applyAlignment="1">
      <alignment vertical="center"/>
    </xf>
    <xf numFmtId="164" fontId="4" fillId="4" borderId="9" xfId="2" applyNumberFormat="1" applyFont="1" applyFill="1" applyBorder="1" applyAlignment="1">
      <alignment vertical="center"/>
    </xf>
    <xf numFmtId="166" fontId="5" fillId="4" borderId="9" xfId="2" applyNumberFormat="1" applyFont="1" applyFill="1" applyBorder="1" applyAlignment="1">
      <alignment vertical="center"/>
    </xf>
    <xf numFmtId="166" fontId="5" fillId="4" borderId="8" xfId="1" applyNumberFormat="1" applyFont="1" applyFill="1" applyBorder="1" applyAlignment="1">
      <alignment vertical="center"/>
    </xf>
    <xf numFmtId="166" fontId="5" fillId="4" borderId="8" xfId="2" applyNumberFormat="1" applyFont="1" applyFill="1" applyBorder="1" applyAlignment="1">
      <alignment vertical="center"/>
    </xf>
    <xf numFmtId="166" fontId="5" fillId="4" borderId="8" xfId="4" applyNumberFormat="1" applyFont="1" applyFill="1" applyBorder="1" applyAlignment="1">
      <alignment vertical="center"/>
    </xf>
    <xf numFmtId="166" fontId="4" fillId="4" borderId="21" xfId="4" applyNumberFormat="1" applyFont="1" applyFill="1" applyBorder="1" applyAlignment="1">
      <alignment vertical="center"/>
    </xf>
    <xf numFmtId="166" fontId="5" fillId="4" borderId="12" xfId="1" applyNumberFormat="1" applyFont="1" applyFill="1" applyBorder="1" applyAlignment="1">
      <alignment vertical="center"/>
    </xf>
    <xf numFmtId="166" fontId="5" fillId="4" borderId="25" xfId="1" applyNumberFormat="1" applyFont="1" applyFill="1" applyBorder="1" applyAlignment="1">
      <alignment vertical="center"/>
    </xf>
    <xf numFmtId="166" fontId="4" fillId="4" borderId="22" xfId="2" applyNumberFormat="1" applyFont="1" applyFill="1" applyBorder="1" applyAlignment="1">
      <alignment vertical="center"/>
    </xf>
    <xf numFmtId="0" fontId="5" fillId="0" borderId="5" xfId="1" applyFont="1" applyFill="1" applyBorder="1" applyAlignment="1">
      <alignment horizontal="center" vertical="center"/>
    </xf>
    <xf numFmtId="0" fontId="5" fillId="0" borderId="7" xfId="1" applyFont="1" applyFill="1" applyBorder="1" applyAlignment="1">
      <alignment horizontal="center" vertical="center"/>
    </xf>
    <xf numFmtId="0" fontId="5" fillId="2" borderId="32" xfId="1" applyFont="1" applyFill="1" applyBorder="1" applyAlignment="1">
      <alignment vertical="center"/>
    </xf>
    <xf numFmtId="0" fontId="5" fillId="2" borderId="16" xfId="1" applyFont="1" applyFill="1" applyBorder="1" applyAlignment="1">
      <alignment vertical="center"/>
    </xf>
    <xf numFmtId="0" fontId="5" fillId="2" borderId="33" xfId="1" applyFont="1" applyFill="1" applyBorder="1" applyAlignment="1">
      <alignment vertical="center"/>
    </xf>
    <xf numFmtId="0" fontId="5" fillId="0" borderId="18" xfId="1" applyFont="1" applyFill="1" applyBorder="1" applyAlignment="1">
      <alignment horizontal="center" vertical="center"/>
    </xf>
    <xf numFmtId="166" fontId="10" fillId="0" borderId="8" xfId="5" applyNumberFormat="1" applyFont="1" applyFill="1" applyBorder="1" applyAlignment="1">
      <alignment horizontal="right" vertical="center"/>
    </xf>
    <xf numFmtId="166" fontId="9" fillId="4" borderId="8" xfId="5" applyNumberFormat="1" applyFont="1" applyFill="1" applyBorder="1" applyAlignment="1">
      <alignment horizontal="right" vertical="center"/>
    </xf>
    <xf numFmtId="1" fontId="5" fillId="5" borderId="9" xfId="3" applyNumberFormat="1" applyFont="1" applyFill="1" applyBorder="1" applyAlignment="1">
      <alignment vertical="center"/>
    </xf>
    <xf numFmtId="166" fontId="5" fillId="5" borderId="8" xfId="1" applyNumberFormat="1" applyFont="1" applyFill="1" applyBorder="1" applyAlignment="1">
      <alignment horizontal="center" vertical="center"/>
    </xf>
    <xf numFmtId="166" fontId="5" fillId="5" borderId="12" xfId="1" applyNumberFormat="1" applyFont="1" applyFill="1" applyBorder="1" applyAlignment="1">
      <alignment horizontal="center" vertical="center"/>
    </xf>
    <xf numFmtId="0" fontId="5" fillId="5" borderId="5" xfId="1" applyFont="1" applyFill="1" applyBorder="1" applyAlignment="1">
      <alignment horizontal="center" vertical="center" wrapText="1"/>
    </xf>
    <xf numFmtId="0" fontId="5" fillId="5" borderId="15" xfId="1" applyFont="1" applyFill="1" applyBorder="1" applyAlignment="1">
      <alignment horizontal="center" vertical="center" wrapText="1"/>
    </xf>
    <xf numFmtId="166" fontId="4" fillId="5" borderId="9" xfId="2" applyNumberFormat="1" applyFont="1" applyFill="1" applyBorder="1" applyAlignment="1">
      <alignment vertical="center"/>
    </xf>
    <xf numFmtId="166" fontId="5" fillId="5" borderId="9" xfId="2" applyNumberFormat="1" applyFont="1" applyFill="1" applyBorder="1" applyAlignment="1">
      <alignment vertical="center"/>
    </xf>
    <xf numFmtId="166" fontId="5" fillId="5" borderId="8" xfId="1" applyNumberFormat="1" applyFont="1" applyFill="1" applyBorder="1" applyAlignment="1">
      <alignment vertical="center"/>
    </xf>
    <xf numFmtId="166" fontId="5" fillId="5" borderId="8" xfId="2" applyNumberFormat="1" applyFont="1" applyFill="1" applyBorder="1" applyAlignment="1">
      <alignment vertical="center"/>
    </xf>
    <xf numFmtId="166" fontId="5" fillId="5" borderId="8" xfId="4" applyNumberFormat="1" applyFont="1" applyFill="1" applyBorder="1" applyAlignment="1">
      <alignment vertical="center"/>
    </xf>
    <xf numFmtId="166" fontId="4" fillId="5" borderId="21" xfId="4" applyNumberFormat="1" applyFont="1" applyFill="1" applyBorder="1" applyAlignment="1">
      <alignment vertical="center"/>
    </xf>
    <xf numFmtId="166" fontId="5" fillId="5" borderId="12" xfId="1" applyNumberFormat="1" applyFont="1" applyFill="1" applyBorder="1" applyAlignment="1">
      <alignment vertical="center"/>
    </xf>
    <xf numFmtId="166" fontId="5" fillId="5" borderId="25" xfId="1" applyNumberFormat="1" applyFont="1" applyFill="1" applyBorder="1" applyAlignment="1">
      <alignment vertical="center"/>
    </xf>
    <xf numFmtId="166" fontId="4" fillId="5" borderId="22" xfId="2" applyNumberFormat="1" applyFont="1" applyFill="1" applyBorder="1" applyAlignment="1">
      <alignment vertical="center"/>
    </xf>
    <xf numFmtId="166" fontId="5" fillId="0" borderId="9" xfId="1" applyNumberFormat="1" applyFont="1" applyFill="1" applyBorder="1" applyAlignment="1">
      <alignment vertical="center"/>
    </xf>
    <xf numFmtId="166" fontId="5" fillId="4" borderId="9" xfId="4" applyNumberFormat="1" applyFont="1" applyFill="1" applyBorder="1" applyAlignment="1">
      <alignment vertical="center"/>
    </xf>
    <xf numFmtId="166" fontId="5" fillId="5" borderId="9" xfId="4" applyNumberFormat="1" applyFont="1" applyFill="1" applyBorder="1" applyAlignment="1">
      <alignment vertical="center"/>
    </xf>
    <xf numFmtId="0" fontId="9" fillId="0" borderId="8" xfId="0" applyFont="1" applyBorder="1" applyAlignment="1">
      <alignment horizontal="center" vertical="center" wrapText="1"/>
    </xf>
    <xf numFmtId="0" fontId="9" fillId="0" borderId="8" xfId="0" applyFont="1" applyBorder="1" applyAlignment="1">
      <alignment horizontal="center" vertical="center"/>
    </xf>
    <xf numFmtId="0" fontId="7" fillId="0" borderId="0" xfId="0" applyFont="1" applyFill="1" applyBorder="1" applyAlignment="1">
      <alignment vertical="center" wrapText="1"/>
    </xf>
    <xf numFmtId="1" fontId="5" fillId="7" borderId="9" xfId="3" applyNumberFormat="1" applyFont="1" applyFill="1" applyBorder="1" applyAlignment="1">
      <alignment vertical="center"/>
    </xf>
    <xf numFmtId="166" fontId="5" fillId="7" borderId="8" xfId="1" applyNumberFormat="1" applyFont="1" applyFill="1" applyBorder="1" applyAlignment="1">
      <alignment horizontal="center" vertical="center"/>
    </xf>
    <xf numFmtId="166" fontId="5" fillId="7" borderId="12" xfId="1" applyNumberFormat="1" applyFont="1" applyFill="1" applyBorder="1" applyAlignment="1">
      <alignment horizontal="center" vertical="center"/>
    </xf>
    <xf numFmtId="0" fontId="5" fillId="7" borderId="36" xfId="1" applyFont="1" applyFill="1" applyBorder="1" applyAlignment="1">
      <alignment horizontal="center" vertical="center"/>
    </xf>
    <xf numFmtId="0" fontId="5" fillId="7" borderId="17" xfId="1" applyFont="1" applyFill="1" applyBorder="1" applyAlignment="1">
      <alignment horizontal="center" vertical="center" wrapText="1"/>
    </xf>
    <xf numFmtId="0" fontId="5" fillId="7" borderId="15" xfId="1" applyFont="1" applyFill="1" applyBorder="1" applyAlignment="1">
      <alignment horizontal="center" vertical="center" wrapText="1"/>
    </xf>
    <xf numFmtId="164" fontId="5" fillId="7" borderId="9" xfId="1" applyNumberFormat="1" applyFont="1" applyFill="1" applyBorder="1" applyAlignment="1">
      <alignment horizontal="center" vertical="center"/>
    </xf>
    <xf numFmtId="166" fontId="4" fillId="7" borderId="9" xfId="2" applyNumberFormat="1" applyFont="1" applyFill="1" applyBorder="1" applyAlignment="1">
      <alignment vertical="center"/>
    </xf>
    <xf numFmtId="166" fontId="5" fillId="7" borderId="8" xfId="1" applyNumberFormat="1" applyFont="1" applyFill="1" applyBorder="1" applyAlignment="1">
      <alignment vertical="center"/>
    </xf>
    <xf numFmtId="164" fontId="5" fillId="7" borderId="9" xfId="1" applyNumberFormat="1" applyFont="1" applyFill="1" applyBorder="1" applyAlignment="1">
      <alignment vertical="center"/>
    </xf>
    <xf numFmtId="166" fontId="5" fillId="7" borderId="8" xfId="4" applyNumberFormat="1" applyFont="1" applyFill="1" applyBorder="1" applyAlignment="1">
      <alignment vertical="center"/>
    </xf>
    <xf numFmtId="166" fontId="5" fillId="7" borderId="9" xfId="4" applyNumberFormat="1" applyFont="1" applyFill="1" applyBorder="1" applyAlignment="1">
      <alignment vertical="center"/>
    </xf>
    <xf numFmtId="166" fontId="5" fillId="7" borderId="9" xfId="1" applyNumberFormat="1" applyFont="1" applyFill="1" applyBorder="1" applyAlignment="1">
      <alignment vertical="center"/>
    </xf>
    <xf numFmtId="166" fontId="4" fillId="7" borderId="21" xfId="4" applyNumberFormat="1" applyFont="1" applyFill="1" applyBorder="1" applyAlignment="1">
      <alignment vertical="center"/>
    </xf>
    <xf numFmtId="166" fontId="5" fillId="7" borderId="12" xfId="1" applyNumberFormat="1" applyFont="1" applyFill="1" applyBorder="1" applyAlignment="1">
      <alignment vertical="center"/>
    </xf>
    <xf numFmtId="166" fontId="5" fillId="7" borderId="25" xfId="1" applyNumberFormat="1" applyFont="1" applyFill="1" applyBorder="1" applyAlignment="1">
      <alignment vertical="center"/>
    </xf>
    <xf numFmtId="166" fontId="5" fillId="7" borderId="8" xfId="1" applyNumberFormat="1" applyFont="1" applyFill="1" applyBorder="1" applyAlignment="1">
      <alignment vertical="center" wrapText="1"/>
    </xf>
    <xf numFmtId="166" fontId="4" fillId="7" borderId="22" xfId="2" applyNumberFormat="1" applyFont="1" applyFill="1" applyBorder="1" applyAlignment="1">
      <alignment vertical="center"/>
    </xf>
    <xf numFmtId="1" fontId="5" fillId="0" borderId="8" xfId="3" applyNumberFormat="1" applyFont="1" applyFill="1" applyBorder="1" applyAlignment="1">
      <alignment vertical="center"/>
    </xf>
    <xf numFmtId="0" fontId="5" fillId="2" borderId="9" xfId="1" applyFont="1" applyFill="1" applyBorder="1" applyAlignment="1">
      <alignment vertical="center"/>
    </xf>
    <xf numFmtId="166" fontId="4" fillId="0" borderId="9" xfId="1" applyNumberFormat="1" applyFont="1" applyFill="1" applyBorder="1" applyAlignment="1">
      <alignment vertical="center"/>
    </xf>
    <xf numFmtId="166" fontId="4" fillId="4" borderId="9" xfId="2" applyNumberFormat="1" applyFont="1" applyFill="1" applyBorder="1" applyAlignment="1">
      <alignment vertical="center"/>
    </xf>
    <xf numFmtId="164" fontId="4" fillId="0" borderId="9" xfId="1" applyNumberFormat="1" applyFont="1" applyFill="1" applyBorder="1" applyAlignment="1">
      <alignment vertical="center"/>
    </xf>
    <xf numFmtId="166" fontId="4" fillId="0" borderId="9" xfId="2" applyNumberFormat="1" applyFont="1" applyFill="1" applyBorder="1" applyAlignment="1">
      <alignment vertical="center"/>
    </xf>
    <xf numFmtId="166" fontId="5" fillId="0" borderId="8" xfId="1" applyNumberFormat="1" applyFont="1" applyFill="1" applyBorder="1" applyAlignment="1">
      <alignment vertical="center"/>
    </xf>
    <xf numFmtId="166" fontId="5" fillId="2" borderId="9" xfId="1" applyNumberFormat="1" applyFont="1" applyFill="1" applyBorder="1" applyAlignment="1">
      <alignment vertical="center"/>
    </xf>
    <xf numFmtId="166" fontId="5" fillId="0" borderId="8" xfId="4" applyNumberFormat="1" applyFont="1" applyFill="1" applyBorder="1" applyAlignment="1">
      <alignment vertical="center"/>
    </xf>
    <xf numFmtId="166" fontId="4" fillId="0" borderId="21" xfId="1" applyNumberFormat="1" applyFont="1" applyFill="1" applyBorder="1" applyAlignment="1">
      <alignment vertical="center"/>
    </xf>
    <xf numFmtId="164" fontId="4" fillId="5" borderId="9" xfId="2" applyNumberFormat="1" applyFont="1" applyFill="1" applyBorder="1" applyAlignment="1">
      <alignment vertical="center"/>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3" xfId="1" applyFont="1" applyFill="1" applyBorder="1" applyAlignment="1">
      <alignment vertical="center"/>
    </xf>
    <xf numFmtId="0" fontId="4" fillId="0" borderId="40" xfId="2" applyFont="1" applyFill="1" applyBorder="1" applyAlignment="1">
      <alignment vertical="center"/>
    </xf>
    <xf numFmtId="0" fontId="4" fillId="0" borderId="41" xfId="2" applyFont="1" applyFill="1" applyBorder="1" applyAlignment="1">
      <alignment vertical="center"/>
    </xf>
    <xf numFmtId="0" fontId="4" fillId="0" borderId="42" xfId="2" applyFont="1" applyFill="1" applyBorder="1" applyAlignment="1">
      <alignment vertical="center"/>
    </xf>
    <xf numFmtId="0" fontId="8" fillId="0" borderId="39" xfId="0" applyFont="1" applyBorder="1" applyAlignment="1">
      <alignment horizontal="left" vertical="center"/>
    </xf>
    <xf numFmtId="1" fontId="5" fillId="0" borderId="8" xfId="3" applyNumberFormat="1" applyFont="1" applyFill="1" applyBorder="1" applyAlignment="1">
      <alignment vertical="center"/>
    </xf>
    <xf numFmtId="166" fontId="4" fillId="0" borderId="9" xfId="2" applyNumberFormat="1" applyFont="1" applyFill="1" applyBorder="1" applyAlignment="1">
      <alignment vertical="center"/>
    </xf>
    <xf numFmtId="0" fontId="5" fillId="0" borderId="9" xfId="1" applyFont="1" applyFill="1" applyBorder="1" applyAlignment="1">
      <alignment vertical="center"/>
    </xf>
    <xf numFmtId="0" fontId="5" fillId="2" borderId="9" xfId="1" applyFont="1" applyFill="1" applyBorder="1" applyAlignment="1">
      <alignment vertical="center"/>
    </xf>
    <xf numFmtId="166" fontId="4" fillId="0" borderId="9" xfId="1" applyNumberFormat="1" applyFont="1" applyFill="1" applyBorder="1" applyAlignment="1">
      <alignment vertical="center"/>
    </xf>
    <xf numFmtId="166" fontId="5" fillId="0" borderId="8" xfId="1" applyNumberFormat="1" applyFont="1" applyFill="1" applyBorder="1" applyAlignment="1">
      <alignment vertical="center"/>
    </xf>
    <xf numFmtId="166" fontId="5" fillId="2" borderId="9" xfId="1" applyNumberFormat="1" applyFont="1" applyFill="1" applyBorder="1" applyAlignment="1">
      <alignment vertical="center"/>
    </xf>
    <xf numFmtId="166" fontId="5" fillId="0" borderId="8" xfId="4" applyNumberFormat="1" applyFont="1" applyFill="1" applyBorder="1" applyAlignment="1">
      <alignment vertical="center"/>
    </xf>
    <xf numFmtId="166" fontId="4" fillId="0" borderId="21" xfId="1" applyNumberFormat="1" applyFont="1" applyFill="1" applyBorder="1" applyAlignment="1">
      <alignment vertical="center"/>
    </xf>
    <xf numFmtId="166" fontId="5" fillId="0" borderId="12" xfId="1" applyNumberFormat="1" applyFont="1" applyFill="1" applyBorder="1" applyAlignment="1">
      <alignment vertical="center"/>
    </xf>
    <xf numFmtId="166" fontId="5" fillId="0" borderId="25" xfId="1" applyNumberFormat="1" applyFont="1" applyFill="1" applyBorder="1" applyAlignment="1">
      <alignment vertical="center"/>
    </xf>
    <xf numFmtId="166" fontId="5" fillId="3" borderId="8" xfId="1" applyNumberFormat="1" applyFont="1" applyFill="1" applyBorder="1" applyAlignment="1">
      <alignment vertical="center" wrapText="1"/>
    </xf>
    <xf numFmtId="166" fontId="4" fillId="4" borderId="9" xfId="2" applyNumberFormat="1" applyFont="1" applyFill="1" applyBorder="1" applyAlignment="1">
      <alignment vertical="center"/>
    </xf>
    <xf numFmtId="0" fontId="5" fillId="0" borderId="5" xfId="1" applyFont="1" applyFill="1" applyBorder="1" applyAlignment="1">
      <alignment horizontal="center" vertical="center" wrapText="1"/>
    </xf>
    <xf numFmtId="166" fontId="5" fillId="0" borderId="9" xfId="1" applyNumberFormat="1" applyFont="1" applyFill="1" applyBorder="1" applyAlignment="1">
      <alignment vertical="center"/>
    </xf>
    <xf numFmtId="0" fontId="5" fillId="0" borderId="7"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4" fillId="0" borderId="0" xfId="2" applyFont="1" applyFill="1" applyAlignment="1">
      <alignment wrapText="1"/>
    </xf>
    <xf numFmtId="0" fontId="18" fillId="0" borderId="43" xfId="243" applyFont="1" applyFill="1" applyBorder="1" applyAlignment="1">
      <alignment horizontal="right" vertical="top" wrapText="1"/>
    </xf>
    <xf numFmtId="0" fontId="18" fillId="0" borderId="43" xfId="243" applyFont="1" applyFill="1" applyBorder="1" applyAlignment="1">
      <alignment horizontal="center" vertical="top" wrapText="1"/>
    </xf>
    <xf numFmtId="0" fontId="18" fillId="0" borderId="43" xfId="243" applyFont="1" applyFill="1" applyBorder="1" applyAlignment="1">
      <alignment horizontal="left" vertical="top" wrapText="1"/>
    </xf>
    <xf numFmtId="0" fontId="18" fillId="0" borderId="43" xfId="243" applyFont="1" applyFill="1" applyBorder="1" applyAlignment="1">
      <alignment horizontal="left" vertical="top" wrapText="1" indent="1"/>
    </xf>
    <xf numFmtId="0" fontId="20" fillId="0" borderId="43" xfId="243" applyFont="1" applyFill="1" applyBorder="1" applyAlignment="1">
      <alignment horizontal="center" vertical="top" wrapText="1"/>
    </xf>
    <xf numFmtId="0" fontId="18" fillId="0" borderId="43" xfId="243" applyFont="1" applyFill="1" applyBorder="1" applyAlignment="1">
      <alignment horizontal="left" vertical="top" wrapText="1" indent="11"/>
    </xf>
    <xf numFmtId="0" fontId="17" fillId="0" borderId="0" xfId="243" applyFill="1" applyBorder="1" applyAlignment="1">
      <alignment horizontal="left" vertical="top"/>
    </xf>
    <xf numFmtId="1" fontId="21" fillId="0" borderId="43" xfId="243" applyNumberFormat="1" applyFont="1" applyFill="1" applyBorder="1" applyAlignment="1">
      <alignment horizontal="center" vertical="top" shrinkToFit="1"/>
    </xf>
    <xf numFmtId="168" fontId="21" fillId="0" borderId="43" xfId="243" applyNumberFormat="1" applyFont="1" applyFill="1" applyBorder="1" applyAlignment="1">
      <alignment horizontal="left" vertical="top" indent="2" shrinkToFit="1"/>
    </xf>
    <xf numFmtId="0" fontId="18" fillId="0" borderId="43" xfId="243" applyFont="1" applyFill="1" applyBorder="1" applyAlignment="1">
      <alignment horizontal="left" vertical="top" wrapText="1" indent="9"/>
    </xf>
    <xf numFmtId="2" fontId="21" fillId="0" borderId="43" xfId="243" applyNumberFormat="1" applyFont="1" applyFill="1" applyBorder="1" applyAlignment="1">
      <alignment horizontal="left" vertical="top" indent="1" shrinkToFit="1"/>
    </xf>
    <xf numFmtId="0" fontId="18" fillId="0" borderId="43" xfId="243" applyFont="1" applyFill="1" applyBorder="1" applyAlignment="1">
      <alignment horizontal="left" vertical="top" wrapText="1" indent="5"/>
    </xf>
    <xf numFmtId="0" fontId="18" fillId="0" borderId="43" xfId="243" applyFont="1" applyFill="1" applyBorder="1" applyAlignment="1">
      <alignment horizontal="left" vertical="top" wrapText="1" indent="7"/>
    </xf>
    <xf numFmtId="0" fontId="18" fillId="0" borderId="43" xfId="243" applyFont="1" applyFill="1" applyBorder="1" applyAlignment="1">
      <alignment horizontal="left" vertical="top" wrapText="1" indent="2"/>
    </xf>
    <xf numFmtId="168" fontId="21" fillId="0" borderId="43" xfId="243" applyNumberFormat="1" applyFont="1" applyFill="1" applyBorder="1" applyAlignment="1">
      <alignment horizontal="left" vertical="top" indent="1" shrinkToFit="1"/>
    </xf>
    <xf numFmtId="1" fontId="21" fillId="0" borderId="43" xfId="243" applyNumberFormat="1" applyFont="1" applyFill="1" applyBorder="1" applyAlignment="1">
      <alignment horizontal="left" vertical="top" indent="2" shrinkToFit="1"/>
    </xf>
    <xf numFmtId="0" fontId="18" fillId="0" borderId="43" xfId="243" applyFont="1" applyFill="1" applyBorder="1" applyAlignment="1">
      <alignment horizontal="left" vertical="top" wrapText="1" indent="10"/>
    </xf>
    <xf numFmtId="0" fontId="17" fillId="0" borderId="43" xfId="243" applyFill="1" applyBorder="1" applyAlignment="1">
      <alignment horizontal="center" vertical="top" wrapText="1"/>
    </xf>
    <xf numFmtId="1" fontId="21" fillId="0" borderId="43" xfId="243" applyNumberFormat="1" applyFont="1" applyFill="1" applyBorder="1" applyAlignment="1">
      <alignment horizontal="right" vertical="top" indent="1" shrinkToFit="1"/>
    </xf>
    <xf numFmtId="0" fontId="18" fillId="0" borderId="43" xfId="243" applyFont="1" applyFill="1" applyBorder="1" applyAlignment="1">
      <alignment horizontal="left" vertical="top" wrapText="1" indent="3"/>
    </xf>
    <xf numFmtId="0" fontId="18" fillId="0" borderId="43" xfId="243" applyFont="1" applyFill="1" applyBorder="1" applyAlignment="1">
      <alignment horizontal="left" vertical="top" wrapText="1" indent="4"/>
    </xf>
    <xf numFmtId="0" fontId="17" fillId="0" borderId="43" xfId="243" applyFill="1" applyBorder="1" applyAlignment="1">
      <alignment horizontal="left" wrapText="1"/>
    </xf>
    <xf numFmtId="0" fontId="20" fillId="0" borderId="43" xfId="243" applyFont="1" applyFill="1" applyBorder="1" applyAlignment="1">
      <alignment horizontal="left" vertical="top" wrapText="1"/>
    </xf>
    <xf numFmtId="2" fontId="24" fillId="0" borderId="43" xfId="243" applyNumberFormat="1" applyFont="1" applyFill="1" applyBorder="1" applyAlignment="1">
      <alignment horizontal="left" vertical="top" indent="1" shrinkToFit="1"/>
    </xf>
    <xf numFmtId="1" fontId="21" fillId="3" borderId="43" xfId="243" applyNumberFormat="1" applyFont="1" applyFill="1" applyBorder="1" applyAlignment="1">
      <alignment horizontal="right" vertical="top" indent="1" shrinkToFit="1"/>
    </xf>
    <xf numFmtId="0" fontId="18" fillId="3" borderId="43" xfId="243" applyFont="1" applyFill="1" applyBorder="1" applyAlignment="1">
      <alignment horizontal="center" vertical="top" wrapText="1"/>
    </xf>
    <xf numFmtId="0" fontId="18" fillId="3" borderId="43" xfId="243" applyFont="1" applyFill="1" applyBorder="1" applyAlignment="1">
      <alignment horizontal="left" vertical="top" wrapText="1" indent="2"/>
    </xf>
    <xf numFmtId="168" fontId="21" fillId="3" borderId="43" xfId="243" applyNumberFormat="1" applyFont="1" applyFill="1" applyBorder="1" applyAlignment="1">
      <alignment horizontal="left" vertical="top" indent="2" shrinkToFit="1"/>
    </xf>
    <xf numFmtId="0" fontId="18" fillId="3" borderId="43" xfId="243" applyFont="1" applyFill="1" applyBorder="1" applyAlignment="1">
      <alignment horizontal="left" vertical="top" wrapText="1" indent="9"/>
    </xf>
    <xf numFmtId="2" fontId="21" fillId="3" borderId="43" xfId="243" applyNumberFormat="1" applyFont="1" applyFill="1" applyBorder="1" applyAlignment="1">
      <alignment horizontal="left" vertical="top" indent="1" shrinkToFit="1"/>
    </xf>
    <xf numFmtId="1" fontId="10" fillId="0" borderId="8" xfId="0" applyNumberFormat="1" applyFont="1" applyFill="1" applyBorder="1" applyAlignment="1">
      <alignment horizontal="left" vertical="center" wrapText="1"/>
    </xf>
    <xf numFmtId="166" fontId="5" fillId="7" borderId="9" xfId="1" applyNumberFormat="1" applyFont="1" applyFill="1" applyBorder="1" applyAlignment="1">
      <alignment horizontal="center" vertical="center"/>
    </xf>
    <xf numFmtId="166" fontId="5" fillId="7" borderId="22" xfId="1" applyNumberFormat="1" applyFont="1" applyFill="1" applyBorder="1" applyAlignment="1">
      <alignment horizontal="center" vertical="center"/>
    </xf>
    <xf numFmtId="0" fontId="5" fillId="7" borderId="16" xfId="1" applyFont="1" applyFill="1" applyBorder="1" applyAlignment="1">
      <alignment horizontal="center" vertical="center"/>
    </xf>
    <xf numFmtId="0" fontId="5" fillId="7" borderId="37" xfId="1" applyFont="1" applyFill="1" applyBorder="1" applyAlignment="1">
      <alignment horizontal="center" vertical="center" wrapText="1"/>
    </xf>
    <xf numFmtId="166" fontId="4" fillId="7" borderId="21" xfId="2" applyNumberFormat="1" applyFont="1" applyFill="1" applyBorder="1" applyAlignment="1">
      <alignment vertical="center"/>
    </xf>
    <xf numFmtId="166" fontId="5" fillId="7" borderId="22" xfId="1" applyNumberFormat="1" applyFont="1" applyFill="1" applyBorder="1" applyAlignment="1">
      <alignment vertical="center"/>
    </xf>
    <xf numFmtId="166" fontId="5" fillId="7" borderId="9" xfId="1" applyNumberFormat="1" applyFont="1" applyFill="1" applyBorder="1" applyAlignment="1">
      <alignment vertical="center" wrapText="1"/>
    </xf>
    <xf numFmtId="1" fontId="10" fillId="0" borderId="8" xfId="0" applyNumberFormat="1" applyFont="1" applyFill="1" applyBorder="1" applyAlignment="1">
      <alignment horizontal="left" vertical="center"/>
    </xf>
    <xf numFmtId="1" fontId="5" fillId="8" borderId="9" xfId="3" applyNumberFormat="1" applyFont="1" applyFill="1" applyBorder="1" applyAlignment="1">
      <alignment vertical="center"/>
    </xf>
    <xf numFmtId="166" fontId="5" fillId="8" borderId="8" xfId="1" applyNumberFormat="1" applyFont="1" applyFill="1" applyBorder="1" applyAlignment="1">
      <alignment horizontal="center" vertical="center"/>
    </xf>
    <xf numFmtId="166" fontId="5" fillId="8" borderId="12" xfId="1" applyNumberFormat="1" applyFont="1" applyFill="1" applyBorder="1" applyAlignment="1">
      <alignment horizontal="center" vertical="center"/>
    </xf>
    <xf numFmtId="0" fontId="5" fillId="8" borderId="5" xfId="1" applyFont="1" applyFill="1" applyBorder="1" applyAlignment="1">
      <alignment horizontal="center" vertical="center" wrapText="1"/>
    </xf>
    <xf numFmtId="0" fontId="5" fillId="8" borderId="15" xfId="1" applyFont="1" applyFill="1" applyBorder="1" applyAlignment="1">
      <alignment horizontal="center" vertical="center" wrapText="1"/>
    </xf>
    <xf numFmtId="166" fontId="4" fillId="8" borderId="9" xfId="2" applyNumberFormat="1" applyFont="1" applyFill="1" applyBorder="1" applyAlignment="1">
      <alignment vertical="center"/>
    </xf>
    <xf numFmtId="166" fontId="5" fillId="8" borderId="9" xfId="2" applyNumberFormat="1" applyFont="1" applyFill="1" applyBorder="1" applyAlignment="1">
      <alignment vertical="center"/>
    </xf>
    <xf numFmtId="166" fontId="5" fillId="8" borderId="8" xfId="1" applyNumberFormat="1" applyFont="1" applyFill="1" applyBorder="1" applyAlignment="1">
      <alignment vertical="center"/>
    </xf>
    <xf numFmtId="166" fontId="5" fillId="8" borderId="8" xfId="2" applyNumberFormat="1" applyFont="1" applyFill="1" applyBorder="1" applyAlignment="1">
      <alignment vertical="center"/>
    </xf>
    <xf numFmtId="166" fontId="5" fillId="8" borderId="8" xfId="4" applyNumberFormat="1" applyFont="1" applyFill="1" applyBorder="1" applyAlignment="1">
      <alignment vertical="center"/>
    </xf>
    <xf numFmtId="166" fontId="5" fillId="8" borderId="9" xfId="4" applyNumberFormat="1" applyFont="1" applyFill="1" applyBorder="1" applyAlignment="1">
      <alignment vertical="center"/>
    </xf>
    <xf numFmtId="166" fontId="4" fillId="8" borderId="21" xfId="4" applyNumberFormat="1" applyFont="1" applyFill="1" applyBorder="1" applyAlignment="1">
      <alignment vertical="center"/>
    </xf>
    <xf numFmtId="166" fontId="5" fillId="8" borderId="12" xfId="1" applyNumberFormat="1" applyFont="1" applyFill="1" applyBorder="1" applyAlignment="1">
      <alignment vertical="center"/>
    </xf>
    <xf numFmtId="166" fontId="5" fillId="8" borderId="25" xfId="1" applyNumberFormat="1" applyFont="1" applyFill="1" applyBorder="1" applyAlignment="1">
      <alignment vertical="center"/>
    </xf>
    <xf numFmtId="166" fontId="4" fillId="8" borderId="22" xfId="2" applyNumberFormat="1" applyFont="1" applyFill="1" applyBorder="1" applyAlignment="1">
      <alignment vertical="center"/>
    </xf>
    <xf numFmtId="166" fontId="10" fillId="3" borderId="8" xfId="5" applyNumberFormat="1" applyFont="1" applyFill="1" applyBorder="1" applyAlignment="1">
      <alignment horizontal="right" vertical="center"/>
    </xf>
    <xf numFmtId="0" fontId="9" fillId="4" borderId="8" xfId="0" applyFont="1" applyFill="1" applyBorder="1" applyAlignment="1">
      <alignment horizontal="center" vertical="center"/>
    </xf>
    <xf numFmtId="0" fontId="0" fillId="0" borderId="0" xfId="0" applyFont="1" applyAlignment="1">
      <alignment vertical="center"/>
    </xf>
    <xf numFmtId="164" fontId="0" fillId="0" borderId="0" xfId="0" applyNumberFormat="1" applyFont="1" applyAlignment="1">
      <alignment vertical="center"/>
    </xf>
    <xf numFmtId="168" fontId="0" fillId="0" borderId="0" xfId="0" applyNumberFormat="1" applyFont="1" applyAlignment="1">
      <alignment vertical="center"/>
    </xf>
    <xf numFmtId="2" fontId="0" fillId="0" borderId="0" xfId="0" applyNumberFormat="1" applyFont="1" applyAlignment="1">
      <alignment vertical="center"/>
    </xf>
    <xf numFmtId="0" fontId="0" fillId="0" borderId="21" xfId="0" applyFont="1" applyBorder="1" applyAlignment="1">
      <alignment horizontal="center" vertical="center"/>
    </xf>
    <xf numFmtId="0" fontId="0" fillId="0" borderId="37" xfId="0" applyFont="1" applyBorder="1" applyAlignment="1">
      <alignment vertical="center"/>
    </xf>
    <xf numFmtId="0" fontId="0" fillId="0" borderId="38" xfId="0" applyFont="1" applyBorder="1" applyAlignment="1">
      <alignment vertical="center"/>
    </xf>
    <xf numFmtId="0" fontId="0" fillId="0" borderId="35" xfId="0" applyFont="1" applyBorder="1" applyAlignment="1">
      <alignment vertical="center"/>
    </xf>
    <xf numFmtId="0" fontId="0" fillId="0" borderId="39" xfId="0" applyFont="1" applyBorder="1" applyAlignment="1">
      <alignment horizontal="center" vertical="center"/>
    </xf>
    <xf numFmtId="0" fontId="0" fillId="0" borderId="0" xfId="0" applyFont="1" applyBorder="1" applyAlignment="1">
      <alignment vertical="center"/>
    </xf>
    <xf numFmtId="0" fontId="0" fillId="0" borderId="15" xfId="0" applyFont="1" applyBorder="1" applyAlignment="1">
      <alignment horizontal="center" vertical="center"/>
    </xf>
    <xf numFmtId="0" fontId="0" fillId="0" borderId="16" xfId="0" applyFont="1" applyBorder="1" applyAlignment="1">
      <alignment vertical="center"/>
    </xf>
    <xf numFmtId="0" fontId="0" fillId="0" borderId="36" xfId="0" applyFont="1" applyBorder="1" applyAlignment="1">
      <alignment vertical="center"/>
    </xf>
    <xf numFmtId="0" fontId="0" fillId="0" borderId="0" xfId="0" applyFont="1" applyAlignment="1">
      <alignment horizontal="center" vertical="center"/>
    </xf>
    <xf numFmtId="0" fontId="9" fillId="9" borderId="8" xfId="0" applyFont="1" applyFill="1" applyBorder="1" applyAlignment="1">
      <alignment horizontal="center" vertical="center" wrapText="1"/>
    </xf>
    <xf numFmtId="0" fontId="9" fillId="9" borderId="8" xfId="0" applyFont="1" applyFill="1" applyBorder="1" applyAlignment="1">
      <alignment horizontal="center" vertical="center"/>
    </xf>
    <xf numFmtId="0" fontId="10" fillId="9" borderId="8" xfId="0" applyFont="1" applyFill="1" applyBorder="1" applyAlignment="1">
      <alignment horizontal="center" vertical="center"/>
    </xf>
    <xf numFmtId="0" fontId="10" fillId="9" borderId="8" xfId="0" applyFont="1" applyFill="1" applyBorder="1" applyAlignment="1">
      <alignment horizontal="left" vertical="center"/>
    </xf>
    <xf numFmtId="2" fontId="10" fillId="9" borderId="8" xfId="0" applyNumberFormat="1" applyFont="1" applyFill="1" applyBorder="1" applyAlignment="1">
      <alignment horizontal="center" vertical="center"/>
    </xf>
    <xf numFmtId="1" fontId="10" fillId="9" borderId="8" xfId="0" applyNumberFormat="1" applyFont="1" applyFill="1" applyBorder="1" applyAlignment="1">
      <alignment vertical="center" wrapText="1"/>
    </xf>
    <xf numFmtId="168" fontId="10" fillId="9" borderId="8" xfId="0" applyNumberFormat="1" applyFont="1" applyFill="1" applyBorder="1" applyAlignment="1">
      <alignment horizontal="center" vertical="center"/>
    </xf>
    <xf numFmtId="1" fontId="10" fillId="9" borderId="8" xfId="0" applyNumberFormat="1" applyFont="1" applyFill="1" applyBorder="1" applyAlignment="1">
      <alignment horizontal="center" vertical="center"/>
    </xf>
    <xf numFmtId="1" fontId="10" fillId="9" borderId="8" xfId="0" applyNumberFormat="1" applyFont="1" applyFill="1" applyBorder="1" applyAlignment="1">
      <alignment horizontal="left" vertical="center" wrapText="1"/>
    </xf>
    <xf numFmtId="0" fontId="0" fillId="9" borderId="8" xfId="0" applyFont="1" applyFill="1" applyBorder="1" applyAlignment="1">
      <alignment horizontal="center" vertical="center"/>
    </xf>
    <xf numFmtId="0" fontId="0" fillId="9" borderId="8" xfId="0" applyFont="1" applyFill="1" applyBorder="1" applyAlignment="1">
      <alignment vertical="center"/>
    </xf>
    <xf numFmtId="1" fontId="10" fillId="9" borderId="8" xfId="0" applyNumberFormat="1" applyFont="1" applyFill="1" applyBorder="1" applyAlignment="1">
      <alignment horizontal="left" vertical="center"/>
    </xf>
    <xf numFmtId="1" fontId="10" fillId="9" borderId="8" xfId="0" applyNumberFormat="1" applyFont="1" applyFill="1" applyBorder="1" applyAlignment="1">
      <alignment vertical="center"/>
    </xf>
    <xf numFmtId="2" fontId="0" fillId="9" borderId="8" xfId="0" applyNumberFormat="1" applyFont="1" applyFill="1" applyBorder="1" applyAlignment="1">
      <alignment vertical="center"/>
    </xf>
    <xf numFmtId="2" fontId="9" fillId="9" borderId="8" xfId="0" applyNumberFormat="1" applyFont="1" applyFill="1" applyBorder="1" applyAlignment="1">
      <alignment horizontal="center" vertical="center"/>
    </xf>
    <xf numFmtId="168" fontId="9" fillId="9" borderId="8" xfId="0" applyNumberFormat="1" applyFont="1" applyFill="1" applyBorder="1" applyAlignment="1">
      <alignment horizontal="center" vertical="center"/>
    </xf>
    <xf numFmtId="1" fontId="9" fillId="9" borderId="8" xfId="0" applyNumberFormat="1" applyFont="1" applyFill="1" applyBorder="1" applyAlignment="1">
      <alignment horizontal="center" vertical="center"/>
    </xf>
    <xf numFmtId="0" fontId="9" fillId="10" borderId="8" xfId="0" applyFont="1" applyFill="1" applyBorder="1" applyAlignment="1">
      <alignment horizontal="center" vertical="center" wrapText="1"/>
    </xf>
    <xf numFmtId="0" fontId="9" fillId="10" borderId="8" xfId="0" applyFont="1" applyFill="1" applyBorder="1" applyAlignment="1">
      <alignment horizontal="center" vertical="center"/>
    </xf>
    <xf numFmtId="0" fontId="25" fillId="10" borderId="8" xfId="0" applyFont="1" applyFill="1" applyBorder="1" applyAlignment="1">
      <alignment horizontal="center" vertical="center" wrapText="1"/>
    </xf>
    <xf numFmtId="0" fontId="10" fillId="10" borderId="8" xfId="0" applyFont="1" applyFill="1" applyBorder="1" applyAlignment="1">
      <alignment horizontal="left" vertical="center" wrapText="1"/>
    </xf>
    <xf numFmtId="0" fontId="0" fillId="10" borderId="8" xfId="0" applyFont="1" applyFill="1" applyBorder="1" applyAlignment="1">
      <alignment horizontal="center" vertical="center"/>
    </xf>
    <xf numFmtId="0" fontId="0" fillId="10" borderId="8" xfId="0" applyFont="1" applyFill="1" applyBorder="1" applyAlignment="1">
      <alignment vertical="center"/>
    </xf>
    <xf numFmtId="0" fontId="26" fillId="10" borderId="8" xfId="0" applyFont="1" applyFill="1" applyBorder="1" applyAlignment="1">
      <alignment horizontal="left" vertical="center" wrapText="1"/>
    </xf>
    <xf numFmtId="1" fontId="10" fillId="10" borderId="8" xfId="0" applyNumberFormat="1" applyFont="1" applyFill="1" applyBorder="1" applyAlignment="1">
      <alignment horizontal="left" vertical="center" wrapText="1"/>
    </xf>
    <xf numFmtId="0" fontId="9" fillId="4" borderId="8" xfId="0" applyFont="1" applyFill="1" applyBorder="1" applyAlignment="1">
      <alignment horizontal="center" vertical="center"/>
    </xf>
    <xf numFmtId="0" fontId="5" fillId="0" borderId="7" xfId="1" applyFont="1" applyFill="1" applyBorder="1" applyAlignment="1">
      <alignment horizontal="center" vertical="center"/>
    </xf>
    <xf numFmtId="166" fontId="25" fillId="10" borderId="8" xfId="5" applyNumberFormat="1" applyFont="1" applyFill="1" applyBorder="1" applyAlignment="1">
      <alignment horizontal="center" vertical="center" wrapText="1"/>
    </xf>
    <xf numFmtId="0" fontId="9" fillId="12" borderId="8" xfId="0" applyFont="1" applyFill="1" applyBorder="1" applyAlignment="1">
      <alignment horizontal="center" vertical="center"/>
    </xf>
    <xf numFmtId="166" fontId="9" fillId="12" borderId="8" xfId="5" applyNumberFormat="1" applyFont="1" applyFill="1" applyBorder="1" applyAlignment="1">
      <alignment horizontal="center" vertical="center"/>
    </xf>
    <xf numFmtId="43" fontId="4" fillId="4" borderId="9" xfId="2" applyNumberFormat="1" applyFont="1" applyFill="1" applyBorder="1" applyAlignment="1">
      <alignment vertical="center"/>
    </xf>
    <xf numFmtId="43" fontId="4" fillId="5" borderId="9" xfId="2" applyNumberFormat="1" applyFont="1" applyFill="1" applyBorder="1" applyAlignment="1">
      <alignment vertical="center"/>
    </xf>
    <xf numFmtId="166" fontId="5" fillId="5" borderId="9" xfId="5" applyNumberFormat="1" applyFont="1" applyFill="1" applyBorder="1" applyAlignment="1">
      <alignment vertical="center"/>
    </xf>
    <xf numFmtId="0" fontId="5" fillId="2" borderId="2" xfId="1" applyFont="1" applyFill="1" applyBorder="1" applyAlignment="1">
      <alignment vertical="center"/>
    </xf>
    <xf numFmtId="169" fontId="4" fillId="0" borderId="9" xfId="1" applyNumberFormat="1" applyFont="1" applyFill="1" applyBorder="1" applyAlignment="1">
      <alignment vertical="center"/>
    </xf>
    <xf numFmtId="169" fontId="5" fillId="0" borderId="12" xfId="1" applyNumberFormat="1" applyFont="1" applyFill="1" applyBorder="1" applyAlignment="1">
      <alignment horizontal="center" vertical="center"/>
    </xf>
    <xf numFmtId="43" fontId="5" fillId="4" borderId="12" xfId="1" applyNumberFormat="1" applyFont="1" applyFill="1" applyBorder="1" applyAlignment="1">
      <alignment horizontal="center" vertical="center"/>
    </xf>
    <xf numFmtId="0" fontId="0" fillId="0" borderId="0" xfId="0" applyFont="1" applyBorder="1" applyAlignment="1">
      <alignment horizontal="left" vertical="center" wrapText="1"/>
    </xf>
    <xf numFmtId="0" fontId="10" fillId="10" borderId="8" xfId="0" applyFont="1" applyFill="1" applyBorder="1" applyAlignment="1">
      <alignment horizontal="left" vertical="center" wrapText="1"/>
    </xf>
    <xf numFmtId="166" fontId="10" fillId="0" borderId="5" xfId="5" applyNumberFormat="1" applyFont="1" applyFill="1" applyBorder="1" applyAlignment="1">
      <alignment horizontal="center" vertical="center"/>
    </xf>
    <xf numFmtId="166" fontId="5" fillId="3" borderId="9" xfId="1" applyNumberFormat="1" applyFont="1" applyFill="1" applyBorder="1" applyAlignment="1">
      <alignment vertical="center"/>
    </xf>
    <xf numFmtId="0" fontId="25" fillId="3" borderId="8" xfId="0" applyFont="1" applyFill="1" applyBorder="1" applyAlignment="1">
      <alignment horizontal="center" vertical="center" wrapText="1"/>
    </xf>
    <xf numFmtId="0" fontId="10" fillId="3" borderId="8" xfId="0" applyFont="1" applyFill="1" applyBorder="1" applyAlignment="1">
      <alignment horizontal="left" vertical="center" wrapText="1"/>
    </xf>
    <xf numFmtId="0" fontId="10" fillId="3" borderId="8" xfId="0" applyFont="1" applyFill="1" applyBorder="1" applyAlignment="1">
      <alignment vertical="center"/>
    </xf>
    <xf numFmtId="0" fontId="25" fillId="11" borderId="8" xfId="0" applyFont="1" applyFill="1" applyBorder="1" applyAlignment="1">
      <alignment horizontal="center" vertical="center" wrapText="1"/>
    </xf>
    <xf numFmtId="166" fontId="25" fillId="11" borderId="5" xfId="5" applyNumberFormat="1" applyFont="1" applyFill="1" applyBorder="1" applyAlignment="1">
      <alignment horizontal="center" vertical="center" wrapText="1"/>
    </xf>
    <xf numFmtId="43" fontId="10" fillId="0" borderId="8" xfId="5" applyNumberFormat="1" applyFont="1" applyFill="1" applyBorder="1" applyAlignment="1">
      <alignment horizontal="right" vertical="center"/>
    </xf>
    <xf numFmtId="166" fontId="5" fillId="0" borderId="19" xfId="1" applyNumberFormat="1" applyFont="1" applyFill="1" applyBorder="1" applyAlignment="1">
      <alignment horizontal="center" vertical="center"/>
    </xf>
    <xf numFmtId="0" fontId="5" fillId="0" borderId="47" xfId="1" applyFont="1" applyFill="1" applyBorder="1" applyAlignment="1">
      <alignment horizontal="center" vertical="center" wrapText="1"/>
    </xf>
    <xf numFmtId="0" fontId="5" fillId="0" borderId="47" xfId="1" applyFont="1" applyFill="1" applyBorder="1" applyAlignment="1">
      <alignment horizontal="center" vertical="center"/>
    </xf>
    <xf numFmtId="0" fontId="5" fillId="2" borderId="47" xfId="1" applyFont="1" applyFill="1" applyBorder="1" applyAlignment="1">
      <alignment vertical="center"/>
    </xf>
    <xf numFmtId="166" fontId="4" fillId="0" borderId="47" xfId="1" applyNumberFormat="1" applyFont="1" applyFill="1" applyBorder="1" applyAlignment="1">
      <alignment vertical="center"/>
    </xf>
    <xf numFmtId="43" fontId="4" fillId="0" borderId="47" xfId="1" applyNumberFormat="1" applyFont="1" applyFill="1" applyBorder="1" applyAlignment="1">
      <alignment vertical="center"/>
    </xf>
    <xf numFmtId="166" fontId="5" fillId="0" borderId="47" xfId="1" applyNumberFormat="1" applyFont="1" applyFill="1" applyBorder="1" applyAlignment="1">
      <alignment vertical="center"/>
    </xf>
    <xf numFmtId="166" fontId="5" fillId="0" borderId="47" xfId="4" applyNumberFormat="1" applyFont="1" applyFill="1" applyBorder="1" applyAlignment="1">
      <alignment vertical="center"/>
    </xf>
    <xf numFmtId="0" fontId="4" fillId="0" borderId="47" xfId="2" applyFont="1" applyFill="1" applyBorder="1" applyAlignment="1">
      <alignment vertical="center"/>
    </xf>
    <xf numFmtId="166" fontId="4" fillId="0" borderId="47" xfId="2" applyNumberFormat="1" applyFont="1" applyFill="1" applyBorder="1" applyAlignment="1">
      <alignment vertical="center"/>
    </xf>
    <xf numFmtId="166" fontId="5" fillId="2" borderId="47" xfId="1" applyNumberFormat="1" applyFont="1" applyFill="1" applyBorder="1" applyAlignment="1">
      <alignment vertical="center"/>
    </xf>
    <xf numFmtId="166" fontId="5" fillId="0" borderId="48" xfId="1" applyNumberFormat="1" applyFont="1" applyFill="1" applyBorder="1" applyAlignment="1">
      <alignment vertical="center"/>
    </xf>
    <xf numFmtId="0" fontId="0" fillId="0" borderId="0" xfId="0" applyFont="1" applyFill="1" applyAlignment="1">
      <alignment vertical="center"/>
    </xf>
    <xf numFmtId="0" fontId="0" fillId="0" borderId="0" xfId="0" applyFont="1" applyBorder="1" applyAlignment="1">
      <alignment horizontal="left" vertical="center"/>
    </xf>
    <xf numFmtId="0" fontId="8" fillId="14" borderId="0" xfId="0" applyFont="1" applyFill="1" applyAlignment="1">
      <alignment vertical="center"/>
    </xf>
    <xf numFmtId="0" fontId="0" fillId="14" borderId="0" xfId="0" applyFont="1" applyFill="1" applyAlignment="1">
      <alignment vertical="center"/>
    </xf>
    <xf numFmtId="0" fontId="8" fillId="14" borderId="0" xfId="0" applyFont="1" applyFill="1" applyBorder="1" applyAlignment="1">
      <alignment vertical="center"/>
    </xf>
    <xf numFmtId="0" fontId="0" fillId="14" borderId="0" xfId="0" applyFont="1" applyFill="1" applyBorder="1" applyAlignment="1">
      <alignment vertical="center"/>
    </xf>
    <xf numFmtId="0" fontId="8" fillId="14" borderId="16" xfId="0" applyFont="1" applyFill="1" applyBorder="1" applyAlignment="1">
      <alignment vertical="center"/>
    </xf>
    <xf numFmtId="0" fontId="0" fillId="14" borderId="16" xfId="0" applyFont="1" applyFill="1" applyBorder="1" applyAlignment="1">
      <alignment vertical="center"/>
    </xf>
    <xf numFmtId="0" fontId="3" fillId="14" borderId="2" xfId="1" applyFont="1" applyFill="1" applyBorder="1" applyAlignment="1">
      <alignment vertical="center"/>
    </xf>
    <xf numFmtId="1" fontId="5" fillId="14" borderId="8" xfId="3" applyNumberFormat="1" applyFont="1" applyFill="1" applyBorder="1" applyAlignment="1">
      <alignment vertical="center"/>
    </xf>
    <xf numFmtId="166" fontId="5" fillId="14" borderId="8" xfId="1" applyNumberFormat="1" applyFont="1" applyFill="1" applyBorder="1" applyAlignment="1">
      <alignment horizontal="center" vertical="center"/>
    </xf>
    <xf numFmtId="166" fontId="5" fillId="14" borderId="12" xfId="1" applyNumberFormat="1" applyFont="1" applyFill="1" applyBorder="1" applyAlignment="1">
      <alignment horizontal="center" vertical="center"/>
    </xf>
    <xf numFmtId="0" fontId="3" fillId="14" borderId="1" xfId="1" applyFont="1" applyFill="1" applyBorder="1" applyAlignment="1">
      <alignment vertical="center"/>
    </xf>
    <xf numFmtId="0" fontId="3" fillId="14" borderId="3" xfId="1" applyFont="1" applyFill="1" applyBorder="1" applyAlignment="1">
      <alignment vertical="center"/>
    </xf>
    <xf numFmtId="1" fontId="5" fillId="14" borderId="7" xfId="3" applyNumberFormat="1" applyFont="1" applyFill="1" applyBorder="1" applyAlignment="1">
      <alignment vertical="center"/>
    </xf>
    <xf numFmtId="1" fontId="5" fillId="14" borderId="10" xfId="1" applyNumberFormat="1" applyFont="1" applyFill="1" applyBorder="1" applyAlignment="1">
      <alignment horizontal="center" vertical="center"/>
    </xf>
    <xf numFmtId="166" fontId="5" fillId="14" borderId="7" xfId="1" applyNumberFormat="1" applyFont="1" applyFill="1" applyBorder="1" applyAlignment="1">
      <alignment horizontal="center" vertical="center"/>
    </xf>
    <xf numFmtId="166" fontId="5" fillId="14" borderId="10" xfId="1" applyNumberFormat="1" applyFont="1" applyFill="1" applyBorder="1" applyAlignment="1">
      <alignment horizontal="center" vertical="center"/>
    </xf>
    <xf numFmtId="166" fontId="5" fillId="14" borderId="11" xfId="1" applyNumberFormat="1" applyFont="1" applyFill="1" applyBorder="1" applyAlignment="1">
      <alignment horizontal="center" vertical="center"/>
    </xf>
    <xf numFmtId="166" fontId="5" fillId="14" borderId="13" xfId="1" applyNumberFormat="1" applyFont="1" applyFill="1" applyBorder="1" applyAlignment="1">
      <alignment horizontal="center" vertical="center"/>
    </xf>
    <xf numFmtId="0" fontId="5" fillId="0" borderId="4" xfId="1" applyFont="1" applyFill="1" applyBorder="1" applyAlignment="1">
      <alignment horizontal="center" vertical="center" wrapText="1"/>
    </xf>
    <xf numFmtId="0" fontId="5" fillId="2" borderId="49" xfId="1" applyFont="1" applyFill="1" applyBorder="1" applyAlignment="1">
      <alignment vertical="center"/>
    </xf>
    <xf numFmtId="0" fontId="5" fillId="2" borderId="10" xfId="1" applyFont="1" applyFill="1" applyBorder="1" applyAlignment="1">
      <alignment vertical="center"/>
    </xf>
    <xf numFmtId="166" fontId="4" fillId="0" borderId="49" xfId="1" applyNumberFormat="1" applyFont="1" applyFill="1" applyBorder="1" applyAlignment="1">
      <alignment vertical="center"/>
    </xf>
    <xf numFmtId="166" fontId="4" fillId="0" borderId="10" xfId="1" applyNumberFormat="1" applyFont="1" applyFill="1" applyBorder="1" applyAlignment="1">
      <alignment vertical="center"/>
    </xf>
    <xf numFmtId="166" fontId="5" fillId="0" borderId="10" xfId="1" applyNumberFormat="1" applyFont="1" applyFill="1" applyBorder="1" applyAlignment="1">
      <alignment vertical="center"/>
    </xf>
    <xf numFmtId="166" fontId="5" fillId="0" borderId="49" xfId="1" applyNumberFormat="1" applyFont="1" applyFill="1" applyBorder="1" applyAlignment="1">
      <alignment vertical="center"/>
    </xf>
    <xf numFmtId="166" fontId="4" fillId="0" borderId="49" xfId="2" applyNumberFormat="1" applyFont="1" applyFill="1" applyBorder="1" applyAlignment="1">
      <alignment vertical="center"/>
    </xf>
    <xf numFmtId="166" fontId="5" fillId="2" borderId="49" xfId="1" applyNumberFormat="1" applyFont="1" applyFill="1" applyBorder="1" applyAlignment="1">
      <alignment vertical="center"/>
    </xf>
    <xf numFmtId="166" fontId="4" fillId="0" borderId="51" xfId="1" applyNumberFormat="1" applyFont="1" applyFill="1" applyBorder="1" applyAlignment="1">
      <alignment vertical="center"/>
    </xf>
    <xf numFmtId="166" fontId="4" fillId="0" borderId="18" xfId="1" applyNumberFormat="1" applyFont="1" applyFill="1" applyBorder="1" applyAlignment="1">
      <alignment vertical="center"/>
    </xf>
    <xf numFmtId="166" fontId="5" fillId="0" borderId="11" xfId="1" applyNumberFormat="1" applyFont="1" applyFill="1" applyBorder="1" applyAlignment="1">
      <alignment vertical="center"/>
    </xf>
    <xf numFmtId="166" fontId="5" fillId="0" borderId="1" xfId="1" applyNumberFormat="1" applyFont="1" applyFill="1" applyBorder="1" applyAlignment="1">
      <alignment vertical="center"/>
    </xf>
    <xf numFmtId="166" fontId="4" fillId="0" borderId="52" xfId="2" applyNumberFormat="1" applyFont="1" applyFill="1" applyBorder="1" applyAlignment="1">
      <alignment vertical="center"/>
    </xf>
    <xf numFmtId="166" fontId="0" fillId="0" borderId="0" xfId="0" applyNumberFormat="1" applyFont="1" applyAlignment="1">
      <alignment vertical="center"/>
    </xf>
    <xf numFmtId="166" fontId="4" fillId="0" borderId="0" xfId="2" applyNumberFormat="1" applyFont="1" applyFill="1" applyBorder="1" applyAlignment="1">
      <alignment vertical="center"/>
    </xf>
    <xf numFmtId="166" fontId="7" fillId="0" borderId="0" xfId="0" applyNumberFormat="1" applyFont="1" applyBorder="1" applyAlignment="1">
      <alignment vertical="center" wrapText="1"/>
    </xf>
    <xf numFmtId="1" fontId="4" fillId="0" borderId="0" xfId="2" applyNumberFormat="1" applyFont="1" applyFill="1" applyBorder="1" applyAlignment="1">
      <alignment vertical="center"/>
    </xf>
    <xf numFmtId="0" fontId="5" fillId="0" borderId="9"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12" xfId="1" applyFont="1" applyFill="1" applyBorder="1" applyAlignment="1">
      <alignment horizontal="center" vertical="center"/>
    </xf>
    <xf numFmtId="0" fontId="28" fillId="0" borderId="0" xfId="244" applyFont="1" applyAlignment="1">
      <alignment horizontal="center" vertical="center" wrapText="1"/>
    </xf>
    <xf numFmtId="0" fontId="10" fillId="0" borderId="0" xfId="244" applyAlignment="1">
      <alignment horizontal="center" vertical="center" wrapText="1"/>
    </xf>
    <xf numFmtId="0" fontId="29" fillId="15" borderId="8" xfId="244" applyFont="1" applyFill="1" applyBorder="1" applyAlignment="1">
      <alignment horizontal="left" vertical="center" wrapText="1"/>
    </xf>
    <xf numFmtId="0" fontId="8" fillId="15" borderId="8" xfId="244" applyFont="1" applyFill="1" applyBorder="1" applyAlignment="1">
      <alignment horizontal="left" vertical="center" wrapText="1"/>
    </xf>
    <xf numFmtId="0" fontId="30" fillId="0" borderId="0" xfId="244" applyFont="1" applyBorder="1" applyAlignment="1">
      <alignment horizontal="center" vertical="center" wrapText="1"/>
    </xf>
    <xf numFmtId="0" fontId="28" fillId="0" borderId="5" xfId="244" applyFont="1" applyBorder="1" applyAlignment="1">
      <alignment vertical="center" wrapText="1"/>
    </xf>
    <xf numFmtId="0" fontId="31" fillId="0" borderId="5" xfId="244" applyFont="1" applyBorder="1" applyAlignment="1">
      <alignment horizontal="center" vertical="center" wrapText="1"/>
    </xf>
    <xf numFmtId="0" fontId="31" fillId="0" borderId="8" xfId="244" applyFont="1" applyBorder="1" applyAlignment="1">
      <alignment horizontal="center" vertical="center" wrapText="1"/>
    </xf>
    <xf numFmtId="0" fontId="28" fillId="0" borderId="5" xfId="244" applyFont="1" applyFill="1" applyBorder="1" applyAlignment="1">
      <alignment horizontal="left" vertical="center" wrapText="1"/>
    </xf>
    <xf numFmtId="170" fontId="28" fillId="16" borderId="8" xfId="244" applyNumberFormat="1" applyFont="1" applyFill="1" applyBorder="1" applyAlignment="1">
      <alignment horizontal="left" wrapText="1"/>
    </xf>
    <xf numFmtId="0" fontId="28" fillId="0" borderId="8" xfId="244" applyFont="1" applyBorder="1" applyAlignment="1">
      <alignment vertical="center" wrapText="1"/>
    </xf>
    <xf numFmtId="0" fontId="10" fillId="0" borderId="0" xfId="244" applyAlignment="1">
      <alignment vertical="center" wrapText="1"/>
    </xf>
    <xf numFmtId="0" fontId="28" fillId="0" borderId="8" xfId="244" applyFont="1" applyFill="1" applyBorder="1" applyAlignment="1">
      <alignment horizontal="left" vertical="center" wrapText="1"/>
    </xf>
    <xf numFmtId="0" fontId="31" fillId="0" borderId="8" xfId="244" applyFont="1" applyFill="1" applyBorder="1" applyAlignment="1">
      <alignment horizontal="center" vertical="center" wrapText="1"/>
    </xf>
    <xf numFmtId="0" fontId="32" fillId="0" borderId="8" xfId="244" applyFont="1" applyFill="1" applyBorder="1" applyAlignment="1">
      <alignment horizontal="left" vertical="center" wrapText="1"/>
    </xf>
    <xf numFmtId="0" fontId="31" fillId="16" borderId="8" xfId="244" applyFont="1" applyFill="1" applyBorder="1" applyAlignment="1">
      <alignment horizontal="center" vertical="center" wrapText="1"/>
    </xf>
    <xf numFmtId="0" fontId="33" fillId="0" borderId="8" xfId="244" applyFont="1" applyBorder="1" applyAlignment="1">
      <alignment horizontal="center" vertical="center" wrapText="1"/>
    </xf>
    <xf numFmtId="0" fontId="28" fillId="0" borderId="8" xfId="244" applyFont="1" applyFill="1" applyBorder="1" applyAlignment="1">
      <alignment vertical="center" wrapText="1"/>
    </xf>
    <xf numFmtId="1" fontId="28" fillId="0" borderId="5" xfId="244" applyNumberFormat="1" applyFont="1" applyFill="1" applyBorder="1" applyAlignment="1">
      <alignment vertical="center" wrapText="1"/>
    </xf>
    <xf numFmtId="170" fontId="28" fillId="0" borderId="8" xfId="244" applyNumberFormat="1" applyFont="1" applyFill="1" applyBorder="1" applyAlignment="1">
      <alignment horizontal="left" wrapText="1"/>
    </xf>
    <xf numFmtId="0" fontId="28" fillId="0" borderId="5" xfId="244" applyFont="1" applyFill="1" applyBorder="1" applyAlignment="1">
      <alignment vertical="center" wrapText="1"/>
    </xf>
    <xf numFmtId="0" fontId="10" fillId="0" borderId="0" xfId="244" applyFill="1" applyAlignment="1">
      <alignment vertical="center" wrapText="1"/>
    </xf>
    <xf numFmtId="0" fontId="28" fillId="0" borderId="5" xfId="244" applyFont="1" applyBorder="1" applyAlignment="1">
      <alignment horizontal="right" vertical="center" wrapText="1"/>
    </xf>
    <xf numFmtId="1" fontId="31" fillId="0" borderId="8" xfId="244" applyNumberFormat="1" applyFont="1" applyFill="1" applyBorder="1" applyAlignment="1">
      <alignment horizontal="center" vertical="center" wrapText="1"/>
    </xf>
    <xf numFmtId="0" fontId="26" fillId="17" borderId="8" xfId="0" applyFont="1" applyFill="1" applyBorder="1" applyAlignment="1">
      <alignment horizontal="left" vertical="center" wrapText="1"/>
    </xf>
    <xf numFmtId="0" fontId="5" fillId="0" borderId="16" xfId="1" applyFont="1" applyFill="1" applyBorder="1" applyAlignment="1">
      <alignment horizontal="center" vertical="center"/>
    </xf>
    <xf numFmtId="0" fontId="5" fillId="0" borderId="15" xfId="1" applyFont="1" applyFill="1" applyBorder="1" applyAlignment="1">
      <alignment horizontal="center" vertical="center" wrapText="1"/>
    </xf>
    <xf numFmtId="0" fontId="4" fillId="0" borderId="9" xfId="1" applyFont="1" applyFill="1" applyBorder="1" applyAlignment="1">
      <alignment vertical="center"/>
    </xf>
    <xf numFmtId="0" fontId="4" fillId="0" borderId="21" xfId="1" applyFont="1" applyFill="1" applyBorder="1" applyAlignment="1">
      <alignment vertical="center"/>
    </xf>
    <xf numFmtId="0" fontId="5" fillId="0" borderId="25" xfId="1" applyFont="1" applyFill="1" applyBorder="1" applyAlignment="1">
      <alignment vertical="center"/>
    </xf>
    <xf numFmtId="0" fontId="4" fillId="0" borderId="22" xfId="2" applyFont="1" applyFill="1" applyBorder="1" applyAlignment="1">
      <alignment vertical="center"/>
    </xf>
    <xf numFmtId="166" fontId="28" fillId="16" borderId="8" xfId="5" applyNumberFormat="1" applyFont="1" applyFill="1" applyBorder="1" applyAlignment="1">
      <alignment horizontal="left" wrapText="1"/>
    </xf>
    <xf numFmtId="166" fontId="28" fillId="0" borderId="8" xfId="5" applyNumberFormat="1" applyFont="1" applyFill="1" applyBorder="1" applyAlignment="1">
      <alignment horizontal="left" wrapText="1"/>
    </xf>
    <xf numFmtId="170" fontId="28" fillId="0" borderId="5" xfId="244" applyNumberFormat="1" applyFont="1" applyFill="1" applyBorder="1" applyAlignment="1">
      <alignment horizontal="left" wrapText="1"/>
    </xf>
    <xf numFmtId="0" fontId="0" fillId="0" borderId="0" xfId="0" applyAlignment="1">
      <alignment vertical="center"/>
    </xf>
    <xf numFmtId="0" fontId="29" fillId="15" borderId="5" xfId="244" applyFont="1" applyFill="1" applyBorder="1" applyAlignment="1">
      <alignment horizontal="left" vertical="center" wrapText="1"/>
    </xf>
    <xf numFmtId="0" fontId="10" fillId="0" borderId="8" xfId="244" applyBorder="1" applyAlignment="1">
      <alignment vertical="center" wrapText="1"/>
    </xf>
    <xf numFmtId="166" fontId="9" fillId="0" borderId="8" xfId="244" applyNumberFormat="1" applyFont="1" applyBorder="1" applyAlignment="1">
      <alignment vertical="center" wrapText="1"/>
    </xf>
    <xf numFmtId="0" fontId="5" fillId="4" borderId="17" xfId="1" applyFont="1" applyFill="1" applyBorder="1" applyAlignment="1">
      <alignment horizontal="center" vertical="center" wrapText="1"/>
    </xf>
    <xf numFmtId="0" fontId="5" fillId="4" borderId="17" xfId="1" applyFont="1" applyFill="1" applyBorder="1" applyAlignment="1">
      <alignment horizontal="center" vertical="center" wrapText="1"/>
    </xf>
    <xf numFmtId="0" fontId="35" fillId="0" borderId="0" xfId="0" applyFont="1" applyAlignment="1">
      <alignment horizontal="center" vertical="center" wrapText="1"/>
    </xf>
    <xf numFmtId="1" fontId="35" fillId="0" borderId="0" xfId="0" applyNumberFormat="1" applyFont="1" applyAlignment="1">
      <alignment horizontal="center" vertical="center" wrapText="1"/>
    </xf>
    <xf numFmtId="0" fontId="35" fillId="18" borderId="8" xfId="0" applyFont="1" applyFill="1" applyBorder="1" applyAlignment="1">
      <alignment horizontal="center" vertical="center" wrapText="1"/>
    </xf>
    <xf numFmtId="0" fontId="35" fillId="19" borderId="8" xfId="0" applyFont="1" applyFill="1" applyBorder="1" applyAlignment="1">
      <alignment horizontal="center" vertical="center" wrapText="1"/>
    </xf>
    <xf numFmtId="0" fontId="36" fillId="0" borderId="8" xfId="0" applyFont="1" applyBorder="1" applyAlignment="1">
      <alignment horizontal="center" vertical="center"/>
    </xf>
    <xf numFmtId="166" fontId="36" fillId="0" borderId="8" xfId="5" applyNumberFormat="1" applyFont="1" applyFill="1" applyBorder="1" applyAlignment="1">
      <alignment horizontal="center" vertical="center"/>
    </xf>
    <xf numFmtId="0" fontId="36" fillId="0" borderId="8" xfId="0" applyFont="1" applyBorder="1" applyAlignment="1">
      <alignment horizontal="center" vertical="center" wrapText="1"/>
    </xf>
    <xf numFmtId="0" fontId="37" fillId="0" borderId="8" xfId="0" applyFont="1" applyBorder="1" applyAlignment="1">
      <alignment horizontal="center" vertical="center"/>
    </xf>
    <xf numFmtId="166" fontId="37" fillId="0" borderId="8" xfId="5" applyNumberFormat="1" applyFont="1" applyFill="1" applyBorder="1" applyAlignment="1">
      <alignment horizontal="center" vertical="center"/>
    </xf>
    <xf numFmtId="0" fontId="37" fillId="0" borderId="8" xfId="0" applyFont="1" applyBorder="1" applyAlignment="1">
      <alignment horizontal="center" vertical="center" wrapText="1"/>
    </xf>
    <xf numFmtId="166" fontId="4" fillId="0" borderId="8" xfId="4" applyNumberFormat="1" applyFont="1" applyFill="1" applyBorder="1" applyAlignment="1">
      <alignment vertical="center"/>
    </xf>
    <xf numFmtId="0" fontId="5" fillId="2" borderId="36" xfId="1" applyFont="1" applyFill="1" applyBorder="1" applyAlignment="1">
      <alignment horizontal="center" vertical="center"/>
    </xf>
    <xf numFmtId="166" fontId="3" fillId="2" borderId="2" xfId="5" applyNumberFormat="1" applyFont="1" applyFill="1" applyBorder="1" applyAlignment="1">
      <alignment vertical="center"/>
    </xf>
    <xf numFmtId="166" fontId="5" fillId="4" borderId="9" xfId="5" applyNumberFormat="1" applyFont="1" applyFill="1" applyBorder="1" applyAlignment="1">
      <alignment vertical="center"/>
    </xf>
    <xf numFmtId="166" fontId="5" fillId="4" borderId="8" xfId="5" applyNumberFormat="1" applyFont="1" applyFill="1" applyBorder="1" applyAlignment="1">
      <alignment horizontal="center" vertical="center"/>
    </xf>
    <xf numFmtId="166" fontId="5" fillId="4" borderId="12" xfId="5" applyNumberFormat="1" applyFont="1" applyFill="1" applyBorder="1" applyAlignment="1">
      <alignment horizontal="center" vertical="center"/>
    </xf>
    <xf numFmtId="166" fontId="5" fillId="4" borderId="15" xfId="5" applyNumberFormat="1" applyFont="1" applyFill="1" applyBorder="1" applyAlignment="1">
      <alignment horizontal="center" vertical="center" wrapText="1"/>
    </xf>
    <xf numFmtId="166" fontId="5" fillId="2" borderId="9" xfId="5" applyNumberFormat="1" applyFont="1" applyFill="1" applyBorder="1" applyAlignment="1">
      <alignment horizontal="center" vertical="center"/>
    </xf>
    <xf numFmtId="166" fontId="4" fillId="4" borderId="9" xfId="5" applyNumberFormat="1" applyFont="1" applyFill="1" applyBorder="1" applyAlignment="1">
      <alignment vertical="center"/>
    </xf>
    <xf numFmtId="166" fontId="5" fillId="4" borderId="8" xfId="5" applyNumberFormat="1" applyFont="1" applyFill="1" applyBorder="1" applyAlignment="1">
      <alignment vertical="center"/>
    </xf>
    <xf numFmtId="166" fontId="5" fillId="2" borderId="9" xfId="5" applyNumberFormat="1" applyFont="1" applyFill="1" applyBorder="1" applyAlignment="1">
      <alignment vertical="center"/>
    </xf>
    <xf numFmtId="166" fontId="4" fillId="4" borderId="21" xfId="5" applyNumberFormat="1" applyFont="1" applyFill="1" applyBorder="1" applyAlignment="1">
      <alignment vertical="center"/>
    </xf>
    <xf numFmtId="166" fontId="5" fillId="4" borderId="12" xfId="5" applyNumberFormat="1" applyFont="1" applyFill="1" applyBorder="1" applyAlignment="1">
      <alignment vertical="center"/>
    </xf>
    <xf numFmtId="166" fontId="5" fillId="4" borderId="25" xfId="5" applyNumberFormat="1" applyFont="1" applyFill="1" applyBorder="1" applyAlignment="1">
      <alignment vertical="center"/>
    </xf>
    <xf numFmtId="166" fontId="5" fillId="3" borderId="8" xfId="5" applyNumberFormat="1" applyFont="1" applyFill="1" applyBorder="1" applyAlignment="1">
      <alignment vertical="center" wrapText="1"/>
    </xf>
    <xf numFmtId="166" fontId="4" fillId="4" borderId="22" xfId="5" applyNumberFormat="1" applyFont="1" applyFill="1" applyBorder="1" applyAlignment="1">
      <alignment vertical="center"/>
    </xf>
    <xf numFmtId="166" fontId="4" fillId="0" borderId="41" xfId="5" applyNumberFormat="1" applyFont="1" applyFill="1" applyBorder="1" applyAlignment="1">
      <alignment vertical="center"/>
    </xf>
    <xf numFmtId="166" fontId="4" fillId="0" borderId="0" xfId="5" applyNumberFormat="1" applyFont="1" applyFill="1" applyBorder="1" applyAlignment="1">
      <alignment vertical="center"/>
    </xf>
    <xf numFmtId="166" fontId="7" fillId="0" borderId="0" xfId="5" applyNumberFormat="1" applyFont="1" applyBorder="1" applyAlignment="1">
      <alignment vertical="center" wrapText="1"/>
    </xf>
    <xf numFmtId="166" fontId="4" fillId="0" borderId="30" xfId="5" applyNumberFormat="1" applyFont="1" applyFill="1" applyBorder="1" applyAlignment="1">
      <alignment vertical="center"/>
    </xf>
    <xf numFmtId="166" fontId="0" fillId="0" borderId="8" xfId="5" applyNumberFormat="1" applyFont="1" applyBorder="1"/>
    <xf numFmtId="0" fontId="0" fillId="0" borderId="8" xfId="0" applyBorder="1"/>
    <xf numFmtId="0" fontId="5" fillId="4" borderId="17" xfId="1" applyFont="1" applyFill="1" applyBorder="1" applyAlignment="1">
      <alignment horizontal="center" vertical="center" wrapText="1"/>
    </xf>
    <xf numFmtId="0" fontId="40" fillId="0" borderId="56" xfId="0" applyFont="1" applyBorder="1" applyAlignment="1">
      <alignment vertical="center"/>
    </xf>
    <xf numFmtId="0" fontId="39" fillId="0" borderId="58" xfId="0" applyFont="1" applyBorder="1" applyAlignment="1">
      <alignment horizontal="center" vertical="center" wrapText="1"/>
    </xf>
    <xf numFmtId="0" fontId="40" fillId="0" borderId="31" xfId="0" applyFont="1" applyBorder="1" applyAlignment="1">
      <alignment horizontal="center" vertical="center"/>
    </xf>
    <xf numFmtId="0" fontId="40" fillId="0" borderId="31" xfId="0" applyFont="1" applyBorder="1" applyAlignment="1">
      <alignment vertical="center"/>
    </xf>
    <xf numFmtId="0" fontId="40" fillId="21" borderId="31" xfId="0" applyFont="1" applyFill="1" applyBorder="1" applyAlignment="1">
      <alignment vertical="center"/>
    </xf>
    <xf numFmtId="0" fontId="40" fillId="22" borderId="31" xfId="0" applyFont="1" applyFill="1" applyBorder="1" applyAlignment="1">
      <alignment vertical="center"/>
    </xf>
    <xf numFmtId="0" fontId="40" fillId="0" borderId="31" xfId="0" applyFont="1" applyBorder="1" applyAlignment="1">
      <alignment vertical="center" wrapText="1"/>
    </xf>
    <xf numFmtId="0" fontId="40" fillId="0" borderId="31" xfId="0" applyFont="1" applyBorder="1" applyAlignment="1">
      <alignment horizontal="center" vertical="center" wrapText="1"/>
    </xf>
    <xf numFmtId="0" fontId="42" fillId="0" borderId="31" xfId="0" applyFont="1" applyBorder="1" applyAlignment="1">
      <alignment vertical="center"/>
    </xf>
    <xf numFmtId="0" fontId="40" fillId="17" borderId="31" xfId="0" applyFont="1" applyFill="1" applyBorder="1" applyAlignment="1">
      <alignment vertical="center" wrapText="1"/>
    </xf>
    <xf numFmtId="0" fontId="40" fillId="22" borderId="28" xfId="0" applyFont="1" applyFill="1" applyBorder="1" applyAlignment="1">
      <alignment vertical="center"/>
    </xf>
    <xf numFmtId="0" fontId="43" fillId="0" borderId="31" xfId="245" applyBorder="1" applyAlignment="1">
      <alignment vertical="center"/>
    </xf>
    <xf numFmtId="0" fontId="40" fillId="22" borderId="31" xfId="0" applyFont="1" applyFill="1" applyBorder="1" applyAlignment="1">
      <alignment vertical="center" wrapText="1"/>
    </xf>
    <xf numFmtId="0" fontId="40" fillId="17" borderId="31" xfId="0" applyFont="1" applyFill="1" applyBorder="1" applyAlignment="1">
      <alignment vertical="center"/>
    </xf>
    <xf numFmtId="0" fontId="40" fillId="0" borderId="28" xfId="0" applyFont="1" applyBorder="1" applyAlignment="1">
      <alignment vertical="center"/>
    </xf>
    <xf numFmtId="0" fontId="40" fillId="3" borderId="56" xfId="0" applyFont="1" applyFill="1" applyBorder="1" applyAlignment="1">
      <alignment vertical="center"/>
    </xf>
    <xf numFmtId="0" fontId="40" fillId="3" borderId="31" xfId="0" applyFont="1" applyFill="1" applyBorder="1" applyAlignment="1">
      <alignment vertical="center"/>
    </xf>
    <xf numFmtId="0" fontId="42" fillId="17" borderId="31" xfId="0" applyFont="1" applyFill="1" applyBorder="1" applyAlignment="1">
      <alignment vertical="center"/>
    </xf>
    <xf numFmtId="0" fontId="40" fillId="23" borderId="58" xfId="0" applyFont="1" applyFill="1" applyBorder="1" applyAlignment="1">
      <alignment horizontal="center" vertical="center"/>
    </xf>
    <xf numFmtId="0" fontId="40" fillId="23" borderId="31" xfId="0" applyFont="1" applyFill="1" applyBorder="1" applyAlignment="1">
      <alignment vertical="center" wrapText="1"/>
    </xf>
    <xf numFmtId="0" fontId="40" fillId="23" borderId="31" xfId="0" applyFont="1" applyFill="1" applyBorder="1" applyAlignment="1">
      <alignment vertical="center"/>
    </xf>
    <xf numFmtId="0" fontId="40" fillId="23" borderId="59" xfId="0" applyFont="1" applyFill="1" applyBorder="1" applyAlignment="1">
      <alignment horizontal="center" vertical="center"/>
    </xf>
    <xf numFmtId="0" fontId="40" fillId="23" borderId="57" xfId="0" applyFont="1" applyFill="1" applyBorder="1" applyAlignment="1">
      <alignment horizontal="center" vertical="center"/>
    </xf>
    <xf numFmtId="0" fontId="41" fillId="17" borderId="31" xfId="0" applyFont="1" applyFill="1" applyBorder="1" applyAlignment="1">
      <alignment vertical="center"/>
    </xf>
    <xf numFmtId="0" fontId="38" fillId="20" borderId="8" xfId="0" applyFont="1" applyFill="1" applyBorder="1" applyAlignment="1">
      <alignment horizontal="center" vertical="center" wrapText="1"/>
    </xf>
    <xf numFmtId="0" fontId="0" fillId="0" borderId="8" xfId="0" applyBorder="1" applyAlignment="1">
      <alignment vertical="center"/>
    </xf>
    <xf numFmtId="0" fontId="36" fillId="17" borderId="8" xfId="0" applyFont="1" applyFill="1" applyBorder="1" applyAlignment="1">
      <alignment horizontal="center" vertical="center"/>
    </xf>
    <xf numFmtId="166" fontId="5" fillId="11" borderId="9" xfId="5" applyNumberFormat="1" applyFont="1" applyFill="1" applyBorder="1" applyAlignment="1">
      <alignment vertical="center"/>
    </xf>
    <xf numFmtId="1" fontId="5" fillId="11" borderId="9" xfId="3" applyNumberFormat="1" applyFont="1" applyFill="1" applyBorder="1" applyAlignment="1">
      <alignment vertical="center"/>
    </xf>
    <xf numFmtId="0" fontId="36" fillId="17" borderId="8" xfId="0" applyFont="1" applyFill="1" applyBorder="1" applyAlignment="1">
      <alignment horizontal="center" vertical="center" wrapText="1"/>
    </xf>
    <xf numFmtId="0" fontId="37" fillId="0" borderId="8" xfId="0" applyFont="1" applyFill="1" applyBorder="1" applyAlignment="1">
      <alignment horizontal="center" vertical="center"/>
    </xf>
    <xf numFmtId="0" fontId="36" fillId="0" borderId="8" xfId="0" applyFont="1" applyFill="1" applyBorder="1" applyAlignment="1">
      <alignment horizontal="center" vertical="center" wrapText="1"/>
    </xf>
    <xf numFmtId="0" fontId="0" fillId="24" borderId="8" xfId="0" applyFill="1" applyBorder="1"/>
    <xf numFmtId="0" fontId="44" fillId="24" borderId="8" xfId="0" applyFont="1" applyFill="1" applyBorder="1" applyAlignment="1">
      <alignment horizontal="center" vertical="center" wrapText="1"/>
    </xf>
    <xf numFmtId="166" fontId="8" fillId="24" borderId="8" xfId="0" applyNumberFormat="1" applyFont="1" applyFill="1" applyBorder="1"/>
    <xf numFmtId="0" fontId="45" fillId="0" borderId="0" xfId="0" applyFont="1"/>
    <xf numFmtId="166" fontId="0" fillId="0" borderId="8" xfId="5" applyNumberFormat="1" applyFont="1" applyBorder="1" applyAlignment="1">
      <alignment horizontal="center"/>
    </xf>
    <xf numFmtId="166" fontId="0" fillId="0" borderId="8" xfId="5" applyNumberFormat="1" applyFont="1" applyFill="1" applyBorder="1" applyAlignment="1">
      <alignment horizontal="center"/>
    </xf>
    <xf numFmtId="166" fontId="0" fillId="0" borderId="8" xfId="5" applyNumberFormat="1" applyFont="1" applyBorder="1" applyAlignment="1">
      <alignment horizontal="center" vertical="center"/>
    </xf>
    <xf numFmtId="0" fontId="0" fillId="0" borderId="8" xfId="0" applyBorder="1" applyAlignment="1">
      <alignment horizontal="center"/>
    </xf>
    <xf numFmtId="0" fontId="5" fillId="4" borderId="17" xfId="1" applyFont="1" applyFill="1" applyBorder="1" applyAlignment="1">
      <alignment horizontal="center" vertical="center" wrapText="1"/>
    </xf>
    <xf numFmtId="0" fontId="0" fillId="0" borderId="8" xfId="0" applyBorder="1" applyAlignment="1">
      <alignment horizontal="center" vertical="center"/>
    </xf>
    <xf numFmtId="0" fontId="36" fillId="0" borderId="8" xfId="0" applyFont="1" applyBorder="1" applyAlignment="1">
      <alignment horizontal="left" vertical="center" wrapText="1"/>
    </xf>
    <xf numFmtId="0" fontId="37" fillId="0" borderId="8" xfId="0" applyFont="1" applyBorder="1" applyAlignment="1">
      <alignment horizontal="left" vertical="center" wrapText="1"/>
    </xf>
    <xf numFmtId="0" fontId="36" fillId="0" borderId="8" xfId="0" applyFont="1" applyFill="1" applyBorder="1" applyAlignment="1">
      <alignment horizontal="left" vertical="center" wrapText="1"/>
    </xf>
    <xf numFmtId="166" fontId="0" fillId="0" borderId="0" xfId="0" applyNumberFormat="1"/>
    <xf numFmtId="0" fontId="8" fillId="6" borderId="8" xfId="0" applyFont="1" applyFill="1" applyBorder="1" applyAlignment="1">
      <alignment horizontal="center" vertical="center"/>
    </xf>
    <xf numFmtId="0" fontId="8" fillId="6" borderId="8" xfId="0" applyFont="1" applyFill="1" applyBorder="1"/>
    <xf numFmtId="166" fontId="46" fillId="6" borderId="8" xfId="5" applyNumberFormat="1" applyFont="1" applyFill="1" applyBorder="1" applyAlignment="1">
      <alignment horizontal="center" vertical="center"/>
    </xf>
    <xf numFmtId="0" fontId="46" fillId="6" borderId="8" xfId="0" applyFont="1" applyFill="1" applyBorder="1" applyAlignment="1">
      <alignment horizontal="left" vertical="center" wrapText="1"/>
    </xf>
    <xf numFmtId="166" fontId="0" fillId="0" borderId="8" xfId="5" applyNumberFormat="1" applyFont="1" applyFill="1" applyBorder="1" applyAlignment="1">
      <alignment horizontal="center" vertical="center"/>
    </xf>
    <xf numFmtId="166" fontId="0" fillId="0" borderId="8" xfId="0" applyNumberFormat="1" applyFill="1" applyBorder="1" applyAlignment="1">
      <alignment horizontal="center"/>
    </xf>
    <xf numFmtId="0" fontId="5" fillId="4" borderId="17" xfId="1" applyFont="1" applyFill="1" applyBorder="1" applyAlignment="1">
      <alignment horizontal="center" vertical="center" wrapText="1"/>
    </xf>
    <xf numFmtId="166" fontId="44" fillId="24" borderId="8" xfId="5" applyNumberFormat="1" applyFont="1" applyFill="1" applyBorder="1" applyAlignment="1">
      <alignment horizontal="center" vertical="center" wrapText="1"/>
    </xf>
    <xf numFmtId="0" fontId="49" fillId="0" borderId="0" xfId="0" applyFont="1"/>
    <xf numFmtId="49" fontId="50" fillId="25" borderId="8" xfId="247" applyNumberFormat="1" applyFont="1" applyFill="1" applyBorder="1" applyAlignment="1">
      <alignment horizontal="left" vertical="center"/>
    </xf>
    <xf numFmtId="49" fontId="50" fillId="25" borderId="8" xfId="247" applyNumberFormat="1" applyFont="1" applyFill="1" applyBorder="1" applyAlignment="1">
      <alignment horizontal="center" vertical="center"/>
    </xf>
    <xf numFmtId="0" fontId="50" fillId="25" borderId="8" xfId="247" applyFont="1" applyFill="1" applyBorder="1" applyAlignment="1">
      <alignment horizontal="center" vertical="center" wrapText="1"/>
    </xf>
    <xf numFmtId="166" fontId="30" fillId="0" borderId="8" xfId="5" applyNumberFormat="1" applyFont="1" applyFill="1" applyBorder="1" applyAlignment="1">
      <alignment horizontal="left"/>
    </xf>
    <xf numFmtId="166" fontId="51" fillId="0" borderId="8" xfId="5" applyNumberFormat="1" applyFont="1" applyFill="1" applyBorder="1" applyAlignment="1">
      <alignment horizontal="center" vertical="center" wrapText="1"/>
    </xf>
    <xf numFmtId="1" fontId="51" fillId="0" borderId="8" xfId="5" applyNumberFormat="1" applyFont="1" applyFill="1" applyBorder="1" applyAlignment="1">
      <alignment horizontal="center" vertical="center" wrapText="1"/>
    </xf>
    <xf numFmtId="166" fontId="52" fillId="0" borderId="8" xfId="5" applyNumberFormat="1" applyFont="1" applyFill="1" applyBorder="1" applyAlignment="1">
      <alignment horizontal="center" vertical="center"/>
    </xf>
    <xf numFmtId="166" fontId="53" fillId="0" borderId="8" xfId="5" applyNumberFormat="1" applyFont="1" applyFill="1" applyBorder="1" applyAlignment="1">
      <alignment horizontal="left" vertical="center" wrapText="1" indent="1"/>
    </xf>
    <xf numFmtId="0" fontId="0" fillId="0" borderId="0" xfId="0" applyFill="1"/>
    <xf numFmtId="0" fontId="0" fillId="0" borderId="8" xfId="0" applyFill="1" applyBorder="1"/>
    <xf numFmtId="166" fontId="0" fillId="0" borderId="8" xfId="5" applyNumberFormat="1" applyFont="1" applyFill="1" applyBorder="1"/>
    <xf numFmtId="0" fontId="0" fillId="0" borderId="0" xfId="0" applyFill="1" applyBorder="1"/>
    <xf numFmtId="166" fontId="51" fillId="0" borderId="8" xfId="5" applyNumberFormat="1" applyFont="1" applyFill="1" applyBorder="1" applyAlignment="1">
      <alignment horizontal="left" vertical="center" wrapText="1" indent="1"/>
    </xf>
    <xf numFmtId="0" fontId="51" fillId="0" borderId="8" xfId="5" applyNumberFormat="1" applyFont="1" applyFill="1" applyBorder="1" applyAlignment="1">
      <alignment horizontal="center" vertical="center" wrapText="1"/>
    </xf>
    <xf numFmtId="166" fontId="54" fillId="16" borderId="8" xfId="5" applyNumberFormat="1" applyFont="1" applyFill="1" applyBorder="1" applyAlignment="1">
      <alignment horizontal="left" vertical="top"/>
    </xf>
    <xf numFmtId="0" fontId="30" fillId="16" borderId="8" xfId="0" applyFont="1" applyFill="1" applyBorder="1" applyAlignment="1">
      <alignment horizontal="center" vertical="center" wrapText="1"/>
    </xf>
    <xf numFmtId="166" fontId="30" fillId="16" borderId="8" xfId="5" applyNumberFormat="1" applyFont="1" applyFill="1" applyBorder="1" applyAlignment="1">
      <alignment horizontal="center" vertical="center" wrapText="1"/>
    </xf>
    <xf numFmtId="166" fontId="30" fillId="16" borderId="8" xfId="0" applyNumberFormat="1" applyFont="1" applyFill="1" applyBorder="1" applyAlignment="1">
      <alignment horizontal="center" vertical="center" wrapText="1"/>
    </xf>
    <xf numFmtId="166" fontId="54" fillId="24" borderId="8" xfId="5" applyNumberFormat="1" applyFont="1" applyFill="1" applyBorder="1" applyAlignment="1">
      <alignment horizontal="left" vertical="top"/>
    </xf>
    <xf numFmtId="0" fontId="30" fillId="24" borderId="8" xfId="0" applyFont="1" applyFill="1" applyBorder="1" applyAlignment="1">
      <alignment horizontal="center" vertical="center" wrapText="1"/>
    </xf>
    <xf numFmtId="166" fontId="55" fillId="24" borderId="8" xfId="5" applyNumberFormat="1" applyFont="1" applyFill="1" applyBorder="1" applyAlignment="1">
      <alignment horizontal="center" vertical="center" wrapText="1"/>
    </xf>
    <xf numFmtId="0" fontId="30" fillId="16" borderId="0" xfId="0" applyFont="1" applyFill="1" applyAlignment="1">
      <alignment horizontal="center" vertical="center" wrapText="1"/>
    </xf>
    <xf numFmtId="0" fontId="30" fillId="16" borderId="0" xfId="0" applyFont="1" applyFill="1"/>
    <xf numFmtId="169" fontId="56" fillId="25" borderId="0" xfId="5" applyNumberFormat="1" applyFont="1" applyFill="1"/>
    <xf numFmtId="0" fontId="30" fillId="16" borderId="0" xfId="0" applyFont="1" applyFill="1" applyAlignment="1">
      <alignment horizontal="center"/>
    </xf>
    <xf numFmtId="169" fontId="55" fillId="16" borderId="0" xfId="5" applyNumberFormat="1" applyFont="1" applyFill="1"/>
    <xf numFmtId="169" fontId="30" fillId="16" borderId="0" xfId="5" applyNumberFormat="1" applyFont="1" applyFill="1"/>
    <xf numFmtId="0" fontId="57" fillId="16" borderId="0" xfId="5" applyNumberFormat="1" applyFont="1" applyFill="1" applyBorder="1" applyAlignment="1">
      <alignment horizontal="center" vertical="center" wrapText="1"/>
    </xf>
    <xf numFmtId="0" fontId="58" fillId="16" borderId="0" xfId="0" applyFont="1" applyFill="1"/>
    <xf numFmtId="49" fontId="50" fillId="25" borderId="0" xfId="247" applyNumberFormat="1" applyFont="1" applyFill="1" applyBorder="1" applyAlignment="1">
      <alignment horizontal="left" vertical="center"/>
    </xf>
    <xf numFmtId="49" fontId="50" fillId="25" borderId="0" xfId="247" applyNumberFormat="1" applyFont="1" applyFill="1" applyBorder="1" applyAlignment="1">
      <alignment horizontal="center" vertical="center"/>
    </xf>
    <xf numFmtId="0" fontId="50" fillId="25" borderId="0" xfId="247" applyFont="1" applyFill="1" applyBorder="1" applyAlignment="1">
      <alignment horizontal="center" vertical="center"/>
    </xf>
    <xf numFmtId="0" fontId="50" fillId="16" borderId="0" xfId="5" applyNumberFormat="1" applyFont="1" applyFill="1" applyBorder="1" applyAlignment="1">
      <alignment horizontal="center" vertical="center"/>
    </xf>
    <xf numFmtId="171" fontId="30" fillId="16" borderId="0" xfId="0" applyNumberFormat="1" applyFont="1" applyFill="1" applyAlignment="1">
      <alignment horizontal="center" vertical="center" wrapText="1"/>
    </xf>
    <xf numFmtId="49" fontId="51" fillId="16" borderId="62" xfId="5" applyNumberFormat="1" applyFont="1" applyFill="1" applyBorder="1" applyAlignment="1">
      <alignment horizontal="left" vertical="center"/>
    </xf>
    <xf numFmtId="166" fontId="51" fillId="16" borderId="63" xfId="5" applyNumberFormat="1" applyFont="1" applyFill="1" applyBorder="1" applyAlignment="1">
      <alignment horizontal="center" vertical="center" wrapText="1"/>
    </xf>
    <xf numFmtId="166" fontId="51" fillId="16" borderId="64" xfId="5" applyNumberFormat="1" applyFont="1" applyFill="1" applyBorder="1" applyAlignment="1">
      <alignment horizontal="left" vertical="center" wrapText="1" indent="1"/>
    </xf>
    <xf numFmtId="166" fontId="59" fillId="16" borderId="63" xfId="5" applyNumberFormat="1" applyFont="1" applyFill="1" applyBorder="1" applyAlignment="1">
      <alignment horizontal="center" vertical="center" wrapText="1"/>
    </xf>
    <xf numFmtId="9" fontId="53" fillId="16" borderId="65" xfId="246" applyFont="1" applyFill="1" applyBorder="1" applyAlignment="1">
      <alignment horizontal="center" vertical="center"/>
    </xf>
    <xf numFmtId="1" fontId="50" fillId="16" borderId="0" xfId="5" applyNumberFormat="1" applyFont="1" applyFill="1" applyBorder="1" applyAlignment="1">
      <alignment horizontal="center" vertical="center"/>
    </xf>
    <xf numFmtId="0" fontId="48" fillId="16" borderId="0" xfId="0" applyFont="1" applyFill="1"/>
    <xf numFmtId="9" fontId="48" fillId="16" borderId="0" xfId="246" applyFont="1" applyFill="1"/>
    <xf numFmtId="0" fontId="57" fillId="16" borderId="0" xfId="0" applyFont="1" applyFill="1"/>
    <xf numFmtId="49" fontId="51" fillId="16" borderId="0" xfId="5" applyNumberFormat="1" applyFont="1" applyFill="1" applyBorder="1" applyAlignment="1">
      <alignment horizontal="left" vertical="center"/>
    </xf>
    <xf numFmtId="49" fontId="51" fillId="16" borderId="0" xfId="5" applyNumberFormat="1" applyFont="1" applyFill="1" applyBorder="1" applyAlignment="1">
      <alignment horizontal="center" vertical="center"/>
    </xf>
    <xf numFmtId="166" fontId="51" fillId="16" borderId="0" xfId="5" applyNumberFormat="1" applyFont="1" applyFill="1" applyBorder="1" applyAlignment="1">
      <alignment horizontal="left" vertical="center" wrapText="1" indent="1"/>
    </xf>
    <xf numFmtId="166" fontId="51" fillId="16" borderId="0" xfId="5" applyNumberFormat="1" applyFont="1" applyFill="1" applyBorder="1" applyAlignment="1">
      <alignment horizontal="center" vertical="center"/>
    </xf>
    <xf numFmtId="9" fontId="53" fillId="16" borderId="0" xfId="246" applyFont="1" applyFill="1" applyBorder="1" applyAlignment="1">
      <alignment horizontal="center" vertical="center"/>
    </xf>
    <xf numFmtId="9" fontId="48" fillId="16" borderId="0" xfId="0" applyNumberFormat="1" applyFont="1" applyFill="1"/>
    <xf numFmtId="166" fontId="58" fillId="16" borderId="0" xfId="5" applyNumberFormat="1" applyFont="1" applyFill="1" applyBorder="1" applyAlignment="1">
      <alignment horizontal="center" vertical="center"/>
    </xf>
    <xf numFmtId="166" fontId="51" fillId="16" borderId="63" xfId="5" applyNumberFormat="1" applyFont="1" applyFill="1" applyBorder="1" applyAlignment="1">
      <alignment horizontal="left" vertical="center" wrapText="1" indent="1"/>
    </xf>
    <xf numFmtId="0" fontId="30" fillId="16" borderId="0" xfId="0" applyFont="1" applyFill="1" applyAlignment="1">
      <alignment horizontal="left"/>
    </xf>
    <xf numFmtId="169" fontId="51" fillId="16" borderId="63" xfId="5" applyNumberFormat="1" applyFont="1" applyFill="1" applyBorder="1" applyAlignment="1">
      <alignment horizontal="left" vertical="center" wrapText="1" indent="1"/>
    </xf>
    <xf numFmtId="9" fontId="53" fillId="16" borderId="66" xfId="246" applyFont="1" applyFill="1" applyBorder="1" applyAlignment="1">
      <alignment horizontal="center" vertical="center"/>
    </xf>
    <xf numFmtId="9" fontId="60" fillId="16" borderId="0" xfId="0" applyNumberFormat="1" applyFont="1" applyFill="1"/>
    <xf numFmtId="9" fontId="60" fillId="16" borderId="0" xfId="246" applyFont="1" applyFill="1"/>
    <xf numFmtId="166" fontId="58" fillId="16" borderId="63" xfId="5" applyNumberFormat="1" applyFont="1" applyFill="1" applyBorder="1" applyAlignment="1">
      <alignment horizontal="left" vertical="center" wrapText="1" indent="1"/>
    </xf>
    <xf numFmtId="166" fontId="30" fillId="16" borderId="0" xfId="0" applyNumberFormat="1" applyFont="1" applyFill="1" applyAlignment="1">
      <alignment horizontal="center" vertical="center" wrapText="1"/>
    </xf>
    <xf numFmtId="166" fontId="58" fillId="16" borderId="0" xfId="0" applyNumberFormat="1" applyFont="1" applyFill="1" applyAlignment="1">
      <alignment horizontal="center" vertical="center" wrapText="1"/>
    </xf>
    <xf numFmtId="166" fontId="61" fillId="16" borderId="0" xfId="5" applyNumberFormat="1" applyFont="1" applyFill="1" applyBorder="1" applyAlignment="1">
      <alignment horizontal="center" vertical="center" wrapText="1"/>
    </xf>
    <xf numFmtId="166" fontId="53" fillId="16" borderId="63" xfId="5" applyNumberFormat="1" applyFont="1" applyFill="1" applyBorder="1" applyAlignment="1">
      <alignment horizontal="left" vertical="center" wrapText="1" indent="1"/>
    </xf>
    <xf numFmtId="166" fontId="51" fillId="16" borderId="0" xfId="5" applyNumberFormat="1" applyFont="1" applyFill="1" applyBorder="1" applyAlignment="1">
      <alignment horizontal="center" vertical="center" wrapText="1"/>
    </xf>
    <xf numFmtId="166" fontId="58" fillId="16" borderId="0" xfId="5" applyNumberFormat="1" applyFont="1" applyFill="1" applyBorder="1" applyAlignment="1">
      <alignment horizontal="left" vertical="center" wrapText="1" indent="1"/>
    </xf>
    <xf numFmtId="1" fontId="53" fillId="16" borderId="0" xfId="5" applyNumberFormat="1" applyFont="1" applyFill="1" applyBorder="1" applyAlignment="1">
      <alignment horizontal="center" vertical="center"/>
    </xf>
    <xf numFmtId="166" fontId="62" fillId="16" borderId="0" xfId="5" applyNumberFormat="1" applyFont="1" applyFill="1" applyBorder="1" applyAlignment="1">
      <alignment horizontal="center" vertical="center" wrapText="1"/>
    </xf>
    <xf numFmtId="0" fontId="30" fillId="16" borderId="0" xfId="0" applyFont="1" applyFill="1" applyAlignment="1">
      <alignment horizontal="left" vertical="center" wrapText="1"/>
    </xf>
    <xf numFmtId="166" fontId="55" fillId="16" borderId="0" xfId="0" applyNumberFormat="1" applyFont="1" applyFill="1" applyAlignment="1">
      <alignment horizontal="center" vertical="center" wrapText="1"/>
    </xf>
    <xf numFmtId="0" fontId="50" fillId="25" borderId="0" xfId="0" applyFont="1" applyFill="1" applyAlignment="1">
      <alignment horizontal="center" vertical="center" wrapText="1"/>
    </xf>
    <xf numFmtId="0" fontId="50" fillId="25" borderId="0" xfId="0" applyFont="1" applyFill="1" applyAlignment="1">
      <alignment horizontal="left" vertical="center" wrapText="1"/>
    </xf>
    <xf numFmtId="166" fontId="50" fillId="25" borderId="0" xfId="5" applyNumberFormat="1" applyFont="1" applyFill="1" applyBorder="1" applyAlignment="1">
      <alignment horizontal="center" vertical="center" wrapText="1"/>
    </xf>
    <xf numFmtId="0" fontId="55" fillId="16" borderId="0" xfId="0" applyFont="1" applyFill="1"/>
    <xf numFmtId="0" fontId="30" fillId="0" borderId="47" xfId="0" applyFont="1" applyBorder="1"/>
    <xf numFmtId="14" fontId="30" fillId="0" borderId="47" xfId="0" applyNumberFormat="1" applyFont="1" applyBorder="1" applyAlignment="1">
      <alignment horizontal="center"/>
    </xf>
    <xf numFmtId="17" fontId="30" fillId="16" borderId="47" xfId="0" applyNumberFormat="1" applyFont="1" applyFill="1" applyBorder="1" applyAlignment="1">
      <alignment horizontal="center"/>
    </xf>
    <xf numFmtId="0" fontId="43" fillId="0" borderId="47" xfId="245" applyFill="1" applyBorder="1" applyAlignment="1">
      <alignment horizontal="left"/>
    </xf>
    <xf numFmtId="164" fontId="30" fillId="0" borderId="47" xfId="5" applyFont="1" applyFill="1" applyBorder="1" applyAlignment="1">
      <alignment horizontal="left" vertical="center"/>
    </xf>
    <xf numFmtId="166" fontId="30" fillId="0" borderId="47" xfId="5" applyNumberFormat="1" applyFont="1" applyFill="1" applyBorder="1"/>
    <xf numFmtId="166" fontId="58" fillId="0" borderId="47" xfId="5" applyNumberFormat="1" applyFont="1" applyFill="1" applyBorder="1"/>
    <xf numFmtId="166" fontId="55" fillId="0" borderId="47" xfId="5" applyNumberFormat="1" applyFont="1" applyFill="1" applyBorder="1"/>
    <xf numFmtId="166" fontId="30" fillId="0" borderId="47" xfId="5" applyNumberFormat="1" applyFont="1" applyFill="1" applyBorder="1" applyAlignment="1">
      <alignment horizontal="center"/>
    </xf>
    <xf numFmtId="0" fontId="43" fillId="0" borderId="47" xfId="245" applyBorder="1"/>
    <xf numFmtId="0" fontId="60" fillId="0" borderId="47" xfId="245" applyFont="1" applyBorder="1"/>
    <xf numFmtId="0" fontId="30" fillId="0" borderId="47" xfId="0" applyFont="1" applyBorder="1" applyAlignment="1">
      <alignment horizontal="left"/>
    </xf>
    <xf numFmtId="0" fontId="30" fillId="0" borderId="0" xfId="0" applyFont="1" applyAlignment="1">
      <alignment horizontal="left"/>
    </xf>
    <xf numFmtId="166" fontId="30" fillId="0" borderId="67" xfId="5" applyNumberFormat="1" applyFont="1" applyFill="1" applyBorder="1" applyAlignment="1">
      <alignment horizontal="center"/>
    </xf>
    <xf numFmtId="0" fontId="30" fillId="0" borderId="0" xfId="0" applyFont="1"/>
    <xf numFmtId="0" fontId="43" fillId="3" borderId="47" xfId="245" applyFill="1" applyBorder="1" applyAlignment="1">
      <alignment horizontal="left"/>
    </xf>
    <xf numFmtId="0" fontId="30" fillId="0" borderId="47" xfId="0" applyFont="1" applyBorder="1" applyAlignment="1">
      <alignment wrapText="1"/>
    </xf>
    <xf numFmtId="0" fontId="30" fillId="0" borderId="47" xfId="0" applyFont="1" applyFill="1" applyBorder="1" applyAlignment="1">
      <alignment horizontal="left"/>
    </xf>
    <xf numFmtId="164" fontId="30" fillId="0" borderId="68" xfId="5" applyFont="1" applyFill="1" applyBorder="1" applyAlignment="1">
      <alignment horizontal="center" vertical="center"/>
    </xf>
    <xf numFmtId="166" fontId="30" fillId="16" borderId="47" xfId="5" applyNumberFormat="1" applyFont="1" applyFill="1" applyBorder="1" applyAlignment="1">
      <alignment horizontal="center"/>
    </xf>
    <xf numFmtId="0" fontId="30" fillId="3" borderId="47" xfId="0" applyFont="1" applyFill="1" applyBorder="1" applyAlignment="1">
      <alignment horizontal="left"/>
    </xf>
    <xf numFmtId="166" fontId="30" fillId="0" borderId="47" xfId="5" applyNumberFormat="1" applyFont="1" applyFill="1" applyBorder="1" applyAlignment="1">
      <alignment horizontal="center" wrapText="1"/>
    </xf>
    <xf numFmtId="164" fontId="58" fillId="0" borderId="47" xfId="5" applyFont="1" applyFill="1" applyBorder="1" applyAlignment="1">
      <alignment horizontal="left" vertical="center"/>
    </xf>
    <xf numFmtId="0" fontId="58" fillId="3" borderId="47" xfId="0" applyFont="1" applyFill="1" applyBorder="1" applyAlignment="1">
      <alignment horizontal="left"/>
    </xf>
    <xf numFmtId="0" fontId="30" fillId="0" borderId="47" xfId="0" applyFont="1" applyBorder="1" applyAlignment="1">
      <alignment vertical="center"/>
    </xf>
    <xf numFmtId="14" fontId="30" fillId="0" borderId="47" xfId="0" applyNumberFormat="1" applyFont="1" applyBorder="1" applyAlignment="1">
      <alignment horizontal="center" vertical="center"/>
    </xf>
    <xf numFmtId="17" fontId="30" fillId="16" borderId="47" xfId="0" applyNumberFormat="1" applyFont="1" applyFill="1" applyBorder="1" applyAlignment="1">
      <alignment horizontal="center" vertical="center"/>
    </xf>
    <xf numFmtId="0" fontId="58" fillId="3" borderId="47" xfId="0" applyFont="1" applyFill="1" applyBorder="1" applyAlignment="1">
      <alignment horizontal="left" vertical="center"/>
    </xf>
    <xf numFmtId="166" fontId="30" fillId="0" borderId="47" xfId="5" applyNumberFormat="1" applyFont="1" applyFill="1" applyBorder="1" applyAlignment="1">
      <alignment vertical="center"/>
    </xf>
    <xf numFmtId="166" fontId="58" fillId="0" borderId="47" xfId="5" applyNumberFormat="1" applyFont="1" applyFill="1" applyBorder="1" applyAlignment="1">
      <alignment vertical="center"/>
    </xf>
    <xf numFmtId="166" fontId="55" fillId="0" borderId="47" xfId="5" applyNumberFormat="1" applyFont="1" applyFill="1" applyBorder="1" applyAlignment="1">
      <alignment vertical="center"/>
    </xf>
    <xf numFmtId="166" fontId="30" fillId="0" borderId="47" xfId="5" applyNumberFormat="1" applyFont="1" applyFill="1" applyBorder="1" applyAlignment="1">
      <alignment horizontal="center" vertical="center" wrapText="1"/>
    </xf>
    <xf numFmtId="0" fontId="30" fillId="0" borderId="47" xfId="0" applyFont="1" applyBorder="1" applyAlignment="1">
      <alignment horizontal="left" vertical="center"/>
    </xf>
    <xf numFmtId="0" fontId="30" fillId="0" borderId="0" xfId="0" applyFont="1" applyAlignment="1">
      <alignment horizontal="left" vertical="center"/>
    </xf>
    <xf numFmtId="166" fontId="30" fillId="0" borderId="67" xfId="5" applyNumberFormat="1" applyFont="1" applyFill="1" applyBorder="1" applyAlignment="1">
      <alignment horizontal="center" vertical="center"/>
    </xf>
    <xf numFmtId="0" fontId="30" fillId="0" borderId="0" xfId="0" applyFont="1" applyAlignment="1">
      <alignment vertical="center"/>
    </xf>
    <xf numFmtId="0" fontId="58" fillId="3" borderId="8" xfId="0" applyFont="1" applyFill="1" applyBorder="1" applyAlignment="1">
      <alignment horizontal="left"/>
    </xf>
    <xf numFmtId="0" fontId="30" fillId="3" borderId="8" xfId="0" applyFont="1" applyFill="1" applyBorder="1" applyAlignment="1">
      <alignment horizontal="left"/>
    </xf>
    <xf numFmtId="166" fontId="30" fillId="0" borderId="8" xfId="5" applyNumberFormat="1" applyFont="1" applyFill="1" applyBorder="1"/>
    <xf numFmtId="0" fontId="58" fillId="0" borderId="47" xfId="0" applyFont="1" applyBorder="1" applyAlignment="1">
      <alignment horizontal="left" vertical="center"/>
    </xf>
    <xf numFmtId="0" fontId="63" fillId="0" borderId="47" xfId="0" applyFont="1" applyBorder="1" applyAlignment="1">
      <alignment horizontal="left"/>
    </xf>
    <xf numFmtId="0" fontId="63" fillId="0" borderId="0" xfId="0" applyFont="1" applyAlignment="1">
      <alignment horizontal="left"/>
    </xf>
    <xf numFmtId="166" fontId="53" fillId="0" borderId="47" xfId="5" applyNumberFormat="1" applyFont="1" applyFill="1" applyBorder="1"/>
    <xf numFmtId="166" fontId="63" fillId="0" borderId="67" xfId="5" applyNumberFormat="1" applyFont="1" applyFill="1" applyBorder="1" applyAlignment="1">
      <alignment horizontal="center"/>
    </xf>
    <xf numFmtId="0" fontId="63" fillId="0" borderId="0" xfId="0" applyFont="1"/>
    <xf numFmtId="0" fontId="58" fillId="0" borderId="47" xfId="0" applyFont="1" applyBorder="1" applyAlignment="1">
      <alignment vertical="center"/>
    </xf>
    <xf numFmtId="0" fontId="58" fillId="3" borderId="47" xfId="0" applyFont="1" applyFill="1" applyBorder="1"/>
    <xf numFmtId="166" fontId="30" fillId="0" borderId="67" xfId="5" applyNumberFormat="1" applyFont="1" applyFill="1" applyBorder="1" applyAlignment="1">
      <alignment horizontal="left"/>
    </xf>
    <xf numFmtId="166" fontId="58" fillId="0" borderId="47" xfId="5" applyNumberFormat="1" applyFont="1" applyFill="1" applyBorder="1" applyAlignment="1">
      <alignment horizontal="center"/>
    </xf>
    <xf numFmtId="17" fontId="30" fillId="0" borderId="47" xfId="0" applyNumberFormat="1" applyFont="1" applyFill="1" applyBorder="1" applyAlignment="1">
      <alignment horizontal="center"/>
    </xf>
    <xf numFmtId="0" fontId="30" fillId="0" borderId="47" xfId="0" applyFont="1" applyFill="1" applyBorder="1" applyAlignment="1">
      <alignment horizontal="left" vertical="center"/>
    </xf>
    <xf numFmtId="0" fontId="30" fillId="0" borderId="47" xfId="0" applyFont="1" applyFill="1" applyBorder="1"/>
    <xf numFmtId="0" fontId="30" fillId="0" borderId="0" xfId="0" applyFont="1" applyFill="1" applyAlignment="1">
      <alignment horizontal="left"/>
    </xf>
    <xf numFmtId="0" fontId="30" fillId="0" borderId="0" xfId="0" applyFont="1" applyFill="1"/>
    <xf numFmtId="0" fontId="63" fillId="0" borderId="47" xfId="0" applyFont="1" applyFill="1" applyBorder="1" applyAlignment="1">
      <alignment horizontal="left"/>
    </xf>
    <xf numFmtId="0" fontId="63" fillId="0" borderId="0" xfId="0" applyFont="1" applyFill="1" applyAlignment="1">
      <alignment horizontal="left"/>
    </xf>
    <xf numFmtId="0" fontId="58" fillId="0" borderId="47" xfId="0" applyFont="1" applyBorder="1" applyAlignment="1">
      <alignment horizontal="left"/>
    </xf>
    <xf numFmtId="0" fontId="30" fillId="16" borderId="47" xfId="0" applyFont="1" applyFill="1" applyBorder="1"/>
    <xf numFmtId="166" fontId="30" fillId="16" borderId="67" xfId="5" applyNumberFormat="1" applyFont="1" applyFill="1" applyBorder="1" applyAlignment="1">
      <alignment horizontal="center"/>
    </xf>
    <xf numFmtId="0" fontId="30" fillId="16" borderId="69" xfId="0" applyFont="1" applyFill="1" applyBorder="1"/>
    <xf numFmtId="166" fontId="30" fillId="16" borderId="0" xfId="5" applyNumberFormat="1" applyFont="1" applyFill="1" applyBorder="1"/>
    <xf numFmtId="166" fontId="55" fillId="16" borderId="0" xfId="5" applyNumberFormat="1" applyFont="1" applyFill="1" applyBorder="1"/>
    <xf numFmtId="166" fontId="30" fillId="16" borderId="0" xfId="5" applyNumberFormat="1" applyFont="1" applyFill="1" applyBorder="1" applyAlignment="1">
      <alignment horizontal="center"/>
    </xf>
    <xf numFmtId="9" fontId="5" fillId="4" borderId="12" xfId="246" applyFont="1" applyFill="1" applyBorder="1" applyAlignment="1">
      <alignment horizontal="center" vertical="center"/>
    </xf>
    <xf numFmtId="0" fontId="4" fillId="0" borderId="41" xfId="2" applyFont="1" applyFill="1" applyBorder="1" applyAlignment="1">
      <alignment vertical="center"/>
    </xf>
    <xf numFmtId="0" fontId="4" fillId="0" borderId="0" xfId="2" applyFont="1" applyFill="1" applyBorder="1" applyAlignment="1">
      <alignment vertical="center"/>
    </xf>
    <xf numFmtId="9" fontId="5" fillId="4" borderId="8" xfId="246" applyFont="1" applyFill="1" applyBorder="1" applyAlignment="1">
      <alignment horizontal="center" vertical="center"/>
    </xf>
    <xf numFmtId="9" fontId="3" fillId="2" borderId="2" xfId="246" applyFont="1" applyFill="1" applyBorder="1" applyAlignment="1">
      <alignment vertical="center"/>
    </xf>
    <xf numFmtId="9" fontId="5" fillId="4" borderId="9" xfId="246" applyFont="1" applyFill="1" applyBorder="1" applyAlignment="1">
      <alignment vertical="center"/>
    </xf>
    <xf numFmtId="9" fontId="4" fillId="4" borderId="9" xfId="246" applyFont="1" applyFill="1" applyBorder="1" applyAlignment="1">
      <alignment vertical="center"/>
    </xf>
    <xf numFmtId="0" fontId="5" fillId="4" borderId="8" xfId="1" applyFont="1" applyFill="1" applyBorder="1" applyAlignment="1">
      <alignment horizontal="center" vertical="center" wrapText="1"/>
    </xf>
    <xf numFmtId="9" fontId="5" fillId="3" borderId="8" xfId="246" applyFont="1" applyFill="1" applyBorder="1" applyAlignment="1">
      <alignment vertical="center" wrapText="1"/>
    </xf>
    <xf numFmtId="166" fontId="5" fillId="2" borderId="9" xfId="1" applyNumberFormat="1" applyFont="1" applyFill="1" applyBorder="1" applyAlignment="1">
      <alignment vertical="center"/>
    </xf>
    <xf numFmtId="166" fontId="5" fillId="3" borderId="8" xfId="1" applyNumberFormat="1" applyFont="1" applyFill="1" applyBorder="1" applyAlignment="1">
      <alignment vertical="center" wrapText="1"/>
    </xf>
    <xf numFmtId="0" fontId="4" fillId="0" borderId="41" xfId="2" applyFont="1" applyFill="1" applyBorder="1" applyAlignment="1">
      <alignment vertical="center"/>
    </xf>
    <xf numFmtId="0" fontId="4" fillId="0" borderId="0" xfId="2" applyFont="1" applyFill="1" applyBorder="1" applyAlignment="1">
      <alignment vertical="center"/>
    </xf>
    <xf numFmtId="166" fontId="5" fillId="4" borderId="8" xfId="1" applyNumberFormat="1" applyFont="1" applyFill="1" applyBorder="1" applyAlignment="1">
      <alignment horizontal="center" vertical="center"/>
    </xf>
    <xf numFmtId="166" fontId="5" fillId="4" borderId="12" xfId="1" applyNumberFormat="1" applyFont="1" applyFill="1" applyBorder="1" applyAlignment="1">
      <alignment horizontal="center" vertical="center"/>
    </xf>
    <xf numFmtId="166" fontId="4" fillId="4" borderId="47" xfId="2" applyNumberFormat="1" applyFont="1" applyFill="1" applyBorder="1" applyAlignment="1">
      <alignment vertical="center"/>
    </xf>
    <xf numFmtId="166" fontId="5" fillId="4" borderId="25" xfId="1" applyNumberFormat="1" applyFont="1" applyFill="1" applyBorder="1" applyAlignment="1">
      <alignment vertical="center"/>
    </xf>
    <xf numFmtId="9" fontId="5" fillId="2" borderId="36" xfId="246" applyFont="1" applyFill="1" applyBorder="1" applyAlignment="1">
      <alignment horizontal="center" vertical="center"/>
    </xf>
    <xf numFmtId="9" fontId="5" fillId="4" borderId="17" xfId="246" applyFont="1" applyFill="1" applyBorder="1" applyAlignment="1">
      <alignment horizontal="center" vertical="center" wrapText="1"/>
    </xf>
    <xf numFmtId="9" fontId="5" fillId="4" borderId="15" xfId="246" applyFont="1" applyFill="1" applyBorder="1" applyAlignment="1">
      <alignment horizontal="center" vertical="center" wrapText="1"/>
    </xf>
    <xf numFmtId="9" fontId="5" fillId="2" borderId="9" xfId="246" applyFont="1" applyFill="1" applyBorder="1" applyAlignment="1">
      <alignment horizontal="center" vertical="center"/>
    </xf>
    <xf numFmtId="9" fontId="5" fillId="2" borderId="9" xfId="246" applyFont="1" applyFill="1" applyBorder="1" applyAlignment="1">
      <alignment vertical="center"/>
    </xf>
    <xf numFmtId="9" fontId="4" fillId="4" borderId="21" xfId="246" applyFont="1" applyFill="1" applyBorder="1" applyAlignment="1">
      <alignment vertical="center"/>
    </xf>
    <xf numFmtId="9" fontId="5" fillId="4" borderId="12" xfId="246" applyFont="1" applyFill="1" applyBorder="1" applyAlignment="1">
      <alignment vertical="center"/>
    </xf>
    <xf numFmtId="9" fontId="5" fillId="4" borderId="25" xfId="246" applyFont="1" applyFill="1" applyBorder="1" applyAlignment="1">
      <alignment vertical="center"/>
    </xf>
    <xf numFmtId="9" fontId="4" fillId="4" borderId="22" xfId="246" applyFont="1" applyFill="1" applyBorder="1" applyAlignment="1">
      <alignment vertical="center"/>
    </xf>
    <xf numFmtId="9" fontId="4" fillId="0" borderId="41" xfId="246" applyFont="1" applyFill="1" applyBorder="1" applyAlignment="1">
      <alignment vertical="center"/>
    </xf>
    <xf numFmtId="9" fontId="4" fillId="0" borderId="0" xfId="246" applyFont="1" applyFill="1" applyBorder="1" applyAlignment="1">
      <alignment vertical="center"/>
    </xf>
    <xf numFmtId="9" fontId="7" fillId="0" borderId="0" xfId="246" applyFont="1" applyBorder="1" applyAlignment="1">
      <alignment vertical="center" wrapText="1"/>
    </xf>
    <xf numFmtId="9" fontId="4" fillId="0" borderId="30" xfId="246" applyFont="1" applyFill="1" applyBorder="1" applyAlignment="1">
      <alignment vertical="center"/>
    </xf>
    <xf numFmtId="166" fontId="0" fillId="0" borderId="0" xfId="5" applyNumberFormat="1" applyFont="1"/>
    <xf numFmtId="0" fontId="58" fillId="0" borderId="47" xfId="0" applyFont="1" applyFill="1" applyBorder="1" applyAlignment="1">
      <alignment horizontal="left"/>
    </xf>
    <xf numFmtId="0" fontId="30" fillId="11" borderId="47" xfId="0" applyFont="1" applyFill="1" applyBorder="1"/>
    <xf numFmtId="14" fontId="30" fillId="0" borderId="47" xfId="0" applyNumberFormat="1" applyFont="1" applyFill="1" applyBorder="1" applyAlignment="1">
      <alignment horizontal="center"/>
    </xf>
    <xf numFmtId="0" fontId="58" fillId="0" borderId="47" xfId="0" applyFont="1" applyFill="1" applyBorder="1"/>
    <xf numFmtId="14" fontId="58" fillId="0" borderId="47" xfId="0" applyNumberFormat="1" applyFont="1" applyFill="1" applyBorder="1" applyAlignment="1">
      <alignment horizontal="center"/>
    </xf>
    <xf numFmtId="17" fontId="58" fillId="0" borderId="47" xfId="0" applyNumberFormat="1" applyFont="1" applyFill="1" applyBorder="1" applyAlignment="1">
      <alignment horizontal="center"/>
    </xf>
    <xf numFmtId="166" fontId="0" fillId="0" borderId="8" xfId="0" applyNumberFormat="1" applyFill="1" applyBorder="1"/>
    <xf numFmtId="166" fontId="0" fillId="17" borderId="8" xfId="0" applyNumberFormat="1" applyFill="1" applyBorder="1"/>
    <xf numFmtId="0" fontId="36" fillId="3" borderId="8" xfId="0" applyFont="1" applyFill="1" applyBorder="1" applyAlignment="1">
      <alignment horizontal="left" vertical="center" wrapText="1"/>
    </xf>
    <xf numFmtId="0" fontId="5" fillId="4" borderId="14" xfId="1" applyFont="1" applyFill="1" applyBorder="1" applyAlignment="1">
      <alignment horizontal="center" vertical="center" wrapText="1"/>
    </xf>
    <xf numFmtId="0" fontId="36" fillId="0" borderId="5" xfId="0" applyFont="1" applyBorder="1" applyAlignment="1">
      <alignment horizontal="center" vertical="center"/>
    </xf>
    <xf numFmtId="0" fontId="36" fillId="17" borderId="5" xfId="0" applyFont="1" applyFill="1" applyBorder="1" applyAlignment="1">
      <alignment horizontal="center" vertical="center"/>
    </xf>
    <xf numFmtId="166" fontId="36" fillId="0" borderId="5" xfId="5" applyNumberFormat="1" applyFont="1" applyFill="1" applyBorder="1" applyAlignment="1">
      <alignment horizontal="center" vertical="center"/>
    </xf>
    <xf numFmtId="0" fontId="36" fillId="0" borderId="5" xfId="0" applyFont="1" applyBorder="1" applyAlignment="1">
      <alignment horizontal="center" vertical="center" wrapText="1"/>
    </xf>
    <xf numFmtId="0" fontId="36" fillId="0" borderId="5" xfId="0" applyFont="1" applyBorder="1" applyAlignment="1">
      <alignment horizontal="left" vertical="center" wrapText="1"/>
    </xf>
    <xf numFmtId="166" fontId="0" fillId="0" borderId="5" xfId="5" applyNumberFormat="1" applyFont="1" applyBorder="1" applyAlignment="1">
      <alignment horizontal="center" vertical="center"/>
    </xf>
    <xf numFmtId="166" fontId="0" fillId="0" borderId="5" xfId="5" applyNumberFormat="1" applyFont="1" applyFill="1" applyBorder="1" applyAlignment="1">
      <alignment horizontal="center"/>
    </xf>
    <xf numFmtId="166" fontId="0" fillId="0" borderId="5" xfId="5" applyNumberFormat="1" applyFont="1" applyBorder="1" applyAlignment="1">
      <alignment horizontal="center"/>
    </xf>
    <xf numFmtId="166" fontId="0" fillId="0" borderId="5" xfId="5" applyNumberFormat="1" applyFont="1" applyBorder="1"/>
    <xf numFmtId="0" fontId="35" fillId="18" borderId="72" xfId="0" applyFont="1" applyFill="1" applyBorder="1" applyAlignment="1">
      <alignment horizontal="center" vertical="center" wrapText="1"/>
    </xf>
    <xf numFmtId="0" fontId="35" fillId="18" borderId="73" xfId="0" applyFont="1" applyFill="1" applyBorder="1" applyAlignment="1">
      <alignment horizontal="center" vertical="center" wrapText="1"/>
    </xf>
    <xf numFmtId="0" fontId="35" fillId="19" borderId="73" xfId="0" applyFont="1" applyFill="1" applyBorder="1" applyAlignment="1">
      <alignment horizontal="center" vertical="center" wrapText="1"/>
    </xf>
    <xf numFmtId="0" fontId="35" fillId="26" borderId="73" xfId="0" applyFont="1" applyFill="1" applyBorder="1" applyAlignment="1">
      <alignment horizontal="center" vertical="center" wrapText="1"/>
    </xf>
    <xf numFmtId="0" fontId="35" fillId="18" borderId="74" xfId="0" applyFont="1" applyFill="1" applyBorder="1" applyAlignment="1">
      <alignment horizontal="center" vertical="center" wrapText="1"/>
    </xf>
    <xf numFmtId="166" fontId="5" fillId="4" borderId="9" xfId="1" applyNumberFormat="1" applyFont="1" applyFill="1" applyBorder="1" applyAlignment="1">
      <alignment horizontal="center" vertical="center"/>
    </xf>
    <xf numFmtId="166" fontId="5" fillId="4" borderId="22" xfId="1" applyNumberFormat="1" applyFont="1" applyFill="1" applyBorder="1" applyAlignment="1">
      <alignment horizontal="center" vertical="center"/>
    </xf>
    <xf numFmtId="166" fontId="5" fillId="4" borderId="9" xfId="1" applyNumberFormat="1" applyFont="1" applyFill="1" applyBorder="1" applyAlignment="1">
      <alignment vertical="center"/>
    </xf>
    <xf numFmtId="166" fontId="5" fillId="4" borderId="22" xfId="1" applyNumberFormat="1" applyFont="1" applyFill="1" applyBorder="1" applyAlignment="1">
      <alignment vertical="center"/>
    </xf>
    <xf numFmtId="166" fontId="5" fillId="3" borderId="9" xfId="1" applyNumberFormat="1" applyFont="1" applyFill="1" applyBorder="1" applyAlignment="1">
      <alignment vertical="center" wrapText="1"/>
    </xf>
    <xf numFmtId="166" fontId="5" fillId="4" borderId="14" xfId="1" applyNumberFormat="1" applyFont="1" applyFill="1" applyBorder="1" applyAlignment="1">
      <alignment horizontal="center" vertical="center"/>
    </xf>
    <xf numFmtId="166" fontId="5" fillId="4" borderId="75" xfId="1" applyNumberFormat="1" applyFont="1" applyFill="1" applyBorder="1" applyAlignment="1">
      <alignment horizontal="center" vertical="center"/>
    </xf>
    <xf numFmtId="164" fontId="5" fillId="2" borderId="17" xfId="1" applyNumberFormat="1" applyFont="1" applyFill="1" applyBorder="1" applyAlignment="1">
      <alignment horizontal="center" vertical="center"/>
    </xf>
    <xf numFmtId="166" fontId="4" fillId="4" borderId="17" xfId="2" applyNumberFormat="1" applyFont="1" applyFill="1" applyBorder="1" applyAlignment="1">
      <alignment vertical="center"/>
    </xf>
    <xf numFmtId="164" fontId="5" fillId="2" borderId="17" xfId="1" applyNumberFormat="1" applyFont="1" applyFill="1" applyBorder="1" applyAlignment="1">
      <alignment vertical="center"/>
    </xf>
    <xf numFmtId="166" fontId="5" fillId="4" borderId="17" xfId="4" applyNumberFormat="1" applyFont="1" applyFill="1" applyBorder="1" applyAlignment="1">
      <alignment vertical="center"/>
    </xf>
    <xf numFmtId="166" fontId="5" fillId="4" borderId="14" xfId="5" applyNumberFormat="1" applyFont="1" applyFill="1" applyBorder="1" applyAlignment="1">
      <alignment vertical="center"/>
    </xf>
    <xf numFmtId="166" fontId="5" fillId="2" borderId="17" xfId="1" applyNumberFormat="1" applyFont="1" applyFill="1" applyBorder="1" applyAlignment="1">
      <alignment vertical="center"/>
    </xf>
    <xf numFmtId="166" fontId="4" fillId="4" borderId="37" xfId="4" applyNumberFormat="1" applyFont="1" applyFill="1" applyBorder="1" applyAlignment="1">
      <alignment vertical="center"/>
    </xf>
    <xf numFmtId="166" fontId="5" fillId="4" borderId="75" xfId="1" applyNumberFormat="1" applyFont="1" applyFill="1" applyBorder="1" applyAlignment="1">
      <alignment vertical="center"/>
    </xf>
    <xf numFmtId="166" fontId="5" fillId="4" borderId="2" xfId="1" applyNumberFormat="1" applyFont="1" applyFill="1" applyBorder="1" applyAlignment="1">
      <alignment vertical="center"/>
    </xf>
    <xf numFmtId="166" fontId="4" fillId="4" borderId="76" xfId="2" applyNumberFormat="1" applyFont="1" applyFill="1" applyBorder="1" applyAlignment="1">
      <alignment vertical="center"/>
    </xf>
    <xf numFmtId="0" fontId="3" fillId="2" borderId="41" xfId="1" applyFont="1" applyFill="1" applyBorder="1" applyAlignment="1">
      <alignment vertical="center"/>
    </xf>
    <xf numFmtId="1" fontId="5" fillId="4" borderId="1" xfId="3" applyNumberFormat="1" applyFont="1" applyFill="1" applyBorder="1" applyAlignment="1">
      <alignment vertical="center"/>
    </xf>
    <xf numFmtId="1" fontId="5" fillId="4" borderId="25" xfId="3" applyNumberFormat="1" applyFont="1" applyFill="1" applyBorder="1" applyAlignment="1">
      <alignment vertical="center"/>
    </xf>
    <xf numFmtId="1" fontId="5" fillId="4" borderId="26" xfId="3" applyNumberFormat="1" applyFont="1" applyFill="1" applyBorder="1" applyAlignment="1">
      <alignment vertical="center"/>
    </xf>
    <xf numFmtId="166" fontId="5" fillId="4" borderId="7" xfId="1" applyNumberFormat="1" applyFont="1" applyFill="1" applyBorder="1" applyAlignment="1">
      <alignment horizontal="center" vertical="center"/>
    </xf>
    <xf numFmtId="166" fontId="5" fillId="4" borderId="10" xfId="5" applyNumberFormat="1" applyFont="1" applyFill="1" applyBorder="1" applyAlignment="1">
      <alignment horizontal="center" vertical="center"/>
    </xf>
    <xf numFmtId="166" fontId="5" fillId="4" borderId="11" xfId="1" applyNumberFormat="1" applyFont="1" applyFill="1" applyBorder="1" applyAlignment="1">
      <alignment horizontal="center" vertical="center"/>
    </xf>
    <xf numFmtId="166" fontId="5" fillId="4" borderId="13" xfId="5" applyNumberFormat="1" applyFont="1" applyFill="1" applyBorder="1" applyAlignment="1">
      <alignment horizontal="center" vertical="center"/>
    </xf>
    <xf numFmtId="0" fontId="5" fillId="2" borderId="4" xfId="1" applyFont="1" applyFill="1" applyBorder="1" applyAlignment="1">
      <alignment horizontal="center" vertical="center"/>
    </xf>
    <xf numFmtId="0" fontId="5" fillId="2" borderId="33" xfId="1" applyFont="1" applyFill="1" applyBorder="1" applyAlignment="1">
      <alignment horizontal="center" vertical="center"/>
    </xf>
    <xf numFmtId="0" fontId="5" fillId="4" borderId="4" xfId="1" applyFont="1" applyFill="1" applyBorder="1" applyAlignment="1">
      <alignment horizontal="center" vertical="center" wrapText="1"/>
    </xf>
    <xf numFmtId="0" fontId="5" fillId="4" borderId="6" xfId="1" applyFont="1" applyFill="1" applyBorder="1" applyAlignment="1">
      <alignment horizontal="center" vertical="center" wrapText="1"/>
    </xf>
    <xf numFmtId="164" fontId="5" fillId="2" borderId="49" xfId="1" applyNumberFormat="1" applyFont="1" applyFill="1" applyBorder="1" applyAlignment="1">
      <alignment horizontal="center" vertical="center"/>
    </xf>
    <xf numFmtId="166" fontId="4" fillId="4" borderId="49" xfId="2" applyNumberFormat="1" applyFont="1" applyFill="1" applyBorder="1" applyAlignment="1">
      <alignment vertical="center"/>
    </xf>
    <xf numFmtId="166" fontId="4" fillId="4" borderId="10" xfId="2" applyNumberFormat="1" applyFont="1" applyFill="1" applyBorder="1" applyAlignment="1">
      <alignment vertical="center"/>
    </xf>
    <xf numFmtId="166" fontId="5" fillId="4" borderId="7" xfId="1" applyNumberFormat="1" applyFont="1" applyFill="1" applyBorder="1" applyAlignment="1">
      <alignment vertical="center"/>
    </xf>
    <xf numFmtId="166" fontId="5" fillId="4" borderId="10" xfId="5" applyNumberFormat="1" applyFont="1" applyFill="1" applyBorder="1" applyAlignment="1">
      <alignment vertical="center"/>
    </xf>
    <xf numFmtId="164" fontId="5" fillId="2" borderId="49" xfId="1" applyNumberFormat="1" applyFont="1" applyFill="1" applyBorder="1" applyAlignment="1">
      <alignment vertical="center"/>
    </xf>
    <xf numFmtId="166" fontId="5" fillId="4" borderId="7" xfId="4" applyNumberFormat="1" applyFont="1" applyFill="1" applyBorder="1" applyAlignment="1">
      <alignment vertical="center"/>
    </xf>
    <xf numFmtId="166" fontId="5" fillId="4" borderId="10" xfId="4" applyNumberFormat="1" applyFont="1" applyFill="1" applyBorder="1" applyAlignment="1">
      <alignment vertical="center"/>
    </xf>
    <xf numFmtId="166" fontId="5" fillId="4" borderId="49" xfId="4" applyNumberFormat="1" applyFont="1" applyFill="1" applyBorder="1" applyAlignment="1">
      <alignment vertical="center"/>
    </xf>
    <xf numFmtId="166" fontId="5" fillId="4" borderId="7" xfId="5" applyNumberFormat="1" applyFont="1" applyFill="1" applyBorder="1" applyAlignment="1">
      <alignment vertical="center"/>
    </xf>
    <xf numFmtId="166" fontId="4" fillId="4" borderId="51" xfId="4" applyNumberFormat="1" applyFont="1" applyFill="1" applyBorder="1" applyAlignment="1">
      <alignment vertical="center"/>
    </xf>
    <xf numFmtId="166" fontId="4" fillId="4" borderId="18" xfId="4" applyNumberFormat="1" applyFont="1" applyFill="1" applyBorder="1" applyAlignment="1">
      <alignment vertical="center"/>
    </xf>
    <xf numFmtId="166" fontId="5" fillId="4" borderId="11" xfId="1" applyNumberFormat="1" applyFont="1" applyFill="1" applyBorder="1" applyAlignment="1">
      <alignment vertical="center"/>
    </xf>
    <xf numFmtId="166" fontId="5" fillId="4" borderId="13" xfId="1" applyNumberFormat="1" applyFont="1" applyFill="1" applyBorder="1" applyAlignment="1">
      <alignment vertical="center"/>
    </xf>
    <xf numFmtId="166" fontId="5" fillId="4" borderId="1" xfId="1" applyNumberFormat="1" applyFont="1" applyFill="1" applyBorder="1" applyAlignment="1">
      <alignment vertical="center"/>
    </xf>
    <xf numFmtId="166" fontId="5" fillId="4" borderId="26" xfId="1" applyNumberFormat="1" applyFont="1" applyFill="1" applyBorder="1" applyAlignment="1">
      <alignment vertical="center"/>
    </xf>
    <xf numFmtId="166" fontId="5" fillId="3" borderId="7" xfId="1" applyNumberFormat="1" applyFont="1" applyFill="1" applyBorder="1" applyAlignment="1">
      <alignment vertical="center" wrapText="1"/>
    </xf>
    <xf numFmtId="166" fontId="4" fillId="4" borderId="52" xfId="2" applyNumberFormat="1" applyFont="1" applyFill="1" applyBorder="1" applyAlignment="1">
      <alignment vertical="center"/>
    </xf>
    <xf numFmtId="166" fontId="4" fillId="4" borderId="13" xfId="2" applyNumberFormat="1" applyFont="1" applyFill="1" applyBorder="1" applyAlignment="1">
      <alignment vertical="center"/>
    </xf>
    <xf numFmtId="0" fontId="5" fillId="4" borderId="16" xfId="1" applyFont="1" applyFill="1" applyBorder="1" applyAlignment="1">
      <alignment horizontal="center" vertical="center" wrapText="1"/>
    </xf>
    <xf numFmtId="166" fontId="5" fillId="3" borderId="14" xfId="5" applyNumberFormat="1" applyFont="1" applyFill="1" applyBorder="1" applyAlignment="1">
      <alignment vertical="center" wrapText="1"/>
    </xf>
    <xf numFmtId="1" fontId="5" fillId="7" borderId="17" xfId="3" applyNumberFormat="1" applyFont="1" applyFill="1" applyBorder="1" applyAlignment="1">
      <alignment vertical="center"/>
    </xf>
    <xf numFmtId="166" fontId="5" fillId="7" borderId="14" xfId="1" applyNumberFormat="1" applyFont="1" applyFill="1" applyBorder="1" applyAlignment="1">
      <alignment horizontal="center" vertical="center"/>
    </xf>
    <xf numFmtId="166" fontId="5" fillId="7" borderId="75" xfId="1" applyNumberFormat="1" applyFont="1" applyFill="1" applyBorder="1" applyAlignment="1">
      <alignment horizontal="center" vertical="center"/>
    </xf>
    <xf numFmtId="0" fontId="5" fillId="7" borderId="16" xfId="1" applyFont="1" applyFill="1" applyBorder="1" applyAlignment="1">
      <alignment horizontal="center" vertical="center" wrapText="1"/>
    </xf>
    <xf numFmtId="164" fontId="5" fillId="7" borderId="17" xfId="1" applyNumberFormat="1" applyFont="1" applyFill="1" applyBorder="1" applyAlignment="1">
      <alignment horizontal="center" vertical="center"/>
    </xf>
    <xf numFmtId="166" fontId="4" fillId="7" borderId="17" xfId="2" applyNumberFormat="1" applyFont="1" applyFill="1" applyBorder="1" applyAlignment="1">
      <alignment vertical="center"/>
    </xf>
    <xf numFmtId="166" fontId="5" fillId="7" borderId="14" xfId="1" applyNumberFormat="1" applyFont="1" applyFill="1" applyBorder="1" applyAlignment="1">
      <alignment vertical="center"/>
    </xf>
    <xf numFmtId="164" fontId="5" fillId="7" borderId="17" xfId="1" applyNumberFormat="1" applyFont="1" applyFill="1" applyBorder="1" applyAlignment="1">
      <alignment vertical="center"/>
    </xf>
    <xf numFmtId="166" fontId="5" fillId="7" borderId="14" xfId="4" applyNumberFormat="1" applyFont="1" applyFill="1" applyBorder="1" applyAlignment="1">
      <alignment vertical="center"/>
    </xf>
    <xf numFmtId="166" fontId="5" fillId="7" borderId="17" xfId="4" applyNumberFormat="1" applyFont="1" applyFill="1" applyBorder="1" applyAlignment="1">
      <alignment vertical="center"/>
    </xf>
    <xf numFmtId="166" fontId="5" fillId="7" borderId="17" xfId="1" applyNumberFormat="1" applyFont="1" applyFill="1" applyBorder="1" applyAlignment="1">
      <alignment vertical="center"/>
    </xf>
    <xf numFmtId="166" fontId="4" fillId="7" borderId="37" xfId="4" applyNumberFormat="1" applyFont="1" applyFill="1" applyBorder="1" applyAlignment="1">
      <alignment vertical="center"/>
    </xf>
    <xf numFmtId="166" fontId="5" fillId="7" borderId="75" xfId="1" applyNumberFormat="1" applyFont="1" applyFill="1" applyBorder="1" applyAlignment="1">
      <alignment vertical="center"/>
    </xf>
    <xf numFmtId="166" fontId="5" fillId="7" borderId="2" xfId="1" applyNumberFormat="1" applyFont="1" applyFill="1" applyBorder="1" applyAlignment="1">
      <alignment vertical="center"/>
    </xf>
    <xf numFmtId="166" fontId="5" fillId="7" borderId="14" xfId="1" applyNumberFormat="1" applyFont="1" applyFill="1" applyBorder="1" applyAlignment="1">
      <alignment vertical="center" wrapText="1"/>
    </xf>
    <xf numFmtId="166" fontId="4" fillId="7" borderId="76" xfId="2" applyNumberFormat="1" applyFont="1" applyFill="1" applyBorder="1" applyAlignment="1">
      <alignment vertical="center"/>
    </xf>
    <xf numFmtId="0" fontId="5" fillId="2" borderId="41" xfId="1" applyFont="1" applyFill="1" applyBorder="1" applyAlignment="1">
      <alignment vertical="center"/>
    </xf>
    <xf numFmtId="166" fontId="3" fillId="2" borderId="41" xfId="5" applyNumberFormat="1" applyFont="1" applyFill="1" applyBorder="1" applyAlignment="1">
      <alignment vertical="center"/>
    </xf>
    <xf numFmtId="9" fontId="3" fillId="2" borderId="41" xfId="246" applyFont="1" applyFill="1" applyBorder="1" applyAlignment="1">
      <alignment vertical="center"/>
    </xf>
    <xf numFmtId="1" fontId="5" fillId="0" borderId="23" xfId="3" applyNumberFormat="1" applyFont="1" applyFill="1" applyBorder="1" applyAlignment="1">
      <alignment vertical="center"/>
    </xf>
    <xf numFmtId="1" fontId="5" fillId="0" borderId="24" xfId="3" applyNumberFormat="1" applyFont="1" applyFill="1" applyBorder="1" applyAlignment="1">
      <alignment vertical="center"/>
    </xf>
    <xf numFmtId="1" fontId="5" fillId="0" borderId="24" xfId="1" applyNumberFormat="1" applyFont="1" applyFill="1" applyBorder="1" applyAlignment="1">
      <alignment horizontal="center" vertical="center"/>
    </xf>
    <xf numFmtId="1" fontId="5" fillId="4" borderId="2" xfId="3" applyNumberFormat="1" applyFont="1" applyFill="1" applyBorder="1" applyAlignment="1">
      <alignment vertical="center"/>
    </xf>
    <xf numFmtId="9" fontId="5" fillId="4" borderId="26" xfId="246" applyFont="1" applyFill="1" applyBorder="1" applyAlignment="1">
      <alignment vertical="center"/>
    </xf>
    <xf numFmtId="166" fontId="5" fillId="0" borderId="7" xfId="1" applyNumberFormat="1" applyFont="1" applyFill="1" applyBorder="1" applyAlignment="1">
      <alignment horizontal="center" vertical="center"/>
    </xf>
    <xf numFmtId="9" fontId="5" fillId="4" borderId="10" xfId="246" applyFont="1" applyFill="1" applyBorder="1" applyAlignment="1">
      <alignment horizontal="center" vertical="center"/>
    </xf>
    <xf numFmtId="169" fontId="5" fillId="0" borderId="11" xfId="1" applyNumberFormat="1" applyFont="1" applyFill="1" applyBorder="1" applyAlignment="1">
      <alignment horizontal="center" vertical="center"/>
    </xf>
    <xf numFmtId="9" fontId="5" fillId="4" borderId="13" xfId="246" applyFont="1" applyFill="1" applyBorder="1" applyAlignment="1">
      <alignment horizontal="center" vertical="center"/>
    </xf>
    <xf numFmtId="9" fontId="5" fillId="2" borderId="33" xfId="246" applyFont="1" applyFill="1" applyBorder="1" applyAlignment="1">
      <alignment horizontal="center" vertical="center"/>
    </xf>
    <xf numFmtId="9" fontId="5" fillId="4" borderId="50" xfId="246" applyFont="1" applyFill="1" applyBorder="1" applyAlignment="1">
      <alignment horizontal="center" vertical="center" wrapText="1"/>
    </xf>
    <xf numFmtId="9" fontId="5" fillId="4" borderId="6" xfId="246" applyFont="1" applyFill="1" applyBorder="1" applyAlignment="1">
      <alignment horizontal="center" vertical="center" wrapText="1"/>
    </xf>
    <xf numFmtId="9" fontId="5" fillId="2" borderId="10" xfId="246" applyFont="1" applyFill="1" applyBorder="1" applyAlignment="1">
      <alignment horizontal="center" vertical="center"/>
    </xf>
    <xf numFmtId="9" fontId="4" fillId="4" borderId="10" xfId="246" applyFont="1" applyFill="1" applyBorder="1" applyAlignment="1">
      <alignment vertical="center"/>
    </xf>
    <xf numFmtId="166" fontId="5" fillId="0" borderId="7" xfId="1" applyNumberFormat="1" applyFont="1" applyFill="1" applyBorder="1" applyAlignment="1">
      <alignment vertical="center"/>
    </xf>
    <xf numFmtId="9" fontId="5" fillId="2" borderId="10" xfId="246" applyFont="1" applyFill="1" applyBorder="1" applyAlignment="1">
      <alignment vertical="center"/>
    </xf>
    <xf numFmtId="166" fontId="5" fillId="0" borderId="7" xfId="4" applyNumberFormat="1" applyFont="1" applyFill="1" applyBorder="1" applyAlignment="1">
      <alignment vertical="center"/>
    </xf>
    <xf numFmtId="9" fontId="5" fillId="4" borderId="10" xfId="246" applyFont="1" applyFill="1" applyBorder="1" applyAlignment="1">
      <alignment vertical="center"/>
    </xf>
    <xf numFmtId="9" fontId="4" fillId="4" borderId="18" xfId="246" applyFont="1" applyFill="1" applyBorder="1" applyAlignment="1">
      <alignment vertical="center"/>
    </xf>
    <xf numFmtId="9" fontId="5" fillId="4" borderId="13" xfId="246" applyFont="1" applyFill="1" applyBorder="1" applyAlignment="1">
      <alignment vertical="center"/>
    </xf>
    <xf numFmtId="9" fontId="5" fillId="3" borderId="10" xfId="246" applyFont="1" applyFill="1" applyBorder="1" applyAlignment="1">
      <alignment vertical="center" wrapText="1"/>
    </xf>
    <xf numFmtId="166" fontId="4" fillId="0" borderId="52" xfId="1" applyNumberFormat="1" applyFont="1" applyFill="1" applyBorder="1" applyAlignment="1">
      <alignment vertical="center"/>
    </xf>
    <xf numFmtId="166" fontId="4" fillId="0" borderId="22" xfId="1" applyNumberFormat="1" applyFont="1" applyFill="1" applyBorder="1" applyAlignment="1">
      <alignment vertical="center"/>
    </xf>
    <xf numFmtId="9" fontId="4" fillId="4" borderId="13" xfId="246" applyFont="1" applyFill="1" applyBorder="1" applyAlignment="1">
      <alignment vertical="center"/>
    </xf>
    <xf numFmtId="170" fontId="28" fillId="0" borderId="19" xfId="244" applyNumberFormat="1" applyFont="1" applyFill="1" applyBorder="1" applyAlignment="1">
      <alignment horizontal="center" vertical="top" wrapText="1"/>
    </xf>
    <xf numFmtId="170" fontId="28" fillId="0" borderId="53" xfId="244" applyNumberFormat="1" applyFont="1" applyFill="1" applyBorder="1" applyAlignment="1">
      <alignment horizontal="center" vertical="top" wrapText="1"/>
    </xf>
    <xf numFmtId="170" fontId="28" fillId="0" borderId="5" xfId="244" applyNumberFormat="1" applyFont="1" applyFill="1" applyBorder="1" applyAlignment="1">
      <alignment horizontal="center" vertical="top" wrapText="1"/>
    </xf>
    <xf numFmtId="0" fontId="34" fillId="0" borderId="54" xfId="244" applyFont="1" applyBorder="1" applyAlignment="1">
      <alignment horizontal="center" vertical="center" wrapText="1"/>
    </xf>
    <xf numFmtId="0" fontId="34" fillId="0" borderId="55" xfId="244" applyFont="1" applyBorder="1" applyAlignment="1">
      <alignment horizontal="center" vertical="center" wrapText="1"/>
    </xf>
    <xf numFmtId="0" fontId="34" fillId="0" borderId="56" xfId="244" applyFont="1" applyBorder="1" applyAlignment="1">
      <alignment horizontal="center" vertical="center" wrapText="1"/>
    </xf>
    <xf numFmtId="0" fontId="40" fillId="0" borderId="54" xfId="0" applyFont="1" applyBorder="1" applyAlignment="1">
      <alignment horizontal="center" vertical="center"/>
    </xf>
    <xf numFmtId="0" fontId="40" fillId="0" borderId="60" xfId="0" applyFont="1" applyBorder="1" applyAlignment="1">
      <alignment horizontal="center" vertical="center"/>
    </xf>
    <xf numFmtId="0" fontId="50" fillId="25" borderId="8" xfId="247" applyFont="1" applyFill="1" applyBorder="1" applyAlignment="1">
      <alignment horizontal="center" vertical="center" wrapText="1"/>
    </xf>
    <xf numFmtId="0" fontId="35" fillId="18" borderId="8" xfId="0" applyFont="1" applyFill="1" applyBorder="1" applyAlignment="1">
      <alignment horizontal="center" vertical="center" wrapText="1"/>
    </xf>
    <xf numFmtId="0" fontId="5" fillId="0" borderId="9" xfId="1" applyFont="1" applyFill="1" applyBorder="1" applyAlignment="1">
      <alignment horizontal="center" vertical="center"/>
    </xf>
    <xf numFmtId="0" fontId="5" fillId="0" borderId="17" xfId="1" applyFont="1" applyFill="1" applyBorder="1" applyAlignment="1">
      <alignment horizontal="center" vertical="center"/>
    </xf>
    <xf numFmtId="0" fontId="5" fillId="0" borderId="14" xfId="1" applyFont="1" applyFill="1" applyBorder="1" applyAlignment="1">
      <alignment horizontal="center" vertical="center"/>
    </xf>
    <xf numFmtId="1" fontId="5" fillId="4" borderId="9" xfId="1" applyNumberFormat="1" applyFont="1" applyFill="1" applyBorder="1" applyAlignment="1">
      <alignment horizontal="center" vertical="center" wrapText="1"/>
    </xf>
    <xf numFmtId="0" fontId="5" fillId="4" borderId="17" xfId="1" applyFont="1" applyFill="1" applyBorder="1" applyAlignment="1">
      <alignment horizontal="center" vertical="center" wrapText="1"/>
    </xf>
    <xf numFmtId="0" fontId="5" fillId="4" borderId="14" xfId="1" applyFont="1" applyFill="1" applyBorder="1" applyAlignment="1">
      <alignment horizontal="center" vertical="center" wrapText="1"/>
    </xf>
    <xf numFmtId="0" fontId="5" fillId="2" borderId="25"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4" xfId="1" applyFont="1" applyFill="1" applyBorder="1" applyAlignment="1">
      <alignment horizontal="center" vertical="center"/>
    </xf>
    <xf numFmtId="0" fontId="5" fillId="0" borderId="49" xfId="1" applyFont="1" applyFill="1" applyBorder="1" applyAlignment="1">
      <alignment horizontal="center" vertical="center"/>
    </xf>
    <xf numFmtId="0" fontId="5" fillId="2" borderId="5"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46" xfId="1" applyFont="1" applyFill="1" applyBorder="1" applyAlignment="1">
      <alignment horizontal="center" vertical="center"/>
    </xf>
    <xf numFmtId="0" fontId="5" fillId="13" borderId="8" xfId="1" applyFont="1" applyFill="1" applyBorder="1" applyAlignment="1">
      <alignment horizontal="center" vertical="center"/>
    </xf>
    <xf numFmtId="166" fontId="4" fillId="4" borderId="19" xfId="2" applyNumberFormat="1" applyFont="1" applyFill="1" applyBorder="1" applyAlignment="1">
      <alignment horizontal="center" vertical="center" wrapText="1"/>
    </xf>
    <xf numFmtId="166" fontId="4" fillId="4" borderId="53" xfId="2" applyNumberFormat="1" applyFont="1" applyFill="1" applyBorder="1" applyAlignment="1">
      <alignment horizontal="center" vertical="center" wrapText="1"/>
    </xf>
    <xf numFmtId="166" fontId="4" fillId="4" borderId="5" xfId="2" applyNumberFormat="1" applyFont="1" applyFill="1" applyBorder="1" applyAlignment="1">
      <alignment horizontal="center" vertical="center" wrapText="1"/>
    </xf>
    <xf numFmtId="0" fontId="5" fillId="2" borderId="4" xfId="1" applyFont="1" applyFill="1" applyBorder="1" applyAlignment="1">
      <alignment horizontal="center" vertical="center"/>
    </xf>
    <xf numFmtId="0" fontId="5" fillId="4" borderId="70" xfId="1" applyFont="1" applyFill="1" applyBorder="1" applyAlignment="1">
      <alignment horizontal="center" vertical="center" wrapText="1"/>
    </xf>
    <xf numFmtId="0" fontId="5" fillId="4" borderId="46" xfId="1" applyFont="1" applyFill="1" applyBorder="1" applyAlignment="1">
      <alignment horizontal="center" vertical="center" wrapText="1"/>
    </xf>
    <xf numFmtId="0" fontId="5" fillId="4" borderId="71" xfId="1" applyFont="1" applyFill="1" applyBorder="1" applyAlignment="1">
      <alignment horizontal="center" vertical="center" wrapText="1"/>
    </xf>
    <xf numFmtId="0" fontId="30" fillId="16" borderId="0" xfId="0" applyFont="1" applyFill="1" applyAlignment="1">
      <alignment horizontal="center" vertical="center" wrapText="1"/>
    </xf>
    <xf numFmtId="0" fontId="63" fillId="0" borderId="68" xfId="0" applyFont="1" applyBorder="1" applyAlignment="1">
      <alignment horizontal="center" vertical="center" wrapText="1"/>
    </xf>
    <xf numFmtId="0" fontId="63" fillId="0" borderId="53" xfId="0" applyFont="1" applyBorder="1" applyAlignment="1">
      <alignment horizontal="center" vertical="center" wrapText="1"/>
    </xf>
    <xf numFmtId="0" fontId="63" fillId="0" borderId="46" xfId="0" applyFont="1" applyBorder="1" applyAlignment="1">
      <alignment horizontal="center" vertical="center" wrapText="1"/>
    </xf>
    <xf numFmtId="0" fontId="9" fillId="4" borderId="8" xfId="0" applyFont="1" applyFill="1" applyBorder="1" applyAlignment="1">
      <alignment horizontal="center" vertical="center"/>
    </xf>
    <xf numFmtId="0" fontId="9" fillId="9" borderId="9" xfId="0" applyFont="1" applyFill="1" applyBorder="1" applyAlignment="1">
      <alignment horizontal="center" vertical="center"/>
    </xf>
    <xf numFmtId="0" fontId="9" fillId="9" borderId="17" xfId="0" applyFont="1" applyFill="1" applyBorder="1" applyAlignment="1">
      <alignment horizontal="center" vertical="center"/>
    </xf>
    <xf numFmtId="0" fontId="9" fillId="9" borderId="14" xfId="0" applyFont="1" applyFill="1" applyBorder="1" applyAlignment="1">
      <alignment horizontal="center" vertical="center"/>
    </xf>
    <xf numFmtId="0" fontId="9" fillId="10" borderId="9" xfId="0" applyFont="1" applyFill="1" applyBorder="1" applyAlignment="1">
      <alignment horizontal="center" vertical="center"/>
    </xf>
    <xf numFmtId="0" fontId="9" fillId="10" borderId="17" xfId="0" applyFont="1" applyFill="1" applyBorder="1" applyAlignment="1">
      <alignment horizontal="center" vertical="center"/>
    </xf>
    <xf numFmtId="0" fontId="9" fillId="10" borderId="14" xfId="0" applyFont="1" applyFill="1" applyBorder="1" applyAlignment="1">
      <alignment horizontal="center" vertical="center"/>
    </xf>
    <xf numFmtId="0" fontId="9" fillId="6" borderId="9"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14" xfId="0" applyFont="1" applyFill="1" applyBorder="1" applyAlignment="1">
      <alignment horizontal="center" vertical="center"/>
    </xf>
    <xf numFmtId="1" fontId="5" fillId="5" borderId="9" xfId="1" applyNumberFormat="1" applyFont="1" applyFill="1" applyBorder="1" applyAlignment="1">
      <alignment horizontal="center" vertical="center" wrapText="1"/>
    </xf>
    <xf numFmtId="0" fontId="5" fillId="5" borderId="17" xfId="1" applyFont="1" applyFill="1" applyBorder="1" applyAlignment="1">
      <alignment horizontal="center" vertical="center" wrapText="1"/>
    </xf>
    <xf numFmtId="0" fontId="5" fillId="5" borderId="14" xfId="1" applyFont="1" applyFill="1" applyBorder="1" applyAlignment="1">
      <alignment horizontal="center" vertical="center" wrapText="1"/>
    </xf>
    <xf numFmtId="1" fontId="5" fillId="8" borderId="9" xfId="1" applyNumberFormat="1" applyFont="1" applyFill="1" applyBorder="1" applyAlignment="1">
      <alignment horizontal="center" vertical="center" wrapText="1"/>
    </xf>
    <xf numFmtId="0" fontId="5" fillId="8" borderId="17" xfId="1" applyFont="1" applyFill="1" applyBorder="1" applyAlignment="1">
      <alignment horizontal="center" vertical="center" wrapText="1"/>
    </xf>
    <xf numFmtId="0" fontId="5" fillId="8" borderId="14" xfId="1" applyFont="1" applyFill="1" applyBorder="1" applyAlignment="1">
      <alignment horizontal="center" vertical="center" wrapText="1"/>
    </xf>
    <xf numFmtId="1" fontId="27" fillId="5" borderId="9" xfId="1" applyNumberFormat="1" applyFont="1" applyFill="1" applyBorder="1" applyAlignment="1">
      <alignment horizontal="center" vertical="center" wrapText="1"/>
    </xf>
    <xf numFmtId="0" fontId="27" fillId="5" borderId="17" xfId="1" applyFont="1" applyFill="1" applyBorder="1" applyAlignment="1">
      <alignment horizontal="center" vertical="center" wrapText="1"/>
    </xf>
    <xf numFmtId="0" fontId="27" fillId="5" borderId="14" xfId="1" applyFont="1" applyFill="1" applyBorder="1" applyAlignment="1">
      <alignment horizontal="center" vertical="center" wrapText="1"/>
    </xf>
    <xf numFmtId="0" fontId="5" fillId="14" borderId="4" xfId="1" applyFont="1" applyFill="1" applyBorder="1" applyAlignment="1">
      <alignment horizontal="center" vertical="center"/>
    </xf>
    <xf numFmtId="0" fontId="5" fillId="14" borderId="5" xfId="1" applyFont="1" applyFill="1" applyBorder="1" applyAlignment="1">
      <alignment horizontal="center" vertical="center"/>
    </xf>
    <xf numFmtId="0" fontId="5" fillId="14" borderId="6" xfId="1" applyFont="1" applyFill="1" applyBorder="1" applyAlignment="1">
      <alignment horizontal="center" vertical="center"/>
    </xf>
    <xf numFmtId="0" fontId="5" fillId="14" borderId="49" xfId="1" applyFont="1" applyFill="1" applyBorder="1" applyAlignment="1">
      <alignment horizontal="center" vertical="center"/>
    </xf>
    <xf numFmtId="0" fontId="5" fillId="14" borderId="17" xfId="1" applyFont="1" applyFill="1" applyBorder="1" applyAlignment="1">
      <alignment horizontal="center" vertical="center"/>
    </xf>
    <xf numFmtId="0" fontId="5" fillId="14" borderId="50" xfId="1" applyFont="1" applyFill="1" applyBorder="1" applyAlignment="1">
      <alignment horizontal="center" vertical="center"/>
    </xf>
    <xf numFmtId="0" fontId="18" fillId="0" borderId="44" xfId="243" applyFont="1" applyFill="1" applyBorder="1" applyAlignment="1">
      <alignment horizontal="left" vertical="top" wrapText="1" indent="2"/>
    </xf>
    <xf numFmtId="0" fontId="18" fillId="0" borderId="45" xfId="243" applyFont="1" applyFill="1" applyBorder="1" applyAlignment="1">
      <alignment horizontal="left" vertical="top" wrapText="1" indent="2"/>
    </xf>
    <xf numFmtId="166" fontId="51" fillId="16" borderId="63" xfId="5" applyNumberFormat="1" applyFont="1" applyFill="1" applyBorder="1" applyAlignment="1">
      <alignment horizontal="left" vertical="top" wrapText="1" indent="1"/>
    </xf>
    <xf numFmtId="166" fontId="30" fillId="0" borderId="47" xfId="5" applyNumberFormat="1" applyFont="1" applyFill="1" applyBorder="1" applyAlignment="1">
      <alignment horizontal="left" vertical="top"/>
    </xf>
    <xf numFmtId="166" fontId="30" fillId="0" borderId="8" xfId="5" applyNumberFormat="1" applyFont="1" applyFill="1" applyBorder="1" applyAlignment="1">
      <alignment horizontal="left" vertical="top"/>
    </xf>
    <xf numFmtId="166" fontId="51" fillId="16" borderId="63" xfId="5" applyNumberFormat="1" applyFont="1" applyFill="1" applyBorder="1" applyAlignment="1">
      <alignment horizontal="left" vertical="top" wrapText="1"/>
    </xf>
    <xf numFmtId="166" fontId="58" fillId="0" borderId="47" xfId="5" applyNumberFormat="1" applyFont="1" applyFill="1" applyBorder="1" applyAlignment="1">
      <alignment horizontal="left" vertical="top"/>
    </xf>
    <xf numFmtId="0" fontId="58" fillId="27" borderId="47" xfId="0" applyFont="1" applyFill="1" applyBorder="1" applyAlignment="1">
      <alignment horizontal="left"/>
    </xf>
    <xf numFmtId="166" fontId="51" fillId="0" borderId="63" xfId="5" applyNumberFormat="1" applyFont="1" applyFill="1" applyBorder="1" applyAlignment="1">
      <alignment horizontal="left" vertical="top" wrapText="1" indent="1"/>
    </xf>
    <xf numFmtId="0" fontId="30" fillId="27" borderId="47" xfId="0" applyFont="1" applyFill="1" applyBorder="1" applyAlignment="1">
      <alignment horizontal="left"/>
    </xf>
    <xf numFmtId="43" fontId="0" fillId="0" borderId="0" xfId="0" applyNumberFormat="1"/>
  </cellXfs>
  <cellStyles count="256">
    <cellStyle name="Comma" xfId="5" builtinId="3"/>
    <cellStyle name="Comma 10" xfId="89"/>
    <cellStyle name="Comma 12" xfId="160"/>
    <cellStyle name="Comma 13" xfId="26"/>
    <cellStyle name="Comma 15" xfId="119"/>
    <cellStyle name="Comma 2" xfId="3"/>
    <cellStyle name="Comma 2 10" xfId="65"/>
    <cellStyle name="Comma 2 11" xfId="72"/>
    <cellStyle name="Comma 2 12" xfId="81"/>
    <cellStyle name="Comma 2 13" xfId="83"/>
    <cellStyle name="Comma 2 14" xfId="91"/>
    <cellStyle name="Comma 2 15" xfId="93"/>
    <cellStyle name="Comma 2 16" xfId="106"/>
    <cellStyle name="Comma 2 17" xfId="112"/>
    <cellStyle name="Comma 2 18" xfId="118"/>
    <cellStyle name="Comma 2 19" xfId="124"/>
    <cellStyle name="Comma 2 2" xfId="8"/>
    <cellStyle name="Comma 2 2 10" xfId="73"/>
    <cellStyle name="Comma 2 2 11" xfId="76"/>
    <cellStyle name="Comma 2 2 12" xfId="84"/>
    <cellStyle name="Comma 2 2 13" xfId="92"/>
    <cellStyle name="Comma 2 2 14" xfId="90"/>
    <cellStyle name="Comma 2 2 15" xfId="105"/>
    <cellStyle name="Comma 2 2 16" xfId="111"/>
    <cellStyle name="Comma 2 2 17" xfId="117"/>
    <cellStyle name="Comma 2 2 18" xfId="125"/>
    <cellStyle name="Comma 2 2 19" xfId="129"/>
    <cellStyle name="Comma 2 2 2" xfId="15"/>
    <cellStyle name="Comma 2 2 20" xfId="132"/>
    <cellStyle name="Comma 2 2 21" xfId="146"/>
    <cellStyle name="Comma 2 2 22" xfId="152"/>
    <cellStyle name="Comma 2 2 23" xfId="158"/>
    <cellStyle name="Comma 2 2 24" xfId="144"/>
    <cellStyle name="Comma 2 2 25" xfId="169"/>
    <cellStyle name="Comma 2 2 26" xfId="175"/>
    <cellStyle name="Comma 2 2 27" xfId="185"/>
    <cellStyle name="Comma 2 2 28" xfId="191"/>
    <cellStyle name="Comma 2 2 29" xfId="197"/>
    <cellStyle name="Comma 2 2 3" xfId="23"/>
    <cellStyle name="Comma 2 2 30" xfId="203"/>
    <cellStyle name="Comma 2 2 31" xfId="211"/>
    <cellStyle name="Comma 2 2 32" xfId="213"/>
    <cellStyle name="Comma 2 2 33" xfId="224"/>
    <cellStyle name="Comma 2 2 34" xfId="230"/>
    <cellStyle name="Comma 2 2 35" xfId="251"/>
    <cellStyle name="Comma 2 2 36" xfId="238"/>
    <cellStyle name="Comma 2 2 4" xfId="28"/>
    <cellStyle name="Comma 2 2 5" xfId="42"/>
    <cellStyle name="Comma 2 2 6" xfId="47"/>
    <cellStyle name="Comma 2 2 7" xfId="53"/>
    <cellStyle name="Comma 2 2 8" xfId="55"/>
    <cellStyle name="Comma 2 2 9" xfId="64"/>
    <cellStyle name="Comma 2 20" xfId="128"/>
    <cellStyle name="Comma 2 21" xfId="134"/>
    <cellStyle name="Comma 2 22" xfId="147"/>
    <cellStyle name="Comma 2 23" xfId="153"/>
    <cellStyle name="Comma 2 24" xfId="159"/>
    <cellStyle name="Comma 2 25" xfId="143"/>
    <cellStyle name="Comma 2 26" xfId="170"/>
    <cellStyle name="Comma 2 27" xfId="176"/>
    <cellStyle name="Comma 2 28" xfId="184"/>
    <cellStyle name="Comma 2 29" xfId="192"/>
    <cellStyle name="Comma 2 3" xfId="12"/>
    <cellStyle name="Comma 2 30" xfId="198"/>
    <cellStyle name="Comma 2 31" xfId="204"/>
    <cellStyle name="Comma 2 32" xfId="210"/>
    <cellStyle name="Comma 2 33" xfId="214"/>
    <cellStyle name="Comma 2 34" xfId="225"/>
    <cellStyle name="Comma 2 35" xfId="231"/>
    <cellStyle name="Comma 2 36" xfId="7"/>
    <cellStyle name="Comma 2 37" xfId="239"/>
    <cellStyle name="Comma 2 4" xfId="14"/>
    <cellStyle name="Comma 2 5" xfId="27"/>
    <cellStyle name="Comma 2 6" xfId="41"/>
    <cellStyle name="Comma 2 7" xfId="46"/>
    <cellStyle name="Comma 2 8" xfId="52"/>
    <cellStyle name="Comma 2 9" xfId="56"/>
    <cellStyle name="Comma 3" xfId="4"/>
    <cellStyle name="Comma 3 2" xfId="25"/>
    <cellStyle name="Comma 3 2 2" xfId="255"/>
    <cellStyle name="Comma 4" xfId="237"/>
    <cellStyle name="Comma 4 2" xfId="242"/>
    <cellStyle name="Comma 4 3" xfId="253"/>
    <cellStyle name="Comma 5" xfId="29"/>
    <cellStyle name="Comma 5 2" xfId="254"/>
    <cellStyle name="Comma 8" xfId="66"/>
    <cellStyle name="Comma 9" xfId="82"/>
    <cellStyle name="Currency [0] 2" xfId="30"/>
    <cellStyle name="Excel Built-in Normal" xfId="21"/>
    <cellStyle name="Heading 1" xfId="247" builtinId="16"/>
    <cellStyle name="Hyperlink" xfId="245" builtinId="8"/>
    <cellStyle name="Normal" xfId="0" builtinId="0"/>
    <cellStyle name="Normal 10" xfId="22"/>
    <cellStyle name="Normal 10 2" xfId="31"/>
    <cellStyle name="Normal 10 3" xfId="32"/>
    <cellStyle name="Normal 11" xfId="67"/>
    <cellStyle name="Normal 12" xfId="155"/>
    <cellStyle name="Normal 13" xfId="244"/>
    <cellStyle name="Normal 14" xfId="95"/>
    <cellStyle name="Normal 15" xfId="108"/>
    <cellStyle name="Normal 16" xfId="114"/>
    <cellStyle name="Normal 18" xfId="172"/>
    <cellStyle name="Normal 19" xfId="177"/>
    <cellStyle name="Normal 2" xfId="6"/>
    <cellStyle name="Normal 2 10" xfId="1"/>
    <cellStyle name="Normal 2 2" xfId="9"/>
    <cellStyle name="Normal 2 2 10" xfId="80"/>
    <cellStyle name="Normal 2 2 11" xfId="85"/>
    <cellStyle name="Normal 2 2 12" xfId="96"/>
    <cellStyle name="Normal 2 2 13" xfId="102"/>
    <cellStyle name="Normal 2 2 14" xfId="101"/>
    <cellStyle name="Normal 2 2 15" xfId="103"/>
    <cellStyle name="Normal 2 2 16" xfId="100"/>
    <cellStyle name="Normal 2 2 17" xfId="126"/>
    <cellStyle name="Normal 2 2 18" xfId="133"/>
    <cellStyle name="Normal 2 2 19" xfId="141"/>
    <cellStyle name="Normal 2 2 2" xfId="16"/>
    <cellStyle name="Normal 2 2 20" xfId="130"/>
    <cellStyle name="Normal 2 2 21" xfId="142"/>
    <cellStyle name="Normal 2 2 22" xfId="131"/>
    <cellStyle name="Normal 2 2 23" xfId="166"/>
    <cellStyle name="Normal 2 2 24" xfId="165"/>
    <cellStyle name="Normal 2 2 25" xfId="167"/>
    <cellStyle name="Normal 2 2 26" xfId="188"/>
    <cellStyle name="Normal 2 2 27" xfId="187"/>
    <cellStyle name="Normal 2 2 28" xfId="189"/>
    <cellStyle name="Normal 2 2 29" xfId="186"/>
    <cellStyle name="Normal 2 2 3" xfId="33"/>
    <cellStyle name="Normal 2 2 30" xfId="216"/>
    <cellStyle name="Normal 2 2 31" xfId="221"/>
    <cellStyle name="Normal 2 2 32" xfId="212"/>
    <cellStyle name="Normal 2 2 33" xfId="222"/>
    <cellStyle name="Normal 2 2 4" xfId="43"/>
    <cellStyle name="Normal 2 2 5" xfId="48"/>
    <cellStyle name="Normal 2 2 6" xfId="57"/>
    <cellStyle name="Normal 2 2 7" xfId="62"/>
    <cellStyle name="Normal 2 2 8" xfId="54"/>
    <cellStyle name="Normal 2 2 9" xfId="74"/>
    <cellStyle name="Normal 2 3" xfId="18"/>
    <cellStyle name="Normal 2 4" xfId="241"/>
    <cellStyle name="Normal 2 5" xfId="248"/>
    <cellStyle name="Normal 2_2nd RA Bill For Civil Interior Work 090110" xfId="34"/>
    <cellStyle name="Normal 20" xfId="182"/>
    <cellStyle name="Normal 21" xfId="194"/>
    <cellStyle name="Normal 22" xfId="200"/>
    <cellStyle name="Normal 24" xfId="35"/>
    <cellStyle name="Normal 25" xfId="209"/>
    <cellStyle name="Normal 26" xfId="217"/>
    <cellStyle name="Normal 27" xfId="227"/>
    <cellStyle name="Normal 28" xfId="232"/>
    <cellStyle name="Normal 3" xfId="11"/>
    <cellStyle name="Normal 3 10" xfId="86"/>
    <cellStyle name="Normal 3 11" xfId="97"/>
    <cellStyle name="Normal 3 12" xfId="104"/>
    <cellStyle name="Normal 3 13" xfId="94"/>
    <cellStyle name="Normal 3 14" xfId="107"/>
    <cellStyle name="Normal 3 15" xfId="113"/>
    <cellStyle name="Normal 3 16" xfId="136"/>
    <cellStyle name="Normal 3 17" xfId="145"/>
    <cellStyle name="Normal 3 18" xfId="135"/>
    <cellStyle name="Normal 3 19" xfId="148"/>
    <cellStyle name="Normal 3 2" xfId="24"/>
    <cellStyle name="Normal 3 2 2" xfId="36"/>
    <cellStyle name="Normal 3 20" xfId="154"/>
    <cellStyle name="Normal 3 21" xfId="168"/>
    <cellStyle name="Normal 3 22" xfId="140"/>
    <cellStyle name="Normal 3 23" xfId="171"/>
    <cellStyle name="Normal 3 24" xfId="190"/>
    <cellStyle name="Normal 3 25" xfId="183"/>
    <cellStyle name="Normal 3 26" xfId="193"/>
    <cellStyle name="Normal 3 27" xfId="199"/>
    <cellStyle name="Normal 3 28" xfId="218"/>
    <cellStyle name="Normal 3 29" xfId="223"/>
    <cellStyle name="Normal 3 3" xfId="45"/>
    <cellStyle name="Normal 3 30" xfId="215"/>
    <cellStyle name="Normal 3 31" xfId="226"/>
    <cellStyle name="Normal 3 32" xfId="249"/>
    <cellStyle name="Normal 3 4" xfId="49"/>
    <cellStyle name="Normal 3 5" xfId="59"/>
    <cellStyle name="Normal 3 6" xfId="63"/>
    <cellStyle name="Normal 3 7" xfId="58"/>
    <cellStyle name="Normal 3 8" xfId="77"/>
    <cellStyle name="Normal 3 9" xfId="78"/>
    <cellStyle name="Normal 4" xfId="243"/>
    <cellStyle name="Normal 4 2" xfId="20"/>
    <cellStyle name="Normal 5" xfId="19"/>
    <cellStyle name="Normal 6" xfId="137"/>
    <cellStyle name="Normal 7" xfId="37"/>
    <cellStyle name="Normal 8" xfId="149"/>
    <cellStyle name="Normal 9" xfId="2"/>
    <cellStyle name="Normal 9 2" xfId="38"/>
    <cellStyle name="Percent" xfId="246" builtinId="5"/>
    <cellStyle name="Percent 2" xfId="240"/>
    <cellStyle name="Percent 2 2" xfId="252"/>
    <cellStyle name="Percent 2 3" xfId="250"/>
    <cellStyle name="Style 1" xfId="10"/>
    <cellStyle name="Style 1 10" xfId="79"/>
    <cellStyle name="Style 1 11" xfId="87"/>
    <cellStyle name="Style 1 12" xfId="98"/>
    <cellStyle name="Style 1 13" xfId="109"/>
    <cellStyle name="Style 1 14" xfId="115"/>
    <cellStyle name="Style 1 15" xfId="120"/>
    <cellStyle name="Style 1 16" xfId="122"/>
    <cellStyle name="Style 1 17" xfId="127"/>
    <cellStyle name="Style 1 18" xfId="138"/>
    <cellStyle name="Style 1 19" xfId="150"/>
    <cellStyle name="Style 1 2" xfId="13"/>
    <cellStyle name="Style 1 2 10" xfId="116"/>
    <cellStyle name="Style 1 2 11" xfId="121"/>
    <cellStyle name="Style 1 2 12" xfId="123"/>
    <cellStyle name="Style 1 2 13" xfId="139"/>
    <cellStyle name="Style 1 2 14" xfId="151"/>
    <cellStyle name="Style 1 2 15" xfId="157"/>
    <cellStyle name="Style 1 2 16" xfId="162"/>
    <cellStyle name="Style 1 2 17" xfId="164"/>
    <cellStyle name="Style 1 2 18" xfId="174"/>
    <cellStyle name="Style 1 2 19" xfId="179"/>
    <cellStyle name="Style 1 2 2" xfId="40"/>
    <cellStyle name="Style 1 2 20" xfId="181"/>
    <cellStyle name="Style 1 2 21" xfId="196"/>
    <cellStyle name="Style 1 2 22" xfId="202"/>
    <cellStyle name="Style 1 2 23" xfId="206"/>
    <cellStyle name="Style 1 2 24" xfId="208"/>
    <cellStyle name="Style 1 2 25" xfId="220"/>
    <cellStyle name="Style 1 2 26" xfId="229"/>
    <cellStyle name="Style 1 2 27" xfId="234"/>
    <cellStyle name="Style 1 2 28" xfId="236"/>
    <cellStyle name="Style 1 2 3" xfId="51"/>
    <cellStyle name="Style 1 2 4" xfId="61"/>
    <cellStyle name="Style 1 2 5" xfId="69"/>
    <cellStyle name="Style 1 2 6" xfId="71"/>
    <cellStyle name="Style 1 2 7" xfId="88"/>
    <cellStyle name="Style 1 2 8" xfId="99"/>
    <cellStyle name="Style 1 2 9" xfId="110"/>
    <cellStyle name="Style 1 20" xfId="156"/>
    <cellStyle name="Style 1 21" xfId="161"/>
    <cellStyle name="Style 1 22" xfId="163"/>
    <cellStyle name="Style 1 23" xfId="173"/>
    <cellStyle name="Style 1 24" xfId="178"/>
    <cellStyle name="Style 1 25" xfId="180"/>
    <cellStyle name="Style 1 26" xfId="195"/>
    <cellStyle name="Style 1 27" xfId="201"/>
    <cellStyle name="Style 1 28" xfId="205"/>
    <cellStyle name="Style 1 29" xfId="207"/>
    <cellStyle name="Style 1 3" xfId="17"/>
    <cellStyle name="Style 1 3 2" xfId="39"/>
    <cellStyle name="Style 1 30" xfId="219"/>
    <cellStyle name="Style 1 31" xfId="228"/>
    <cellStyle name="Style 1 32" xfId="233"/>
    <cellStyle name="Style 1 33" xfId="235"/>
    <cellStyle name="Style 1 4" xfId="44"/>
    <cellStyle name="Style 1 5" xfId="50"/>
    <cellStyle name="Style 1 6" xfId="60"/>
    <cellStyle name="Style 1 7" xfId="68"/>
    <cellStyle name="Style 1 8" xfId="70"/>
    <cellStyle name="Style 1 9" xfId="75"/>
  </cellStyles>
  <dxfs count="24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IN" sz="1600" b="1"/>
              <a:t>Total Utlilization to</a:t>
            </a:r>
            <a:r>
              <a:rPr lang="en-IN" sz="1600" b="1" baseline="0"/>
              <a:t> Budget</a:t>
            </a:r>
            <a:endParaRPr lang="en-IN"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B21-4AF0-AFEF-FA718A14EBD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B21-4AF0-AFEF-FA718A14EBD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B21-4AF0-AFEF-FA718A14EBD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B21-4AF0-AFEF-FA718A14EBD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B21-4AF0-AFEF-FA718A14EBD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B21-4AF0-AFEF-FA718A14EBD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B21-4AF0-AFEF-FA718A14EBD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4B21-4AF0-AFEF-FA718A14EBD0}"/>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4B21-4AF0-AFEF-FA718A14EBD0}"/>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4B21-4AF0-AFEF-FA718A14EBD0}"/>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4B21-4AF0-AFEF-FA718A14EBD0}"/>
              </c:ext>
            </c:extLst>
          </c:dPt>
          <c:val>
            <c:numLit>
              <c:formatCode>General</c:formatCode>
              <c:ptCount val="11"/>
              <c:pt idx="0">
                <c:v>0.10900357199768823</c:v>
              </c:pt>
              <c:pt idx="1">
                <c:v>0</c:v>
              </c:pt>
              <c:pt idx="2">
                <c:v>0</c:v>
              </c:pt>
              <c:pt idx="3">
                <c:v>0.89099642800231171</c:v>
              </c:pt>
            </c:numLit>
          </c:val>
          <c:extLst>
            <c:ext xmlns:c16="http://schemas.microsoft.com/office/drawing/2014/chart" uri="{C3380CC4-5D6E-409C-BE32-E72D297353CC}">
              <c16:uniqueId val="{00000016-4B21-4AF0-AFEF-FA718A14EBD0}"/>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772298</xdr:colOff>
      <xdr:row>18</xdr:row>
      <xdr:rowOff>134038</xdr:rowOff>
    </xdr:from>
    <xdr:to>
      <xdr:col>11</xdr:col>
      <xdr:colOff>1261419</xdr:colOff>
      <xdr:row>19</xdr:row>
      <xdr:rowOff>0</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394607</xdr:colOff>
      <xdr:row>19</xdr:row>
      <xdr:rowOff>0</xdr:rowOff>
    </xdr:from>
    <xdr:to>
      <xdr:col>13</xdr:col>
      <xdr:colOff>408214</xdr:colOff>
      <xdr:row>19</xdr:row>
      <xdr:rowOff>137296</xdr:rowOff>
    </xdr:to>
    <xdr:sp macro="" textlink="">
      <xdr:nvSpPr>
        <xdr:cNvPr id="3" name="Freeform 2">
          <a:extLst>
            <a:ext uri="{FF2B5EF4-FFF2-40B4-BE49-F238E27FC236}">
              <a16:creationId xmlns:a16="http://schemas.microsoft.com/office/drawing/2014/main" id="{00000000-0008-0000-0600-00000B000000}"/>
            </a:ext>
          </a:extLst>
        </xdr:cNvPr>
        <xdr:cNvSpPr/>
      </xdr:nvSpPr>
      <xdr:spPr>
        <a:xfrm>
          <a:off x="14358257" y="409575"/>
          <a:ext cx="3194957" cy="0"/>
        </a:xfrm>
        <a:custGeom>
          <a:avLst/>
          <a:gdLst>
            <a:gd name="connsiteX0" fmla="*/ 0 w 2305050"/>
            <a:gd name="connsiteY0" fmla="*/ 0 h 2352675"/>
            <a:gd name="connsiteX1" fmla="*/ 771525 w 2305050"/>
            <a:gd name="connsiteY1" fmla="*/ 561975 h 2352675"/>
            <a:gd name="connsiteX2" fmla="*/ 2019300 w 2305050"/>
            <a:gd name="connsiteY2" fmla="*/ 428625 h 2352675"/>
            <a:gd name="connsiteX3" fmla="*/ 2266950 w 2305050"/>
            <a:gd name="connsiteY3" fmla="*/ 657225 h 2352675"/>
            <a:gd name="connsiteX4" fmla="*/ 1143000 w 2305050"/>
            <a:gd name="connsiteY4" fmla="*/ 1009650 h 2352675"/>
            <a:gd name="connsiteX5" fmla="*/ 1628775 w 2305050"/>
            <a:gd name="connsiteY5" fmla="*/ 1533525 h 2352675"/>
            <a:gd name="connsiteX6" fmla="*/ 2076450 w 2305050"/>
            <a:gd name="connsiteY6" fmla="*/ 1533525 h 2352675"/>
            <a:gd name="connsiteX7" fmla="*/ 2305050 w 2305050"/>
            <a:gd name="connsiteY7" fmla="*/ 1724025 h 2352675"/>
            <a:gd name="connsiteX8" fmla="*/ 1838325 w 2305050"/>
            <a:gd name="connsiteY8" fmla="*/ 1857375 h 2352675"/>
            <a:gd name="connsiteX9" fmla="*/ 2009775 w 2305050"/>
            <a:gd name="connsiteY9" fmla="*/ 2105025 h 2352675"/>
            <a:gd name="connsiteX10" fmla="*/ 1733550 w 2305050"/>
            <a:gd name="connsiteY10" fmla="*/ 1971675 h 2352675"/>
            <a:gd name="connsiteX11" fmla="*/ 1543050 w 2305050"/>
            <a:gd name="connsiteY11" fmla="*/ 2352675 h 2352675"/>
            <a:gd name="connsiteX12" fmla="*/ 1314450 w 2305050"/>
            <a:gd name="connsiteY12" fmla="*/ 2133600 h 2352675"/>
            <a:gd name="connsiteX13" fmla="*/ 1447800 w 2305050"/>
            <a:gd name="connsiteY13" fmla="*/ 1771650 h 2352675"/>
            <a:gd name="connsiteX14" fmla="*/ 923925 w 2305050"/>
            <a:gd name="connsiteY14" fmla="*/ 1190625 h 2352675"/>
            <a:gd name="connsiteX15" fmla="*/ 447675 w 2305050"/>
            <a:gd name="connsiteY15" fmla="*/ 2276475 h 2352675"/>
            <a:gd name="connsiteX16" fmla="*/ 238125 w 2305050"/>
            <a:gd name="connsiteY16" fmla="*/ 2171700 h 2352675"/>
            <a:gd name="connsiteX17" fmla="*/ 523875 w 2305050"/>
            <a:gd name="connsiteY17" fmla="*/ 714375 h 2352675"/>
            <a:gd name="connsiteX18" fmla="*/ 0 w 2305050"/>
            <a:gd name="connsiteY18" fmla="*/ 0 h 2352675"/>
            <a:gd name="connsiteX0" fmla="*/ 0 w 2305050"/>
            <a:gd name="connsiteY0" fmla="*/ 0 h 2352675"/>
            <a:gd name="connsiteX1" fmla="*/ 771525 w 2305050"/>
            <a:gd name="connsiteY1" fmla="*/ 561975 h 2352675"/>
            <a:gd name="connsiteX2" fmla="*/ 2019300 w 2305050"/>
            <a:gd name="connsiteY2" fmla="*/ 428625 h 2352675"/>
            <a:gd name="connsiteX3" fmla="*/ 2266950 w 2305050"/>
            <a:gd name="connsiteY3" fmla="*/ 657225 h 2352675"/>
            <a:gd name="connsiteX4" fmla="*/ 1143000 w 2305050"/>
            <a:gd name="connsiteY4" fmla="*/ 1009650 h 2352675"/>
            <a:gd name="connsiteX5" fmla="*/ 1628775 w 2305050"/>
            <a:gd name="connsiteY5" fmla="*/ 1533525 h 2352675"/>
            <a:gd name="connsiteX6" fmla="*/ 2076450 w 2305050"/>
            <a:gd name="connsiteY6" fmla="*/ 1533525 h 2352675"/>
            <a:gd name="connsiteX7" fmla="*/ 2305050 w 2305050"/>
            <a:gd name="connsiteY7" fmla="*/ 1724025 h 2352675"/>
            <a:gd name="connsiteX8" fmla="*/ 1838325 w 2305050"/>
            <a:gd name="connsiteY8" fmla="*/ 1857375 h 2352675"/>
            <a:gd name="connsiteX9" fmla="*/ 2009775 w 2305050"/>
            <a:gd name="connsiteY9" fmla="*/ 2105025 h 2352675"/>
            <a:gd name="connsiteX10" fmla="*/ 1733550 w 2305050"/>
            <a:gd name="connsiteY10" fmla="*/ 1971675 h 2352675"/>
            <a:gd name="connsiteX11" fmla="*/ 1543050 w 2305050"/>
            <a:gd name="connsiteY11" fmla="*/ 2352675 h 2352675"/>
            <a:gd name="connsiteX12" fmla="*/ 1314450 w 2305050"/>
            <a:gd name="connsiteY12" fmla="*/ 2133600 h 2352675"/>
            <a:gd name="connsiteX13" fmla="*/ 1447800 w 2305050"/>
            <a:gd name="connsiteY13" fmla="*/ 1771650 h 2352675"/>
            <a:gd name="connsiteX14" fmla="*/ 923925 w 2305050"/>
            <a:gd name="connsiteY14" fmla="*/ 1190625 h 2352675"/>
            <a:gd name="connsiteX15" fmla="*/ 447675 w 2305050"/>
            <a:gd name="connsiteY15" fmla="*/ 2276475 h 2352675"/>
            <a:gd name="connsiteX16" fmla="*/ 260071 w 2305050"/>
            <a:gd name="connsiteY16" fmla="*/ 2087575 h 2352675"/>
            <a:gd name="connsiteX17" fmla="*/ 523875 w 2305050"/>
            <a:gd name="connsiteY17" fmla="*/ 714375 h 2352675"/>
            <a:gd name="connsiteX18" fmla="*/ 0 w 2305050"/>
            <a:gd name="connsiteY18" fmla="*/ 0 h 2352675"/>
            <a:gd name="connsiteX0" fmla="*/ 0 w 2305050"/>
            <a:gd name="connsiteY0" fmla="*/ 0 h 2352675"/>
            <a:gd name="connsiteX1" fmla="*/ 771525 w 2305050"/>
            <a:gd name="connsiteY1" fmla="*/ 561975 h 2352675"/>
            <a:gd name="connsiteX2" fmla="*/ 2019300 w 2305050"/>
            <a:gd name="connsiteY2" fmla="*/ 428625 h 2352675"/>
            <a:gd name="connsiteX3" fmla="*/ 2266950 w 2305050"/>
            <a:gd name="connsiteY3" fmla="*/ 657225 h 2352675"/>
            <a:gd name="connsiteX4" fmla="*/ 1143000 w 2305050"/>
            <a:gd name="connsiteY4" fmla="*/ 1009650 h 2352675"/>
            <a:gd name="connsiteX5" fmla="*/ 1628775 w 2305050"/>
            <a:gd name="connsiteY5" fmla="*/ 1533525 h 2352675"/>
            <a:gd name="connsiteX6" fmla="*/ 2076450 w 2305050"/>
            <a:gd name="connsiteY6" fmla="*/ 1533525 h 2352675"/>
            <a:gd name="connsiteX7" fmla="*/ 2305050 w 2305050"/>
            <a:gd name="connsiteY7" fmla="*/ 1724025 h 2352675"/>
            <a:gd name="connsiteX8" fmla="*/ 1838325 w 2305050"/>
            <a:gd name="connsiteY8" fmla="*/ 1857375 h 2352675"/>
            <a:gd name="connsiteX9" fmla="*/ 2009775 w 2305050"/>
            <a:gd name="connsiteY9" fmla="*/ 2105025 h 2352675"/>
            <a:gd name="connsiteX10" fmla="*/ 1733550 w 2305050"/>
            <a:gd name="connsiteY10" fmla="*/ 1971675 h 2352675"/>
            <a:gd name="connsiteX11" fmla="*/ 1543050 w 2305050"/>
            <a:gd name="connsiteY11" fmla="*/ 2352675 h 2352675"/>
            <a:gd name="connsiteX12" fmla="*/ 1314450 w 2305050"/>
            <a:gd name="connsiteY12" fmla="*/ 2133600 h 2352675"/>
            <a:gd name="connsiteX13" fmla="*/ 1447800 w 2305050"/>
            <a:gd name="connsiteY13" fmla="*/ 1771650 h 2352675"/>
            <a:gd name="connsiteX14" fmla="*/ 923925 w 2305050"/>
            <a:gd name="connsiteY14" fmla="*/ 1190625 h 2352675"/>
            <a:gd name="connsiteX15" fmla="*/ 447675 w 2305050"/>
            <a:gd name="connsiteY15" fmla="*/ 2276475 h 2352675"/>
            <a:gd name="connsiteX16" fmla="*/ 296647 w 2305050"/>
            <a:gd name="connsiteY16" fmla="*/ 2094890 h 2352675"/>
            <a:gd name="connsiteX17" fmla="*/ 523875 w 2305050"/>
            <a:gd name="connsiteY17" fmla="*/ 714375 h 2352675"/>
            <a:gd name="connsiteX18" fmla="*/ 0 w 2305050"/>
            <a:gd name="connsiteY18" fmla="*/ 0 h 2352675"/>
            <a:gd name="connsiteX0" fmla="*/ 0 w 2305050"/>
            <a:gd name="connsiteY0" fmla="*/ 0 h 2352675"/>
            <a:gd name="connsiteX1" fmla="*/ 771525 w 2305050"/>
            <a:gd name="connsiteY1" fmla="*/ 561975 h 2352675"/>
            <a:gd name="connsiteX2" fmla="*/ 2019300 w 2305050"/>
            <a:gd name="connsiteY2" fmla="*/ 428625 h 2352675"/>
            <a:gd name="connsiteX3" fmla="*/ 2266950 w 2305050"/>
            <a:gd name="connsiteY3" fmla="*/ 657225 h 2352675"/>
            <a:gd name="connsiteX4" fmla="*/ 1143000 w 2305050"/>
            <a:gd name="connsiteY4" fmla="*/ 1009650 h 2352675"/>
            <a:gd name="connsiteX5" fmla="*/ 1628775 w 2305050"/>
            <a:gd name="connsiteY5" fmla="*/ 1533525 h 2352675"/>
            <a:gd name="connsiteX6" fmla="*/ 2076450 w 2305050"/>
            <a:gd name="connsiteY6" fmla="*/ 1533525 h 2352675"/>
            <a:gd name="connsiteX7" fmla="*/ 2305050 w 2305050"/>
            <a:gd name="connsiteY7" fmla="*/ 1724025 h 2352675"/>
            <a:gd name="connsiteX8" fmla="*/ 1838325 w 2305050"/>
            <a:gd name="connsiteY8" fmla="*/ 1857375 h 2352675"/>
            <a:gd name="connsiteX9" fmla="*/ 2009775 w 2305050"/>
            <a:gd name="connsiteY9" fmla="*/ 2105025 h 2352675"/>
            <a:gd name="connsiteX10" fmla="*/ 1733550 w 2305050"/>
            <a:gd name="connsiteY10" fmla="*/ 1971675 h 2352675"/>
            <a:gd name="connsiteX11" fmla="*/ 1543050 w 2305050"/>
            <a:gd name="connsiteY11" fmla="*/ 2352675 h 2352675"/>
            <a:gd name="connsiteX12" fmla="*/ 1314450 w 2305050"/>
            <a:gd name="connsiteY12" fmla="*/ 2133600 h 2352675"/>
            <a:gd name="connsiteX13" fmla="*/ 1447800 w 2305050"/>
            <a:gd name="connsiteY13" fmla="*/ 1771650 h 2352675"/>
            <a:gd name="connsiteX14" fmla="*/ 923925 w 2305050"/>
            <a:gd name="connsiteY14" fmla="*/ 1190625 h 2352675"/>
            <a:gd name="connsiteX15" fmla="*/ 447675 w 2305050"/>
            <a:gd name="connsiteY15" fmla="*/ 2276475 h 2352675"/>
            <a:gd name="connsiteX16" fmla="*/ 292990 w 2305050"/>
            <a:gd name="connsiteY16" fmla="*/ 2036368 h 2352675"/>
            <a:gd name="connsiteX17" fmla="*/ 523875 w 2305050"/>
            <a:gd name="connsiteY17" fmla="*/ 714375 h 2352675"/>
            <a:gd name="connsiteX18" fmla="*/ 0 w 2305050"/>
            <a:gd name="connsiteY18" fmla="*/ 0 h 2352675"/>
            <a:gd name="connsiteX0" fmla="*/ 0 w 2305050"/>
            <a:gd name="connsiteY0" fmla="*/ 0 h 2352675"/>
            <a:gd name="connsiteX1" fmla="*/ 771525 w 2305050"/>
            <a:gd name="connsiteY1" fmla="*/ 561975 h 2352675"/>
            <a:gd name="connsiteX2" fmla="*/ 2019300 w 2305050"/>
            <a:gd name="connsiteY2" fmla="*/ 428625 h 2352675"/>
            <a:gd name="connsiteX3" fmla="*/ 2266950 w 2305050"/>
            <a:gd name="connsiteY3" fmla="*/ 657225 h 2352675"/>
            <a:gd name="connsiteX4" fmla="*/ 1143000 w 2305050"/>
            <a:gd name="connsiteY4" fmla="*/ 1009650 h 2352675"/>
            <a:gd name="connsiteX5" fmla="*/ 1628775 w 2305050"/>
            <a:gd name="connsiteY5" fmla="*/ 1533525 h 2352675"/>
            <a:gd name="connsiteX6" fmla="*/ 2076450 w 2305050"/>
            <a:gd name="connsiteY6" fmla="*/ 1533525 h 2352675"/>
            <a:gd name="connsiteX7" fmla="*/ 2305050 w 2305050"/>
            <a:gd name="connsiteY7" fmla="*/ 1724025 h 2352675"/>
            <a:gd name="connsiteX8" fmla="*/ 1838325 w 2305050"/>
            <a:gd name="connsiteY8" fmla="*/ 1857375 h 2352675"/>
            <a:gd name="connsiteX9" fmla="*/ 2009775 w 2305050"/>
            <a:gd name="connsiteY9" fmla="*/ 2105025 h 2352675"/>
            <a:gd name="connsiteX10" fmla="*/ 1733550 w 2305050"/>
            <a:gd name="connsiteY10" fmla="*/ 1971675 h 2352675"/>
            <a:gd name="connsiteX11" fmla="*/ 1543050 w 2305050"/>
            <a:gd name="connsiteY11" fmla="*/ 2352675 h 2352675"/>
            <a:gd name="connsiteX12" fmla="*/ 1314450 w 2305050"/>
            <a:gd name="connsiteY12" fmla="*/ 2133600 h 2352675"/>
            <a:gd name="connsiteX13" fmla="*/ 1447800 w 2305050"/>
            <a:gd name="connsiteY13" fmla="*/ 1771650 h 2352675"/>
            <a:gd name="connsiteX14" fmla="*/ 923925 w 2305050"/>
            <a:gd name="connsiteY14" fmla="*/ 1190625 h 2352675"/>
            <a:gd name="connsiteX15" fmla="*/ 414757 w 2305050"/>
            <a:gd name="connsiteY15" fmla="*/ 2305735 h 2352675"/>
            <a:gd name="connsiteX16" fmla="*/ 292990 w 2305050"/>
            <a:gd name="connsiteY16" fmla="*/ 2036368 h 2352675"/>
            <a:gd name="connsiteX17" fmla="*/ 523875 w 2305050"/>
            <a:gd name="connsiteY17" fmla="*/ 714375 h 2352675"/>
            <a:gd name="connsiteX18" fmla="*/ 0 w 2305050"/>
            <a:gd name="connsiteY18" fmla="*/ 0 h 2352675"/>
            <a:gd name="connsiteX0" fmla="*/ 0 w 2305050"/>
            <a:gd name="connsiteY0" fmla="*/ 0 h 2352675"/>
            <a:gd name="connsiteX1" fmla="*/ 771525 w 2305050"/>
            <a:gd name="connsiteY1" fmla="*/ 561975 h 2352675"/>
            <a:gd name="connsiteX2" fmla="*/ 2019300 w 2305050"/>
            <a:gd name="connsiteY2" fmla="*/ 428625 h 2352675"/>
            <a:gd name="connsiteX3" fmla="*/ 2292554 w 2305050"/>
            <a:gd name="connsiteY3" fmla="*/ 627964 h 2352675"/>
            <a:gd name="connsiteX4" fmla="*/ 1143000 w 2305050"/>
            <a:gd name="connsiteY4" fmla="*/ 1009650 h 2352675"/>
            <a:gd name="connsiteX5" fmla="*/ 1628775 w 2305050"/>
            <a:gd name="connsiteY5" fmla="*/ 1533525 h 2352675"/>
            <a:gd name="connsiteX6" fmla="*/ 2076450 w 2305050"/>
            <a:gd name="connsiteY6" fmla="*/ 1533525 h 2352675"/>
            <a:gd name="connsiteX7" fmla="*/ 2305050 w 2305050"/>
            <a:gd name="connsiteY7" fmla="*/ 1724025 h 2352675"/>
            <a:gd name="connsiteX8" fmla="*/ 1838325 w 2305050"/>
            <a:gd name="connsiteY8" fmla="*/ 1857375 h 2352675"/>
            <a:gd name="connsiteX9" fmla="*/ 2009775 w 2305050"/>
            <a:gd name="connsiteY9" fmla="*/ 2105025 h 2352675"/>
            <a:gd name="connsiteX10" fmla="*/ 1733550 w 2305050"/>
            <a:gd name="connsiteY10" fmla="*/ 1971675 h 2352675"/>
            <a:gd name="connsiteX11" fmla="*/ 1543050 w 2305050"/>
            <a:gd name="connsiteY11" fmla="*/ 2352675 h 2352675"/>
            <a:gd name="connsiteX12" fmla="*/ 1314450 w 2305050"/>
            <a:gd name="connsiteY12" fmla="*/ 2133600 h 2352675"/>
            <a:gd name="connsiteX13" fmla="*/ 1447800 w 2305050"/>
            <a:gd name="connsiteY13" fmla="*/ 1771650 h 2352675"/>
            <a:gd name="connsiteX14" fmla="*/ 923925 w 2305050"/>
            <a:gd name="connsiteY14" fmla="*/ 1190625 h 2352675"/>
            <a:gd name="connsiteX15" fmla="*/ 414757 w 2305050"/>
            <a:gd name="connsiteY15" fmla="*/ 2305735 h 2352675"/>
            <a:gd name="connsiteX16" fmla="*/ 292990 w 2305050"/>
            <a:gd name="connsiteY16" fmla="*/ 2036368 h 2352675"/>
            <a:gd name="connsiteX17" fmla="*/ 523875 w 2305050"/>
            <a:gd name="connsiteY17" fmla="*/ 714375 h 2352675"/>
            <a:gd name="connsiteX18" fmla="*/ 0 w 2305050"/>
            <a:gd name="connsiteY18" fmla="*/ 0 h 2352675"/>
            <a:gd name="connsiteX0" fmla="*/ 0 w 2305050"/>
            <a:gd name="connsiteY0" fmla="*/ 0 h 2352675"/>
            <a:gd name="connsiteX1" fmla="*/ 771525 w 2305050"/>
            <a:gd name="connsiteY1" fmla="*/ 561975 h 2352675"/>
            <a:gd name="connsiteX2" fmla="*/ 2081480 w 2305050"/>
            <a:gd name="connsiteY2" fmla="*/ 476174 h 2352675"/>
            <a:gd name="connsiteX3" fmla="*/ 2292554 w 2305050"/>
            <a:gd name="connsiteY3" fmla="*/ 627964 h 2352675"/>
            <a:gd name="connsiteX4" fmla="*/ 1143000 w 2305050"/>
            <a:gd name="connsiteY4" fmla="*/ 1009650 h 2352675"/>
            <a:gd name="connsiteX5" fmla="*/ 1628775 w 2305050"/>
            <a:gd name="connsiteY5" fmla="*/ 1533525 h 2352675"/>
            <a:gd name="connsiteX6" fmla="*/ 2076450 w 2305050"/>
            <a:gd name="connsiteY6" fmla="*/ 1533525 h 2352675"/>
            <a:gd name="connsiteX7" fmla="*/ 2305050 w 2305050"/>
            <a:gd name="connsiteY7" fmla="*/ 1724025 h 2352675"/>
            <a:gd name="connsiteX8" fmla="*/ 1838325 w 2305050"/>
            <a:gd name="connsiteY8" fmla="*/ 1857375 h 2352675"/>
            <a:gd name="connsiteX9" fmla="*/ 2009775 w 2305050"/>
            <a:gd name="connsiteY9" fmla="*/ 2105025 h 2352675"/>
            <a:gd name="connsiteX10" fmla="*/ 1733550 w 2305050"/>
            <a:gd name="connsiteY10" fmla="*/ 1971675 h 2352675"/>
            <a:gd name="connsiteX11" fmla="*/ 1543050 w 2305050"/>
            <a:gd name="connsiteY11" fmla="*/ 2352675 h 2352675"/>
            <a:gd name="connsiteX12" fmla="*/ 1314450 w 2305050"/>
            <a:gd name="connsiteY12" fmla="*/ 2133600 h 2352675"/>
            <a:gd name="connsiteX13" fmla="*/ 1447800 w 2305050"/>
            <a:gd name="connsiteY13" fmla="*/ 1771650 h 2352675"/>
            <a:gd name="connsiteX14" fmla="*/ 923925 w 2305050"/>
            <a:gd name="connsiteY14" fmla="*/ 1190625 h 2352675"/>
            <a:gd name="connsiteX15" fmla="*/ 414757 w 2305050"/>
            <a:gd name="connsiteY15" fmla="*/ 2305735 h 2352675"/>
            <a:gd name="connsiteX16" fmla="*/ 292990 w 2305050"/>
            <a:gd name="connsiteY16" fmla="*/ 2036368 h 2352675"/>
            <a:gd name="connsiteX17" fmla="*/ 523875 w 2305050"/>
            <a:gd name="connsiteY17" fmla="*/ 714375 h 2352675"/>
            <a:gd name="connsiteX18" fmla="*/ 0 w 2305050"/>
            <a:gd name="connsiteY18" fmla="*/ 0 h 2352675"/>
            <a:gd name="connsiteX0" fmla="*/ 0 w 2305050"/>
            <a:gd name="connsiteY0" fmla="*/ 0 h 2352675"/>
            <a:gd name="connsiteX1" fmla="*/ 771525 w 2305050"/>
            <a:gd name="connsiteY1" fmla="*/ 561975 h 2352675"/>
            <a:gd name="connsiteX2" fmla="*/ 2004671 w 2305050"/>
            <a:gd name="connsiteY2" fmla="*/ 468859 h 2352675"/>
            <a:gd name="connsiteX3" fmla="*/ 2292554 w 2305050"/>
            <a:gd name="connsiteY3" fmla="*/ 627964 h 2352675"/>
            <a:gd name="connsiteX4" fmla="*/ 1143000 w 2305050"/>
            <a:gd name="connsiteY4" fmla="*/ 1009650 h 2352675"/>
            <a:gd name="connsiteX5" fmla="*/ 1628775 w 2305050"/>
            <a:gd name="connsiteY5" fmla="*/ 1533525 h 2352675"/>
            <a:gd name="connsiteX6" fmla="*/ 2076450 w 2305050"/>
            <a:gd name="connsiteY6" fmla="*/ 1533525 h 2352675"/>
            <a:gd name="connsiteX7" fmla="*/ 2305050 w 2305050"/>
            <a:gd name="connsiteY7" fmla="*/ 1724025 h 2352675"/>
            <a:gd name="connsiteX8" fmla="*/ 1838325 w 2305050"/>
            <a:gd name="connsiteY8" fmla="*/ 1857375 h 2352675"/>
            <a:gd name="connsiteX9" fmla="*/ 2009775 w 2305050"/>
            <a:gd name="connsiteY9" fmla="*/ 2105025 h 2352675"/>
            <a:gd name="connsiteX10" fmla="*/ 1733550 w 2305050"/>
            <a:gd name="connsiteY10" fmla="*/ 1971675 h 2352675"/>
            <a:gd name="connsiteX11" fmla="*/ 1543050 w 2305050"/>
            <a:gd name="connsiteY11" fmla="*/ 2352675 h 2352675"/>
            <a:gd name="connsiteX12" fmla="*/ 1314450 w 2305050"/>
            <a:gd name="connsiteY12" fmla="*/ 2133600 h 2352675"/>
            <a:gd name="connsiteX13" fmla="*/ 1447800 w 2305050"/>
            <a:gd name="connsiteY13" fmla="*/ 1771650 h 2352675"/>
            <a:gd name="connsiteX14" fmla="*/ 923925 w 2305050"/>
            <a:gd name="connsiteY14" fmla="*/ 1190625 h 2352675"/>
            <a:gd name="connsiteX15" fmla="*/ 414757 w 2305050"/>
            <a:gd name="connsiteY15" fmla="*/ 2305735 h 2352675"/>
            <a:gd name="connsiteX16" fmla="*/ 292990 w 2305050"/>
            <a:gd name="connsiteY16" fmla="*/ 2036368 h 2352675"/>
            <a:gd name="connsiteX17" fmla="*/ 523875 w 2305050"/>
            <a:gd name="connsiteY17" fmla="*/ 714375 h 2352675"/>
            <a:gd name="connsiteX18" fmla="*/ 0 w 2305050"/>
            <a:gd name="connsiteY18" fmla="*/ 0 h 2352675"/>
            <a:gd name="connsiteX0" fmla="*/ 0 w 2305050"/>
            <a:gd name="connsiteY0" fmla="*/ 0 h 2352675"/>
            <a:gd name="connsiteX1" fmla="*/ 771525 w 2305050"/>
            <a:gd name="connsiteY1" fmla="*/ 561975 h 2352675"/>
            <a:gd name="connsiteX2" fmla="*/ 1960779 w 2305050"/>
            <a:gd name="connsiteY2" fmla="*/ 472517 h 2352675"/>
            <a:gd name="connsiteX3" fmla="*/ 2292554 w 2305050"/>
            <a:gd name="connsiteY3" fmla="*/ 627964 h 2352675"/>
            <a:gd name="connsiteX4" fmla="*/ 1143000 w 2305050"/>
            <a:gd name="connsiteY4" fmla="*/ 1009650 h 2352675"/>
            <a:gd name="connsiteX5" fmla="*/ 1628775 w 2305050"/>
            <a:gd name="connsiteY5" fmla="*/ 1533525 h 2352675"/>
            <a:gd name="connsiteX6" fmla="*/ 2076450 w 2305050"/>
            <a:gd name="connsiteY6" fmla="*/ 1533525 h 2352675"/>
            <a:gd name="connsiteX7" fmla="*/ 2305050 w 2305050"/>
            <a:gd name="connsiteY7" fmla="*/ 1724025 h 2352675"/>
            <a:gd name="connsiteX8" fmla="*/ 1838325 w 2305050"/>
            <a:gd name="connsiteY8" fmla="*/ 1857375 h 2352675"/>
            <a:gd name="connsiteX9" fmla="*/ 2009775 w 2305050"/>
            <a:gd name="connsiteY9" fmla="*/ 2105025 h 2352675"/>
            <a:gd name="connsiteX10" fmla="*/ 1733550 w 2305050"/>
            <a:gd name="connsiteY10" fmla="*/ 1971675 h 2352675"/>
            <a:gd name="connsiteX11" fmla="*/ 1543050 w 2305050"/>
            <a:gd name="connsiteY11" fmla="*/ 2352675 h 2352675"/>
            <a:gd name="connsiteX12" fmla="*/ 1314450 w 2305050"/>
            <a:gd name="connsiteY12" fmla="*/ 2133600 h 2352675"/>
            <a:gd name="connsiteX13" fmla="*/ 1447800 w 2305050"/>
            <a:gd name="connsiteY13" fmla="*/ 1771650 h 2352675"/>
            <a:gd name="connsiteX14" fmla="*/ 923925 w 2305050"/>
            <a:gd name="connsiteY14" fmla="*/ 1190625 h 2352675"/>
            <a:gd name="connsiteX15" fmla="*/ 414757 w 2305050"/>
            <a:gd name="connsiteY15" fmla="*/ 2305735 h 2352675"/>
            <a:gd name="connsiteX16" fmla="*/ 292990 w 2305050"/>
            <a:gd name="connsiteY16" fmla="*/ 2036368 h 2352675"/>
            <a:gd name="connsiteX17" fmla="*/ 523875 w 2305050"/>
            <a:gd name="connsiteY17" fmla="*/ 714375 h 2352675"/>
            <a:gd name="connsiteX18" fmla="*/ 0 w 2305050"/>
            <a:gd name="connsiteY18" fmla="*/ 0 h 2352675"/>
            <a:gd name="connsiteX0" fmla="*/ 0 w 2305050"/>
            <a:gd name="connsiteY0" fmla="*/ 0 h 2352675"/>
            <a:gd name="connsiteX1" fmla="*/ 771525 w 2305050"/>
            <a:gd name="connsiteY1" fmla="*/ 561975 h 2352675"/>
            <a:gd name="connsiteX2" fmla="*/ 1960779 w 2305050"/>
            <a:gd name="connsiteY2" fmla="*/ 472517 h 2352675"/>
            <a:gd name="connsiteX3" fmla="*/ 2270609 w 2305050"/>
            <a:gd name="connsiteY3" fmla="*/ 649910 h 2352675"/>
            <a:gd name="connsiteX4" fmla="*/ 1143000 w 2305050"/>
            <a:gd name="connsiteY4" fmla="*/ 1009650 h 2352675"/>
            <a:gd name="connsiteX5" fmla="*/ 1628775 w 2305050"/>
            <a:gd name="connsiteY5" fmla="*/ 1533525 h 2352675"/>
            <a:gd name="connsiteX6" fmla="*/ 2076450 w 2305050"/>
            <a:gd name="connsiteY6" fmla="*/ 1533525 h 2352675"/>
            <a:gd name="connsiteX7" fmla="*/ 2305050 w 2305050"/>
            <a:gd name="connsiteY7" fmla="*/ 1724025 h 2352675"/>
            <a:gd name="connsiteX8" fmla="*/ 1838325 w 2305050"/>
            <a:gd name="connsiteY8" fmla="*/ 1857375 h 2352675"/>
            <a:gd name="connsiteX9" fmla="*/ 2009775 w 2305050"/>
            <a:gd name="connsiteY9" fmla="*/ 2105025 h 2352675"/>
            <a:gd name="connsiteX10" fmla="*/ 1733550 w 2305050"/>
            <a:gd name="connsiteY10" fmla="*/ 1971675 h 2352675"/>
            <a:gd name="connsiteX11" fmla="*/ 1543050 w 2305050"/>
            <a:gd name="connsiteY11" fmla="*/ 2352675 h 2352675"/>
            <a:gd name="connsiteX12" fmla="*/ 1314450 w 2305050"/>
            <a:gd name="connsiteY12" fmla="*/ 2133600 h 2352675"/>
            <a:gd name="connsiteX13" fmla="*/ 1447800 w 2305050"/>
            <a:gd name="connsiteY13" fmla="*/ 1771650 h 2352675"/>
            <a:gd name="connsiteX14" fmla="*/ 923925 w 2305050"/>
            <a:gd name="connsiteY14" fmla="*/ 1190625 h 2352675"/>
            <a:gd name="connsiteX15" fmla="*/ 414757 w 2305050"/>
            <a:gd name="connsiteY15" fmla="*/ 2305735 h 2352675"/>
            <a:gd name="connsiteX16" fmla="*/ 292990 w 2305050"/>
            <a:gd name="connsiteY16" fmla="*/ 2036368 h 2352675"/>
            <a:gd name="connsiteX17" fmla="*/ 523875 w 2305050"/>
            <a:gd name="connsiteY17" fmla="*/ 714375 h 2352675"/>
            <a:gd name="connsiteX18" fmla="*/ 0 w 2305050"/>
            <a:gd name="connsiteY18" fmla="*/ 0 h 2352675"/>
            <a:gd name="connsiteX0" fmla="*/ 0 w 2305050"/>
            <a:gd name="connsiteY0" fmla="*/ 0 h 2352675"/>
            <a:gd name="connsiteX1" fmla="*/ 771525 w 2305050"/>
            <a:gd name="connsiteY1" fmla="*/ 561975 h 2352675"/>
            <a:gd name="connsiteX2" fmla="*/ 1960779 w 2305050"/>
            <a:gd name="connsiteY2" fmla="*/ 472517 h 2352675"/>
            <a:gd name="connsiteX3" fmla="*/ 2296212 w 2305050"/>
            <a:gd name="connsiteY3" fmla="*/ 646252 h 2352675"/>
            <a:gd name="connsiteX4" fmla="*/ 1143000 w 2305050"/>
            <a:gd name="connsiteY4" fmla="*/ 1009650 h 2352675"/>
            <a:gd name="connsiteX5" fmla="*/ 1628775 w 2305050"/>
            <a:gd name="connsiteY5" fmla="*/ 1533525 h 2352675"/>
            <a:gd name="connsiteX6" fmla="*/ 2076450 w 2305050"/>
            <a:gd name="connsiteY6" fmla="*/ 1533525 h 2352675"/>
            <a:gd name="connsiteX7" fmla="*/ 2305050 w 2305050"/>
            <a:gd name="connsiteY7" fmla="*/ 1724025 h 2352675"/>
            <a:gd name="connsiteX8" fmla="*/ 1838325 w 2305050"/>
            <a:gd name="connsiteY8" fmla="*/ 1857375 h 2352675"/>
            <a:gd name="connsiteX9" fmla="*/ 2009775 w 2305050"/>
            <a:gd name="connsiteY9" fmla="*/ 2105025 h 2352675"/>
            <a:gd name="connsiteX10" fmla="*/ 1733550 w 2305050"/>
            <a:gd name="connsiteY10" fmla="*/ 1971675 h 2352675"/>
            <a:gd name="connsiteX11" fmla="*/ 1543050 w 2305050"/>
            <a:gd name="connsiteY11" fmla="*/ 2352675 h 2352675"/>
            <a:gd name="connsiteX12" fmla="*/ 1314450 w 2305050"/>
            <a:gd name="connsiteY12" fmla="*/ 2133600 h 2352675"/>
            <a:gd name="connsiteX13" fmla="*/ 1447800 w 2305050"/>
            <a:gd name="connsiteY13" fmla="*/ 1771650 h 2352675"/>
            <a:gd name="connsiteX14" fmla="*/ 923925 w 2305050"/>
            <a:gd name="connsiteY14" fmla="*/ 1190625 h 2352675"/>
            <a:gd name="connsiteX15" fmla="*/ 414757 w 2305050"/>
            <a:gd name="connsiteY15" fmla="*/ 2305735 h 2352675"/>
            <a:gd name="connsiteX16" fmla="*/ 292990 w 2305050"/>
            <a:gd name="connsiteY16" fmla="*/ 2036368 h 2352675"/>
            <a:gd name="connsiteX17" fmla="*/ 523875 w 2305050"/>
            <a:gd name="connsiteY17" fmla="*/ 714375 h 2352675"/>
            <a:gd name="connsiteX18" fmla="*/ 0 w 2305050"/>
            <a:gd name="connsiteY18" fmla="*/ 0 h 2352675"/>
            <a:gd name="connsiteX0" fmla="*/ 0 w 2305050"/>
            <a:gd name="connsiteY0" fmla="*/ 0 h 2352675"/>
            <a:gd name="connsiteX1" fmla="*/ 771525 w 2305050"/>
            <a:gd name="connsiteY1" fmla="*/ 561975 h 2352675"/>
            <a:gd name="connsiteX2" fmla="*/ 1982725 w 2305050"/>
            <a:gd name="connsiteY2" fmla="*/ 494463 h 2352675"/>
            <a:gd name="connsiteX3" fmla="*/ 2296212 w 2305050"/>
            <a:gd name="connsiteY3" fmla="*/ 646252 h 2352675"/>
            <a:gd name="connsiteX4" fmla="*/ 1143000 w 2305050"/>
            <a:gd name="connsiteY4" fmla="*/ 1009650 h 2352675"/>
            <a:gd name="connsiteX5" fmla="*/ 1628775 w 2305050"/>
            <a:gd name="connsiteY5" fmla="*/ 1533525 h 2352675"/>
            <a:gd name="connsiteX6" fmla="*/ 2076450 w 2305050"/>
            <a:gd name="connsiteY6" fmla="*/ 1533525 h 2352675"/>
            <a:gd name="connsiteX7" fmla="*/ 2305050 w 2305050"/>
            <a:gd name="connsiteY7" fmla="*/ 1724025 h 2352675"/>
            <a:gd name="connsiteX8" fmla="*/ 1838325 w 2305050"/>
            <a:gd name="connsiteY8" fmla="*/ 1857375 h 2352675"/>
            <a:gd name="connsiteX9" fmla="*/ 2009775 w 2305050"/>
            <a:gd name="connsiteY9" fmla="*/ 2105025 h 2352675"/>
            <a:gd name="connsiteX10" fmla="*/ 1733550 w 2305050"/>
            <a:gd name="connsiteY10" fmla="*/ 1971675 h 2352675"/>
            <a:gd name="connsiteX11" fmla="*/ 1543050 w 2305050"/>
            <a:gd name="connsiteY11" fmla="*/ 2352675 h 2352675"/>
            <a:gd name="connsiteX12" fmla="*/ 1314450 w 2305050"/>
            <a:gd name="connsiteY12" fmla="*/ 2133600 h 2352675"/>
            <a:gd name="connsiteX13" fmla="*/ 1447800 w 2305050"/>
            <a:gd name="connsiteY13" fmla="*/ 1771650 h 2352675"/>
            <a:gd name="connsiteX14" fmla="*/ 923925 w 2305050"/>
            <a:gd name="connsiteY14" fmla="*/ 1190625 h 2352675"/>
            <a:gd name="connsiteX15" fmla="*/ 414757 w 2305050"/>
            <a:gd name="connsiteY15" fmla="*/ 2305735 h 2352675"/>
            <a:gd name="connsiteX16" fmla="*/ 292990 w 2305050"/>
            <a:gd name="connsiteY16" fmla="*/ 2036368 h 2352675"/>
            <a:gd name="connsiteX17" fmla="*/ 523875 w 2305050"/>
            <a:gd name="connsiteY17" fmla="*/ 714375 h 2352675"/>
            <a:gd name="connsiteX18" fmla="*/ 0 w 2305050"/>
            <a:gd name="connsiteY18" fmla="*/ 0 h 2352675"/>
            <a:gd name="connsiteX0" fmla="*/ 0 w 2305050"/>
            <a:gd name="connsiteY0" fmla="*/ 0 h 2352675"/>
            <a:gd name="connsiteX1" fmla="*/ 771525 w 2305050"/>
            <a:gd name="connsiteY1" fmla="*/ 561975 h 2352675"/>
            <a:gd name="connsiteX2" fmla="*/ 2041246 w 2305050"/>
            <a:gd name="connsiteY2" fmla="*/ 498120 h 2352675"/>
            <a:gd name="connsiteX3" fmla="*/ 2296212 w 2305050"/>
            <a:gd name="connsiteY3" fmla="*/ 646252 h 2352675"/>
            <a:gd name="connsiteX4" fmla="*/ 1143000 w 2305050"/>
            <a:gd name="connsiteY4" fmla="*/ 1009650 h 2352675"/>
            <a:gd name="connsiteX5" fmla="*/ 1628775 w 2305050"/>
            <a:gd name="connsiteY5" fmla="*/ 1533525 h 2352675"/>
            <a:gd name="connsiteX6" fmla="*/ 2076450 w 2305050"/>
            <a:gd name="connsiteY6" fmla="*/ 1533525 h 2352675"/>
            <a:gd name="connsiteX7" fmla="*/ 2305050 w 2305050"/>
            <a:gd name="connsiteY7" fmla="*/ 1724025 h 2352675"/>
            <a:gd name="connsiteX8" fmla="*/ 1838325 w 2305050"/>
            <a:gd name="connsiteY8" fmla="*/ 1857375 h 2352675"/>
            <a:gd name="connsiteX9" fmla="*/ 2009775 w 2305050"/>
            <a:gd name="connsiteY9" fmla="*/ 2105025 h 2352675"/>
            <a:gd name="connsiteX10" fmla="*/ 1733550 w 2305050"/>
            <a:gd name="connsiteY10" fmla="*/ 1971675 h 2352675"/>
            <a:gd name="connsiteX11" fmla="*/ 1543050 w 2305050"/>
            <a:gd name="connsiteY11" fmla="*/ 2352675 h 2352675"/>
            <a:gd name="connsiteX12" fmla="*/ 1314450 w 2305050"/>
            <a:gd name="connsiteY12" fmla="*/ 2133600 h 2352675"/>
            <a:gd name="connsiteX13" fmla="*/ 1447800 w 2305050"/>
            <a:gd name="connsiteY13" fmla="*/ 1771650 h 2352675"/>
            <a:gd name="connsiteX14" fmla="*/ 923925 w 2305050"/>
            <a:gd name="connsiteY14" fmla="*/ 1190625 h 2352675"/>
            <a:gd name="connsiteX15" fmla="*/ 414757 w 2305050"/>
            <a:gd name="connsiteY15" fmla="*/ 2305735 h 2352675"/>
            <a:gd name="connsiteX16" fmla="*/ 292990 w 2305050"/>
            <a:gd name="connsiteY16" fmla="*/ 2036368 h 2352675"/>
            <a:gd name="connsiteX17" fmla="*/ 523875 w 2305050"/>
            <a:gd name="connsiteY17" fmla="*/ 714375 h 2352675"/>
            <a:gd name="connsiteX18" fmla="*/ 0 w 2305050"/>
            <a:gd name="connsiteY18" fmla="*/ 0 h 2352675"/>
            <a:gd name="connsiteX0" fmla="*/ 0 w 2305050"/>
            <a:gd name="connsiteY0" fmla="*/ 0 h 2352675"/>
            <a:gd name="connsiteX1" fmla="*/ 771525 w 2305050"/>
            <a:gd name="connsiteY1" fmla="*/ 561975 h 2352675"/>
            <a:gd name="connsiteX2" fmla="*/ 2041246 w 2305050"/>
            <a:gd name="connsiteY2" fmla="*/ 498120 h 2352675"/>
            <a:gd name="connsiteX3" fmla="*/ 2296212 w 2305050"/>
            <a:gd name="connsiteY3" fmla="*/ 646252 h 2352675"/>
            <a:gd name="connsiteX4" fmla="*/ 1143000 w 2305050"/>
            <a:gd name="connsiteY4" fmla="*/ 1009650 h 2352675"/>
            <a:gd name="connsiteX5" fmla="*/ 1628775 w 2305050"/>
            <a:gd name="connsiteY5" fmla="*/ 1533525 h 2352675"/>
            <a:gd name="connsiteX6" fmla="*/ 2076450 w 2305050"/>
            <a:gd name="connsiteY6" fmla="*/ 1533525 h 2352675"/>
            <a:gd name="connsiteX7" fmla="*/ 2305050 w 2305050"/>
            <a:gd name="connsiteY7" fmla="*/ 1724025 h 2352675"/>
            <a:gd name="connsiteX8" fmla="*/ 1838325 w 2305050"/>
            <a:gd name="connsiteY8" fmla="*/ 1857375 h 2352675"/>
            <a:gd name="connsiteX9" fmla="*/ 2009775 w 2305050"/>
            <a:gd name="connsiteY9" fmla="*/ 2105025 h 2352675"/>
            <a:gd name="connsiteX10" fmla="*/ 1733550 w 2305050"/>
            <a:gd name="connsiteY10" fmla="*/ 1971675 h 2352675"/>
            <a:gd name="connsiteX11" fmla="*/ 1543050 w 2305050"/>
            <a:gd name="connsiteY11" fmla="*/ 2352675 h 2352675"/>
            <a:gd name="connsiteX12" fmla="*/ 1314450 w 2305050"/>
            <a:gd name="connsiteY12" fmla="*/ 2133600 h 2352675"/>
            <a:gd name="connsiteX13" fmla="*/ 1447800 w 2305050"/>
            <a:gd name="connsiteY13" fmla="*/ 1771650 h 2352675"/>
            <a:gd name="connsiteX14" fmla="*/ 923925 w 2305050"/>
            <a:gd name="connsiteY14" fmla="*/ 1190625 h 2352675"/>
            <a:gd name="connsiteX15" fmla="*/ 414757 w 2305050"/>
            <a:gd name="connsiteY15" fmla="*/ 2305735 h 2352675"/>
            <a:gd name="connsiteX16" fmla="*/ 292990 w 2305050"/>
            <a:gd name="connsiteY16" fmla="*/ 2036368 h 2352675"/>
            <a:gd name="connsiteX17" fmla="*/ 520217 w 2305050"/>
            <a:gd name="connsiteY17" fmla="*/ 750951 h 2352675"/>
            <a:gd name="connsiteX18" fmla="*/ 0 w 2305050"/>
            <a:gd name="connsiteY18" fmla="*/ 0 h 2352675"/>
            <a:gd name="connsiteX0" fmla="*/ 0 w 2305050"/>
            <a:gd name="connsiteY0" fmla="*/ 0 h 2352675"/>
            <a:gd name="connsiteX1" fmla="*/ 771525 w 2305050"/>
            <a:gd name="connsiteY1" fmla="*/ 561975 h 2352675"/>
            <a:gd name="connsiteX2" fmla="*/ 2041246 w 2305050"/>
            <a:gd name="connsiteY2" fmla="*/ 498120 h 2352675"/>
            <a:gd name="connsiteX3" fmla="*/ 2296212 w 2305050"/>
            <a:gd name="connsiteY3" fmla="*/ 646252 h 2352675"/>
            <a:gd name="connsiteX4" fmla="*/ 1143000 w 2305050"/>
            <a:gd name="connsiteY4" fmla="*/ 1009650 h 2352675"/>
            <a:gd name="connsiteX5" fmla="*/ 1628775 w 2305050"/>
            <a:gd name="connsiteY5" fmla="*/ 1533525 h 2352675"/>
            <a:gd name="connsiteX6" fmla="*/ 2076450 w 2305050"/>
            <a:gd name="connsiteY6" fmla="*/ 1533525 h 2352675"/>
            <a:gd name="connsiteX7" fmla="*/ 2305050 w 2305050"/>
            <a:gd name="connsiteY7" fmla="*/ 1724025 h 2352675"/>
            <a:gd name="connsiteX8" fmla="*/ 1838325 w 2305050"/>
            <a:gd name="connsiteY8" fmla="*/ 1857375 h 2352675"/>
            <a:gd name="connsiteX9" fmla="*/ 2009775 w 2305050"/>
            <a:gd name="connsiteY9" fmla="*/ 2105025 h 2352675"/>
            <a:gd name="connsiteX10" fmla="*/ 1733550 w 2305050"/>
            <a:gd name="connsiteY10" fmla="*/ 1971675 h 2352675"/>
            <a:gd name="connsiteX11" fmla="*/ 1543050 w 2305050"/>
            <a:gd name="connsiteY11" fmla="*/ 2352675 h 2352675"/>
            <a:gd name="connsiteX12" fmla="*/ 1314450 w 2305050"/>
            <a:gd name="connsiteY12" fmla="*/ 2133600 h 2352675"/>
            <a:gd name="connsiteX13" fmla="*/ 1447800 w 2305050"/>
            <a:gd name="connsiteY13" fmla="*/ 1771650 h 2352675"/>
            <a:gd name="connsiteX14" fmla="*/ 923925 w 2305050"/>
            <a:gd name="connsiteY14" fmla="*/ 1190625 h 2352675"/>
            <a:gd name="connsiteX15" fmla="*/ 414757 w 2305050"/>
            <a:gd name="connsiteY15" fmla="*/ 2305735 h 2352675"/>
            <a:gd name="connsiteX16" fmla="*/ 292990 w 2305050"/>
            <a:gd name="connsiteY16" fmla="*/ 2036368 h 2352675"/>
            <a:gd name="connsiteX17" fmla="*/ 520217 w 2305050"/>
            <a:gd name="connsiteY17" fmla="*/ 750951 h 2352675"/>
            <a:gd name="connsiteX18" fmla="*/ 0 w 2305050"/>
            <a:gd name="connsiteY18" fmla="*/ 0 h 2352675"/>
            <a:gd name="connsiteX0" fmla="*/ 0 w 2305050"/>
            <a:gd name="connsiteY0" fmla="*/ 0 h 2352675"/>
            <a:gd name="connsiteX1" fmla="*/ 771525 w 2305050"/>
            <a:gd name="connsiteY1" fmla="*/ 561975 h 2352675"/>
            <a:gd name="connsiteX2" fmla="*/ 2041246 w 2305050"/>
            <a:gd name="connsiteY2" fmla="*/ 498120 h 2352675"/>
            <a:gd name="connsiteX3" fmla="*/ 2296212 w 2305050"/>
            <a:gd name="connsiteY3" fmla="*/ 646252 h 2352675"/>
            <a:gd name="connsiteX4" fmla="*/ 1143000 w 2305050"/>
            <a:gd name="connsiteY4" fmla="*/ 1009650 h 2352675"/>
            <a:gd name="connsiteX5" fmla="*/ 1628775 w 2305050"/>
            <a:gd name="connsiteY5" fmla="*/ 1533525 h 2352675"/>
            <a:gd name="connsiteX6" fmla="*/ 2076450 w 2305050"/>
            <a:gd name="connsiteY6" fmla="*/ 1533525 h 2352675"/>
            <a:gd name="connsiteX7" fmla="*/ 2305050 w 2305050"/>
            <a:gd name="connsiteY7" fmla="*/ 1724025 h 2352675"/>
            <a:gd name="connsiteX8" fmla="*/ 1838325 w 2305050"/>
            <a:gd name="connsiteY8" fmla="*/ 1857375 h 2352675"/>
            <a:gd name="connsiteX9" fmla="*/ 2009775 w 2305050"/>
            <a:gd name="connsiteY9" fmla="*/ 2105025 h 2352675"/>
            <a:gd name="connsiteX10" fmla="*/ 1733550 w 2305050"/>
            <a:gd name="connsiteY10" fmla="*/ 1971675 h 2352675"/>
            <a:gd name="connsiteX11" fmla="*/ 1543050 w 2305050"/>
            <a:gd name="connsiteY11" fmla="*/ 2352675 h 2352675"/>
            <a:gd name="connsiteX12" fmla="*/ 1314450 w 2305050"/>
            <a:gd name="connsiteY12" fmla="*/ 2133600 h 2352675"/>
            <a:gd name="connsiteX13" fmla="*/ 1447800 w 2305050"/>
            <a:gd name="connsiteY13" fmla="*/ 1771650 h 2352675"/>
            <a:gd name="connsiteX14" fmla="*/ 923925 w 2305050"/>
            <a:gd name="connsiteY14" fmla="*/ 1190625 h 2352675"/>
            <a:gd name="connsiteX15" fmla="*/ 414757 w 2305050"/>
            <a:gd name="connsiteY15" fmla="*/ 2305735 h 2352675"/>
            <a:gd name="connsiteX16" fmla="*/ 292990 w 2305050"/>
            <a:gd name="connsiteY16" fmla="*/ 2036368 h 2352675"/>
            <a:gd name="connsiteX17" fmla="*/ 520217 w 2305050"/>
            <a:gd name="connsiteY17" fmla="*/ 750951 h 2352675"/>
            <a:gd name="connsiteX18" fmla="*/ 0 w 2305050"/>
            <a:gd name="connsiteY18" fmla="*/ 0 h 2352675"/>
            <a:gd name="connsiteX0" fmla="*/ 0 w 2305050"/>
            <a:gd name="connsiteY0" fmla="*/ 0 h 2352675"/>
            <a:gd name="connsiteX1" fmla="*/ 771525 w 2305050"/>
            <a:gd name="connsiteY1" fmla="*/ 561975 h 2352675"/>
            <a:gd name="connsiteX2" fmla="*/ 2041246 w 2305050"/>
            <a:gd name="connsiteY2" fmla="*/ 498120 h 2352675"/>
            <a:gd name="connsiteX3" fmla="*/ 2296212 w 2305050"/>
            <a:gd name="connsiteY3" fmla="*/ 646252 h 2352675"/>
            <a:gd name="connsiteX4" fmla="*/ 1143000 w 2305050"/>
            <a:gd name="connsiteY4" fmla="*/ 1009650 h 2352675"/>
            <a:gd name="connsiteX5" fmla="*/ 1628775 w 2305050"/>
            <a:gd name="connsiteY5" fmla="*/ 1533525 h 2352675"/>
            <a:gd name="connsiteX6" fmla="*/ 2076450 w 2305050"/>
            <a:gd name="connsiteY6" fmla="*/ 1533525 h 2352675"/>
            <a:gd name="connsiteX7" fmla="*/ 2305050 w 2305050"/>
            <a:gd name="connsiteY7" fmla="*/ 1724025 h 2352675"/>
            <a:gd name="connsiteX8" fmla="*/ 1838325 w 2305050"/>
            <a:gd name="connsiteY8" fmla="*/ 1857375 h 2352675"/>
            <a:gd name="connsiteX9" fmla="*/ 2009775 w 2305050"/>
            <a:gd name="connsiteY9" fmla="*/ 2105025 h 2352675"/>
            <a:gd name="connsiteX10" fmla="*/ 1733550 w 2305050"/>
            <a:gd name="connsiteY10" fmla="*/ 1971675 h 2352675"/>
            <a:gd name="connsiteX11" fmla="*/ 1543050 w 2305050"/>
            <a:gd name="connsiteY11" fmla="*/ 2352675 h 2352675"/>
            <a:gd name="connsiteX12" fmla="*/ 1314450 w 2305050"/>
            <a:gd name="connsiteY12" fmla="*/ 2133600 h 2352675"/>
            <a:gd name="connsiteX13" fmla="*/ 1447800 w 2305050"/>
            <a:gd name="connsiteY13" fmla="*/ 1771650 h 2352675"/>
            <a:gd name="connsiteX14" fmla="*/ 923925 w 2305050"/>
            <a:gd name="connsiteY14" fmla="*/ 1190625 h 2352675"/>
            <a:gd name="connsiteX15" fmla="*/ 414757 w 2305050"/>
            <a:gd name="connsiteY15" fmla="*/ 2305735 h 2352675"/>
            <a:gd name="connsiteX16" fmla="*/ 292990 w 2305050"/>
            <a:gd name="connsiteY16" fmla="*/ 2036368 h 2352675"/>
            <a:gd name="connsiteX17" fmla="*/ 520217 w 2305050"/>
            <a:gd name="connsiteY17" fmla="*/ 750951 h 2352675"/>
            <a:gd name="connsiteX18" fmla="*/ 0 w 2305050"/>
            <a:gd name="connsiteY18" fmla="*/ 0 h 2352675"/>
            <a:gd name="connsiteX0" fmla="*/ 0 w 2294077"/>
            <a:gd name="connsiteY0" fmla="*/ 0 h 2363647"/>
            <a:gd name="connsiteX1" fmla="*/ 760552 w 2294077"/>
            <a:gd name="connsiteY1" fmla="*/ 572947 h 2363647"/>
            <a:gd name="connsiteX2" fmla="*/ 2030273 w 2294077"/>
            <a:gd name="connsiteY2" fmla="*/ 509092 h 2363647"/>
            <a:gd name="connsiteX3" fmla="*/ 2285239 w 2294077"/>
            <a:gd name="connsiteY3" fmla="*/ 657224 h 2363647"/>
            <a:gd name="connsiteX4" fmla="*/ 1132027 w 2294077"/>
            <a:gd name="connsiteY4" fmla="*/ 1020622 h 2363647"/>
            <a:gd name="connsiteX5" fmla="*/ 1617802 w 2294077"/>
            <a:gd name="connsiteY5" fmla="*/ 1544497 h 2363647"/>
            <a:gd name="connsiteX6" fmla="*/ 2065477 w 2294077"/>
            <a:gd name="connsiteY6" fmla="*/ 1544497 h 2363647"/>
            <a:gd name="connsiteX7" fmla="*/ 2294077 w 2294077"/>
            <a:gd name="connsiteY7" fmla="*/ 1734997 h 2363647"/>
            <a:gd name="connsiteX8" fmla="*/ 1827352 w 2294077"/>
            <a:gd name="connsiteY8" fmla="*/ 1868347 h 2363647"/>
            <a:gd name="connsiteX9" fmla="*/ 1998802 w 2294077"/>
            <a:gd name="connsiteY9" fmla="*/ 2115997 h 2363647"/>
            <a:gd name="connsiteX10" fmla="*/ 1722577 w 2294077"/>
            <a:gd name="connsiteY10" fmla="*/ 1982647 h 2363647"/>
            <a:gd name="connsiteX11" fmla="*/ 1532077 w 2294077"/>
            <a:gd name="connsiteY11" fmla="*/ 2363647 h 2363647"/>
            <a:gd name="connsiteX12" fmla="*/ 1303477 w 2294077"/>
            <a:gd name="connsiteY12" fmla="*/ 2144572 h 2363647"/>
            <a:gd name="connsiteX13" fmla="*/ 1436827 w 2294077"/>
            <a:gd name="connsiteY13" fmla="*/ 1782622 h 2363647"/>
            <a:gd name="connsiteX14" fmla="*/ 912952 w 2294077"/>
            <a:gd name="connsiteY14" fmla="*/ 1201597 h 2363647"/>
            <a:gd name="connsiteX15" fmla="*/ 403784 w 2294077"/>
            <a:gd name="connsiteY15" fmla="*/ 2316707 h 2363647"/>
            <a:gd name="connsiteX16" fmla="*/ 282017 w 2294077"/>
            <a:gd name="connsiteY16" fmla="*/ 2047340 h 2363647"/>
            <a:gd name="connsiteX17" fmla="*/ 509244 w 2294077"/>
            <a:gd name="connsiteY17" fmla="*/ 761923 h 2363647"/>
            <a:gd name="connsiteX18" fmla="*/ 0 w 2294077"/>
            <a:gd name="connsiteY18" fmla="*/ 0 h 2363647"/>
            <a:gd name="connsiteX0" fmla="*/ 6569 w 2300646"/>
            <a:gd name="connsiteY0" fmla="*/ 0 h 2363647"/>
            <a:gd name="connsiteX1" fmla="*/ 767121 w 2300646"/>
            <a:gd name="connsiteY1" fmla="*/ 572947 h 2363647"/>
            <a:gd name="connsiteX2" fmla="*/ 2036842 w 2300646"/>
            <a:gd name="connsiteY2" fmla="*/ 509092 h 2363647"/>
            <a:gd name="connsiteX3" fmla="*/ 2291808 w 2300646"/>
            <a:gd name="connsiteY3" fmla="*/ 657224 h 2363647"/>
            <a:gd name="connsiteX4" fmla="*/ 1138596 w 2300646"/>
            <a:gd name="connsiteY4" fmla="*/ 1020622 h 2363647"/>
            <a:gd name="connsiteX5" fmla="*/ 1624371 w 2300646"/>
            <a:gd name="connsiteY5" fmla="*/ 1544497 h 2363647"/>
            <a:gd name="connsiteX6" fmla="*/ 2072046 w 2300646"/>
            <a:gd name="connsiteY6" fmla="*/ 1544497 h 2363647"/>
            <a:gd name="connsiteX7" fmla="*/ 2300646 w 2300646"/>
            <a:gd name="connsiteY7" fmla="*/ 1734997 h 2363647"/>
            <a:gd name="connsiteX8" fmla="*/ 1833921 w 2300646"/>
            <a:gd name="connsiteY8" fmla="*/ 1868347 h 2363647"/>
            <a:gd name="connsiteX9" fmla="*/ 2005371 w 2300646"/>
            <a:gd name="connsiteY9" fmla="*/ 2115997 h 2363647"/>
            <a:gd name="connsiteX10" fmla="*/ 1729146 w 2300646"/>
            <a:gd name="connsiteY10" fmla="*/ 1982647 h 2363647"/>
            <a:gd name="connsiteX11" fmla="*/ 1538646 w 2300646"/>
            <a:gd name="connsiteY11" fmla="*/ 2363647 h 2363647"/>
            <a:gd name="connsiteX12" fmla="*/ 1310046 w 2300646"/>
            <a:gd name="connsiteY12" fmla="*/ 2144572 h 2363647"/>
            <a:gd name="connsiteX13" fmla="*/ 1443396 w 2300646"/>
            <a:gd name="connsiteY13" fmla="*/ 1782622 h 2363647"/>
            <a:gd name="connsiteX14" fmla="*/ 919521 w 2300646"/>
            <a:gd name="connsiteY14" fmla="*/ 1201597 h 2363647"/>
            <a:gd name="connsiteX15" fmla="*/ 410353 w 2300646"/>
            <a:gd name="connsiteY15" fmla="*/ 2316707 h 2363647"/>
            <a:gd name="connsiteX16" fmla="*/ 288586 w 2300646"/>
            <a:gd name="connsiteY16" fmla="*/ 2047340 h 2363647"/>
            <a:gd name="connsiteX17" fmla="*/ 515813 w 2300646"/>
            <a:gd name="connsiteY17" fmla="*/ 761923 h 2363647"/>
            <a:gd name="connsiteX18" fmla="*/ 6569 w 2300646"/>
            <a:gd name="connsiteY18" fmla="*/ 0 h 2363647"/>
            <a:gd name="connsiteX0" fmla="*/ 6569 w 2300646"/>
            <a:gd name="connsiteY0" fmla="*/ 5505 h 2369152"/>
            <a:gd name="connsiteX1" fmla="*/ 767121 w 2300646"/>
            <a:gd name="connsiteY1" fmla="*/ 578452 h 2369152"/>
            <a:gd name="connsiteX2" fmla="*/ 2036842 w 2300646"/>
            <a:gd name="connsiteY2" fmla="*/ 514597 h 2369152"/>
            <a:gd name="connsiteX3" fmla="*/ 2291808 w 2300646"/>
            <a:gd name="connsiteY3" fmla="*/ 662729 h 2369152"/>
            <a:gd name="connsiteX4" fmla="*/ 1138596 w 2300646"/>
            <a:gd name="connsiteY4" fmla="*/ 1026127 h 2369152"/>
            <a:gd name="connsiteX5" fmla="*/ 1624371 w 2300646"/>
            <a:gd name="connsiteY5" fmla="*/ 1550002 h 2369152"/>
            <a:gd name="connsiteX6" fmla="*/ 2072046 w 2300646"/>
            <a:gd name="connsiteY6" fmla="*/ 1550002 h 2369152"/>
            <a:gd name="connsiteX7" fmla="*/ 2300646 w 2300646"/>
            <a:gd name="connsiteY7" fmla="*/ 1740502 h 2369152"/>
            <a:gd name="connsiteX8" fmla="*/ 1833921 w 2300646"/>
            <a:gd name="connsiteY8" fmla="*/ 1873852 h 2369152"/>
            <a:gd name="connsiteX9" fmla="*/ 2005371 w 2300646"/>
            <a:gd name="connsiteY9" fmla="*/ 2121502 h 2369152"/>
            <a:gd name="connsiteX10" fmla="*/ 1729146 w 2300646"/>
            <a:gd name="connsiteY10" fmla="*/ 1988152 h 2369152"/>
            <a:gd name="connsiteX11" fmla="*/ 1538646 w 2300646"/>
            <a:gd name="connsiteY11" fmla="*/ 2369152 h 2369152"/>
            <a:gd name="connsiteX12" fmla="*/ 1310046 w 2300646"/>
            <a:gd name="connsiteY12" fmla="*/ 2150077 h 2369152"/>
            <a:gd name="connsiteX13" fmla="*/ 1443396 w 2300646"/>
            <a:gd name="connsiteY13" fmla="*/ 1788127 h 2369152"/>
            <a:gd name="connsiteX14" fmla="*/ 919521 w 2300646"/>
            <a:gd name="connsiteY14" fmla="*/ 1207102 h 2369152"/>
            <a:gd name="connsiteX15" fmla="*/ 410353 w 2300646"/>
            <a:gd name="connsiteY15" fmla="*/ 2322212 h 2369152"/>
            <a:gd name="connsiteX16" fmla="*/ 288586 w 2300646"/>
            <a:gd name="connsiteY16" fmla="*/ 2052845 h 2369152"/>
            <a:gd name="connsiteX17" fmla="*/ 515813 w 2300646"/>
            <a:gd name="connsiteY17" fmla="*/ 767428 h 2369152"/>
            <a:gd name="connsiteX18" fmla="*/ 6569 w 2300646"/>
            <a:gd name="connsiteY18" fmla="*/ 5505 h 2369152"/>
            <a:gd name="connsiteX0" fmla="*/ 11167 w 2305244"/>
            <a:gd name="connsiteY0" fmla="*/ 5505 h 2369152"/>
            <a:gd name="connsiteX1" fmla="*/ 771719 w 2305244"/>
            <a:gd name="connsiteY1" fmla="*/ 578452 h 2369152"/>
            <a:gd name="connsiteX2" fmla="*/ 2041440 w 2305244"/>
            <a:gd name="connsiteY2" fmla="*/ 514597 h 2369152"/>
            <a:gd name="connsiteX3" fmla="*/ 2296406 w 2305244"/>
            <a:gd name="connsiteY3" fmla="*/ 662729 h 2369152"/>
            <a:gd name="connsiteX4" fmla="*/ 1143194 w 2305244"/>
            <a:gd name="connsiteY4" fmla="*/ 1026127 h 2369152"/>
            <a:gd name="connsiteX5" fmla="*/ 1628969 w 2305244"/>
            <a:gd name="connsiteY5" fmla="*/ 1550002 h 2369152"/>
            <a:gd name="connsiteX6" fmla="*/ 2076644 w 2305244"/>
            <a:gd name="connsiteY6" fmla="*/ 1550002 h 2369152"/>
            <a:gd name="connsiteX7" fmla="*/ 2305244 w 2305244"/>
            <a:gd name="connsiteY7" fmla="*/ 1740502 h 2369152"/>
            <a:gd name="connsiteX8" fmla="*/ 1838519 w 2305244"/>
            <a:gd name="connsiteY8" fmla="*/ 1873852 h 2369152"/>
            <a:gd name="connsiteX9" fmla="*/ 2009969 w 2305244"/>
            <a:gd name="connsiteY9" fmla="*/ 2121502 h 2369152"/>
            <a:gd name="connsiteX10" fmla="*/ 1733744 w 2305244"/>
            <a:gd name="connsiteY10" fmla="*/ 1988152 h 2369152"/>
            <a:gd name="connsiteX11" fmla="*/ 1543244 w 2305244"/>
            <a:gd name="connsiteY11" fmla="*/ 2369152 h 2369152"/>
            <a:gd name="connsiteX12" fmla="*/ 1314644 w 2305244"/>
            <a:gd name="connsiteY12" fmla="*/ 2150077 h 2369152"/>
            <a:gd name="connsiteX13" fmla="*/ 1447994 w 2305244"/>
            <a:gd name="connsiteY13" fmla="*/ 1788127 h 2369152"/>
            <a:gd name="connsiteX14" fmla="*/ 924119 w 2305244"/>
            <a:gd name="connsiteY14" fmla="*/ 1207102 h 2369152"/>
            <a:gd name="connsiteX15" fmla="*/ 414951 w 2305244"/>
            <a:gd name="connsiteY15" fmla="*/ 2322212 h 2369152"/>
            <a:gd name="connsiteX16" fmla="*/ 293184 w 2305244"/>
            <a:gd name="connsiteY16" fmla="*/ 2052845 h 2369152"/>
            <a:gd name="connsiteX17" fmla="*/ 520411 w 2305244"/>
            <a:gd name="connsiteY17" fmla="*/ 767428 h 2369152"/>
            <a:gd name="connsiteX18" fmla="*/ 11167 w 2305244"/>
            <a:gd name="connsiteY18" fmla="*/ 5505 h 2369152"/>
            <a:gd name="connsiteX0" fmla="*/ 11167 w 2305244"/>
            <a:gd name="connsiteY0" fmla="*/ 5505 h 2369152"/>
            <a:gd name="connsiteX1" fmla="*/ 771719 w 2305244"/>
            <a:gd name="connsiteY1" fmla="*/ 578452 h 2369152"/>
            <a:gd name="connsiteX2" fmla="*/ 2041440 w 2305244"/>
            <a:gd name="connsiteY2" fmla="*/ 514597 h 2369152"/>
            <a:gd name="connsiteX3" fmla="*/ 2296406 w 2305244"/>
            <a:gd name="connsiteY3" fmla="*/ 662729 h 2369152"/>
            <a:gd name="connsiteX4" fmla="*/ 1143194 w 2305244"/>
            <a:gd name="connsiteY4" fmla="*/ 1026127 h 2369152"/>
            <a:gd name="connsiteX5" fmla="*/ 1628969 w 2305244"/>
            <a:gd name="connsiteY5" fmla="*/ 1550002 h 2369152"/>
            <a:gd name="connsiteX6" fmla="*/ 2076644 w 2305244"/>
            <a:gd name="connsiteY6" fmla="*/ 1550002 h 2369152"/>
            <a:gd name="connsiteX7" fmla="*/ 2305244 w 2305244"/>
            <a:gd name="connsiteY7" fmla="*/ 1740502 h 2369152"/>
            <a:gd name="connsiteX8" fmla="*/ 1838519 w 2305244"/>
            <a:gd name="connsiteY8" fmla="*/ 1873852 h 2369152"/>
            <a:gd name="connsiteX9" fmla="*/ 2009969 w 2305244"/>
            <a:gd name="connsiteY9" fmla="*/ 2121502 h 2369152"/>
            <a:gd name="connsiteX10" fmla="*/ 1733744 w 2305244"/>
            <a:gd name="connsiteY10" fmla="*/ 1988152 h 2369152"/>
            <a:gd name="connsiteX11" fmla="*/ 1543244 w 2305244"/>
            <a:gd name="connsiteY11" fmla="*/ 2369152 h 2369152"/>
            <a:gd name="connsiteX12" fmla="*/ 1314644 w 2305244"/>
            <a:gd name="connsiteY12" fmla="*/ 2150077 h 2369152"/>
            <a:gd name="connsiteX13" fmla="*/ 1447994 w 2305244"/>
            <a:gd name="connsiteY13" fmla="*/ 1788127 h 2369152"/>
            <a:gd name="connsiteX14" fmla="*/ 909489 w 2305244"/>
            <a:gd name="connsiteY14" fmla="*/ 1185156 h 2369152"/>
            <a:gd name="connsiteX15" fmla="*/ 414951 w 2305244"/>
            <a:gd name="connsiteY15" fmla="*/ 2322212 h 2369152"/>
            <a:gd name="connsiteX16" fmla="*/ 293184 w 2305244"/>
            <a:gd name="connsiteY16" fmla="*/ 2052845 h 2369152"/>
            <a:gd name="connsiteX17" fmla="*/ 520411 w 2305244"/>
            <a:gd name="connsiteY17" fmla="*/ 767428 h 2369152"/>
            <a:gd name="connsiteX18" fmla="*/ 11167 w 2305244"/>
            <a:gd name="connsiteY18" fmla="*/ 5505 h 2369152"/>
            <a:gd name="connsiteX0" fmla="*/ 11167 w 2305244"/>
            <a:gd name="connsiteY0" fmla="*/ 5505 h 2369152"/>
            <a:gd name="connsiteX1" fmla="*/ 771719 w 2305244"/>
            <a:gd name="connsiteY1" fmla="*/ 578452 h 2369152"/>
            <a:gd name="connsiteX2" fmla="*/ 2041440 w 2305244"/>
            <a:gd name="connsiteY2" fmla="*/ 514597 h 2369152"/>
            <a:gd name="connsiteX3" fmla="*/ 2296406 w 2305244"/>
            <a:gd name="connsiteY3" fmla="*/ 662729 h 2369152"/>
            <a:gd name="connsiteX4" fmla="*/ 1106618 w 2305244"/>
            <a:gd name="connsiteY4" fmla="*/ 1004182 h 2369152"/>
            <a:gd name="connsiteX5" fmla="*/ 1628969 w 2305244"/>
            <a:gd name="connsiteY5" fmla="*/ 1550002 h 2369152"/>
            <a:gd name="connsiteX6" fmla="*/ 2076644 w 2305244"/>
            <a:gd name="connsiteY6" fmla="*/ 1550002 h 2369152"/>
            <a:gd name="connsiteX7" fmla="*/ 2305244 w 2305244"/>
            <a:gd name="connsiteY7" fmla="*/ 1740502 h 2369152"/>
            <a:gd name="connsiteX8" fmla="*/ 1838519 w 2305244"/>
            <a:gd name="connsiteY8" fmla="*/ 1873852 h 2369152"/>
            <a:gd name="connsiteX9" fmla="*/ 2009969 w 2305244"/>
            <a:gd name="connsiteY9" fmla="*/ 2121502 h 2369152"/>
            <a:gd name="connsiteX10" fmla="*/ 1733744 w 2305244"/>
            <a:gd name="connsiteY10" fmla="*/ 1988152 h 2369152"/>
            <a:gd name="connsiteX11" fmla="*/ 1543244 w 2305244"/>
            <a:gd name="connsiteY11" fmla="*/ 2369152 h 2369152"/>
            <a:gd name="connsiteX12" fmla="*/ 1314644 w 2305244"/>
            <a:gd name="connsiteY12" fmla="*/ 2150077 h 2369152"/>
            <a:gd name="connsiteX13" fmla="*/ 1447994 w 2305244"/>
            <a:gd name="connsiteY13" fmla="*/ 1788127 h 2369152"/>
            <a:gd name="connsiteX14" fmla="*/ 909489 w 2305244"/>
            <a:gd name="connsiteY14" fmla="*/ 1185156 h 2369152"/>
            <a:gd name="connsiteX15" fmla="*/ 414951 w 2305244"/>
            <a:gd name="connsiteY15" fmla="*/ 2322212 h 2369152"/>
            <a:gd name="connsiteX16" fmla="*/ 293184 w 2305244"/>
            <a:gd name="connsiteY16" fmla="*/ 2052845 h 2369152"/>
            <a:gd name="connsiteX17" fmla="*/ 520411 w 2305244"/>
            <a:gd name="connsiteY17" fmla="*/ 767428 h 2369152"/>
            <a:gd name="connsiteX18" fmla="*/ 11167 w 2305244"/>
            <a:gd name="connsiteY18" fmla="*/ 5505 h 2369152"/>
            <a:gd name="connsiteX0" fmla="*/ 11167 w 2305244"/>
            <a:gd name="connsiteY0" fmla="*/ 5505 h 2369152"/>
            <a:gd name="connsiteX1" fmla="*/ 771719 w 2305244"/>
            <a:gd name="connsiteY1" fmla="*/ 578452 h 2369152"/>
            <a:gd name="connsiteX2" fmla="*/ 2041440 w 2305244"/>
            <a:gd name="connsiteY2" fmla="*/ 514597 h 2369152"/>
            <a:gd name="connsiteX3" fmla="*/ 2296406 w 2305244"/>
            <a:gd name="connsiteY3" fmla="*/ 662729 h 2369152"/>
            <a:gd name="connsiteX4" fmla="*/ 1106618 w 2305244"/>
            <a:gd name="connsiteY4" fmla="*/ 1004182 h 2369152"/>
            <a:gd name="connsiteX5" fmla="*/ 1628969 w 2305244"/>
            <a:gd name="connsiteY5" fmla="*/ 1550002 h 2369152"/>
            <a:gd name="connsiteX6" fmla="*/ 2076644 w 2305244"/>
            <a:gd name="connsiteY6" fmla="*/ 1550002 h 2369152"/>
            <a:gd name="connsiteX7" fmla="*/ 2305244 w 2305244"/>
            <a:gd name="connsiteY7" fmla="*/ 1740502 h 2369152"/>
            <a:gd name="connsiteX8" fmla="*/ 1838519 w 2305244"/>
            <a:gd name="connsiteY8" fmla="*/ 1873852 h 2369152"/>
            <a:gd name="connsiteX9" fmla="*/ 2009969 w 2305244"/>
            <a:gd name="connsiteY9" fmla="*/ 2121502 h 2369152"/>
            <a:gd name="connsiteX10" fmla="*/ 1733744 w 2305244"/>
            <a:gd name="connsiteY10" fmla="*/ 1988152 h 2369152"/>
            <a:gd name="connsiteX11" fmla="*/ 1543244 w 2305244"/>
            <a:gd name="connsiteY11" fmla="*/ 2369152 h 2369152"/>
            <a:gd name="connsiteX12" fmla="*/ 1314644 w 2305244"/>
            <a:gd name="connsiteY12" fmla="*/ 2150077 h 2369152"/>
            <a:gd name="connsiteX13" fmla="*/ 1447994 w 2305244"/>
            <a:gd name="connsiteY13" fmla="*/ 1788127 h 2369152"/>
            <a:gd name="connsiteX14" fmla="*/ 898516 w 2305244"/>
            <a:gd name="connsiteY14" fmla="*/ 1196129 h 2369152"/>
            <a:gd name="connsiteX15" fmla="*/ 414951 w 2305244"/>
            <a:gd name="connsiteY15" fmla="*/ 2322212 h 2369152"/>
            <a:gd name="connsiteX16" fmla="*/ 293184 w 2305244"/>
            <a:gd name="connsiteY16" fmla="*/ 2052845 h 2369152"/>
            <a:gd name="connsiteX17" fmla="*/ 520411 w 2305244"/>
            <a:gd name="connsiteY17" fmla="*/ 767428 h 2369152"/>
            <a:gd name="connsiteX18" fmla="*/ 11167 w 2305244"/>
            <a:gd name="connsiteY18" fmla="*/ 5505 h 2369152"/>
            <a:gd name="connsiteX0" fmla="*/ 11167 w 2305244"/>
            <a:gd name="connsiteY0" fmla="*/ 5505 h 2369152"/>
            <a:gd name="connsiteX1" fmla="*/ 771719 w 2305244"/>
            <a:gd name="connsiteY1" fmla="*/ 578452 h 2369152"/>
            <a:gd name="connsiteX2" fmla="*/ 2041440 w 2305244"/>
            <a:gd name="connsiteY2" fmla="*/ 514597 h 2369152"/>
            <a:gd name="connsiteX3" fmla="*/ 2296406 w 2305244"/>
            <a:gd name="connsiteY3" fmla="*/ 662729 h 2369152"/>
            <a:gd name="connsiteX4" fmla="*/ 1124906 w 2305244"/>
            <a:gd name="connsiteY4" fmla="*/ 1004182 h 2369152"/>
            <a:gd name="connsiteX5" fmla="*/ 1628969 w 2305244"/>
            <a:gd name="connsiteY5" fmla="*/ 1550002 h 2369152"/>
            <a:gd name="connsiteX6" fmla="*/ 2076644 w 2305244"/>
            <a:gd name="connsiteY6" fmla="*/ 1550002 h 2369152"/>
            <a:gd name="connsiteX7" fmla="*/ 2305244 w 2305244"/>
            <a:gd name="connsiteY7" fmla="*/ 1740502 h 2369152"/>
            <a:gd name="connsiteX8" fmla="*/ 1838519 w 2305244"/>
            <a:gd name="connsiteY8" fmla="*/ 1873852 h 2369152"/>
            <a:gd name="connsiteX9" fmla="*/ 2009969 w 2305244"/>
            <a:gd name="connsiteY9" fmla="*/ 2121502 h 2369152"/>
            <a:gd name="connsiteX10" fmla="*/ 1733744 w 2305244"/>
            <a:gd name="connsiteY10" fmla="*/ 1988152 h 2369152"/>
            <a:gd name="connsiteX11" fmla="*/ 1543244 w 2305244"/>
            <a:gd name="connsiteY11" fmla="*/ 2369152 h 2369152"/>
            <a:gd name="connsiteX12" fmla="*/ 1314644 w 2305244"/>
            <a:gd name="connsiteY12" fmla="*/ 2150077 h 2369152"/>
            <a:gd name="connsiteX13" fmla="*/ 1447994 w 2305244"/>
            <a:gd name="connsiteY13" fmla="*/ 1788127 h 2369152"/>
            <a:gd name="connsiteX14" fmla="*/ 898516 w 2305244"/>
            <a:gd name="connsiteY14" fmla="*/ 1196129 h 2369152"/>
            <a:gd name="connsiteX15" fmla="*/ 414951 w 2305244"/>
            <a:gd name="connsiteY15" fmla="*/ 2322212 h 2369152"/>
            <a:gd name="connsiteX16" fmla="*/ 293184 w 2305244"/>
            <a:gd name="connsiteY16" fmla="*/ 2052845 h 2369152"/>
            <a:gd name="connsiteX17" fmla="*/ 520411 w 2305244"/>
            <a:gd name="connsiteY17" fmla="*/ 767428 h 2369152"/>
            <a:gd name="connsiteX18" fmla="*/ 11167 w 2305244"/>
            <a:gd name="connsiteY18" fmla="*/ 5505 h 2369152"/>
            <a:gd name="connsiteX0" fmla="*/ 11167 w 2305244"/>
            <a:gd name="connsiteY0" fmla="*/ 5505 h 2369152"/>
            <a:gd name="connsiteX1" fmla="*/ 771719 w 2305244"/>
            <a:gd name="connsiteY1" fmla="*/ 578452 h 2369152"/>
            <a:gd name="connsiteX2" fmla="*/ 2041440 w 2305244"/>
            <a:gd name="connsiteY2" fmla="*/ 514597 h 2369152"/>
            <a:gd name="connsiteX3" fmla="*/ 2296406 w 2305244"/>
            <a:gd name="connsiteY3" fmla="*/ 662729 h 2369152"/>
            <a:gd name="connsiteX4" fmla="*/ 1124906 w 2305244"/>
            <a:gd name="connsiteY4" fmla="*/ 1004182 h 2369152"/>
            <a:gd name="connsiteX5" fmla="*/ 1628969 w 2305244"/>
            <a:gd name="connsiteY5" fmla="*/ 1550002 h 2369152"/>
            <a:gd name="connsiteX6" fmla="*/ 2076644 w 2305244"/>
            <a:gd name="connsiteY6" fmla="*/ 1550002 h 2369152"/>
            <a:gd name="connsiteX7" fmla="*/ 2305244 w 2305244"/>
            <a:gd name="connsiteY7" fmla="*/ 1740502 h 2369152"/>
            <a:gd name="connsiteX8" fmla="*/ 1838519 w 2305244"/>
            <a:gd name="connsiteY8" fmla="*/ 1873852 h 2369152"/>
            <a:gd name="connsiteX9" fmla="*/ 2009969 w 2305244"/>
            <a:gd name="connsiteY9" fmla="*/ 2121502 h 2369152"/>
            <a:gd name="connsiteX10" fmla="*/ 1733744 w 2305244"/>
            <a:gd name="connsiteY10" fmla="*/ 1988152 h 2369152"/>
            <a:gd name="connsiteX11" fmla="*/ 1543244 w 2305244"/>
            <a:gd name="connsiteY11" fmla="*/ 2369152 h 2369152"/>
            <a:gd name="connsiteX12" fmla="*/ 1314644 w 2305244"/>
            <a:gd name="connsiteY12" fmla="*/ 2150077 h 2369152"/>
            <a:gd name="connsiteX13" fmla="*/ 1447994 w 2305244"/>
            <a:gd name="connsiteY13" fmla="*/ 1788127 h 2369152"/>
            <a:gd name="connsiteX14" fmla="*/ 909489 w 2305244"/>
            <a:gd name="connsiteY14" fmla="*/ 1225390 h 2369152"/>
            <a:gd name="connsiteX15" fmla="*/ 414951 w 2305244"/>
            <a:gd name="connsiteY15" fmla="*/ 2322212 h 2369152"/>
            <a:gd name="connsiteX16" fmla="*/ 293184 w 2305244"/>
            <a:gd name="connsiteY16" fmla="*/ 2052845 h 2369152"/>
            <a:gd name="connsiteX17" fmla="*/ 520411 w 2305244"/>
            <a:gd name="connsiteY17" fmla="*/ 767428 h 2369152"/>
            <a:gd name="connsiteX18" fmla="*/ 11167 w 2305244"/>
            <a:gd name="connsiteY18" fmla="*/ 5505 h 2369152"/>
            <a:gd name="connsiteX0" fmla="*/ 11167 w 2305244"/>
            <a:gd name="connsiteY0" fmla="*/ 5505 h 2369152"/>
            <a:gd name="connsiteX1" fmla="*/ 771719 w 2305244"/>
            <a:gd name="connsiteY1" fmla="*/ 578452 h 2369152"/>
            <a:gd name="connsiteX2" fmla="*/ 2041440 w 2305244"/>
            <a:gd name="connsiteY2" fmla="*/ 514597 h 2369152"/>
            <a:gd name="connsiteX3" fmla="*/ 2296406 w 2305244"/>
            <a:gd name="connsiteY3" fmla="*/ 662729 h 2369152"/>
            <a:gd name="connsiteX4" fmla="*/ 1124906 w 2305244"/>
            <a:gd name="connsiteY4" fmla="*/ 1004182 h 2369152"/>
            <a:gd name="connsiteX5" fmla="*/ 1628969 w 2305244"/>
            <a:gd name="connsiteY5" fmla="*/ 1550002 h 2369152"/>
            <a:gd name="connsiteX6" fmla="*/ 2076644 w 2305244"/>
            <a:gd name="connsiteY6" fmla="*/ 1550002 h 2369152"/>
            <a:gd name="connsiteX7" fmla="*/ 2305244 w 2305244"/>
            <a:gd name="connsiteY7" fmla="*/ 1740502 h 2369152"/>
            <a:gd name="connsiteX8" fmla="*/ 1838519 w 2305244"/>
            <a:gd name="connsiteY8" fmla="*/ 1873852 h 2369152"/>
            <a:gd name="connsiteX9" fmla="*/ 2009969 w 2305244"/>
            <a:gd name="connsiteY9" fmla="*/ 2121502 h 2369152"/>
            <a:gd name="connsiteX10" fmla="*/ 1733744 w 2305244"/>
            <a:gd name="connsiteY10" fmla="*/ 1988152 h 2369152"/>
            <a:gd name="connsiteX11" fmla="*/ 1543244 w 2305244"/>
            <a:gd name="connsiteY11" fmla="*/ 2369152 h 2369152"/>
            <a:gd name="connsiteX12" fmla="*/ 1314644 w 2305244"/>
            <a:gd name="connsiteY12" fmla="*/ 2150077 h 2369152"/>
            <a:gd name="connsiteX13" fmla="*/ 1473597 w 2305244"/>
            <a:gd name="connsiteY13" fmla="*/ 1788127 h 2369152"/>
            <a:gd name="connsiteX14" fmla="*/ 909489 w 2305244"/>
            <a:gd name="connsiteY14" fmla="*/ 1225390 h 2369152"/>
            <a:gd name="connsiteX15" fmla="*/ 414951 w 2305244"/>
            <a:gd name="connsiteY15" fmla="*/ 2322212 h 2369152"/>
            <a:gd name="connsiteX16" fmla="*/ 293184 w 2305244"/>
            <a:gd name="connsiteY16" fmla="*/ 2052845 h 2369152"/>
            <a:gd name="connsiteX17" fmla="*/ 520411 w 2305244"/>
            <a:gd name="connsiteY17" fmla="*/ 767428 h 2369152"/>
            <a:gd name="connsiteX18" fmla="*/ 11167 w 2305244"/>
            <a:gd name="connsiteY18" fmla="*/ 5505 h 2369152"/>
            <a:gd name="connsiteX0" fmla="*/ 11167 w 2305244"/>
            <a:gd name="connsiteY0" fmla="*/ 5505 h 2369152"/>
            <a:gd name="connsiteX1" fmla="*/ 771719 w 2305244"/>
            <a:gd name="connsiteY1" fmla="*/ 578452 h 2369152"/>
            <a:gd name="connsiteX2" fmla="*/ 2041440 w 2305244"/>
            <a:gd name="connsiteY2" fmla="*/ 514597 h 2369152"/>
            <a:gd name="connsiteX3" fmla="*/ 2296406 w 2305244"/>
            <a:gd name="connsiteY3" fmla="*/ 662729 h 2369152"/>
            <a:gd name="connsiteX4" fmla="*/ 1124906 w 2305244"/>
            <a:gd name="connsiteY4" fmla="*/ 1004182 h 2369152"/>
            <a:gd name="connsiteX5" fmla="*/ 1628969 w 2305244"/>
            <a:gd name="connsiteY5" fmla="*/ 1550002 h 2369152"/>
            <a:gd name="connsiteX6" fmla="*/ 2076644 w 2305244"/>
            <a:gd name="connsiteY6" fmla="*/ 1550002 h 2369152"/>
            <a:gd name="connsiteX7" fmla="*/ 2305244 w 2305244"/>
            <a:gd name="connsiteY7" fmla="*/ 1740502 h 2369152"/>
            <a:gd name="connsiteX8" fmla="*/ 1838519 w 2305244"/>
            <a:gd name="connsiteY8" fmla="*/ 1873852 h 2369152"/>
            <a:gd name="connsiteX9" fmla="*/ 2009969 w 2305244"/>
            <a:gd name="connsiteY9" fmla="*/ 2121502 h 2369152"/>
            <a:gd name="connsiteX10" fmla="*/ 1733744 w 2305244"/>
            <a:gd name="connsiteY10" fmla="*/ 1988152 h 2369152"/>
            <a:gd name="connsiteX11" fmla="*/ 1543244 w 2305244"/>
            <a:gd name="connsiteY11" fmla="*/ 2369152 h 2369152"/>
            <a:gd name="connsiteX12" fmla="*/ 1314644 w 2305244"/>
            <a:gd name="connsiteY12" fmla="*/ 2150077 h 2369152"/>
            <a:gd name="connsiteX13" fmla="*/ 1513830 w 2305244"/>
            <a:gd name="connsiteY13" fmla="*/ 1784469 h 2369152"/>
            <a:gd name="connsiteX14" fmla="*/ 909489 w 2305244"/>
            <a:gd name="connsiteY14" fmla="*/ 1225390 h 2369152"/>
            <a:gd name="connsiteX15" fmla="*/ 414951 w 2305244"/>
            <a:gd name="connsiteY15" fmla="*/ 2322212 h 2369152"/>
            <a:gd name="connsiteX16" fmla="*/ 293184 w 2305244"/>
            <a:gd name="connsiteY16" fmla="*/ 2052845 h 2369152"/>
            <a:gd name="connsiteX17" fmla="*/ 520411 w 2305244"/>
            <a:gd name="connsiteY17" fmla="*/ 767428 h 2369152"/>
            <a:gd name="connsiteX18" fmla="*/ 11167 w 2305244"/>
            <a:gd name="connsiteY18" fmla="*/ 5505 h 2369152"/>
            <a:gd name="connsiteX0" fmla="*/ 11167 w 2305244"/>
            <a:gd name="connsiteY0" fmla="*/ 5505 h 2369152"/>
            <a:gd name="connsiteX1" fmla="*/ 771719 w 2305244"/>
            <a:gd name="connsiteY1" fmla="*/ 578452 h 2369152"/>
            <a:gd name="connsiteX2" fmla="*/ 2041440 w 2305244"/>
            <a:gd name="connsiteY2" fmla="*/ 514597 h 2369152"/>
            <a:gd name="connsiteX3" fmla="*/ 2296406 w 2305244"/>
            <a:gd name="connsiteY3" fmla="*/ 662729 h 2369152"/>
            <a:gd name="connsiteX4" fmla="*/ 1124906 w 2305244"/>
            <a:gd name="connsiteY4" fmla="*/ 1004182 h 2369152"/>
            <a:gd name="connsiteX5" fmla="*/ 1628969 w 2305244"/>
            <a:gd name="connsiteY5" fmla="*/ 1550002 h 2369152"/>
            <a:gd name="connsiteX6" fmla="*/ 2076644 w 2305244"/>
            <a:gd name="connsiteY6" fmla="*/ 1550002 h 2369152"/>
            <a:gd name="connsiteX7" fmla="*/ 2305244 w 2305244"/>
            <a:gd name="connsiteY7" fmla="*/ 1740502 h 2369152"/>
            <a:gd name="connsiteX8" fmla="*/ 1838519 w 2305244"/>
            <a:gd name="connsiteY8" fmla="*/ 1873852 h 2369152"/>
            <a:gd name="connsiteX9" fmla="*/ 2009969 w 2305244"/>
            <a:gd name="connsiteY9" fmla="*/ 2121502 h 2369152"/>
            <a:gd name="connsiteX10" fmla="*/ 1733744 w 2305244"/>
            <a:gd name="connsiteY10" fmla="*/ 1988152 h 2369152"/>
            <a:gd name="connsiteX11" fmla="*/ 1543244 w 2305244"/>
            <a:gd name="connsiteY11" fmla="*/ 2369152 h 2369152"/>
            <a:gd name="connsiteX12" fmla="*/ 1314644 w 2305244"/>
            <a:gd name="connsiteY12" fmla="*/ 2150077 h 2369152"/>
            <a:gd name="connsiteX13" fmla="*/ 1495542 w 2305244"/>
            <a:gd name="connsiteY13" fmla="*/ 1788127 h 2369152"/>
            <a:gd name="connsiteX14" fmla="*/ 909489 w 2305244"/>
            <a:gd name="connsiteY14" fmla="*/ 1225390 h 2369152"/>
            <a:gd name="connsiteX15" fmla="*/ 414951 w 2305244"/>
            <a:gd name="connsiteY15" fmla="*/ 2322212 h 2369152"/>
            <a:gd name="connsiteX16" fmla="*/ 293184 w 2305244"/>
            <a:gd name="connsiteY16" fmla="*/ 2052845 h 2369152"/>
            <a:gd name="connsiteX17" fmla="*/ 520411 w 2305244"/>
            <a:gd name="connsiteY17" fmla="*/ 767428 h 2369152"/>
            <a:gd name="connsiteX18" fmla="*/ 11167 w 2305244"/>
            <a:gd name="connsiteY18" fmla="*/ 5505 h 2369152"/>
            <a:gd name="connsiteX0" fmla="*/ 11167 w 2305244"/>
            <a:gd name="connsiteY0" fmla="*/ 5505 h 2369152"/>
            <a:gd name="connsiteX1" fmla="*/ 771719 w 2305244"/>
            <a:gd name="connsiteY1" fmla="*/ 578452 h 2369152"/>
            <a:gd name="connsiteX2" fmla="*/ 2041440 w 2305244"/>
            <a:gd name="connsiteY2" fmla="*/ 514597 h 2369152"/>
            <a:gd name="connsiteX3" fmla="*/ 2296406 w 2305244"/>
            <a:gd name="connsiteY3" fmla="*/ 662729 h 2369152"/>
            <a:gd name="connsiteX4" fmla="*/ 1124906 w 2305244"/>
            <a:gd name="connsiteY4" fmla="*/ 1004182 h 2369152"/>
            <a:gd name="connsiteX5" fmla="*/ 1650914 w 2305244"/>
            <a:gd name="connsiteY5" fmla="*/ 1597551 h 2369152"/>
            <a:gd name="connsiteX6" fmla="*/ 2076644 w 2305244"/>
            <a:gd name="connsiteY6" fmla="*/ 1550002 h 2369152"/>
            <a:gd name="connsiteX7" fmla="*/ 2305244 w 2305244"/>
            <a:gd name="connsiteY7" fmla="*/ 1740502 h 2369152"/>
            <a:gd name="connsiteX8" fmla="*/ 1838519 w 2305244"/>
            <a:gd name="connsiteY8" fmla="*/ 1873852 h 2369152"/>
            <a:gd name="connsiteX9" fmla="*/ 2009969 w 2305244"/>
            <a:gd name="connsiteY9" fmla="*/ 2121502 h 2369152"/>
            <a:gd name="connsiteX10" fmla="*/ 1733744 w 2305244"/>
            <a:gd name="connsiteY10" fmla="*/ 1988152 h 2369152"/>
            <a:gd name="connsiteX11" fmla="*/ 1543244 w 2305244"/>
            <a:gd name="connsiteY11" fmla="*/ 2369152 h 2369152"/>
            <a:gd name="connsiteX12" fmla="*/ 1314644 w 2305244"/>
            <a:gd name="connsiteY12" fmla="*/ 2150077 h 2369152"/>
            <a:gd name="connsiteX13" fmla="*/ 1495542 w 2305244"/>
            <a:gd name="connsiteY13" fmla="*/ 1788127 h 2369152"/>
            <a:gd name="connsiteX14" fmla="*/ 909489 w 2305244"/>
            <a:gd name="connsiteY14" fmla="*/ 1225390 h 2369152"/>
            <a:gd name="connsiteX15" fmla="*/ 414951 w 2305244"/>
            <a:gd name="connsiteY15" fmla="*/ 2322212 h 2369152"/>
            <a:gd name="connsiteX16" fmla="*/ 293184 w 2305244"/>
            <a:gd name="connsiteY16" fmla="*/ 2052845 h 2369152"/>
            <a:gd name="connsiteX17" fmla="*/ 520411 w 2305244"/>
            <a:gd name="connsiteY17" fmla="*/ 767428 h 2369152"/>
            <a:gd name="connsiteX18" fmla="*/ 11167 w 2305244"/>
            <a:gd name="connsiteY18" fmla="*/ 5505 h 2369152"/>
            <a:gd name="connsiteX0" fmla="*/ 11167 w 2305244"/>
            <a:gd name="connsiteY0" fmla="*/ 5505 h 2369152"/>
            <a:gd name="connsiteX1" fmla="*/ 771719 w 2305244"/>
            <a:gd name="connsiteY1" fmla="*/ 578452 h 2369152"/>
            <a:gd name="connsiteX2" fmla="*/ 2041440 w 2305244"/>
            <a:gd name="connsiteY2" fmla="*/ 514597 h 2369152"/>
            <a:gd name="connsiteX3" fmla="*/ 2296406 w 2305244"/>
            <a:gd name="connsiteY3" fmla="*/ 662729 h 2369152"/>
            <a:gd name="connsiteX4" fmla="*/ 1124906 w 2305244"/>
            <a:gd name="connsiteY4" fmla="*/ 1004182 h 2369152"/>
            <a:gd name="connsiteX5" fmla="*/ 1676517 w 2305244"/>
            <a:gd name="connsiteY5" fmla="*/ 1608523 h 2369152"/>
            <a:gd name="connsiteX6" fmla="*/ 2076644 w 2305244"/>
            <a:gd name="connsiteY6" fmla="*/ 1550002 h 2369152"/>
            <a:gd name="connsiteX7" fmla="*/ 2305244 w 2305244"/>
            <a:gd name="connsiteY7" fmla="*/ 1740502 h 2369152"/>
            <a:gd name="connsiteX8" fmla="*/ 1838519 w 2305244"/>
            <a:gd name="connsiteY8" fmla="*/ 1873852 h 2369152"/>
            <a:gd name="connsiteX9" fmla="*/ 2009969 w 2305244"/>
            <a:gd name="connsiteY9" fmla="*/ 2121502 h 2369152"/>
            <a:gd name="connsiteX10" fmla="*/ 1733744 w 2305244"/>
            <a:gd name="connsiteY10" fmla="*/ 1988152 h 2369152"/>
            <a:gd name="connsiteX11" fmla="*/ 1543244 w 2305244"/>
            <a:gd name="connsiteY11" fmla="*/ 2369152 h 2369152"/>
            <a:gd name="connsiteX12" fmla="*/ 1314644 w 2305244"/>
            <a:gd name="connsiteY12" fmla="*/ 2150077 h 2369152"/>
            <a:gd name="connsiteX13" fmla="*/ 1495542 w 2305244"/>
            <a:gd name="connsiteY13" fmla="*/ 1788127 h 2369152"/>
            <a:gd name="connsiteX14" fmla="*/ 909489 w 2305244"/>
            <a:gd name="connsiteY14" fmla="*/ 1225390 h 2369152"/>
            <a:gd name="connsiteX15" fmla="*/ 414951 w 2305244"/>
            <a:gd name="connsiteY15" fmla="*/ 2322212 h 2369152"/>
            <a:gd name="connsiteX16" fmla="*/ 293184 w 2305244"/>
            <a:gd name="connsiteY16" fmla="*/ 2052845 h 2369152"/>
            <a:gd name="connsiteX17" fmla="*/ 520411 w 2305244"/>
            <a:gd name="connsiteY17" fmla="*/ 767428 h 2369152"/>
            <a:gd name="connsiteX18" fmla="*/ 11167 w 2305244"/>
            <a:gd name="connsiteY18" fmla="*/ 5505 h 2369152"/>
            <a:gd name="connsiteX0" fmla="*/ 11167 w 2305244"/>
            <a:gd name="connsiteY0" fmla="*/ 5505 h 2369152"/>
            <a:gd name="connsiteX1" fmla="*/ 771719 w 2305244"/>
            <a:gd name="connsiteY1" fmla="*/ 578452 h 2369152"/>
            <a:gd name="connsiteX2" fmla="*/ 2041440 w 2305244"/>
            <a:gd name="connsiteY2" fmla="*/ 514597 h 2369152"/>
            <a:gd name="connsiteX3" fmla="*/ 2296406 w 2305244"/>
            <a:gd name="connsiteY3" fmla="*/ 662729 h 2369152"/>
            <a:gd name="connsiteX4" fmla="*/ 1124906 w 2305244"/>
            <a:gd name="connsiteY4" fmla="*/ 1004182 h 2369152"/>
            <a:gd name="connsiteX5" fmla="*/ 1676517 w 2305244"/>
            <a:gd name="connsiteY5" fmla="*/ 1608523 h 2369152"/>
            <a:gd name="connsiteX6" fmla="*/ 2032752 w 2305244"/>
            <a:gd name="connsiteY6" fmla="*/ 1550002 h 2369152"/>
            <a:gd name="connsiteX7" fmla="*/ 2305244 w 2305244"/>
            <a:gd name="connsiteY7" fmla="*/ 1740502 h 2369152"/>
            <a:gd name="connsiteX8" fmla="*/ 1838519 w 2305244"/>
            <a:gd name="connsiteY8" fmla="*/ 1873852 h 2369152"/>
            <a:gd name="connsiteX9" fmla="*/ 2009969 w 2305244"/>
            <a:gd name="connsiteY9" fmla="*/ 2121502 h 2369152"/>
            <a:gd name="connsiteX10" fmla="*/ 1733744 w 2305244"/>
            <a:gd name="connsiteY10" fmla="*/ 1988152 h 2369152"/>
            <a:gd name="connsiteX11" fmla="*/ 1543244 w 2305244"/>
            <a:gd name="connsiteY11" fmla="*/ 2369152 h 2369152"/>
            <a:gd name="connsiteX12" fmla="*/ 1314644 w 2305244"/>
            <a:gd name="connsiteY12" fmla="*/ 2150077 h 2369152"/>
            <a:gd name="connsiteX13" fmla="*/ 1495542 w 2305244"/>
            <a:gd name="connsiteY13" fmla="*/ 1788127 h 2369152"/>
            <a:gd name="connsiteX14" fmla="*/ 909489 w 2305244"/>
            <a:gd name="connsiteY14" fmla="*/ 1225390 h 2369152"/>
            <a:gd name="connsiteX15" fmla="*/ 414951 w 2305244"/>
            <a:gd name="connsiteY15" fmla="*/ 2322212 h 2369152"/>
            <a:gd name="connsiteX16" fmla="*/ 293184 w 2305244"/>
            <a:gd name="connsiteY16" fmla="*/ 2052845 h 2369152"/>
            <a:gd name="connsiteX17" fmla="*/ 520411 w 2305244"/>
            <a:gd name="connsiteY17" fmla="*/ 767428 h 2369152"/>
            <a:gd name="connsiteX18" fmla="*/ 11167 w 2305244"/>
            <a:gd name="connsiteY18" fmla="*/ 5505 h 2369152"/>
            <a:gd name="connsiteX0" fmla="*/ 2305244 w 2305244"/>
            <a:gd name="connsiteY0" fmla="*/ 1740502 h 2369152"/>
            <a:gd name="connsiteX1" fmla="*/ 1838519 w 2305244"/>
            <a:gd name="connsiteY1" fmla="*/ 1873852 h 2369152"/>
            <a:gd name="connsiteX2" fmla="*/ 2009969 w 2305244"/>
            <a:gd name="connsiteY2" fmla="*/ 2121502 h 2369152"/>
            <a:gd name="connsiteX3" fmla="*/ 1733744 w 2305244"/>
            <a:gd name="connsiteY3" fmla="*/ 1988152 h 2369152"/>
            <a:gd name="connsiteX4" fmla="*/ 1543244 w 2305244"/>
            <a:gd name="connsiteY4" fmla="*/ 2369152 h 2369152"/>
            <a:gd name="connsiteX5" fmla="*/ 1314644 w 2305244"/>
            <a:gd name="connsiteY5" fmla="*/ 2150077 h 2369152"/>
            <a:gd name="connsiteX6" fmla="*/ 1495542 w 2305244"/>
            <a:gd name="connsiteY6" fmla="*/ 1788127 h 2369152"/>
            <a:gd name="connsiteX7" fmla="*/ 909489 w 2305244"/>
            <a:gd name="connsiteY7" fmla="*/ 1225390 h 2369152"/>
            <a:gd name="connsiteX8" fmla="*/ 414951 w 2305244"/>
            <a:gd name="connsiteY8" fmla="*/ 2322212 h 2369152"/>
            <a:gd name="connsiteX9" fmla="*/ 293184 w 2305244"/>
            <a:gd name="connsiteY9" fmla="*/ 2052845 h 2369152"/>
            <a:gd name="connsiteX10" fmla="*/ 520411 w 2305244"/>
            <a:gd name="connsiteY10" fmla="*/ 767428 h 2369152"/>
            <a:gd name="connsiteX11" fmla="*/ 11167 w 2305244"/>
            <a:gd name="connsiteY11" fmla="*/ 5505 h 2369152"/>
            <a:gd name="connsiteX12" fmla="*/ 771719 w 2305244"/>
            <a:gd name="connsiteY12" fmla="*/ 578452 h 2369152"/>
            <a:gd name="connsiteX13" fmla="*/ 2041440 w 2305244"/>
            <a:gd name="connsiteY13" fmla="*/ 514597 h 2369152"/>
            <a:gd name="connsiteX14" fmla="*/ 2296406 w 2305244"/>
            <a:gd name="connsiteY14" fmla="*/ 662729 h 2369152"/>
            <a:gd name="connsiteX15" fmla="*/ 1124906 w 2305244"/>
            <a:gd name="connsiteY15" fmla="*/ 1004182 h 2369152"/>
            <a:gd name="connsiteX16" fmla="*/ 1676517 w 2305244"/>
            <a:gd name="connsiteY16" fmla="*/ 1608523 h 2369152"/>
            <a:gd name="connsiteX17" fmla="*/ 2124192 w 2305244"/>
            <a:gd name="connsiteY17" fmla="*/ 1641442 h 2369152"/>
            <a:gd name="connsiteX0" fmla="*/ 2305244 w 2305244"/>
            <a:gd name="connsiteY0" fmla="*/ 1740502 h 2369152"/>
            <a:gd name="connsiteX1" fmla="*/ 1838519 w 2305244"/>
            <a:gd name="connsiteY1" fmla="*/ 1873852 h 2369152"/>
            <a:gd name="connsiteX2" fmla="*/ 2009969 w 2305244"/>
            <a:gd name="connsiteY2" fmla="*/ 2121502 h 2369152"/>
            <a:gd name="connsiteX3" fmla="*/ 1733744 w 2305244"/>
            <a:gd name="connsiteY3" fmla="*/ 1988152 h 2369152"/>
            <a:gd name="connsiteX4" fmla="*/ 1543244 w 2305244"/>
            <a:gd name="connsiteY4" fmla="*/ 2369152 h 2369152"/>
            <a:gd name="connsiteX5" fmla="*/ 1314644 w 2305244"/>
            <a:gd name="connsiteY5" fmla="*/ 2150077 h 2369152"/>
            <a:gd name="connsiteX6" fmla="*/ 1495542 w 2305244"/>
            <a:gd name="connsiteY6" fmla="*/ 1788127 h 2369152"/>
            <a:gd name="connsiteX7" fmla="*/ 909489 w 2305244"/>
            <a:gd name="connsiteY7" fmla="*/ 1225390 h 2369152"/>
            <a:gd name="connsiteX8" fmla="*/ 414951 w 2305244"/>
            <a:gd name="connsiteY8" fmla="*/ 2322212 h 2369152"/>
            <a:gd name="connsiteX9" fmla="*/ 293184 w 2305244"/>
            <a:gd name="connsiteY9" fmla="*/ 2052845 h 2369152"/>
            <a:gd name="connsiteX10" fmla="*/ 520411 w 2305244"/>
            <a:gd name="connsiteY10" fmla="*/ 767428 h 2369152"/>
            <a:gd name="connsiteX11" fmla="*/ 11167 w 2305244"/>
            <a:gd name="connsiteY11" fmla="*/ 5505 h 2369152"/>
            <a:gd name="connsiteX12" fmla="*/ 771719 w 2305244"/>
            <a:gd name="connsiteY12" fmla="*/ 578452 h 2369152"/>
            <a:gd name="connsiteX13" fmla="*/ 2041440 w 2305244"/>
            <a:gd name="connsiteY13" fmla="*/ 514597 h 2369152"/>
            <a:gd name="connsiteX14" fmla="*/ 2296406 w 2305244"/>
            <a:gd name="connsiteY14" fmla="*/ 662729 h 2369152"/>
            <a:gd name="connsiteX15" fmla="*/ 1124906 w 2305244"/>
            <a:gd name="connsiteY15" fmla="*/ 1004182 h 2369152"/>
            <a:gd name="connsiteX16" fmla="*/ 1676517 w 2305244"/>
            <a:gd name="connsiteY16" fmla="*/ 1608523 h 2369152"/>
            <a:gd name="connsiteX17" fmla="*/ 2102246 w 2305244"/>
            <a:gd name="connsiteY17" fmla="*/ 1579262 h 2369152"/>
            <a:gd name="connsiteX0" fmla="*/ 2275983 w 2296406"/>
            <a:gd name="connsiteY0" fmla="*/ 1747817 h 2369152"/>
            <a:gd name="connsiteX1" fmla="*/ 1838519 w 2296406"/>
            <a:gd name="connsiteY1" fmla="*/ 1873852 h 2369152"/>
            <a:gd name="connsiteX2" fmla="*/ 2009969 w 2296406"/>
            <a:gd name="connsiteY2" fmla="*/ 2121502 h 2369152"/>
            <a:gd name="connsiteX3" fmla="*/ 1733744 w 2296406"/>
            <a:gd name="connsiteY3" fmla="*/ 1988152 h 2369152"/>
            <a:gd name="connsiteX4" fmla="*/ 1543244 w 2296406"/>
            <a:gd name="connsiteY4" fmla="*/ 2369152 h 2369152"/>
            <a:gd name="connsiteX5" fmla="*/ 1314644 w 2296406"/>
            <a:gd name="connsiteY5" fmla="*/ 2150077 h 2369152"/>
            <a:gd name="connsiteX6" fmla="*/ 1495542 w 2296406"/>
            <a:gd name="connsiteY6" fmla="*/ 1788127 h 2369152"/>
            <a:gd name="connsiteX7" fmla="*/ 909489 w 2296406"/>
            <a:gd name="connsiteY7" fmla="*/ 1225390 h 2369152"/>
            <a:gd name="connsiteX8" fmla="*/ 414951 w 2296406"/>
            <a:gd name="connsiteY8" fmla="*/ 2322212 h 2369152"/>
            <a:gd name="connsiteX9" fmla="*/ 293184 w 2296406"/>
            <a:gd name="connsiteY9" fmla="*/ 2052845 h 2369152"/>
            <a:gd name="connsiteX10" fmla="*/ 520411 w 2296406"/>
            <a:gd name="connsiteY10" fmla="*/ 767428 h 2369152"/>
            <a:gd name="connsiteX11" fmla="*/ 11167 w 2296406"/>
            <a:gd name="connsiteY11" fmla="*/ 5505 h 2369152"/>
            <a:gd name="connsiteX12" fmla="*/ 771719 w 2296406"/>
            <a:gd name="connsiteY12" fmla="*/ 578452 h 2369152"/>
            <a:gd name="connsiteX13" fmla="*/ 2041440 w 2296406"/>
            <a:gd name="connsiteY13" fmla="*/ 514597 h 2369152"/>
            <a:gd name="connsiteX14" fmla="*/ 2296406 w 2296406"/>
            <a:gd name="connsiteY14" fmla="*/ 662729 h 2369152"/>
            <a:gd name="connsiteX15" fmla="*/ 1124906 w 2296406"/>
            <a:gd name="connsiteY15" fmla="*/ 1004182 h 2369152"/>
            <a:gd name="connsiteX16" fmla="*/ 1676517 w 2296406"/>
            <a:gd name="connsiteY16" fmla="*/ 1608523 h 2369152"/>
            <a:gd name="connsiteX17" fmla="*/ 2102246 w 2296406"/>
            <a:gd name="connsiteY17" fmla="*/ 1579262 h 2369152"/>
            <a:gd name="connsiteX0" fmla="*/ 2290614 w 2296406"/>
            <a:gd name="connsiteY0" fmla="*/ 1777078 h 2369152"/>
            <a:gd name="connsiteX1" fmla="*/ 1838519 w 2296406"/>
            <a:gd name="connsiteY1" fmla="*/ 1873852 h 2369152"/>
            <a:gd name="connsiteX2" fmla="*/ 2009969 w 2296406"/>
            <a:gd name="connsiteY2" fmla="*/ 2121502 h 2369152"/>
            <a:gd name="connsiteX3" fmla="*/ 1733744 w 2296406"/>
            <a:gd name="connsiteY3" fmla="*/ 1988152 h 2369152"/>
            <a:gd name="connsiteX4" fmla="*/ 1543244 w 2296406"/>
            <a:gd name="connsiteY4" fmla="*/ 2369152 h 2369152"/>
            <a:gd name="connsiteX5" fmla="*/ 1314644 w 2296406"/>
            <a:gd name="connsiteY5" fmla="*/ 2150077 h 2369152"/>
            <a:gd name="connsiteX6" fmla="*/ 1495542 w 2296406"/>
            <a:gd name="connsiteY6" fmla="*/ 1788127 h 2369152"/>
            <a:gd name="connsiteX7" fmla="*/ 909489 w 2296406"/>
            <a:gd name="connsiteY7" fmla="*/ 1225390 h 2369152"/>
            <a:gd name="connsiteX8" fmla="*/ 414951 w 2296406"/>
            <a:gd name="connsiteY8" fmla="*/ 2322212 h 2369152"/>
            <a:gd name="connsiteX9" fmla="*/ 293184 w 2296406"/>
            <a:gd name="connsiteY9" fmla="*/ 2052845 h 2369152"/>
            <a:gd name="connsiteX10" fmla="*/ 520411 w 2296406"/>
            <a:gd name="connsiteY10" fmla="*/ 767428 h 2369152"/>
            <a:gd name="connsiteX11" fmla="*/ 11167 w 2296406"/>
            <a:gd name="connsiteY11" fmla="*/ 5505 h 2369152"/>
            <a:gd name="connsiteX12" fmla="*/ 771719 w 2296406"/>
            <a:gd name="connsiteY12" fmla="*/ 578452 h 2369152"/>
            <a:gd name="connsiteX13" fmla="*/ 2041440 w 2296406"/>
            <a:gd name="connsiteY13" fmla="*/ 514597 h 2369152"/>
            <a:gd name="connsiteX14" fmla="*/ 2296406 w 2296406"/>
            <a:gd name="connsiteY14" fmla="*/ 662729 h 2369152"/>
            <a:gd name="connsiteX15" fmla="*/ 1124906 w 2296406"/>
            <a:gd name="connsiteY15" fmla="*/ 1004182 h 2369152"/>
            <a:gd name="connsiteX16" fmla="*/ 1676517 w 2296406"/>
            <a:gd name="connsiteY16" fmla="*/ 1608523 h 2369152"/>
            <a:gd name="connsiteX17" fmla="*/ 2102246 w 2296406"/>
            <a:gd name="connsiteY17" fmla="*/ 1579262 h 2369152"/>
            <a:gd name="connsiteX0" fmla="*/ 2290614 w 2296406"/>
            <a:gd name="connsiteY0" fmla="*/ 1740502 h 2369152"/>
            <a:gd name="connsiteX1" fmla="*/ 1838519 w 2296406"/>
            <a:gd name="connsiteY1" fmla="*/ 1873852 h 2369152"/>
            <a:gd name="connsiteX2" fmla="*/ 2009969 w 2296406"/>
            <a:gd name="connsiteY2" fmla="*/ 2121502 h 2369152"/>
            <a:gd name="connsiteX3" fmla="*/ 1733744 w 2296406"/>
            <a:gd name="connsiteY3" fmla="*/ 1988152 h 2369152"/>
            <a:gd name="connsiteX4" fmla="*/ 1543244 w 2296406"/>
            <a:gd name="connsiteY4" fmla="*/ 2369152 h 2369152"/>
            <a:gd name="connsiteX5" fmla="*/ 1314644 w 2296406"/>
            <a:gd name="connsiteY5" fmla="*/ 2150077 h 2369152"/>
            <a:gd name="connsiteX6" fmla="*/ 1495542 w 2296406"/>
            <a:gd name="connsiteY6" fmla="*/ 1788127 h 2369152"/>
            <a:gd name="connsiteX7" fmla="*/ 909489 w 2296406"/>
            <a:gd name="connsiteY7" fmla="*/ 1225390 h 2369152"/>
            <a:gd name="connsiteX8" fmla="*/ 414951 w 2296406"/>
            <a:gd name="connsiteY8" fmla="*/ 2322212 h 2369152"/>
            <a:gd name="connsiteX9" fmla="*/ 293184 w 2296406"/>
            <a:gd name="connsiteY9" fmla="*/ 2052845 h 2369152"/>
            <a:gd name="connsiteX10" fmla="*/ 520411 w 2296406"/>
            <a:gd name="connsiteY10" fmla="*/ 767428 h 2369152"/>
            <a:gd name="connsiteX11" fmla="*/ 11167 w 2296406"/>
            <a:gd name="connsiteY11" fmla="*/ 5505 h 2369152"/>
            <a:gd name="connsiteX12" fmla="*/ 771719 w 2296406"/>
            <a:gd name="connsiteY12" fmla="*/ 578452 h 2369152"/>
            <a:gd name="connsiteX13" fmla="*/ 2041440 w 2296406"/>
            <a:gd name="connsiteY13" fmla="*/ 514597 h 2369152"/>
            <a:gd name="connsiteX14" fmla="*/ 2296406 w 2296406"/>
            <a:gd name="connsiteY14" fmla="*/ 662729 h 2369152"/>
            <a:gd name="connsiteX15" fmla="*/ 1124906 w 2296406"/>
            <a:gd name="connsiteY15" fmla="*/ 1004182 h 2369152"/>
            <a:gd name="connsiteX16" fmla="*/ 1676517 w 2296406"/>
            <a:gd name="connsiteY16" fmla="*/ 1608523 h 2369152"/>
            <a:gd name="connsiteX17" fmla="*/ 2102246 w 2296406"/>
            <a:gd name="connsiteY17" fmla="*/ 1579262 h 2369152"/>
            <a:gd name="connsiteX0" fmla="*/ 2290614 w 2296406"/>
            <a:gd name="connsiteY0" fmla="*/ 1740502 h 2369152"/>
            <a:gd name="connsiteX1" fmla="*/ 1838519 w 2296406"/>
            <a:gd name="connsiteY1" fmla="*/ 1873852 h 2369152"/>
            <a:gd name="connsiteX2" fmla="*/ 2009969 w 2296406"/>
            <a:gd name="connsiteY2" fmla="*/ 2121502 h 2369152"/>
            <a:gd name="connsiteX3" fmla="*/ 1733744 w 2296406"/>
            <a:gd name="connsiteY3" fmla="*/ 1988152 h 2369152"/>
            <a:gd name="connsiteX4" fmla="*/ 1543244 w 2296406"/>
            <a:gd name="connsiteY4" fmla="*/ 2369152 h 2369152"/>
            <a:gd name="connsiteX5" fmla="*/ 1314644 w 2296406"/>
            <a:gd name="connsiteY5" fmla="*/ 2150077 h 2369152"/>
            <a:gd name="connsiteX6" fmla="*/ 1495542 w 2296406"/>
            <a:gd name="connsiteY6" fmla="*/ 1788127 h 2369152"/>
            <a:gd name="connsiteX7" fmla="*/ 909489 w 2296406"/>
            <a:gd name="connsiteY7" fmla="*/ 1225390 h 2369152"/>
            <a:gd name="connsiteX8" fmla="*/ 414951 w 2296406"/>
            <a:gd name="connsiteY8" fmla="*/ 2322212 h 2369152"/>
            <a:gd name="connsiteX9" fmla="*/ 293184 w 2296406"/>
            <a:gd name="connsiteY9" fmla="*/ 2052845 h 2369152"/>
            <a:gd name="connsiteX10" fmla="*/ 520411 w 2296406"/>
            <a:gd name="connsiteY10" fmla="*/ 767428 h 2369152"/>
            <a:gd name="connsiteX11" fmla="*/ 11167 w 2296406"/>
            <a:gd name="connsiteY11" fmla="*/ 5505 h 2369152"/>
            <a:gd name="connsiteX12" fmla="*/ 771719 w 2296406"/>
            <a:gd name="connsiteY12" fmla="*/ 578452 h 2369152"/>
            <a:gd name="connsiteX13" fmla="*/ 2041440 w 2296406"/>
            <a:gd name="connsiteY13" fmla="*/ 514597 h 2369152"/>
            <a:gd name="connsiteX14" fmla="*/ 2296406 w 2296406"/>
            <a:gd name="connsiteY14" fmla="*/ 662729 h 2369152"/>
            <a:gd name="connsiteX15" fmla="*/ 1124906 w 2296406"/>
            <a:gd name="connsiteY15" fmla="*/ 1004182 h 2369152"/>
            <a:gd name="connsiteX16" fmla="*/ 1676517 w 2296406"/>
            <a:gd name="connsiteY16" fmla="*/ 1608523 h 2369152"/>
            <a:gd name="connsiteX17" fmla="*/ 2062012 w 2296406"/>
            <a:gd name="connsiteY17" fmla="*/ 1560974 h 2369152"/>
            <a:gd name="connsiteX0" fmla="*/ 2257695 w 2296406"/>
            <a:gd name="connsiteY0" fmla="*/ 1755133 h 2369152"/>
            <a:gd name="connsiteX1" fmla="*/ 1838519 w 2296406"/>
            <a:gd name="connsiteY1" fmla="*/ 1873852 h 2369152"/>
            <a:gd name="connsiteX2" fmla="*/ 2009969 w 2296406"/>
            <a:gd name="connsiteY2" fmla="*/ 2121502 h 2369152"/>
            <a:gd name="connsiteX3" fmla="*/ 1733744 w 2296406"/>
            <a:gd name="connsiteY3" fmla="*/ 1988152 h 2369152"/>
            <a:gd name="connsiteX4" fmla="*/ 1543244 w 2296406"/>
            <a:gd name="connsiteY4" fmla="*/ 2369152 h 2369152"/>
            <a:gd name="connsiteX5" fmla="*/ 1314644 w 2296406"/>
            <a:gd name="connsiteY5" fmla="*/ 2150077 h 2369152"/>
            <a:gd name="connsiteX6" fmla="*/ 1495542 w 2296406"/>
            <a:gd name="connsiteY6" fmla="*/ 1788127 h 2369152"/>
            <a:gd name="connsiteX7" fmla="*/ 909489 w 2296406"/>
            <a:gd name="connsiteY7" fmla="*/ 1225390 h 2369152"/>
            <a:gd name="connsiteX8" fmla="*/ 414951 w 2296406"/>
            <a:gd name="connsiteY8" fmla="*/ 2322212 h 2369152"/>
            <a:gd name="connsiteX9" fmla="*/ 293184 w 2296406"/>
            <a:gd name="connsiteY9" fmla="*/ 2052845 h 2369152"/>
            <a:gd name="connsiteX10" fmla="*/ 520411 w 2296406"/>
            <a:gd name="connsiteY10" fmla="*/ 767428 h 2369152"/>
            <a:gd name="connsiteX11" fmla="*/ 11167 w 2296406"/>
            <a:gd name="connsiteY11" fmla="*/ 5505 h 2369152"/>
            <a:gd name="connsiteX12" fmla="*/ 771719 w 2296406"/>
            <a:gd name="connsiteY12" fmla="*/ 578452 h 2369152"/>
            <a:gd name="connsiteX13" fmla="*/ 2041440 w 2296406"/>
            <a:gd name="connsiteY13" fmla="*/ 514597 h 2369152"/>
            <a:gd name="connsiteX14" fmla="*/ 2296406 w 2296406"/>
            <a:gd name="connsiteY14" fmla="*/ 662729 h 2369152"/>
            <a:gd name="connsiteX15" fmla="*/ 1124906 w 2296406"/>
            <a:gd name="connsiteY15" fmla="*/ 1004182 h 2369152"/>
            <a:gd name="connsiteX16" fmla="*/ 1676517 w 2296406"/>
            <a:gd name="connsiteY16" fmla="*/ 1608523 h 2369152"/>
            <a:gd name="connsiteX17" fmla="*/ 2062012 w 2296406"/>
            <a:gd name="connsiteY17" fmla="*/ 1560974 h 2369152"/>
            <a:gd name="connsiteX0" fmla="*/ 2279640 w 2296406"/>
            <a:gd name="connsiteY0" fmla="*/ 1747818 h 2369152"/>
            <a:gd name="connsiteX1" fmla="*/ 1838519 w 2296406"/>
            <a:gd name="connsiteY1" fmla="*/ 1873852 h 2369152"/>
            <a:gd name="connsiteX2" fmla="*/ 2009969 w 2296406"/>
            <a:gd name="connsiteY2" fmla="*/ 2121502 h 2369152"/>
            <a:gd name="connsiteX3" fmla="*/ 1733744 w 2296406"/>
            <a:gd name="connsiteY3" fmla="*/ 1988152 h 2369152"/>
            <a:gd name="connsiteX4" fmla="*/ 1543244 w 2296406"/>
            <a:gd name="connsiteY4" fmla="*/ 2369152 h 2369152"/>
            <a:gd name="connsiteX5" fmla="*/ 1314644 w 2296406"/>
            <a:gd name="connsiteY5" fmla="*/ 2150077 h 2369152"/>
            <a:gd name="connsiteX6" fmla="*/ 1495542 w 2296406"/>
            <a:gd name="connsiteY6" fmla="*/ 1788127 h 2369152"/>
            <a:gd name="connsiteX7" fmla="*/ 909489 w 2296406"/>
            <a:gd name="connsiteY7" fmla="*/ 1225390 h 2369152"/>
            <a:gd name="connsiteX8" fmla="*/ 414951 w 2296406"/>
            <a:gd name="connsiteY8" fmla="*/ 2322212 h 2369152"/>
            <a:gd name="connsiteX9" fmla="*/ 293184 w 2296406"/>
            <a:gd name="connsiteY9" fmla="*/ 2052845 h 2369152"/>
            <a:gd name="connsiteX10" fmla="*/ 520411 w 2296406"/>
            <a:gd name="connsiteY10" fmla="*/ 767428 h 2369152"/>
            <a:gd name="connsiteX11" fmla="*/ 11167 w 2296406"/>
            <a:gd name="connsiteY11" fmla="*/ 5505 h 2369152"/>
            <a:gd name="connsiteX12" fmla="*/ 771719 w 2296406"/>
            <a:gd name="connsiteY12" fmla="*/ 578452 h 2369152"/>
            <a:gd name="connsiteX13" fmla="*/ 2041440 w 2296406"/>
            <a:gd name="connsiteY13" fmla="*/ 514597 h 2369152"/>
            <a:gd name="connsiteX14" fmla="*/ 2296406 w 2296406"/>
            <a:gd name="connsiteY14" fmla="*/ 662729 h 2369152"/>
            <a:gd name="connsiteX15" fmla="*/ 1124906 w 2296406"/>
            <a:gd name="connsiteY15" fmla="*/ 1004182 h 2369152"/>
            <a:gd name="connsiteX16" fmla="*/ 1676517 w 2296406"/>
            <a:gd name="connsiteY16" fmla="*/ 1608523 h 2369152"/>
            <a:gd name="connsiteX17" fmla="*/ 2062012 w 2296406"/>
            <a:gd name="connsiteY17" fmla="*/ 1560974 h 2369152"/>
            <a:gd name="connsiteX0" fmla="*/ 2279640 w 2296406"/>
            <a:gd name="connsiteY0" fmla="*/ 1747818 h 2369152"/>
            <a:gd name="connsiteX1" fmla="*/ 1838519 w 2296406"/>
            <a:gd name="connsiteY1" fmla="*/ 1873852 h 2369152"/>
            <a:gd name="connsiteX2" fmla="*/ 2009969 w 2296406"/>
            <a:gd name="connsiteY2" fmla="*/ 2121502 h 2369152"/>
            <a:gd name="connsiteX3" fmla="*/ 1733744 w 2296406"/>
            <a:gd name="connsiteY3" fmla="*/ 1988152 h 2369152"/>
            <a:gd name="connsiteX4" fmla="*/ 1543244 w 2296406"/>
            <a:gd name="connsiteY4" fmla="*/ 2369152 h 2369152"/>
            <a:gd name="connsiteX5" fmla="*/ 1314644 w 2296406"/>
            <a:gd name="connsiteY5" fmla="*/ 2150077 h 2369152"/>
            <a:gd name="connsiteX6" fmla="*/ 1495542 w 2296406"/>
            <a:gd name="connsiteY6" fmla="*/ 1788127 h 2369152"/>
            <a:gd name="connsiteX7" fmla="*/ 909489 w 2296406"/>
            <a:gd name="connsiteY7" fmla="*/ 1225390 h 2369152"/>
            <a:gd name="connsiteX8" fmla="*/ 414951 w 2296406"/>
            <a:gd name="connsiteY8" fmla="*/ 2322212 h 2369152"/>
            <a:gd name="connsiteX9" fmla="*/ 293184 w 2296406"/>
            <a:gd name="connsiteY9" fmla="*/ 2052845 h 2369152"/>
            <a:gd name="connsiteX10" fmla="*/ 520411 w 2296406"/>
            <a:gd name="connsiteY10" fmla="*/ 767428 h 2369152"/>
            <a:gd name="connsiteX11" fmla="*/ 11167 w 2296406"/>
            <a:gd name="connsiteY11" fmla="*/ 5505 h 2369152"/>
            <a:gd name="connsiteX12" fmla="*/ 771719 w 2296406"/>
            <a:gd name="connsiteY12" fmla="*/ 578452 h 2369152"/>
            <a:gd name="connsiteX13" fmla="*/ 2041440 w 2296406"/>
            <a:gd name="connsiteY13" fmla="*/ 514597 h 2369152"/>
            <a:gd name="connsiteX14" fmla="*/ 2296406 w 2296406"/>
            <a:gd name="connsiteY14" fmla="*/ 662729 h 2369152"/>
            <a:gd name="connsiteX15" fmla="*/ 1124906 w 2296406"/>
            <a:gd name="connsiteY15" fmla="*/ 1004182 h 2369152"/>
            <a:gd name="connsiteX16" fmla="*/ 1676517 w 2296406"/>
            <a:gd name="connsiteY16" fmla="*/ 1608523 h 2369152"/>
            <a:gd name="connsiteX17" fmla="*/ 2094931 w 2296406"/>
            <a:gd name="connsiteY17" fmla="*/ 1557316 h 2369152"/>
            <a:gd name="connsiteX0" fmla="*/ 2279640 w 2296406"/>
            <a:gd name="connsiteY0" fmla="*/ 1747818 h 2369152"/>
            <a:gd name="connsiteX1" fmla="*/ 1838519 w 2296406"/>
            <a:gd name="connsiteY1" fmla="*/ 1873852 h 2369152"/>
            <a:gd name="connsiteX2" fmla="*/ 2009969 w 2296406"/>
            <a:gd name="connsiteY2" fmla="*/ 2121502 h 2369152"/>
            <a:gd name="connsiteX3" fmla="*/ 1733744 w 2296406"/>
            <a:gd name="connsiteY3" fmla="*/ 1988152 h 2369152"/>
            <a:gd name="connsiteX4" fmla="*/ 1543244 w 2296406"/>
            <a:gd name="connsiteY4" fmla="*/ 2369152 h 2369152"/>
            <a:gd name="connsiteX5" fmla="*/ 1391454 w 2296406"/>
            <a:gd name="connsiteY5" fmla="*/ 2150077 h 2369152"/>
            <a:gd name="connsiteX6" fmla="*/ 1495542 w 2296406"/>
            <a:gd name="connsiteY6" fmla="*/ 1788127 h 2369152"/>
            <a:gd name="connsiteX7" fmla="*/ 909489 w 2296406"/>
            <a:gd name="connsiteY7" fmla="*/ 1225390 h 2369152"/>
            <a:gd name="connsiteX8" fmla="*/ 414951 w 2296406"/>
            <a:gd name="connsiteY8" fmla="*/ 2322212 h 2369152"/>
            <a:gd name="connsiteX9" fmla="*/ 293184 w 2296406"/>
            <a:gd name="connsiteY9" fmla="*/ 2052845 h 2369152"/>
            <a:gd name="connsiteX10" fmla="*/ 520411 w 2296406"/>
            <a:gd name="connsiteY10" fmla="*/ 767428 h 2369152"/>
            <a:gd name="connsiteX11" fmla="*/ 11167 w 2296406"/>
            <a:gd name="connsiteY11" fmla="*/ 5505 h 2369152"/>
            <a:gd name="connsiteX12" fmla="*/ 771719 w 2296406"/>
            <a:gd name="connsiteY12" fmla="*/ 578452 h 2369152"/>
            <a:gd name="connsiteX13" fmla="*/ 2041440 w 2296406"/>
            <a:gd name="connsiteY13" fmla="*/ 514597 h 2369152"/>
            <a:gd name="connsiteX14" fmla="*/ 2296406 w 2296406"/>
            <a:gd name="connsiteY14" fmla="*/ 662729 h 2369152"/>
            <a:gd name="connsiteX15" fmla="*/ 1124906 w 2296406"/>
            <a:gd name="connsiteY15" fmla="*/ 1004182 h 2369152"/>
            <a:gd name="connsiteX16" fmla="*/ 1676517 w 2296406"/>
            <a:gd name="connsiteY16" fmla="*/ 1608523 h 2369152"/>
            <a:gd name="connsiteX17" fmla="*/ 2094931 w 2296406"/>
            <a:gd name="connsiteY17" fmla="*/ 1557316 h 2369152"/>
            <a:gd name="connsiteX0" fmla="*/ 2279640 w 2296406"/>
            <a:gd name="connsiteY0" fmla="*/ 1747818 h 2369152"/>
            <a:gd name="connsiteX1" fmla="*/ 1838519 w 2296406"/>
            <a:gd name="connsiteY1" fmla="*/ 1873852 h 2369152"/>
            <a:gd name="connsiteX2" fmla="*/ 2009969 w 2296406"/>
            <a:gd name="connsiteY2" fmla="*/ 2121502 h 2369152"/>
            <a:gd name="connsiteX3" fmla="*/ 1733744 w 2296406"/>
            <a:gd name="connsiteY3" fmla="*/ 1988152 h 2369152"/>
            <a:gd name="connsiteX4" fmla="*/ 1543244 w 2296406"/>
            <a:gd name="connsiteY4" fmla="*/ 2369152 h 2369152"/>
            <a:gd name="connsiteX5" fmla="*/ 1380482 w 2296406"/>
            <a:gd name="connsiteY5" fmla="*/ 2120816 h 2369152"/>
            <a:gd name="connsiteX6" fmla="*/ 1495542 w 2296406"/>
            <a:gd name="connsiteY6" fmla="*/ 1788127 h 2369152"/>
            <a:gd name="connsiteX7" fmla="*/ 909489 w 2296406"/>
            <a:gd name="connsiteY7" fmla="*/ 1225390 h 2369152"/>
            <a:gd name="connsiteX8" fmla="*/ 414951 w 2296406"/>
            <a:gd name="connsiteY8" fmla="*/ 2322212 h 2369152"/>
            <a:gd name="connsiteX9" fmla="*/ 293184 w 2296406"/>
            <a:gd name="connsiteY9" fmla="*/ 2052845 h 2369152"/>
            <a:gd name="connsiteX10" fmla="*/ 520411 w 2296406"/>
            <a:gd name="connsiteY10" fmla="*/ 767428 h 2369152"/>
            <a:gd name="connsiteX11" fmla="*/ 11167 w 2296406"/>
            <a:gd name="connsiteY11" fmla="*/ 5505 h 2369152"/>
            <a:gd name="connsiteX12" fmla="*/ 771719 w 2296406"/>
            <a:gd name="connsiteY12" fmla="*/ 578452 h 2369152"/>
            <a:gd name="connsiteX13" fmla="*/ 2041440 w 2296406"/>
            <a:gd name="connsiteY13" fmla="*/ 514597 h 2369152"/>
            <a:gd name="connsiteX14" fmla="*/ 2296406 w 2296406"/>
            <a:gd name="connsiteY14" fmla="*/ 662729 h 2369152"/>
            <a:gd name="connsiteX15" fmla="*/ 1124906 w 2296406"/>
            <a:gd name="connsiteY15" fmla="*/ 1004182 h 2369152"/>
            <a:gd name="connsiteX16" fmla="*/ 1676517 w 2296406"/>
            <a:gd name="connsiteY16" fmla="*/ 1608523 h 2369152"/>
            <a:gd name="connsiteX17" fmla="*/ 2094931 w 2296406"/>
            <a:gd name="connsiteY17" fmla="*/ 1557316 h 2369152"/>
            <a:gd name="connsiteX0" fmla="*/ 2279640 w 2296406"/>
            <a:gd name="connsiteY0" fmla="*/ 1747818 h 2354521"/>
            <a:gd name="connsiteX1" fmla="*/ 1838519 w 2296406"/>
            <a:gd name="connsiteY1" fmla="*/ 1873852 h 2354521"/>
            <a:gd name="connsiteX2" fmla="*/ 2009969 w 2296406"/>
            <a:gd name="connsiteY2" fmla="*/ 2121502 h 2354521"/>
            <a:gd name="connsiteX3" fmla="*/ 1733744 w 2296406"/>
            <a:gd name="connsiteY3" fmla="*/ 1988152 h 2354521"/>
            <a:gd name="connsiteX4" fmla="*/ 1528613 w 2296406"/>
            <a:gd name="connsiteY4" fmla="*/ 2354521 h 2354521"/>
            <a:gd name="connsiteX5" fmla="*/ 1380482 w 2296406"/>
            <a:gd name="connsiteY5" fmla="*/ 2120816 h 2354521"/>
            <a:gd name="connsiteX6" fmla="*/ 1495542 w 2296406"/>
            <a:gd name="connsiteY6" fmla="*/ 1788127 h 2354521"/>
            <a:gd name="connsiteX7" fmla="*/ 909489 w 2296406"/>
            <a:gd name="connsiteY7" fmla="*/ 1225390 h 2354521"/>
            <a:gd name="connsiteX8" fmla="*/ 414951 w 2296406"/>
            <a:gd name="connsiteY8" fmla="*/ 2322212 h 2354521"/>
            <a:gd name="connsiteX9" fmla="*/ 293184 w 2296406"/>
            <a:gd name="connsiteY9" fmla="*/ 2052845 h 2354521"/>
            <a:gd name="connsiteX10" fmla="*/ 520411 w 2296406"/>
            <a:gd name="connsiteY10" fmla="*/ 767428 h 2354521"/>
            <a:gd name="connsiteX11" fmla="*/ 11167 w 2296406"/>
            <a:gd name="connsiteY11" fmla="*/ 5505 h 2354521"/>
            <a:gd name="connsiteX12" fmla="*/ 771719 w 2296406"/>
            <a:gd name="connsiteY12" fmla="*/ 578452 h 2354521"/>
            <a:gd name="connsiteX13" fmla="*/ 2041440 w 2296406"/>
            <a:gd name="connsiteY13" fmla="*/ 514597 h 2354521"/>
            <a:gd name="connsiteX14" fmla="*/ 2296406 w 2296406"/>
            <a:gd name="connsiteY14" fmla="*/ 662729 h 2354521"/>
            <a:gd name="connsiteX15" fmla="*/ 1124906 w 2296406"/>
            <a:gd name="connsiteY15" fmla="*/ 1004182 h 2354521"/>
            <a:gd name="connsiteX16" fmla="*/ 1676517 w 2296406"/>
            <a:gd name="connsiteY16" fmla="*/ 1608523 h 2354521"/>
            <a:gd name="connsiteX17" fmla="*/ 2094931 w 2296406"/>
            <a:gd name="connsiteY17" fmla="*/ 1557316 h 2354521"/>
            <a:gd name="connsiteX0" fmla="*/ 2279640 w 2296406"/>
            <a:gd name="connsiteY0" fmla="*/ 1747818 h 2354521"/>
            <a:gd name="connsiteX1" fmla="*/ 1838519 w 2296406"/>
            <a:gd name="connsiteY1" fmla="*/ 1873852 h 2354521"/>
            <a:gd name="connsiteX2" fmla="*/ 2009969 w 2296406"/>
            <a:gd name="connsiteY2" fmla="*/ 2121502 h 2354521"/>
            <a:gd name="connsiteX3" fmla="*/ 1682537 w 2296406"/>
            <a:gd name="connsiteY3" fmla="*/ 1962549 h 2354521"/>
            <a:gd name="connsiteX4" fmla="*/ 1528613 w 2296406"/>
            <a:gd name="connsiteY4" fmla="*/ 2354521 h 2354521"/>
            <a:gd name="connsiteX5" fmla="*/ 1380482 w 2296406"/>
            <a:gd name="connsiteY5" fmla="*/ 2120816 h 2354521"/>
            <a:gd name="connsiteX6" fmla="*/ 1495542 w 2296406"/>
            <a:gd name="connsiteY6" fmla="*/ 1788127 h 2354521"/>
            <a:gd name="connsiteX7" fmla="*/ 909489 w 2296406"/>
            <a:gd name="connsiteY7" fmla="*/ 1225390 h 2354521"/>
            <a:gd name="connsiteX8" fmla="*/ 414951 w 2296406"/>
            <a:gd name="connsiteY8" fmla="*/ 2322212 h 2354521"/>
            <a:gd name="connsiteX9" fmla="*/ 293184 w 2296406"/>
            <a:gd name="connsiteY9" fmla="*/ 2052845 h 2354521"/>
            <a:gd name="connsiteX10" fmla="*/ 520411 w 2296406"/>
            <a:gd name="connsiteY10" fmla="*/ 767428 h 2354521"/>
            <a:gd name="connsiteX11" fmla="*/ 11167 w 2296406"/>
            <a:gd name="connsiteY11" fmla="*/ 5505 h 2354521"/>
            <a:gd name="connsiteX12" fmla="*/ 771719 w 2296406"/>
            <a:gd name="connsiteY12" fmla="*/ 578452 h 2354521"/>
            <a:gd name="connsiteX13" fmla="*/ 2041440 w 2296406"/>
            <a:gd name="connsiteY13" fmla="*/ 514597 h 2354521"/>
            <a:gd name="connsiteX14" fmla="*/ 2296406 w 2296406"/>
            <a:gd name="connsiteY14" fmla="*/ 662729 h 2354521"/>
            <a:gd name="connsiteX15" fmla="*/ 1124906 w 2296406"/>
            <a:gd name="connsiteY15" fmla="*/ 1004182 h 2354521"/>
            <a:gd name="connsiteX16" fmla="*/ 1676517 w 2296406"/>
            <a:gd name="connsiteY16" fmla="*/ 1608523 h 2354521"/>
            <a:gd name="connsiteX17" fmla="*/ 2094931 w 2296406"/>
            <a:gd name="connsiteY17" fmla="*/ 1557316 h 2354521"/>
            <a:gd name="connsiteX0" fmla="*/ 2279640 w 2296406"/>
            <a:gd name="connsiteY0" fmla="*/ 1747818 h 2354521"/>
            <a:gd name="connsiteX1" fmla="*/ 1816574 w 2296406"/>
            <a:gd name="connsiteY1" fmla="*/ 1851907 h 2354521"/>
            <a:gd name="connsiteX2" fmla="*/ 2009969 w 2296406"/>
            <a:gd name="connsiteY2" fmla="*/ 2121502 h 2354521"/>
            <a:gd name="connsiteX3" fmla="*/ 1682537 w 2296406"/>
            <a:gd name="connsiteY3" fmla="*/ 1962549 h 2354521"/>
            <a:gd name="connsiteX4" fmla="*/ 1528613 w 2296406"/>
            <a:gd name="connsiteY4" fmla="*/ 2354521 h 2354521"/>
            <a:gd name="connsiteX5" fmla="*/ 1380482 w 2296406"/>
            <a:gd name="connsiteY5" fmla="*/ 2120816 h 2354521"/>
            <a:gd name="connsiteX6" fmla="*/ 1495542 w 2296406"/>
            <a:gd name="connsiteY6" fmla="*/ 1788127 h 2354521"/>
            <a:gd name="connsiteX7" fmla="*/ 909489 w 2296406"/>
            <a:gd name="connsiteY7" fmla="*/ 1225390 h 2354521"/>
            <a:gd name="connsiteX8" fmla="*/ 414951 w 2296406"/>
            <a:gd name="connsiteY8" fmla="*/ 2322212 h 2354521"/>
            <a:gd name="connsiteX9" fmla="*/ 293184 w 2296406"/>
            <a:gd name="connsiteY9" fmla="*/ 2052845 h 2354521"/>
            <a:gd name="connsiteX10" fmla="*/ 520411 w 2296406"/>
            <a:gd name="connsiteY10" fmla="*/ 767428 h 2354521"/>
            <a:gd name="connsiteX11" fmla="*/ 11167 w 2296406"/>
            <a:gd name="connsiteY11" fmla="*/ 5505 h 2354521"/>
            <a:gd name="connsiteX12" fmla="*/ 771719 w 2296406"/>
            <a:gd name="connsiteY12" fmla="*/ 578452 h 2354521"/>
            <a:gd name="connsiteX13" fmla="*/ 2041440 w 2296406"/>
            <a:gd name="connsiteY13" fmla="*/ 514597 h 2354521"/>
            <a:gd name="connsiteX14" fmla="*/ 2296406 w 2296406"/>
            <a:gd name="connsiteY14" fmla="*/ 662729 h 2354521"/>
            <a:gd name="connsiteX15" fmla="*/ 1124906 w 2296406"/>
            <a:gd name="connsiteY15" fmla="*/ 1004182 h 2354521"/>
            <a:gd name="connsiteX16" fmla="*/ 1676517 w 2296406"/>
            <a:gd name="connsiteY16" fmla="*/ 1608523 h 2354521"/>
            <a:gd name="connsiteX17" fmla="*/ 2094931 w 2296406"/>
            <a:gd name="connsiteY17" fmla="*/ 1557316 h 2354521"/>
            <a:gd name="connsiteX0" fmla="*/ 2279640 w 2296406"/>
            <a:gd name="connsiteY0" fmla="*/ 1747818 h 2354521"/>
            <a:gd name="connsiteX1" fmla="*/ 1816574 w 2296406"/>
            <a:gd name="connsiteY1" fmla="*/ 1851907 h 2354521"/>
            <a:gd name="connsiteX2" fmla="*/ 1991681 w 2296406"/>
            <a:gd name="connsiteY2" fmla="*/ 2136133 h 2354521"/>
            <a:gd name="connsiteX3" fmla="*/ 1682537 w 2296406"/>
            <a:gd name="connsiteY3" fmla="*/ 1962549 h 2354521"/>
            <a:gd name="connsiteX4" fmla="*/ 1528613 w 2296406"/>
            <a:gd name="connsiteY4" fmla="*/ 2354521 h 2354521"/>
            <a:gd name="connsiteX5" fmla="*/ 1380482 w 2296406"/>
            <a:gd name="connsiteY5" fmla="*/ 2120816 h 2354521"/>
            <a:gd name="connsiteX6" fmla="*/ 1495542 w 2296406"/>
            <a:gd name="connsiteY6" fmla="*/ 1788127 h 2354521"/>
            <a:gd name="connsiteX7" fmla="*/ 909489 w 2296406"/>
            <a:gd name="connsiteY7" fmla="*/ 1225390 h 2354521"/>
            <a:gd name="connsiteX8" fmla="*/ 414951 w 2296406"/>
            <a:gd name="connsiteY8" fmla="*/ 2322212 h 2354521"/>
            <a:gd name="connsiteX9" fmla="*/ 293184 w 2296406"/>
            <a:gd name="connsiteY9" fmla="*/ 2052845 h 2354521"/>
            <a:gd name="connsiteX10" fmla="*/ 520411 w 2296406"/>
            <a:gd name="connsiteY10" fmla="*/ 767428 h 2354521"/>
            <a:gd name="connsiteX11" fmla="*/ 11167 w 2296406"/>
            <a:gd name="connsiteY11" fmla="*/ 5505 h 2354521"/>
            <a:gd name="connsiteX12" fmla="*/ 771719 w 2296406"/>
            <a:gd name="connsiteY12" fmla="*/ 578452 h 2354521"/>
            <a:gd name="connsiteX13" fmla="*/ 2041440 w 2296406"/>
            <a:gd name="connsiteY13" fmla="*/ 514597 h 2354521"/>
            <a:gd name="connsiteX14" fmla="*/ 2296406 w 2296406"/>
            <a:gd name="connsiteY14" fmla="*/ 662729 h 2354521"/>
            <a:gd name="connsiteX15" fmla="*/ 1124906 w 2296406"/>
            <a:gd name="connsiteY15" fmla="*/ 1004182 h 2354521"/>
            <a:gd name="connsiteX16" fmla="*/ 1676517 w 2296406"/>
            <a:gd name="connsiteY16" fmla="*/ 1608523 h 2354521"/>
            <a:gd name="connsiteX17" fmla="*/ 2094931 w 2296406"/>
            <a:gd name="connsiteY17" fmla="*/ 1557316 h 2354521"/>
            <a:gd name="connsiteX0" fmla="*/ 2279640 w 2296406"/>
            <a:gd name="connsiteY0" fmla="*/ 1747818 h 2354521"/>
            <a:gd name="connsiteX1" fmla="*/ 1816574 w 2296406"/>
            <a:gd name="connsiteY1" fmla="*/ 1851907 h 2354521"/>
            <a:gd name="connsiteX2" fmla="*/ 2042887 w 2296406"/>
            <a:gd name="connsiteY2" fmla="*/ 2194655 h 2354521"/>
            <a:gd name="connsiteX3" fmla="*/ 1682537 w 2296406"/>
            <a:gd name="connsiteY3" fmla="*/ 1962549 h 2354521"/>
            <a:gd name="connsiteX4" fmla="*/ 1528613 w 2296406"/>
            <a:gd name="connsiteY4" fmla="*/ 2354521 h 2354521"/>
            <a:gd name="connsiteX5" fmla="*/ 1380482 w 2296406"/>
            <a:gd name="connsiteY5" fmla="*/ 2120816 h 2354521"/>
            <a:gd name="connsiteX6" fmla="*/ 1495542 w 2296406"/>
            <a:gd name="connsiteY6" fmla="*/ 1788127 h 2354521"/>
            <a:gd name="connsiteX7" fmla="*/ 909489 w 2296406"/>
            <a:gd name="connsiteY7" fmla="*/ 1225390 h 2354521"/>
            <a:gd name="connsiteX8" fmla="*/ 414951 w 2296406"/>
            <a:gd name="connsiteY8" fmla="*/ 2322212 h 2354521"/>
            <a:gd name="connsiteX9" fmla="*/ 293184 w 2296406"/>
            <a:gd name="connsiteY9" fmla="*/ 2052845 h 2354521"/>
            <a:gd name="connsiteX10" fmla="*/ 520411 w 2296406"/>
            <a:gd name="connsiteY10" fmla="*/ 767428 h 2354521"/>
            <a:gd name="connsiteX11" fmla="*/ 11167 w 2296406"/>
            <a:gd name="connsiteY11" fmla="*/ 5505 h 2354521"/>
            <a:gd name="connsiteX12" fmla="*/ 771719 w 2296406"/>
            <a:gd name="connsiteY12" fmla="*/ 578452 h 2354521"/>
            <a:gd name="connsiteX13" fmla="*/ 2041440 w 2296406"/>
            <a:gd name="connsiteY13" fmla="*/ 514597 h 2354521"/>
            <a:gd name="connsiteX14" fmla="*/ 2296406 w 2296406"/>
            <a:gd name="connsiteY14" fmla="*/ 662729 h 2354521"/>
            <a:gd name="connsiteX15" fmla="*/ 1124906 w 2296406"/>
            <a:gd name="connsiteY15" fmla="*/ 1004182 h 2354521"/>
            <a:gd name="connsiteX16" fmla="*/ 1676517 w 2296406"/>
            <a:gd name="connsiteY16" fmla="*/ 1608523 h 2354521"/>
            <a:gd name="connsiteX17" fmla="*/ 2094931 w 2296406"/>
            <a:gd name="connsiteY17" fmla="*/ 1557316 h 2354521"/>
            <a:gd name="connsiteX0" fmla="*/ 2279640 w 2296406"/>
            <a:gd name="connsiteY0" fmla="*/ 1747818 h 2354521"/>
            <a:gd name="connsiteX1" fmla="*/ 1816574 w 2296406"/>
            <a:gd name="connsiteY1" fmla="*/ 1851907 h 2354521"/>
            <a:gd name="connsiteX2" fmla="*/ 1955104 w 2296406"/>
            <a:gd name="connsiteY2" fmla="*/ 2095900 h 2354521"/>
            <a:gd name="connsiteX3" fmla="*/ 1682537 w 2296406"/>
            <a:gd name="connsiteY3" fmla="*/ 1962549 h 2354521"/>
            <a:gd name="connsiteX4" fmla="*/ 1528613 w 2296406"/>
            <a:gd name="connsiteY4" fmla="*/ 2354521 h 2354521"/>
            <a:gd name="connsiteX5" fmla="*/ 1380482 w 2296406"/>
            <a:gd name="connsiteY5" fmla="*/ 2120816 h 2354521"/>
            <a:gd name="connsiteX6" fmla="*/ 1495542 w 2296406"/>
            <a:gd name="connsiteY6" fmla="*/ 1788127 h 2354521"/>
            <a:gd name="connsiteX7" fmla="*/ 909489 w 2296406"/>
            <a:gd name="connsiteY7" fmla="*/ 1225390 h 2354521"/>
            <a:gd name="connsiteX8" fmla="*/ 414951 w 2296406"/>
            <a:gd name="connsiteY8" fmla="*/ 2322212 h 2354521"/>
            <a:gd name="connsiteX9" fmla="*/ 293184 w 2296406"/>
            <a:gd name="connsiteY9" fmla="*/ 2052845 h 2354521"/>
            <a:gd name="connsiteX10" fmla="*/ 520411 w 2296406"/>
            <a:gd name="connsiteY10" fmla="*/ 767428 h 2354521"/>
            <a:gd name="connsiteX11" fmla="*/ 11167 w 2296406"/>
            <a:gd name="connsiteY11" fmla="*/ 5505 h 2354521"/>
            <a:gd name="connsiteX12" fmla="*/ 771719 w 2296406"/>
            <a:gd name="connsiteY12" fmla="*/ 578452 h 2354521"/>
            <a:gd name="connsiteX13" fmla="*/ 2041440 w 2296406"/>
            <a:gd name="connsiteY13" fmla="*/ 514597 h 2354521"/>
            <a:gd name="connsiteX14" fmla="*/ 2296406 w 2296406"/>
            <a:gd name="connsiteY14" fmla="*/ 662729 h 2354521"/>
            <a:gd name="connsiteX15" fmla="*/ 1124906 w 2296406"/>
            <a:gd name="connsiteY15" fmla="*/ 1004182 h 2354521"/>
            <a:gd name="connsiteX16" fmla="*/ 1676517 w 2296406"/>
            <a:gd name="connsiteY16" fmla="*/ 1608523 h 2354521"/>
            <a:gd name="connsiteX17" fmla="*/ 2094931 w 2296406"/>
            <a:gd name="connsiteY17" fmla="*/ 1557316 h 2354521"/>
            <a:gd name="connsiteX0" fmla="*/ 2279640 w 2296406"/>
            <a:gd name="connsiteY0" fmla="*/ 1747818 h 2354521"/>
            <a:gd name="connsiteX1" fmla="*/ 1816574 w 2296406"/>
            <a:gd name="connsiteY1" fmla="*/ 1851907 h 2354521"/>
            <a:gd name="connsiteX2" fmla="*/ 1955104 w 2296406"/>
            <a:gd name="connsiteY2" fmla="*/ 2095900 h 2354521"/>
            <a:gd name="connsiteX3" fmla="*/ 1682537 w 2296406"/>
            <a:gd name="connsiteY3" fmla="*/ 1962549 h 2354521"/>
            <a:gd name="connsiteX4" fmla="*/ 1528613 w 2296406"/>
            <a:gd name="connsiteY4" fmla="*/ 2354521 h 2354521"/>
            <a:gd name="connsiteX5" fmla="*/ 1380482 w 2296406"/>
            <a:gd name="connsiteY5" fmla="*/ 2120816 h 2354521"/>
            <a:gd name="connsiteX6" fmla="*/ 1495542 w 2296406"/>
            <a:gd name="connsiteY6" fmla="*/ 1788127 h 2354521"/>
            <a:gd name="connsiteX7" fmla="*/ 909489 w 2296406"/>
            <a:gd name="connsiteY7" fmla="*/ 1225390 h 2354521"/>
            <a:gd name="connsiteX8" fmla="*/ 414951 w 2296406"/>
            <a:gd name="connsiteY8" fmla="*/ 2322212 h 2354521"/>
            <a:gd name="connsiteX9" fmla="*/ 293184 w 2296406"/>
            <a:gd name="connsiteY9" fmla="*/ 2052845 h 2354521"/>
            <a:gd name="connsiteX10" fmla="*/ 520411 w 2296406"/>
            <a:gd name="connsiteY10" fmla="*/ 767428 h 2354521"/>
            <a:gd name="connsiteX11" fmla="*/ 11167 w 2296406"/>
            <a:gd name="connsiteY11" fmla="*/ 5505 h 2354521"/>
            <a:gd name="connsiteX12" fmla="*/ 771719 w 2296406"/>
            <a:gd name="connsiteY12" fmla="*/ 578452 h 2354521"/>
            <a:gd name="connsiteX13" fmla="*/ 2041440 w 2296406"/>
            <a:gd name="connsiteY13" fmla="*/ 514597 h 2354521"/>
            <a:gd name="connsiteX14" fmla="*/ 2296406 w 2296406"/>
            <a:gd name="connsiteY14" fmla="*/ 662729 h 2354521"/>
            <a:gd name="connsiteX15" fmla="*/ 1124906 w 2296406"/>
            <a:gd name="connsiteY15" fmla="*/ 1004182 h 2354521"/>
            <a:gd name="connsiteX16" fmla="*/ 1676517 w 2296406"/>
            <a:gd name="connsiteY16" fmla="*/ 1608523 h 2354521"/>
            <a:gd name="connsiteX17" fmla="*/ 2094931 w 2296406"/>
            <a:gd name="connsiteY17" fmla="*/ 1557316 h 2354521"/>
            <a:gd name="connsiteX0" fmla="*/ 2279640 w 2296406"/>
            <a:gd name="connsiteY0" fmla="*/ 1747818 h 2354521"/>
            <a:gd name="connsiteX1" fmla="*/ 1816574 w 2296406"/>
            <a:gd name="connsiteY1" fmla="*/ 1851907 h 2354521"/>
            <a:gd name="connsiteX2" fmla="*/ 1955104 w 2296406"/>
            <a:gd name="connsiteY2" fmla="*/ 2095900 h 2354521"/>
            <a:gd name="connsiteX3" fmla="*/ 1682537 w 2296406"/>
            <a:gd name="connsiteY3" fmla="*/ 1962549 h 2354521"/>
            <a:gd name="connsiteX4" fmla="*/ 1528613 w 2296406"/>
            <a:gd name="connsiteY4" fmla="*/ 2354521 h 2354521"/>
            <a:gd name="connsiteX5" fmla="*/ 1380482 w 2296406"/>
            <a:gd name="connsiteY5" fmla="*/ 2120816 h 2354521"/>
            <a:gd name="connsiteX6" fmla="*/ 1495542 w 2296406"/>
            <a:gd name="connsiteY6" fmla="*/ 1788127 h 2354521"/>
            <a:gd name="connsiteX7" fmla="*/ 909489 w 2296406"/>
            <a:gd name="connsiteY7" fmla="*/ 1225390 h 2354521"/>
            <a:gd name="connsiteX8" fmla="*/ 414951 w 2296406"/>
            <a:gd name="connsiteY8" fmla="*/ 2322212 h 2354521"/>
            <a:gd name="connsiteX9" fmla="*/ 293184 w 2296406"/>
            <a:gd name="connsiteY9" fmla="*/ 2052845 h 2354521"/>
            <a:gd name="connsiteX10" fmla="*/ 520411 w 2296406"/>
            <a:gd name="connsiteY10" fmla="*/ 767428 h 2354521"/>
            <a:gd name="connsiteX11" fmla="*/ 11167 w 2296406"/>
            <a:gd name="connsiteY11" fmla="*/ 5505 h 2354521"/>
            <a:gd name="connsiteX12" fmla="*/ 771719 w 2296406"/>
            <a:gd name="connsiteY12" fmla="*/ 578452 h 2354521"/>
            <a:gd name="connsiteX13" fmla="*/ 2041440 w 2296406"/>
            <a:gd name="connsiteY13" fmla="*/ 514597 h 2354521"/>
            <a:gd name="connsiteX14" fmla="*/ 2296406 w 2296406"/>
            <a:gd name="connsiteY14" fmla="*/ 662729 h 2354521"/>
            <a:gd name="connsiteX15" fmla="*/ 1124906 w 2296406"/>
            <a:gd name="connsiteY15" fmla="*/ 1004182 h 2354521"/>
            <a:gd name="connsiteX16" fmla="*/ 1676517 w 2296406"/>
            <a:gd name="connsiteY16" fmla="*/ 1608523 h 2354521"/>
            <a:gd name="connsiteX17" fmla="*/ 2094931 w 2296406"/>
            <a:gd name="connsiteY17" fmla="*/ 1557316 h 2354521"/>
            <a:gd name="connsiteX0" fmla="*/ 2279640 w 2296406"/>
            <a:gd name="connsiteY0" fmla="*/ 1747818 h 2354521"/>
            <a:gd name="connsiteX1" fmla="*/ 1823889 w 2296406"/>
            <a:gd name="connsiteY1" fmla="*/ 1837277 h 2354521"/>
            <a:gd name="connsiteX2" fmla="*/ 1955104 w 2296406"/>
            <a:gd name="connsiteY2" fmla="*/ 2095900 h 2354521"/>
            <a:gd name="connsiteX3" fmla="*/ 1682537 w 2296406"/>
            <a:gd name="connsiteY3" fmla="*/ 1962549 h 2354521"/>
            <a:gd name="connsiteX4" fmla="*/ 1528613 w 2296406"/>
            <a:gd name="connsiteY4" fmla="*/ 2354521 h 2354521"/>
            <a:gd name="connsiteX5" fmla="*/ 1380482 w 2296406"/>
            <a:gd name="connsiteY5" fmla="*/ 2120816 h 2354521"/>
            <a:gd name="connsiteX6" fmla="*/ 1495542 w 2296406"/>
            <a:gd name="connsiteY6" fmla="*/ 1788127 h 2354521"/>
            <a:gd name="connsiteX7" fmla="*/ 909489 w 2296406"/>
            <a:gd name="connsiteY7" fmla="*/ 1225390 h 2354521"/>
            <a:gd name="connsiteX8" fmla="*/ 414951 w 2296406"/>
            <a:gd name="connsiteY8" fmla="*/ 2322212 h 2354521"/>
            <a:gd name="connsiteX9" fmla="*/ 293184 w 2296406"/>
            <a:gd name="connsiteY9" fmla="*/ 2052845 h 2354521"/>
            <a:gd name="connsiteX10" fmla="*/ 520411 w 2296406"/>
            <a:gd name="connsiteY10" fmla="*/ 767428 h 2354521"/>
            <a:gd name="connsiteX11" fmla="*/ 11167 w 2296406"/>
            <a:gd name="connsiteY11" fmla="*/ 5505 h 2354521"/>
            <a:gd name="connsiteX12" fmla="*/ 771719 w 2296406"/>
            <a:gd name="connsiteY12" fmla="*/ 578452 h 2354521"/>
            <a:gd name="connsiteX13" fmla="*/ 2041440 w 2296406"/>
            <a:gd name="connsiteY13" fmla="*/ 514597 h 2354521"/>
            <a:gd name="connsiteX14" fmla="*/ 2296406 w 2296406"/>
            <a:gd name="connsiteY14" fmla="*/ 662729 h 2354521"/>
            <a:gd name="connsiteX15" fmla="*/ 1124906 w 2296406"/>
            <a:gd name="connsiteY15" fmla="*/ 1004182 h 2354521"/>
            <a:gd name="connsiteX16" fmla="*/ 1676517 w 2296406"/>
            <a:gd name="connsiteY16" fmla="*/ 1608523 h 2354521"/>
            <a:gd name="connsiteX17" fmla="*/ 2094931 w 2296406"/>
            <a:gd name="connsiteY17" fmla="*/ 1557316 h 2354521"/>
            <a:gd name="connsiteX0" fmla="*/ 2279640 w 2296406"/>
            <a:gd name="connsiteY0" fmla="*/ 1747818 h 2354521"/>
            <a:gd name="connsiteX1" fmla="*/ 1827546 w 2296406"/>
            <a:gd name="connsiteY1" fmla="*/ 1826304 h 2354521"/>
            <a:gd name="connsiteX2" fmla="*/ 1955104 w 2296406"/>
            <a:gd name="connsiteY2" fmla="*/ 2095900 h 2354521"/>
            <a:gd name="connsiteX3" fmla="*/ 1682537 w 2296406"/>
            <a:gd name="connsiteY3" fmla="*/ 1962549 h 2354521"/>
            <a:gd name="connsiteX4" fmla="*/ 1528613 w 2296406"/>
            <a:gd name="connsiteY4" fmla="*/ 2354521 h 2354521"/>
            <a:gd name="connsiteX5" fmla="*/ 1380482 w 2296406"/>
            <a:gd name="connsiteY5" fmla="*/ 2120816 h 2354521"/>
            <a:gd name="connsiteX6" fmla="*/ 1495542 w 2296406"/>
            <a:gd name="connsiteY6" fmla="*/ 1788127 h 2354521"/>
            <a:gd name="connsiteX7" fmla="*/ 909489 w 2296406"/>
            <a:gd name="connsiteY7" fmla="*/ 1225390 h 2354521"/>
            <a:gd name="connsiteX8" fmla="*/ 414951 w 2296406"/>
            <a:gd name="connsiteY8" fmla="*/ 2322212 h 2354521"/>
            <a:gd name="connsiteX9" fmla="*/ 293184 w 2296406"/>
            <a:gd name="connsiteY9" fmla="*/ 2052845 h 2354521"/>
            <a:gd name="connsiteX10" fmla="*/ 520411 w 2296406"/>
            <a:gd name="connsiteY10" fmla="*/ 767428 h 2354521"/>
            <a:gd name="connsiteX11" fmla="*/ 11167 w 2296406"/>
            <a:gd name="connsiteY11" fmla="*/ 5505 h 2354521"/>
            <a:gd name="connsiteX12" fmla="*/ 771719 w 2296406"/>
            <a:gd name="connsiteY12" fmla="*/ 578452 h 2354521"/>
            <a:gd name="connsiteX13" fmla="*/ 2041440 w 2296406"/>
            <a:gd name="connsiteY13" fmla="*/ 514597 h 2354521"/>
            <a:gd name="connsiteX14" fmla="*/ 2296406 w 2296406"/>
            <a:gd name="connsiteY14" fmla="*/ 662729 h 2354521"/>
            <a:gd name="connsiteX15" fmla="*/ 1124906 w 2296406"/>
            <a:gd name="connsiteY15" fmla="*/ 1004182 h 2354521"/>
            <a:gd name="connsiteX16" fmla="*/ 1676517 w 2296406"/>
            <a:gd name="connsiteY16" fmla="*/ 1608523 h 2354521"/>
            <a:gd name="connsiteX17" fmla="*/ 2094931 w 2296406"/>
            <a:gd name="connsiteY17" fmla="*/ 1557316 h 235452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2296406" h="2354521">
              <a:moveTo>
                <a:pt x="2279640" y="1747818"/>
              </a:moveTo>
              <a:lnTo>
                <a:pt x="1827546" y="1826304"/>
              </a:lnTo>
              <a:cubicBezTo>
                <a:pt x="1873723" y="1907635"/>
                <a:pt x="1985737" y="2047488"/>
                <a:pt x="1955104" y="2095900"/>
              </a:cubicBezTo>
              <a:cubicBezTo>
                <a:pt x="1897166" y="2139232"/>
                <a:pt x="1773393" y="2006999"/>
                <a:pt x="1682537" y="1962549"/>
              </a:cubicBezTo>
              <a:lnTo>
                <a:pt x="1528613" y="2354521"/>
              </a:lnTo>
              <a:lnTo>
                <a:pt x="1380482" y="2120816"/>
              </a:lnTo>
              <a:lnTo>
                <a:pt x="1495542" y="1788127"/>
              </a:lnTo>
              <a:lnTo>
                <a:pt x="909489" y="1225390"/>
              </a:lnTo>
              <a:lnTo>
                <a:pt x="414951" y="2322212"/>
              </a:lnTo>
              <a:lnTo>
                <a:pt x="293184" y="2052845"/>
              </a:lnTo>
              <a:lnTo>
                <a:pt x="520411" y="767428"/>
              </a:lnTo>
              <a:cubicBezTo>
                <a:pt x="325060" y="542715"/>
                <a:pt x="-71458" y="102202"/>
                <a:pt x="11167" y="5505"/>
              </a:cubicBezTo>
              <a:cubicBezTo>
                <a:pt x="111065" y="-52229"/>
                <a:pt x="554777" y="358209"/>
                <a:pt x="771719" y="578452"/>
              </a:cubicBezTo>
              <a:lnTo>
                <a:pt x="2041440" y="514597"/>
              </a:lnTo>
              <a:lnTo>
                <a:pt x="2296406" y="662729"/>
              </a:lnTo>
              <a:lnTo>
                <a:pt x="1124906" y="1004182"/>
              </a:lnTo>
              <a:lnTo>
                <a:pt x="1676517" y="1608523"/>
              </a:lnTo>
              <a:cubicBezTo>
                <a:pt x="1795262" y="1589016"/>
                <a:pt x="2094931" y="1557316"/>
                <a:pt x="2094931" y="1557316"/>
              </a:cubicBezTo>
            </a:path>
          </a:pathLst>
        </a:cu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ko-KR" altLang="en-US" sz="27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0.31615</cdr:x>
      <cdr:y>0.42966</cdr:y>
    </cdr:from>
    <cdr:to>
      <cdr:x>0.7128</cdr:x>
      <cdr:y>0.771</cdr:y>
    </cdr:to>
    <cdr:sp macro="" textlink="'PO Tracker'!$AH$5">
      <cdr:nvSpPr>
        <cdr:cNvPr id="2" name="TextBox 4"/>
        <cdr:cNvSpPr txBox="1"/>
      </cdr:nvSpPr>
      <cdr:spPr>
        <a:xfrm xmlns:a="http://schemas.openxmlformats.org/drawingml/2006/main">
          <a:off x="716208" y="1007931"/>
          <a:ext cx="898573" cy="80074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fld id="{BDE520E5-AB80-462B-BA58-610FB013E75B}" type="TxLink">
            <a:rPr lang="en-US" sz="3600" b="1" i="0" u="none" strike="noStrike">
              <a:solidFill>
                <a:srgbClr val="000000"/>
              </a:solidFill>
              <a:latin typeface="Calibri"/>
              <a:cs typeface="Calibri"/>
            </a:rPr>
            <a:pPr algn="ctr"/>
            <a:t>0%</a:t>
          </a:fld>
          <a:endParaRPr lang="en-IN" sz="3600" b="1"/>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akshay_jhaveri_travelfoodservices_com/Documents/Business%20Finance/2020-2021/Tenders/JV/GMR/SSP/Airport%20Overview%20Template%20-%20Auckland%20(2017%2003%2007.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tuart.chaplin/AppData/Local/Microsoft/Windows/Temporary%20Internet%20Files/Content.Outlook/9640A0UJ/Auckland%2010%20Preferred%20Sites%20(2017%2002%2024)%20(003).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uckno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Airport Growth Summary"/>
      <sheetName val="Unit Summary"/>
      <sheetName val="Cat Overview"/>
      <sheetName val="Airport Y00-01"/>
      <sheetName val="Detail"/>
      <sheetName val="P&amp;L"/>
      <sheetName val="Unit P&amp;L (Template)"/>
      <sheetName val="Unit P&amp;L (1)"/>
      <sheetName val="Unit P&amp;L (2)"/>
      <sheetName val="Unit P&amp;L (3)"/>
      <sheetName val="Unit P&amp;L (4)"/>
      <sheetName val="Unit P&amp;L (5)"/>
      <sheetName val="Unit P&amp;L (6)"/>
      <sheetName val="Unit P&amp;L (7)"/>
      <sheetName val="Unit Benchmarks"/>
      <sheetName val="Admin"/>
      <sheetName val="Airport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5">
          <cell r="F5">
            <v>1.80888</v>
          </cell>
          <cell r="G5">
            <v>0.28000000000000003</v>
          </cell>
          <cell r="H5">
            <v>7.4999999999999997E-2</v>
          </cell>
          <cell r="I5">
            <v>0.05</v>
          </cell>
        </row>
        <row r="9">
          <cell r="D9">
            <v>6</v>
          </cell>
        </row>
        <row r="12">
          <cell r="D12">
            <v>0.04</v>
          </cell>
        </row>
        <row r="15">
          <cell r="D15">
            <v>0.04</v>
          </cell>
          <cell r="F15">
            <v>7.119999999999993E-2</v>
          </cell>
        </row>
        <row r="16">
          <cell r="D16">
            <v>0.04</v>
          </cell>
          <cell r="F16">
            <v>7.119999999999993E-2</v>
          </cell>
        </row>
        <row r="17">
          <cell r="D17">
            <v>0.04</v>
          </cell>
          <cell r="F17">
            <v>7.119999999999993E-2</v>
          </cell>
        </row>
        <row r="18">
          <cell r="D18">
            <v>0.04</v>
          </cell>
          <cell r="F18">
            <v>7.1200000000000152E-2</v>
          </cell>
        </row>
        <row r="19">
          <cell r="D19">
            <v>0.04</v>
          </cell>
          <cell r="F19">
            <v>7.1200000000000152E-2</v>
          </cell>
        </row>
        <row r="20">
          <cell r="D20">
            <v>0.04</v>
          </cell>
          <cell r="F20">
            <v>7.1200000000000152E-2</v>
          </cell>
        </row>
        <row r="21">
          <cell r="D21">
            <v>0.04</v>
          </cell>
          <cell r="F21">
            <v>7.1200000000000152E-2</v>
          </cell>
        </row>
        <row r="22">
          <cell r="D22">
            <v>0.04</v>
          </cell>
          <cell r="F22">
            <v>7.1200000000000152E-2</v>
          </cell>
        </row>
        <row r="23">
          <cell r="D23">
            <v>0.04</v>
          </cell>
          <cell r="F23">
            <v>7.1200000000000152E-2</v>
          </cell>
        </row>
        <row r="24">
          <cell r="D24">
            <v>0.04</v>
          </cell>
          <cell r="F24">
            <v>7.1200000000000152E-2</v>
          </cell>
        </row>
      </sheetData>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ase Input"/>
      <sheetName val="Overview"/>
      <sheetName val="CAPEX"/>
      <sheetName val="Sales Assumption 1"/>
      <sheetName val="Sales Assumption 2"/>
      <sheetName val="Sales Assumption 3"/>
      <sheetName val="Sales Assumption 4"/>
      <sheetName val="Sales Assumption 5"/>
      <sheetName val="Sales Assumption 6"/>
      <sheetName val="Sales Assumption 7"/>
      <sheetName val="Sales Assumption 8"/>
      <sheetName val="Sales Assumption 9"/>
      <sheetName val="Sales Assumption 10"/>
      <sheetName val="Sales Assumption 11"/>
      <sheetName val="Sales Assumption 12"/>
      <sheetName val="Sales Assumption 13"/>
      <sheetName val="Sales Assumption 14"/>
      <sheetName val="Sales Assumption 15"/>
      <sheetName val="Sales Assumption 16"/>
      <sheetName val="Sales Assumption 17"/>
      <sheetName val="Sales Assumption 18"/>
      <sheetName val="Sales Assumption 19"/>
      <sheetName val="Sales Assumption 20"/>
      <sheetName val="Sales Assumption 21"/>
      <sheetName val="Sales Assumption 22"/>
      <sheetName val="Sales Assumption 23"/>
      <sheetName val="Sales Assumption 24"/>
      <sheetName val="Sales Assumption 25"/>
      <sheetName val="Sales Assumption (Consolidated)"/>
      <sheetName val="Sales Mix"/>
      <sheetName val="Cost Structure 1"/>
      <sheetName val="Cost Structure 2"/>
      <sheetName val="Cost Structure 3"/>
      <sheetName val="Cost Structure 4"/>
      <sheetName val="Cost Structure 5"/>
      <sheetName val="Cost Structure 6"/>
      <sheetName val="Cost Structure 7"/>
      <sheetName val="Cost Structure 8"/>
      <sheetName val="Cost Structure 9"/>
      <sheetName val="Cost Structure 10"/>
      <sheetName val="Cost Structure 11"/>
      <sheetName val="Cost Structure 12"/>
      <sheetName val="Cost Structure 13"/>
      <sheetName val="Cost Structure 14"/>
      <sheetName val="Cost Structure 15"/>
      <sheetName val="Cost Structure 16"/>
      <sheetName val="Cost Structure 17"/>
      <sheetName val="Cost Structure 18"/>
      <sheetName val="Cost Structure 19"/>
      <sheetName val="Cost Structure 20"/>
      <sheetName val="Cost Structure 21"/>
      <sheetName val="Cost Structure 22"/>
      <sheetName val="Cost Structure 23"/>
      <sheetName val="Cost Structure 24"/>
      <sheetName val="Cost Structure 25"/>
      <sheetName val="P&amp;L1"/>
      <sheetName val="P&amp;L2"/>
      <sheetName val="P&amp;L3"/>
      <sheetName val="P&amp;L4"/>
      <sheetName val="P&amp;L5"/>
      <sheetName val="P&amp;L6"/>
      <sheetName val="P&amp;L7"/>
      <sheetName val="P&amp;L8"/>
      <sheetName val="P&amp;L9"/>
      <sheetName val="P&amp;L10"/>
      <sheetName val="P&amp;L11"/>
      <sheetName val="P&amp;L12"/>
      <sheetName val="P&amp;L13"/>
      <sheetName val="P&amp;L14"/>
      <sheetName val="P&amp;L15"/>
      <sheetName val="P&amp;L16"/>
      <sheetName val="P&amp;L17"/>
      <sheetName val="P&amp;L18"/>
      <sheetName val="P&amp;L19"/>
      <sheetName val="P&amp;L20"/>
      <sheetName val="P&amp;L21"/>
      <sheetName val="P&amp;L22"/>
      <sheetName val="P&amp;L23"/>
      <sheetName val="P&amp;L24"/>
      <sheetName val="P&amp;L25"/>
      <sheetName val="Consolidated P&amp;L"/>
      <sheetName val="Consolidated P&amp;L (GBP)"/>
      <sheetName val="Scenarios"/>
      <sheetName val="Lists &amp; Lookups"/>
      <sheetName val="Benchmarks"/>
      <sheetName val="Cost Benchmarks"/>
      <sheetName val="IC Memorandum"/>
      <sheetName val="Unit List"/>
      <sheetName val="P&amp;L Data"/>
      <sheetName val="Nonfinancial Data"/>
      <sheetName val="Overheads Data"/>
      <sheetName val="Base_Input"/>
      <sheetName val="Sales_Assumption_1"/>
      <sheetName val="Sales_Assumption_2"/>
      <sheetName val="Sales_Assumption_3"/>
      <sheetName val="Sales_Assumption_4"/>
      <sheetName val="Sales_Assumption_5"/>
      <sheetName val="Sales_Assumption_6"/>
      <sheetName val="Sales_Assumption_7"/>
      <sheetName val="Sales_Assumption_8"/>
      <sheetName val="Sales_Assumption_9"/>
      <sheetName val="Sales_Assumption_10"/>
      <sheetName val="Sales_Assumption_11"/>
      <sheetName val="Sales_Assumption_12"/>
      <sheetName val="Sales_Assumption_13"/>
      <sheetName val="Sales_Assumption_14"/>
      <sheetName val="Sales_Assumption_15"/>
      <sheetName val="Sales_Assumption_16"/>
      <sheetName val="Sales_Assumption_17"/>
      <sheetName val="Sales_Assumption_18"/>
      <sheetName val="Sales_Assumption_19"/>
      <sheetName val="Sales_Assumption_20"/>
      <sheetName val="Sales_Assumption_21"/>
      <sheetName val="Sales_Assumption_22"/>
      <sheetName val="Sales_Assumption_23"/>
      <sheetName val="Sales_Assumption_24"/>
      <sheetName val="Sales_Assumption_25"/>
      <sheetName val="Sales_Assumption_(Consolidated)"/>
      <sheetName val="Sales_Mix"/>
      <sheetName val="Cost_Structure_1"/>
      <sheetName val="Cost_Structure_2"/>
      <sheetName val="Cost_Structure_3"/>
      <sheetName val="Cost_Structure_4"/>
      <sheetName val="Cost_Structure_5"/>
      <sheetName val="Cost_Structure_6"/>
      <sheetName val="Cost_Structure_7"/>
      <sheetName val="Cost_Structure_8"/>
      <sheetName val="Cost_Structure_9"/>
      <sheetName val="Cost_Structure_10"/>
      <sheetName val="Cost_Structure_11"/>
      <sheetName val="Cost_Structure_12"/>
      <sheetName val="Cost_Structure_13"/>
      <sheetName val="Cost_Structure_14"/>
      <sheetName val="Cost_Structure_15"/>
      <sheetName val="Cost_Structure_16"/>
      <sheetName val="Cost_Structure_17"/>
      <sheetName val="Cost_Structure_18"/>
      <sheetName val="Cost_Structure_19"/>
      <sheetName val="Cost_Structure_20"/>
      <sheetName val="Cost_Structure_21"/>
      <sheetName val="Cost_Structure_22"/>
      <sheetName val="Cost_Structure_23"/>
      <sheetName val="Cost_Structure_24"/>
      <sheetName val="Cost_Structure_25"/>
      <sheetName val="Consolidated_P&amp;L"/>
      <sheetName val="Consolidated_P&amp;L_(GBP)"/>
      <sheetName val="Lists_&amp;_Lookups"/>
      <sheetName val="Cost_Benchmarks"/>
      <sheetName val="IC_Memorandum"/>
      <sheetName val="Unit_List"/>
      <sheetName val="P&amp;L_Data"/>
      <sheetName val="Nonfinancial_Data"/>
      <sheetName val="Overheads_Data"/>
      <sheetName val="Base_Input1"/>
      <sheetName val="Sales_Assumption_110"/>
      <sheetName val="Sales_Assumption_26"/>
      <sheetName val="Sales_Assumption_31"/>
      <sheetName val="Sales_Assumption_41"/>
      <sheetName val="Sales_Assumption_51"/>
      <sheetName val="Sales_Assumption_61"/>
      <sheetName val="Sales_Assumption_71"/>
      <sheetName val="Sales_Assumption_81"/>
      <sheetName val="Sales_Assumption_91"/>
      <sheetName val="Sales_Assumption_101"/>
      <sheetName val="Sales_Assumption_111"/>
      <sheetName val="Sales_Assumption_121"/>
      <sheetName val="Sales_Assumption_131"/>
      <sheetName val="Sales_Assumption_141"/>
      <sheetName val="Sales_Assumption_151"/>
      <sheetName val="Sales_Assumption_161"/>
      <sheetName val="Sales_Assumption_171"/>
      <sheetName val="Sales_Assumption_181"/>
      <sheetName val="Sales_Assumption_191"/>
      <sheetName val="Sales_Assumption_201"/>
      <sheetName val="Sales_Assumption_211"/>
      <sheetName val="Sales_Assumption_221"/>
      <sheetName val="Sales_Assumption_231"/>
      <sheetName val="Sales_Assumption_241"/>
      <sheetName val="Sales_Assumption_251"/>
      <sheetName val="Sales_Assumption_(Consolidated1"/>
      <sheetName val="Sales_Mix1"/>
      <sheetName val="Cost_Structure_110"/>
      <sheetName val="Cost_Structure_26"/>
      <sheetName val="Cost_Structure_31"/>
      <sheetName val="Cost_Structure_41"/>
      <sheetName val="Cost_Structure_51"/>
      <sheetName val="Cost_Structure_61"/>
      <sheetName val="Cost_Structure_71"/>
      <sheetName val="Cost_Structure_81"/>
      <sheetName val="Cost_Structure_91"/>
      <sheetName val="Cost_Structure_101"/>
      <sheetName val="Cost_Structure_111"/>
      <sheetName val="Cost_Structure_121"/>
      <sheetName val="Cost_Structure_131"/>
      <sheetName val="Cost_Structure_141"/>
      <sheetName val="Cost_Structure_151"/>
      <sheetName val="Cost_Structure_161"/>
      <sheetName val="Cost_Structure_171"/>
      <sheetName val="Cost_Structure_181"/>
      <sheetName val="Cost_Structure_191"/>
      <sheetName val="Cost_Structure_201"/>
      <sheetName val="Cost_Structure_211"/>
      <sheetName val="Cost_Structure_221"/>
      <sheetName val="Cost_Structure_231"/>
      <sheetName val="Cost_Structure_241"/>
      <sheetName val="Cost_Structure_251"/>
      <sheetName val="Consolidated_P&amp;L1"/>
      <sheetName val="Consolidated_P&amp;L_(GBP)1"/>
      <sheetName val="Lists_&amp;_Lookups1"/>
      <sheetName val="Cost_Benchmarks1"/>
      <sheetName val="IC_Memorandum1"/>
      <sheetName val="Unit_List1"/>
      <sheetName val="P&amp;L_Data1"/>
      <sheetName val="Nonfinancial_Data1"/>
      <sheetName val="Overheads_Data1"/>
      <sheetName val="Base_Input2"/>
      <sheetName val="Sales_Assumption_112"/>
      <sheetName val="Sales_Assumption_27"/>
      <sheetName val="Sales_Assumption_32"/>
      <sheetName val="Sales_Assumption_42"/>
      <sheetName val="Sales_Assumption_52"/>
      <sheetName val="Sales_Assumption_62"/>
      <sheetName val="Sales_Assumption_72"/>
      <sheetName val="Sales_Assumption_82"/>
      <sheetName val="Sales_Assumption_92"/>
      <sheetName val="Sales_Assumption_102"/>
      <sheetName val="Sales_Assumption_113"/>
      <sheetName val="Sales_Assumption_122"/>
      <sheetName val="Sales_Assumption_132"/>
      <sheetName val="Sales_Assumption_142"/>
      <sheetName val="Sales_Assumption_152"/>
      <sheetName val="Sales_Assumption_162"/>
      <sheetName val="Sales_Assumption_172"/>
      <sheetName val="Sales_Assumption_182"/>
      <sheetName val="Sales_Assumption_192"/>
      <sheetName val="Sales_Assumption_202"/>
      <sheetName val="Sales_Assumption_212"/>
      <sheetName val="Sales_Assumption_222"/>
      <sheetName val="Sales_Assumption_232"/>
      <sheetName val="Sales_Assumption_242"/>
      <sheetName val="Sales_Assumption_252"/>
      <sheetName val="Sales_Assumption_(Consolidated2"/>
      <sheetName val="Sales_Mix2"/>
      <sheetName val="Cost_Structure_112"/>
      <sheetName val="Cost_Structure_27"/>
      <sheetName val="Cost_Structure_32"/>
      <sheetName val="Cost_Structure_42"/>
      <sheetName val="Cost_Structure_52"/>
      <sheetName val="Cost_Structure_62"/>
      <sheetName val="Cost_Structure_72"/>
      <sheetName val="Cost_Structure_82"/>
      <sheetName val="Cost_Structure_92"/>
      <sheetName val="Cost_Structure_102"/>
      <sheetName val="Cost_Structure_113"/>
      <sheetName val="Cost_Structure_122"/>
      <sheetName val="Cost_Structure_132"/>
      <sheetName val="Cost_Structure_142"/>
      <sheetName val="Cost_Structure_152"/>
      <sheetName val="Cost_Structure_162"/>
      <sheetName val="Cost_Structure_172"/>
      <sheetName val="Cost_Structure_182"/>
      <sheetName val="Cost_Structure_192"/>
      <sheetName val="Cost_Structure_202"/>
      <sheetName val="Cost_Structure_212"/>
      <sheetName val="Cost_Structure_222"/>
      <sheetName val="Cost_Structure_232"/>
      <sheetName val="Cost_Structure_242"/>
      <sheetName val="Cost_Structure_252"/>
      <sheetName val="Consolidated_P&amp;L2"/>
      <sheetName val="Consolidated_P&amp;L_(GBP)2"/>
      <sheetName val="Lists_&amp;_Lookups2"/>
      <sheetName val="Cost_Benchmarks2"/>
      <sheetName val="IC_Memorandum2"/>
      <sheetName val="Unit_List2"/>
      <sheetName val="P&amp;L_Data2"/>
      <sheetName val="Nonfinancial_Data2"/>
      <sheetName val="Overheads_Data2"/>
    </sheetNames>
    <sheetDataSet>
      <sheetData sheetId="0" refreshError="1"/>
      <sheetData sheetId="1">
        <row r="13">
          <cell r="B13">
            <v>6</v>
          </cell>
        </row>
        <row r="41">
          <cell r="F41" t="str">
            <v>#P&amp;Ls</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ow r="13">
          <cell r="B13">
            <v>6</v>
          </cell>
        </row>
      </sheetData>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ow r="13">
          <cell r="B13">
            <v>6</v>
          </cell>
        </row>
      </sheetData>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row r="13">
          <cell r="B13">
            <v>6</v>
          </cell>
        </row>
      </sheetData>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_BT"/>
      <sheetName val="TRACKER"/>
      <sheetName val="Wagamama_BT"/>
      <sheetName val="#Nourish_BT"/>
      <sheetName val="Joshh_BT"/>
      <sheetName val="Budget Tracking_Backup hide"/>
      <sheetName val="Biryani by Kilo_Bademiya_BT"/>
      <sheetName val="Madras Coffee House_BT"/>
      <sheetName val="Bachelorr's_BT"/>
      <sheetName val="Donna Italia_BT"/>
      <sheetName val="Thakkers_BT"/>
      <sheetName val="The Beer Garden_BT"/>
      <sheetName val="Nando's_BT"/>
      <sheetName val="Food Court Seating_BT"/>
      <sheetName val="Cart 1 - Gift_BT"/>
      <sheetName val="Cart 2 - Middle Eastern_BT"/>
      <sheetName val="Cart 3 - Maxican &amp; Burger _BT"/>
      <sheetName val="Cart 4 - Crumbs_BT"/>
      <sheetName val="Budget Tracking"/>
      <sheetName val="Summary"/>
      <sheetName val="PO Tracker"/>
      <sheetName val="Irish House"/>
      <sheetName val="Adani Lounge"/>
      <sheetName val="Dominos"/>
      <sheetName val="Sheet1"/>
      <sheetName val="Sheet2"/>
    </sheetNames>
    <sheetDataSet>
      <sheetData sheetId="0"/>
      <sheetData sheetId="1">
        <row r="39">
          <cell r="C39">
            <v>537235046.18382895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6">
          <cell r="DA26">
            <v>0</v>
          </cell>
        </row>
        <row r="42">
          <cell r="DA42">
            <v>0</v>
          </cell>
        </row>
        <row r="53">
          <cell r="DA53">
            <v>0</v>
          </cell>
        </row>
        <row r="60">
          <cell r="DA60">
            <v>0</v>
          </cell>
        </row>
        <row r="65">
          <cell r="DA65">
            <v>0</v>
          </cell>
        </row>
        <row r="68">
          <cell r="H68">
            <v>0</v>
          </cell>
        </row>
      </sheetData>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Dhaba@T3"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travelfoodservices-my.sharepoint.com/Roaming/Microsoft/Excel/LKO%20POs/SKPL_000997_23-24_LKO_Flying%20bytes_NSA%20DESIGN%20STUDIO_Consultant.pdf" TargetMode="External"/><Relationship Id="rId13" Type="http://schemas.openxmlformats.org/officeDocument/2006/relationships/hyperlink" Target="https://travelfoodservices-my.sharepoint.com/Roaming/Microsoft/Excel/LKO%20POs/SKPL_001008_23-24_LKO_Good%20times%20bar_NSA%20DESIGN%20STUDIO_Consultant.pdf" TargetMode="External"/><Relationship Id="rId18" Type="http://schemas.openxmlformats.org/officeDocument/2006/relationships/drawing" Target="../drawings/drawing1.xml"/><Relationship Id="rId3" Type="http://schemas.openxmlformats.org/officeDocument/2006/relationships/hyperlink" Target="https://travelfoodservices-my.sharepoint.com/Roaming/Microsoft/Excel/LKO%20POs/SKPL_000996_23-24_LKO_The%20Irish%20House_ARA%20Designs_Consultant.pdf" TargetMode="External"/><Relationship Id="rId7" Type="http://schemas.openxmlformats.org/officeDocument/2006/relationships/hyperlink" Target="https://travelfoodservices-my.sharepoint.com/Roaming/Microsoft/Excel/LKO%20POs/SKPL_001007_23-24_LKO_Chai%20Point_NSA%20DESIGN%20STUDIO_Consultant%20LUMSUM.pdf" TargetMode="External"/><Relationship Id="rId12" Type="http://schemas.openxmlformats.org/officeDocument/2006/relationships/hyperlink" Target="https://travelfoodservices-my.sharepoint.com/Roaming/Microsoft/Excel/LKO%20POs/SKPL_001003_23-24_LKO_Shawarma,Tacos,Burger%20+%20Indian%20+Coffee%20kiosk_NSA%20DESIGN" TargetMode="External"/><Relationship Id="rId17" Type="http://schemas.openxmlformats.org/officeDocument/2006/relationships/printerSettings" Target="../printerSettings/printerSettings7.bin"/><Relationship Id="rId2" Type="http://schemas.openxmlformats.org/officeDocument/2006/relationships/hyperlink" Target="https://travelfoodservices-my.sharepoint.com/Roaming/Microsoft/Excel/LKO%20POs/SKPL_000995_23-24_LKO_CBTL%20+%20Wrapafella_ARA%20Designs_Consultant.pdf" TargetMode="External"/><Relationship Id="rId16" Type="http://schemas.openxmlformats.org/officeDocument/2006/relationships/hyperlink" Target="https://travelfoodservices-my.sharepoint.com/Roaming/Microsoft/Excel/LKO%20POs/SKPL_001158_23-24_LKO_AJ%201881_ARA%20Designs_Consultant.pdf" TargetMode="External"/><Relationship Id="rId20" Type="http://schemas.openxmlformats.org/officeDocument/2006/relationships/comments" Target="../comments1.xml"/><Relationship Id="rId1" Type="http://schemas.openxmlformats.org/officeDocument/2006/relationships/hyperlink" Target="https://travelfoodservices-my.sharepoint.com/Roaming/Microsoft/Excel/LKO%20POs/SKPL_001004_23-24_LKO_Cafeccino_NSA%20DESIGN%20STUDIO_Consultant.pdf" TargetMode="External"/><Relationship Id="rId6" Type="http://schemas.openxmlformats.org/officeDocument/2006/relationships/hyperlink" Target="https://travelfoodservices-my.sharepoint.com/Roaming/Microsoft/Excel/LKO%20POs/SKPL_001006_23-24_LKO_Caffeccino%20+%20Kebab_NSA%20DESIGN%20STUDIO_Consultant%20LUMSUM.pdf" TargetMode="External"/><Relationship Id="rId11" Type="http://schemas.openxmlformats.org/officeDocument/2006/relationships/hyperlink" Target="https://travelfoodservices-my.sharepoint.com/Roaming/Microsoft/Excel/LKO%20POs/SKPL_001002_23-24_LKO_Subway_NSA%20DESIGN%20STUDIO_Consultant.pdf" TargetMode="External"/><Relationship Id="rId5" Type="http://schemas.openxmlformats.org/officeDocument/2006/relationships/hyperlink" Target="https://travelfoodservices-my.sharepoint.com/Roaming/Microsoft/Excel/LKO%20POs/SKPL_001005_23-24_LKO_Flying%20Bytes_NSA%20DESIGN%20STUDIO_Consultant.pdf" TargetMode="External"/><Relationship Id="rId15" Type="http://schemas.openxmlformats.org/officeDocument/2006/relationships/hyperlink" Target="https://travelfoodservices-my.sharepoint.com/Roaming/Microsoft/Excel/LKO%20POs/FW%20%20Lucknow%20POs%20for%20Approval.msg" TargetMode="External"/><Relationship Id="rId10" Type="http://schemas.openxmlformats.org/officeDocument/2006/relationships/hyperlink" Target="https://travelfoodservices-my.sharepoint.com/Roaming/Microsoft/Excel/LKO%20POs/SKPL_000999_23-24-_LKO_Low%20Price%20point_NSA%20DESIGN%20STUDIO_Consultant.pdf" TargetMode="External"/><Relationship Id="rId19" Type="http://schemas.openxmlformats.org/officeDocument/2006/relationships/vmlDrawing" Target="../drawings/vmlDrawing1.vml"/><Relationship Id="rId4" Type="http://schemas.openxmlformats.org/officeDocument/2006/relationships/hyperlink" Target="https://travelfoodservices-my.sharepoint.com/Roaming/Microsoft/Excel/LKO%20POs/SKPL_001004_23-24_LKO_Cafeccino_NSA%20DESIGN%20STUDIO_Consultant.pdf" TargetMode="External"/><Relationship Id="rId9" Type="http://schemas.openxmlformats.org/officeDocument/2006/relationships/hyperlink" Target="https://travelfoodservices-my.sharepoint.com/Roaming/Microsoft/Excel/LKO%20POs/SKPL_000998_23-24_LKO_Chaipoint_NSA%20DESIGN%20STUDIO_Consultant.pdf" TargetMode="External"/><Relationship Id="rId14" Type="http://schemas.openxmlformats.org/officeDocument/2006/relationships/hyperlink" Target="https://travelfoodservices-my.sharepoint.com/Roaming/Microsoft/Excel/LKO%20POs/FW%20%20Lucknow_%20PO%20for%20Approval_%20Appointment%20of%20Design%20Consultant%20for%20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opLeftCell="A2" zoomScale="85" zoomScaleNormal="85" workbookViewId="0">
      <selection activeCell="D19" sqref="D19"/>
    </sheetView>
  </sheetViews>
  <sheetFormatPr defaultColWidth="12.42578125" defaultRowHeight="15.75"/>
  <cols>
    <col min="1" max="1" width="6.28515625" style="348" bestFit="1" customWidth="1"/>
    <col min="2" max="2" width="9.140625" style="348" bestFit="1" customWidth="1"/>
    <col min="3" max="3" width="15.5703125" style="348" customWidth="1"/>
    <col min="4" max="4" width="14.85546875" style="348" bestFit="1" customWidth="1"/>
    <col min="5" max="5" width="11" style="348" bestFit="1" customWidth="1"/>
    <col min="6" max="6" width="14.42578125" style="348" bestFit="1" customWidth="1"/>
    <col min="7" max="7" width="14.5703125" style="348" hidden="1" customWidth="1"/>
    <col min="8" max="8" width="14.140625" style="348" hidden="1" customWidth="1"/>
    <col min="9" max="9" width="35" style="348" customWidth="1"/>
    <col min="10" max="10" width="7.140625" style="348" customWidth="1"/>
    <col min="11" max="12" width="11.7109375" style="348" customWidth="1"/>
    <col min="13" max="13" width="21.42578125" style="348" customWidth="1"/>
    <col min="14" max="14" width="15.85546875" style="348" bestFit="1" customWidth="1"/>
    <col min="15" max="15" width="11.7109375" style="348" customWidth="1"/>
    <col min="16" max="16384" width="12.42578125" style="348"/>
  </cols>
  <sheetData>
    <row r="1" spans="1:17" s="338" customFormat="1" ht="16.5" thickBot="1">
      <c r="A1" s="337"/>
      <c r="B1" s="337"/>
      <c r="C1" s="337"/>
      <c r="D1" s="337"/>
      <c r="E1" s="337"/>
      <c r="F1" s="337"/>
      <c r="G1" s="337"/>
      <c r="H1" s="337"/>
      <c r="I1" s="337"/>
      <c r="J1" s="337"/>
      <c r="K1" s="337"/>
      <c r="L1" s="750" t="s">
        <v>347</v>
      </c>
      <c r="M1" s="751"/>
      <c r="N1" s="752"/>
      <c r="O1" s="337"/>
    </row>
    <row r="2" spans="1:17" s="341" customFormat="1" ht="56.25" customHeight="1">
      <c r="A2" s="339" t="s">
        <v>315</v>
      </c>
      <c r="B2" s="339" t="s">
        <v>74</v>
      </c>
      <c r="C2" s="339" t="s">
        <v>78</v>
      </c>
      <c r="D2" s="339" t="s">
        <v>316</v>
      </c>
      <c r="E2" s="340" t="s">
        <v>317</v>
      </c>
      <c r="F2" s="339" t="s">
        <v>330</v>
      </c>
      <c r="G2" s="339" t="s">
        <v>318</v>
      </c>
      <c r="H2" s="339" t="s">
        <v>319</v>
      </c>
      <c r="I2" s="339" t="s">
        <v>320</v>
      </c>
      <c r="J2" s="339" t="s">
        <v>321</v>
      </c>
      <c r="K2" s="339" t="s">
        <v>322</v>
      </c>
      <c r="L2" s="372"/>
      <c r="M2" s="372" t="s">
        <v>331</v>
      </c>
      <c r="N2" s="372" t="s">
        <v>332</v>
      </c>
      <c r="O2" s="339" t="s">
        <v>4</v>
      </c>
    </row>
    <row r="3" spans="1:17">
      <c r="A3" s="342">
        <v>1</v>
      </c>
      <c r="B3" s="343" t="s">
        <v>200</v>
      </c>
      <c r="C3" s="343" t="s">
        <v>236</v>
      </c>
      <c r="D3" s="343" t="s">
        <v>158</v>
      </c>
      <c r="E3" s="360">
        <f>94.4/2</f>
        <v>47.2</v>
      </c>
      <c r="F3" s="355">
        <f>+E3*10.764</f>
        <v>508.06079999999997</v>
      </c>
      <c r="G3" s="370">
        <v>44986</v>
      </c>
      <c r="H3" s="357" t="s">
        <v>323</v>
      </c>
      <c r="I3" s="345" t="s">
        <v>264</v>
      </c>
      <c r="J3" s="342">
        <f t="shared" ref="J3:J35" si="0">K3-G3</f>
        <v>153</v>
      </c>
      <c r="K3" s="346">
        <v>45139</v>
      </c>
      <c r="L3" s="368">
        <f>+M3/F3</f>
        <v>13777.878553118053</v>
      </c>
      <c r="M3" s="368">
        <v>7000000</v>
      </c>
      <c r="N3" s="368">
        <f>+M3*1.18</f>
        <v>8260000</v>
      </c>
      <c r="O3" s="346"/>
    </row>
    <row r="4" spans="1:17">
      <c r="A4" s="359" t="s">
        <v>333</v>
      </c>
      <c r="B4" s="343" t="s">
        <v>200</v>
      </c>
      <c r="C4" s="343" t="s">
        <v>236</v>
      </c>
      <c r="D4" s="343" t="s">
        <v>158</v>
      </c>
      <c r="E4" s="360">
        <f>+E3</f>
        <v>47.2</v>
      </c>
      <c r="F4" s="355">
        <f>+E4*10.764</f>
        <v>508.06079999999997</v>
      </c>
      <c r="G4" s="370">
        <v>44986</v>
      </c>
      <c r="H4" s="357" t="s">
        <v>323</v>
      </c>
      <c r="I4" s="349" t="s">
        <v>324</v>
      </c>
      <c r="J4" s="342">
        <f>K4-G4</f>
        <v>153</v>
      </c>
      <c r="K4" s="346">
        <v>45139</v>
      </c>
      <c r="L4" s="368">
        <f t="shared" ref="L4:L36" si="1">+M4/F4</f>
        <v>9841.3418236557518</v>
      </c>
      <c r="M4" s="368">
        <v>5000000</v>
      </c>
      <c r="N4" s="368">
        <f t="shared" ref="N4:N36" si="2">+M4*1.18</f>
        <v>5900000</v>
      </c>
      <c r="O4" s="346"/>
    </row>
    <row r="5" spans="1:17">
      <c r="A5" s="347">
        <v>2</v>
      </c>
      <c r="B5" s="344" t="s">
        <v>199</v>
      </c>
      <c r="C5" s="344" t="s">
        <v>162</v>
      </c>
      <c r="D5" s="344" t="s">
        <v>158</v>
      </c>
      <c r="E5" s="360">
        <v>35.74</v>
      </c>
      <c r="F5" s="355">
        <f t="shared" ref="F5:F36" si="3">+E5*10.764</f>
        <v>384.70535999999998</v>
      </c>
      <c r="G5" s="356">
        <v>44986</v>
      </c>
      <c r="H5" s="354" t="s">
        <v>323</v>
      </c>
      <c r="I5" s="349" t="s">
        <v>324</v>
      </c>
      <c r="J5" s="347">
        <f t="shared" si="0"/>
        <v>153</v>
      </c>
      <c r="K5" s="346">
        <v>45139</v>
      </c>
      <c r="L5" s="368">
        <f t="shared" si="1"/>
        <v>10397.567634617828</v>
      </c>
      <c r="M5" s="368">
        <v>4000000</v>
      </c>
      <c r="N5" s="368">
        <f t="shared" si="2"/>
        <v>4720000</v>
      </c>
      <c r="O5" s="346"/>
    </row>
    <row r="6" spans="1:17">
      <c r="A6" s="347">
        <v>3</v>
      </c>
      <c r="B6" s="344" t="s">
        <v>199</v>
      </c>
      <c r="C6" s="344" t="s">
        <v>163</v>
      </c>
      <c r="D6" s="344" t="s">
        <v>325</v>
      </c>
      <c r="E6" s="360">
        <v>35.74</v>
      </c>
      <c r="F6" s="355">
        <f t="shared" si="3"/>
        <v>384.70535999999998</v>
      </c>
      <c r="G6" s="356">
        <v>44986</v>
      </c>
      <c r="H6" s="354" t="s">
        <v>323</v>
      </c>
      <c r="I6" s="349" t="s">
        <v>248</v>
      </c>
      <c r="J6" s="347">
        <f t="shared" si="0"/>
        <v>153</v>
      </c>
      <c r="K6" s="346">
        <v>45139</v>
      </c>
      <c r="L6" s="368">
        <f t="shared" si="1"/>
        <v>7798.1757259633714</v>
      </c>
      <c r="M6" s="368">
        <v>3000000</v>
      </c>
      <c r="N6" s="368">
        <f t="shared" si="2"/>
        <v>3540000</v>
      </c>
      <c r="O6" s="346"/>
      <c r="Q6" s="371"/>
    </row>
    <row r="7" spans="1:17" s="358" customFormat="1" ht="30">
      <c r="A7" s="354">
        <v>4</v>
      </c>
      <c r="B7" s="350" t="s">
        <v>200</v>
      </c>
      <c r="C7" s="350" t="s">
        <v>164</v>
      </c>
      <c r="D7" s="350" t="s">
        <v>159</v>
      </c>
      <c r="E7" s="360">
        <v>166.2</v>
      </c>
      <c r="F7" s="355">
        <f t="shared" si="3"/>
        <v>1788.9767999999997</v>
      </c>
      <c r="G7" s="356">
        <v>44986</v>
      </c>
      <c r="H7" s="354"/>
      <c r="I7" s="357" t="s">
        <v>335</v>
      </c>
      <c r="J7" s="354"/>
      <c r="K7" s="356"/>
      <c r="L7" s="368">
        <f t="shared" si="1"/>
        <v>16769.362241030743</v>
      </c>
      <c r="M7" s="369">
        <v>30000000</v>
      </c>
      <c r="N7" s="368">
        <f t="shared" si="2"/>
        <v>35400000</v>
      </c>
      <c r="O7" s="747" t="s">
        <v>344</v>
      </c>
    </row>
    <row r="8" spans="1:17" s="358" customFormat="1">
      <c r="A8" s="354">
        <v>5</v>
      </c>
      <c r="B8" s="350" t="s">
        <v>200</v>
      </c>
      <c r="C8" s="350" t="s">
        <v>165</v>
      </c>
      <c r="D8" s="350" t="s">
        <v>159</v>
      </c>
      <c r="E8" s="360">
        <v>69.63</v>
      </c>
      <c r="F8" s="355">
        <f t="shared" si="3"/>
        <v>749.49731999999995</v>
      </c>
      <c r="G8" s="356"/>
      <c r="H8" s="354"/>
      <c r="I8" s="357" t="s">
        <v>273</v>
      </c>
      <c r="J8" s="354"/>
      <c r="K8" s="356"/>
      <c r="L8" s="368">
        <f t="shared" si="1"/>
        <v>9339.5931022141613</v>
      </c>
      <c r="M8" s="369">
        <v>7000000</v>
      </c>
      <c r="N8" s="368">
        <f t="shared" si="2"/>
        <v>8260000</v>
      </c>
      <c r="O8" s="748"/>
    </row>
    <row r="9" spans="1:17" s="358" customFormat="1">
      <c r="A9" s="354">
        <v>6</v>
      </c>
      <c r="B9" s="350" t="s">
        <v>200</v>
      </c>
      <c r="C9" s="350" t="s">
        <v>166</v>
      </c>
      <c r="D9" s="350" t="s">
        <v>159</v>
      </c>
      <c r="E9" s="360">
        <v>166.2</v>
      </c>
      <c r="F9" s="355">
        <f t="shared" si="3"/>
        <v>1788.9767999999997</v>
      </c>
      <c r="G9" s="356"/>
      <c r="H9" s="354"/>
      <c r="I9" s="357" t="s">
        <v>336</v>
      </c>
      <c r="J9" s="354"/>
      <c r="K9" s="356"/>
      <c r="L9" s="368">
        <f t="shared" si="1"/>
        <v>13974.468534192285</v>
      </c>
      <c r="M9" s="369">
        <v>25000000</v>
      </c>
      <c r="N9" s="368">
        <f t="shared" si="2"/>
        <v>29500000</v>
      </c>
      <c r="O9" s="748"/>
    </row>
    <row r="10" spans="1:17" s="358" customFormat="1">
      <c r="A10" s="354"/>
      <c r="B10" s="350"/>
      <c r="C10" s="350"/>
      <c r="D10" s="350"/>
      <c r="E10" s="360">
        <v>90.3</v>
      </c>
      <c r="F10" s="355">
        <f t="shared" si="3"/>
        <v>971.98919999999987</v>
      </c>
      <c r="G10" s="356"/>
      <c r="H10" s="354"/>
      <c r="I10" s="357" t="s">
        <v>275</v>
      </c>
      <c r="J10" s="354"/>
      <c r="K10" s="356"/>
      <c r="L10" s="368">
        <f t="shared" si="1"/>
        <v>41152.720626937014</v>
      </c>
      <c r="M10" s="369">
        <v>40000000</v>
      </c>
      <c r="N10" s="368">
        <f t="shared" si="2"/>
        <v>47200000</v>
      </c>
      <c r="O10" s="748"/>
    </row>
    <row r="11" spans="1:17" s="358" customFormat="1">
      <c r="A11" s="354"/>
      <c r="B11" s="350"/>
      <c r="C11" s="350"/>
      <c r="D11" s="350"/>
      <c r="E11" s="360">
        <v>89.02</v>
      </c>
      <c r="F11" s="355">
        <f t="shared" si="3"/>
        <v>958.21127999999987</v>
      </c>
      <c r="G11" s="356"/>
      <c r="H11" s="354"/>
      <c r="I11" s="357" t="s">
        <v>276</v>
      </c>
      <c r="J11" s="354"/>
      <c r="K11" s="356"/>
      <c r="L11" s="368">
        <f t="shared" si="1"/>
        <v>2865</v>
      </c>
      <c r="M11" s="369">
        <v>2745275.3171999995</v>
      </c>
      <c r="N11" s="368">
        <f t="shared" si="2"/>
        <v>3239424.8742959993</v>
      </c>
      <c r="O11" s="748"/>
    </row>
    <row r="12" spans="1:17" s="358" customFormat="1">
      <c r="A12" s="354"/>
      <c r="B12" s="350"/>
      <c r="C12" s="350"/>
      <c r="D12" s="350"/>
      <c r="E12" s="360">
        <f>100.82-0.840000000000146</f>
        <v>99.979999999999848</v>
      </c>
      <c r="F12" s="355">
        <f t="shared" si="3"/>
        <v>1076.1847199999984</v>
      </c>
      <c r="G12" s="356"/>
      <c r="H12" s="354"/>
      <c r="I12" s="357" t="s">
        <v>277</v>
      </c>
      <c r="J12" s="354"/>
      <c r="K12" s="356"/>
      <c r="L12" s="368">
        <f t="shared" si="1"/>
        <v>2865</v>
      </c>
      <c r="M12" s="369">
        <v>3083269.2227999954</v>
      </c>
      <c r="N12" s="368">
        <f t="shared" si="2"/>
        <v>3638257.6829039943</v>
      </c>
      <c r="O12" s="749"/>
    </row>
    <row r="13" spans="1:17">
      <c r="A13" s="347">
        <v>7</v>
      </c>
      <c r="B13" s="344" t="s">
        <v>200</v>
      </c>
      <c r="C13" s="344" t="s">
        <v>167</v>
      </c>
      <c r="D13" s="344" t="s">
        <v>159</v>
      </c>
      <c r="E13" s="360">
        <v>297</v>
      </c>
      <c r="F13" s="355">
        <f t="shared" si="3"/>
        <v>3196.9079999999999</v>
      </c>
      <c r="G13" s="356">
        <v>44986</v>
      </c>
      <c r="H13" s="354" t="s">
        <v>323</v>
      </c>
      <c r="I13" s="349" t="s">
        <v>186</v>
      </c>
      <c r="J13" s="347">
        <f t="shared" si="0"/>
        <v>153</v>
      </c>
      <c r="K13" s="346">
        <v>45139</v>
      </c>
      <c r="L13" s="368">
        <f t="shared" si="1"/>
        <v>10948.078580928823</v>
      </c>
      <c r="M13" s="369">
        <v>35000000</v>
      </c>
      <c r="N13" s="368">
        <f t="shared" si="2"/>
        <v>41300000</v>
      </c>
      <c r="O13" s="346"/>
    </row>
    <row r="14" spans="1:17">
      <c r="A14" s="347">
        <v>8</v>
      </c>
      <c r="B14" s="350" t="s">
        <v>200</v>
      </c>
      <c r="C14" s="350" t="s">
        <v>168</v>
      </c>
      <c r="D14" s="350" t="s">
        <v>159</v>
      </c>
      <c r="E14" s="360">
        <f>91.5/3</f>
        <v>30.5</v>
      </c>
      <c r="F14" s="355">
        <f t="shared" si="3"/>
        <v>328.30199999999996</v>
      </c>
      <c r="G14" s="356">
        <v>44986</v>
      </c>
      <c r="H14" s="354" t="s">
        <v>323</v>
      </c>
      <c r="I14" s="351" t="s">
        <v>337</v>
      </c>
      <c r="J14" s="347">
        <f t="shared" si="0"/>
        <v>153</v>
      </c>
      <c r="K14" s="346">
        <v>45139</v>
      </c>
      <c r="L14" s="368">
        <f t="shared" si="1"/>
        <v>15229.879805788574</v>
      </c>
      <c r="M14" s="368">
        <v>5000000</v>
      </c>
      <c r="N14" s="368">
        <f t="shared" si="2"/>
        <v>5900000</v>
      </c>
      <c r="O14" s="346"/>
    </row>
    <row r="15" spans="1:17">
      <c r="A15" s="347"/>
      <c r="B15" s="350"/>
      <c r="C15" s="350"/>
      <c r="D15" s="350"/>
      <c r="E15" s="360">
        <f>+E14</f>
        <v>30.5</v>
      </c>
      <c r="F15" s="355">
        <f t="shared" si="3"/>
        <v>328.30199999999996</v>
      </c>
      <c r="G15" s="356"/>
      <c r="H15" s="354"/>
      <c r="I15" s="351" t="s">
        <v>338</v>
      </c>
      <c r="J15" s="347"/>
      <c r="K15" s="346"/>
      <c r="L15" s="368">
        <f t="shared" si="1"/>
        <v>12183.903844630859</v>
      </c>
      <c r="M15" s="368">
        <v>4000000</v>
      </c>
      <c r="N15" s="368">
        <f t="shared" si="2"/>
        <v>4720000</v>
      </c>
      <c r="O15" s="346"/>
    </row>
    <row r="16" spans="1:17">
      <c r="A16" s="347"/>
      <c r="B16" s="350"/>
      <c r="C16" s="350"/>
      <c r="D16" s="350"/>
      <c r="E16" s="360">
        <f>+E15</f>
        <v>30.5</v>
      </c>
      <c r="F16" s="355">
        <f t="shared" si="3"/>
        <v>328.30199999999996</v>
      </c>
      <c r="G16" s="356"/>
      <c r="H16" s="354"/>
      <c r="I16" s="351" t="s">
        <v>339</v>
      </c>
      <c r="J16" s="347"/>
      <c r="K16" s="346"/>
      <c r="L16" s="368">
        <f t="shared" si="1"/>
        <v>9137.9278834731449</v>
      </c>
      <c r="M16" s="368">
        <v>3000000</v>
      </c>
      <c r="N16" s="368">
        <f t="shared" si="2"/>
        <v>3540000</v>
      </c>
      <c r="O16" s="346"/>
    </row>
    <row r="17" spans="1:15">
      <c r="A17" s="347"/>
      <c r="B17" s="350"/>
      <c r="C17" s="350" t="s">
        <v>345</v>
      </c>
      <c r="D17" s="350"/>
      <c r="E17" s="360">
        <f>+'Summary_Old outlets'!Q22</f>
        <v>59.53</v>
      </c>
      <c r="F17" s="355">
        <f t="shared" si="3"/>
        <v>640.78091999999992</v>
      </c>
      <c r="G17" s="356"/>
      <c r="H17" s="354"/>
      <c r="I17" s="351" t="s">
        <v>93</v>
      </c>
      <c r="J17" s="347"/>
      <c r="K17" s="346"/>
      <c r="L17" s="368">
        <f t="shared" si="1"/>
        <v>2865</v>
      </c>
      <c r="M17" s="368">
        <v>1835837.3357999998</v>
      </c>
      <c r="N17" s="368">
        <f t="shared" si="2"/>
        <v>2166288.0562439994</v>
      </c>
      <c r="O17" s="346"/>
    </row>
    <row r="18" spans="1:15">
      <c r="A18" s="347">
        <v>9</v>
      </c>
      <c r="B18" s="344" t="s">
        <v>200</v>
      </c>
      <c r="C18" s="344" t="s">
        <v>169</v>
      </c>
      <c r="D18" s="344" t="s">
        <v>159</v>
      </c>
      <c r="E18" s="360">
        <v>35.29</v>
      </c>
      <c r="F18" s="355">
        <f t="shared" si="3"/>
        <v>379.86155999999994</v>
      </c>
      <c r="G18" s="356">
        <v>44986</v>
      </c>
      <c r="H18" s="354" t="s">
        <v>323</v>
      </c>
      <c r="I18" s="351" t="s">
        <v>310</v>
      </c>
      <c r="J18" s="347">
        <f t="shared" si="0"/>
        <v>153</v>
      </c>
      <c r="K18" s="346">
        <v>45139</v>
      </c>
      <c r="L18" s="368">
        <f t="shared" si="1"/>
        <v>21110.848910324068</v>
      </c>
      <c r="M18" s="368">
        <v>8019200</v>
      </c>
      <c r="N18" s="368">
        <f t="shared" si="2"/>
        <v>9462656</v>
      </c>
      <c r="O18" s="346"/>
    </row>
    <row r="19" spans="1:15">
      <c r="A19" s="347">
        <v>10</v>
      </c>
      <c r="B19" s="344" t="s">
        <v>199</v>
      </c>
      <c r="C19" s="344" t="s">
        <v>170</v>
      </c>
      <c r="D19" s="344" t="s">
        <v>159</v>
      </c>
      <c r="E19" s="360">
        <v>61.35</v>
      </c>
      <c r="F19" s="355">
        <f t="shared" si="3"/>
        <v>660.37139999999999</v>
      </c>
      <c r="G19" s="356">
        <v>44986</v>
      </c>
      <c r="H19" s="354" t="s">
        <v>323</v>
      </c>
      <c r="I19" s="351" t="s">
        <v>326</v>
      </c>
      <c r="J19" s="347">
        <f t="shared" si="0"/>
        <v>153</v>
      </c>
      <c r="K19" s="346">
        <v>45139</v>
      </c>
      <c r="L19" s="368">
        <f t="shared" si="1"/>
        <v>27257.388796668056</v>
      </c>
      <c r="M19" s="368">
        <v>18000000</v>
      </c>
      <c r="N19" s="368">
        <f t="shared" si="2"/>
        <v>21240000</v>
      </c>
      <c r="O19" s="346"/>
    </row>
    <row r="20" spans="1:15">
      <c r="A20" s="347">
        <v>11</v>
      </c>
      <c r="B20" s="344" t="s">
        <v>199</v>
      </c>
      <c r="C20" s="344" t="s">
        <v>171</v>
      </c>
      <c r="D20" s="344" t="s">
        <v>159</v>
      </c>
      <c r="E20" s="360">
        <v>71.349999999999994</v>
      </c>
      <c r="F20" s="355">
        <f t="shared" si="3"/>
        <v>768.01139999999987</v>
      </c>
      <c r="G20" s="356">
        <v>44986</v>
      </c>
      <c r="H20" s="354" t="s">
        <v>323</v>
      </c>
      <c r="I20" s="351" t="s">
        <v>188</v>
      </c>
      <c r="J20" s="347">
        <f t="shared" si="0"/>
        <v>153</v>
      </c>
      <c r="K20" s="346">
        <v>45139</v>
      </c>
      <c r="L20" s="368">
        <f t="shared" si="1"/>
        <v>19530.960087311207</v>
      </c>
      <c r="M20" s="368">
        <v>15000000</v>
      </c>
      <c r="N20" s="368">
        <f t="shared" si="2"/>
        <v>17700000</v>
      </c>
      <c r="O20" s="346"/>
    </row>
    <row r="21" spans="1:15">
      <c r="A21" s="347">
        <v>12</v>
      </c>
      <c r="B21" s="344" t="s">
        <v>199</v>
      </c>
      <c r="C21" s="344" t="s">
        <v>172</v>
      </c>
      <c r="D21" s="344" t="s">
        <v>159</v>
      </c>
      <c r="E21" s="360">
        <f>65.99/2</f>
        <v>32.994999999999997</v>
      </c>
      <c r="F21" s="355">
        <f t="shared" si="3"/>
        <v>355.15817999999996</v>
      </c>
      <c r="G21" s="356">
        <v>44986</v>
      </c>
      <c r="H21" s="354" t="s">
        <v>323</v>
      </c>
      <c r="I21" s="351" t="s">
        <v>340</v>
      </c>
      <c r="J21" s="347">
        <f t="shared" si="0"/>
        <v>153</v>
      </c>
      <c r="K21" s="346">
        <v>45139</v>
      </c>
      <c r="L21" s="368">
        <f t="shared" si="1"/>
        <v>14078.234098395258</v>
      </c>
      <c r="M21" s="368">
        <v>5000000</v>
      </c>
      <c r="N21" s="368">
        <f t="shared" si="2"/>
        <v>5900000</v>
      </c>
      <c r="O21" s="346"/>
    </row>
    <row r="22" spans="1:15">
      <c r="A22" s="347"/>
      <c r="B22" s="344"/>
      <c r="C22" s="344"/>
      <c r="D22" s="344"/>
      <c r="E22" s="360">
        <f>+E21</f>
        <v>32.994999999999997</v>
      </c>
      <c r="F22" s="355">
        <f t="shared" si="3"/>
        <v>355.15817999999996</v>
      </c>
      <c r="G22" s="356"/>
      <c r="H22" s="354"/>
      <c r="I22" s="351" t="s">
        <v>341</v>
      </c>
      <c r="J22" s="347"/>
      <c r="K22" s="346"/>
      <c r="L22" s="368">
        <f t="shared" si="1"/>
        <v>14078.234098395258</v>
      </c>
      <c r="M22" s="368">
        <v>5000000</v>
      </c>
      <c r="N22" s="368">
        <f t="shared" si="2"/>
        <v>5900000</v>
      </c>
      <c r="O22" s="346"/>
    </row>
    <row r="23" spans="1:15">
      <c r="A23" s="347"/>
      <c r="B23" s="344"/>
      <c r="C23" s="344" t="s">
        <v>232</v>
      </c>
      <c r="D23" s="344"/>
      <c r="E23" s="360">
        <f>+'Summary_Old outlets'!Q28</f>
        <v>68.31</v>
      </c>
      <c r="F23" s="355">
        <f t="shared" si="3"/>
        <v>735.28883999999994</v>
      </c>
      <c r="G23" s="356"/>
      <c r="H23" s="354"/>
      <c r="I23" s="351" t="s">
        <v>93</v>
      </c>
      <c r="J23" s="347"/>
      <c r="K23" s="346"/>
      <c r="L23" s="368">
        <f t="shared" si="1"/>
        <v>2865</v>
      </c>
      <c r="M23" s="368">
        <v>2106602.5266</v>
      </c>
      <c r="N23" s="368">
        <f t="shared" si="2"/>
        <v>2485790.9813879998</v>
      </c>
      <c r="O23" s="346"/>
    </row>
    <row r="24" spans="1:15">
      <c r="A24" s="347">
        <v>13</v>
      </c>
      <c r="B24" s="344" t="s">
        <v>199</v>
      </c>
      <c r="C24" s="344" t="s">
        <v>173</v>
      </c>
      <c r="D24" s="344" t="s">
        <v>159</v>
      </c>
      <c r="E24" s="360">
        <v>225.18</v>
      </c>
      <c r="F24" s="355">
        <f t="shared" si="3"/>
        <v>2423.83752</v>
      </c>
      <c r="G24" s="356">
        <v>44986</v>
      </c>
      <c r="H24" s="354" t="s">
        <v>323</v>
      </c>
      <c r="I24" s="351" t="s">
        <v>327</v>
      </c>
      <c r="J24" s="347">
        <f t="shared" si="0"/>
        <v>153</v>
      </c>
      <c r="K24" s="346">
        <v>45139</v>
      </c>
      <c r="L24" s="368">
        <f t="shared" si="1"/>
        <v>12377.067254904116</v>
      </c>
      <c r="M24" s="368">
        <v>30000000</v>
      </c>
      <c r="N24" s="368">
        <f t="shared" si="2"/>
        <v>35400000</v>
      </c>
      <c r="O24" s="346"/>
    </row>
    <row r="25" spans="1:15">
      <c r="A25" s="347">
        <v>14</v>
      </c>
      <c r="B25" s="344" t="s">
        <v>199</v>
      </c>
      <c r="C25" s="344" t="s">
        <v>174</v>
      </c>
      <c r="D25" s="344" t="s">
        <v>159</v>
      </c>
      <c r="E25" s="360">
        <v>483.66</v>
      </c>
      <c r="F25" s="355">
        <f t="shared" si="3"/>
        <v>5206.1162400000003</v>
      </c>
      <c r="G25" s="356">
        <v>44986</v>
      </c>
      <c r="H25" s="354" t="s">
        <v>323</v>
      </c>
      <c r="I25" s="351" t="s">
        <v>186</v>
      </c>
      <c r="J25" s="347">
        <f t="shared" si="0"/>
        <v>153</v>
      </c>
      <c r="K25" s="346">
        <v>45139</v>
      </c>
      <c r="L25" s="368">
        <f t="shared" si="1"/>
        <v>11524.905944090098</v>
      </c>
      <c r="M25" s="368">
        <v>60000000</v>
      </c>
      <c r="N25" s="368">
        <f t="shared" si="2"/>
        <v>70800000</v>
      </c>
      <c r="O25" s="346"/>
    </row>
    <row r="26" spans="1:15">
      <c r="A26" s="347">
        <v>15</v>
      </c>
      <c r="B26" s="344" t="s">
        <v>199</v>
      </c>
      <c r="C26" s="344" t="s">
        <v>175</v>
      </c>
      <c r="D26" s="344" t="s">
        <v>159</v>
      </c>
      <c r="E26" s="360">
        <f>270.33/2</f>
        <v>135.16499999999999</v>
      </c>
      <c r="F26" s="355">
        <f t="shared" si="3"/>
        <v>1454.9160599999998</v>
      </c>
      <c r="G26" s="356">
        <v>44986</v>
      </c>
      <c r="H26" s="354" t="s">
        <v>323</v>
      </c>
      <c r="I26" s="351" t="s">
        <v>79</v>
      </c>
      <c r="J26" s="347">
        <f t="shared" si="0"/>
        <v>153</v>
      </c>
      <c r="K26" s="346">
        <v>45139</v>
      </c>
      <c r="L26" s="368">
        <f t="shared" si="1"/>
        <v>15808.472139622958</v>
      </c>
      <c r="M26" s="368">
        <v>23000000</v>
      </c>
      <c r="N26" s="368">
        <f t="shared" si="2"/>
        <v>27140000</v>
      </c>
      <c r="O26" s="346"/>
    </row>
    <row r="27" spans="1:15">
      <c r="A27" s="347"/>
      <c r="B27" s="344"/>
      <c r="C27" s="344"/>
      <c r="D27" s="344"/>
      <c r="E27" s="360">
        <f>+E26</f>
        <v>135.16499999999999</v>
      </c>
      <c r="F27" s="355">
        <f t="shared" si="3"/>
        <v>1454.9160599999998</v>
      </c>
      <c r="G27" s="356"/>
      <c r="H27" s="354"/>
      <c r="I27" s="351" t="s">
        <v>297</v>
      </c>
      <c r="J27" s="347"/>
      <c r="K27" s="346"/>
      <c r="L27" s="368">
        <f t="shared" si="1"/>
        <v>8591.5609454472597</v>
      </c>
      <c r="M27" s="368">
        <v>12500000</v>
      </c>
      <c r="N27" s="368">
        <f t="shared" si="2"/>
        <v>14750000</v>
      </c>
      <c r="O27" s="346"/>
    </row>
    <row r="28" spans="1:15">
      <c r="A28" s="347">
        <v>16</v>
      </c>
      <c r="B28" s="352" t="s">
        <v>199</v>
      </c>
      <c r="C28" s="352" t="s">
        <v>176</v>
      </c>
      <c r="D28" s="352" t="s">
        <v>159</v>
      </c>
      <c r="E28" s="360">
        <v>17.5</v>
      </c>
      <c r="F28" s="355">
        <f t="shared" si="3"/>
        <v>188.36999999999998</v>
      </c>
      <c r="G28" s="356">
        <v>44986</v>
      </c>
      <c r="H28" s="354" t="s">
        <v>323</v>
      </c>
      <c r="I28" s="351" t="s">
        <v>215</v>
      </c>
      <c r="J28" s="347">
        <f t="shared" si="0"/>
        <v>153</v>
      </c>
      <c r="K28" s="346">
        <v>45139</v>
      </c>
      <c r="L28" s="368">
        <f t="shared" si="1"/>
        <v>15926.102882624624</v>
      </c>
      <c r="M28" s="368">
        <v>3000000</v>
      </c>
      <c r="N28" s="368">
        <f t="shared" si="2"/>
        <v>3540000</v>
      </c>
      <c r="O28" s="346"/>
    </row>
    <row r="29" spans="1:15" ht="28.5">
      <c r="A29" s="347">
        <v>17</v>
      </c>
      <c r="B29" s="350" t="s">
        <v>199</v>
      </c>
      <c r="C29" s="350" t="s">
        <v>177</v>
      </c>
      <c r="D29" s="350" t="s">
        <v>159</v>
      </c>
      <c r="E29" s="360">
        <v>34.299999999999997</v>
      </c>
      <c r="F29" s="355">
        <f t="shared" si="3"/>
        <v>369.20519999999993</v>
      </c>
      <c r="G29" s="356">
        <v>44986</v>
      </c>
      <c r="H29" s="354" t="s">
        <v>323</v>
      </c>
      <c r="I29" s="351" t="s">
        <v>261</v>
      </c>
      <c r="J29" s="347">
        <f t="shared" si="0"/>
        <v>153</v>
      </c>
      <c r="K29" s="346">
        <v>45139</v>
      </c>
      <c r="L29" s="368">
        <f t="shared" si="1"/>
        <v>10834.083593622194</v>
      </c>
      <c r="M29" s="368">
        <v>4000000</v>
      </c>
      <c r="N29" s="368">
        <f t="shared" si="2"/>
        <v>4720000</v>
      </c>
      <c r="O29" s="346"/>
    </row>
    <row r="30" spans="1:15">
      <c r="A30" s="347">
        <v>18</v>
      </c>
      <c r="B30" s="350" t="s">
        <v>199</v>
      </c>
      <c r="C30" s="350" t="s">
        <v>328</v>
      </c>
      <c r="D30" s="350" t="s">
        <v>159</v>
      </c>
      <c r="E30" s="360">
        <v>26.16</v>
      </c>
      <c r="F30" s="355">
        <f t="shared" si="3"/>
        <v>281.58623999999998</v>
      </c>
      <c r="G30" s="356">
        <v>44986</v>
      </c>
      <c r="H30" s="354" t="s">
        <v>323</v>
      </c>
      <c r="I30" s="351" t="s">
        <v>262</v>
      </c>
      <c r="J30" s="347">
        <f t="shared" si="0"/>
        <v>153</v>
      </c>
      <c r="K30" s="346">
        <v>45139</v>
      </c>
      <c r="L30" s="368">
        <f t="shared" si="1"/>
        <v>17756.549467758086</v>
      </c>
      <c r="M30" s="368">
        <v>5000000</v>
      </c>
      <c r="N30" s="368">
        <f t="shared" si="2"/>
        <v>5900000</v>
      </c>
      <c r="O30" s="346"/>
    </row>
    <row r="31" spans="1:15">
      <c r="A31" s="347">
        <v>19</v>
      </c>
      <c r="B31" s="350" t="s">
        <v>199</v>
      </c>
      <c r="C31" s="350" t="s">
        <v>329</v>
      </c>
      <c r="D31" s="350" t="s">
        <v>160</v>
      </c>
      <c r="E31" s="360">
        <v>62.75</v>
      </c>
      <c r="F31" s="355">
        <f t="shared" si="3"/>
        <v>675.44099999999992</v>
      </c>
      <c r="G31" s="356">
        <v>44986</v>
      </c>
      <c r="H31" s="354" t="s">
        <v>323</v>
      </c>
      <c r="I31" s="351" t="s">
        <v>310</v>
      </c>
      <c r="J31" s="347">
        <f t="shared" si="0"/>
        <v>153</v>
      </c>
      <c r="K31" s="346">
        <v>45139</v>
      </c>
      <c r="L31" s="368">
        <f t="shared" si="1"/>
        <v>16285.656334157982</v>
      </c>
      <c r="M31" s="368">
        <v>11000000</v>
      </c>
      <c r="N31" s="368">
        <f t="shared" si="2"/>
        <v>12980000</v>
      </c>
      <c r="O31" s="346"/>
    </row>
    <row r="32" spans="1:15">
      <c r="A32" s="347"/>
      <c r="B32" s="350"/>
      <c r="C32" s="350" t="s">
        <v>346</v>
      </c>
      <c r="D32" s="350"/>
      <c r="E32" s="360">
        <f>+'Summary_Old outlets'!Q44</f>
        <v>91.45</v>
      </c>
      <c r="F32" s="355">
        <f t="shared" si="3"/>
        <v>984.36779999999999</v>
      </c>
      <c r="G32" s="356"/>
      <c r="H32" s="354"/>
      <c r="I32" s="351" t="s">
        <v>93</v>
      </c>
      <c r="J32" s="347"/>
      <c r="K32" s="346"/>
      <c r="L32" s="368">
        <f t="shared" si="1"/>
        <v>2865</v>
      </c>
      <c r="M32" s="368">
        <v>2820213.747</v>
      </c>
      <c r="N32" s="368">
        <f t="shared" si="2"/>
        <v>3327852.2214599997</v>
      </c>
      <c r="O32" s="346"/>
    </row>
    <row r="33" spans="1:15">
      <c r="A33" s="347">
        <v>20</v>
      </c>
      <c r="B33" s="350" t="s">
        <v>200</v>
      </c>
      <c r="C33" s="350" t="s">
        <v>243</v>
      </c>
      <c r="D33" s="350" t="s">
        <v>160</v>
      </c>
      <c r="E33" s="360">
        <f>40.77/2</f>
        <v>20.385000000000002</v>
      </c>
      <c r="F33" s="355">
        <f t="shared" si="3"/>
        <v>219.42413999999999</v>
      </c>
      <c r="G33" s="356">
        <v>44986</v>
      </c>
      <c r="H33" s="354" t="s">
        <v>323</v>
      </c>
      <c r="I33" s="351" t="s">
        <v>342</v>
      </c>
      <c r="J33" s="347">
        <f t="shared" si="0"/>
        <v>153</v>
      </c>
      <c r="K33" s="346">
        <v>45139</v>
      </c>
      <c r="L33" s="368">
        <f t="shared" si="1"/>
        <v>15950.842965591663</v>
      </c>
      <c r="M33" s="368">
        <v>3500000</v>
      </c>
      <c r="N33" s="368">
        <f t="shared" si="2"/>
        <v>4130000</v>
      </c>
      <c r="O33" s="346"/>
    </row>
    <row r="34" spans="1:15">
      <c r="A34" s="347"/>
      <c r="B34" s="350"/>
      <c r="C34" s="350"/>
      <c r="D34" s="350"/>
      <c r="E34" s="360">
        <f>+E33</f>
        <v>20.385000000000002</v>
      </c>
      <c r="F34" s="355">
        <f t="shared" si="3"/>
        <v>219.42413999999999</v>
      </c>
      <c r="G34" s="356"/>
      <c r="H34" s="354"/>
      <c r="I34" s="351" t="s">
        <v>343</v>
      </c>
      <c r="J34" s="347"/>
      <c r="K34" s="346"/>
      <c r="L34" s="368">
        <f t="shared" si="1"/>
        <v>15950.842965591663</v>
      </c>
      <c r="M34" s="368">
        <v>3500000</v>
      </c>
      <c r="N34" s="368">
        <f t="shared" si="2"/>
        <v>4130000</v>
      </c>
      <c r="O34" s="346"/>
    </row>
    <row r="35" spans="1:15">
      <c r="A35" s="347">
        <v>21</v>
      </c>
      <c r="B35" s="344" t="s">
        <v>199</v>
      </c>
      <c r="C35" s="344" t="s">
        <v>181</v>
      </c>
      <c r="D35" s="344" t="s">
        <v>160</v>
      </c>
      <c r="E35" s="360">
        <f>74.42/2</f>
        <v>37.21</v>
      </c>
      <c r="F35" s="355">
        <f t="shared" si="3"/>
        <v>400.52843999999999</v>
      </c>
      <c r="G35" s="356">
        <v>44986</v>
      </c>
      <c r="H35" s="354" t="s">
        <v>323</v>
      </c>
      <c r="I35" s="351" t="s">
        <v>342</v>
      </c>
      <c r="J35" s="347">
        <f t="shared" si="0"/>
        <v>153</v>
      </c>
      <c r="K35" s="346">
        <v>45139</v>
      </c>
      <c r="L35" s="368">
        <f t="shared" si="1"/>
        <v>8738.4556262721326</v>
      </c>
      <c r="M35" s="368">
        <v>3500000</v>
      </c>
      <c r="N35" s="368">
        <f t="shared" si="2"/>
        <v>4130000</v>
      </c>
      <c r="O35" s="346"/>
    </row>
    <row r="36" spans="1:15">
      <c r="A36" s="347">
        <v>21</v>
      </c>
      <c r="B36" s="344" t="s">
        <v>199</v>
      </c>
      <c r="C36" s="344" t="s">
        <v>181</v>
      </c>
      <c r="D36" s="344" t="s">
        <v>160</v>
      </c>
      <c r="E36" s="360">
        <f>+E35</f>
        <v>37.21</v>
      </c>
      <c r="F36" s="355">
        <f t="shared" si="3"/>
        <v>400.52843999999999</v>
      </c>
      <c r="G36" s="356">
        <v>44986</v>
      </c>
      <c r="H36" s="354" t="s">
        <v>323</v>
      </c>
      <c r="I36" s="351" t="s">
        <v>324</v>
      </c>
      <c r="J36" s="347">
        <f>K36-G36</f>
        <v>153</v>
      </c>
      <c r="K36" s="346">
        <v>45139</v>
      </c>
      <c r="L36" s="368">
        <f t="shared" si="1"/>
        <v>8738.4556262721326</v>
      </c>
      <c r="M36" s="368">
        <v>3500000</v>
      </c>
      <c r="N36" s="368">
        <f t="shared" si="2"/>
        <v>4130000</v>
      </c>
      <c r="O36" s="346"/>
    </row>
    <row r="37" spans="1:15">
      <c r="A37" s="347"/>
      <c r="B37" s="344"/>
      <c r="C37" s="344"/>
      <c r="D37" s="344"/>
      <c r="E37" s="360"/>
      <c r="F37" s="355"/>
      <c r="G37" s="356"/>
      <c r="H37" s="354"/>
      <c r="I37" s="351"/>
      <c r="J37" s="347"/>
      <c r="K37" s="346"/>
      <c r="L37" s="368"/>
      <c r="M37" s="368"/>
      <c r="N37" s="368"/>
      <c r="O37" s="346"/>
    </row>
    <row r="38" spans="1:15">
      <c r="A38" s="373"/>
      <c r="B38" s="373"/>
      <c r="C38" s="373"/>
      <c r="D38" s="373"/>
      <c r="E38" s="353"/>
      <c r="F38" s="373"/>
      <c r="G38" s="373"/>
      <c r="H38" s="373"/>
      <c r="I38" s="373"/>
      <c r="J38" s="373"/>
      <c r="K38" s="373"/>
      <c r="L38" s="373"/>
      <c r="M38" s="374">
        <f>SUM(M3:M36)</f>
        <v>394110398.1494</v>
      </c>
      <c r="N38" s="374">
        <f>SUM(N3:N36)</f>
        <v>465050269.81629199</v>
      </c>
      <c r="O38" s="373"/>
    </row>
    <row r="40" spans="1:15" ht="31.5">
      <c r="D40" s="348" t="s">
        <v>334</v>
      </c>
      <c r="E40" s="348">
        <f>SUM(E3:E39)</f>
        <v>2924.0499999999997</v>
      </c>
    </row>
    <row r="41" spans="1:15" ht="31.5">
      <c r="D41" s="348" t="s">
        <v>334</v>
      </c>
      <c r="E41" s="348">
        <v>2704.7599999999998</v>
      </c>
    </row>
  </sheetData>
  <mergeCells count="2">
    <mergeCell ref="O7:O12"/>
    <mergeCell ref="L1:N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I48"/>
  <sheetViews>
    <sheetView view="pageBreakPreview" zoomScale="60" zoomScaleNormal="100" workbookViewId="0">
      <selection activeCell="I4" sqref="I4"/>
    </sheetView>
  </sheetViews>
  <sheetFormatPr defaultRowHeight="15"/>
  <cols>
    <col min="3" max="3" width="12.7109375" customWidth="1"/>
    <col min="4" max="4" width="49.7109375" bestFit="1" customWidth="1"/>
    <col min="6" max="6" width="14.140625" bestFit="1" customWidth="1"/>
    <col min="9" max="9" width="24.5703125" customWidth="1"/>
  </cols>
  <sheetData>
    <row r="6" spans="2:9" ht="31.5">
      <c r="B6" s="434" t="s">
        <v>348</v>
      </c>
      <c r="C6" s="434" t="s">
        <v>411</v>
      </c>
      <c r="D6" s="434" t="s">
        <v>412</v>
      </c>
      <c r="E6" s="434" t="s">
        <v>74</v>
      </c>
      <c r="F6" s="434" t="s">
        <v>413</v>
      </c>
      <c r="G6" s="434" t="s">
        <v>414</v>
      </c>
      <c r="H6" s="434" t="s">
        <v>415</v>
      </c>
      <c r="I6" s="408"/>
    </row>
    <row r="7" spans="2:9">
      <c r="B7" s="435"/>
      <c r="C7" s="408"/>
      <c r="D7" s="408"/>
      <c r="E7" s="408"/>
      <c r="F7" s="408"/>
      <c r="G7" s="408"/>
      <c r="H7" s="408"/>
      <c r="I7" s="408"/>
    </row>
    <row r="8" spans="2:9" ht="16.5" thickBot="1">
      <c r="B8" s="411">
        <v>1</v>
      </c>
      <c r="C8" s="412" t="s">
        <v>416</v>
      </c>
      <c r="D8" s="433" t="s">
        <v>417</v>
      </c>
      <c r="E8" s="414" t="s">
        <v>200</v>
      </c>
      <c r="F8" s="413" t="s">
        <v>160</v>
      </c>
      <c r="G8" s="413" t="s">
        <v>233</v>
      </c>
      <c r="H8" s="416">
        <v>40.770000000000003</v>
      </c>
      <c r="I8" s="417" t="s">
        <v>418</v>
      </c>
    </row>
    <row r="9" spans="2:9" ht="16.5" thickBot="1">
      <c r="B9" s="411">
        <v>2</v>
      </c>
      <c r="C9" s="412" t="s">
        <v>416</v>
      </c>
      <c r="D9" s="413" t="s">
        <v>419</v>
      </c>
      <c r="E9" s="414" t="s">
        <v>199</v>
      </c>
      <c r="F9" s="413" t="s">
        <v>160</v>
      </c>
      <c r="G9" s="415" t="s">
        <v>420</v>
      </c>
      <c r="H9" s="416">
        <v>142.1</v>
      </c>
      <c r="I9" s="417" t="s">
        <v>418</v>
      </c>
    </row>
    <row r="10" spans="2:9" ht="16.5" thickBot="1">
      <c r="B10" s="411">
        <v>3</v>
      </c>
      <c r="C10" s="412" t="s">
        <v>416</v>
      </c>
      <c r="D10" s="418" t="s">
        <v>421</v>
      </c>
      <c r="E10" s="414" t="s">
        <v>200</v>
      </c>
      <c r="F10" s="413" t="s">
        <v>158</v>
      </c>
      <c r="G10" s="415" t="s">
        <v>161</v>
      </c>
      <c r="H10" s="416">
        <v>94.43</v>
      </c>
      <c r="I10" s="417" t="s">
        <v>418</v>
      </c>
    </row>
    <row r="11" spans="2:9" ht="16.5" thickBot="1">
      <c r="B11" s="411">
        <v>4</v>
      </c>
      <c r="C11" s="412" t="s">
        <v>416</v>
      </c>
      <c r="D11" s="413" t="s">
        <v>362</v>
      </c>
      <c r="E11" s="414" t="s">
        <v>199</v>
      </c>
      <c r="F11" s="413" t="s">
        <v>158</v>
      </c>
      <c r="G11" s="415" t="s">
        <v>162</v>
      </c>
      <c r="H11" s="416">
        <v>35.74</v>
      </c>
      <c r="I11" s="417" t="s">
        <v>418</v>
      </c>
    </row>
    <row r="12" spans="2:9" ht="16.5" thickBot="1">
      <c r="B12" s="411">
        <v>5</v>
      </c>
      <c r="C12" s="412" t="s">
        <v>416</v>
      </c>
      <c r="D12" s="418" t="s">
        <v>422</v>
      </c>
      <c r="E12" s="414" t="s">
        <v>199</v>
      </c>
      <c r="F12" s="413" t="s">
        <v>158</v>
      </c>
      <c r="G12" s="415" t="s">
        <v>163</v>
      </c>
      <c r="H12" s="416">
        <v>35.74</v>
      </c>
      <c r="I12" s="417" t="s">
        <v>418</v>
      </c>
    </row>
    <row r="13" spans="2:9" ht="16.5" thickBot="1">
      <c r="B13" s="411">
        <v>7</v>
      </c>
      <c r="C13" s="412" t="s">
        <v>416</v>
      </c>
      <c r="D13" s="413" t="s">
        <v>423</v>
      </c>
      <c r="E13" s="414" t="s">
        <v>200</v>
      </c>
      <c r="F13" s="413" t="s">
        <v>159</v>
      </c>
      <c r="G13" s="415" t="s">
        <v>424</v>
      </c>
      <c r="H13" s="416">
        <v>174</v>
      </c>
      <c r="I13" s="417" t="s">
        <v>418</v>
      </c>
    </row>
    <row r="14" spans="2:9" ht="16.5" thickBot="1">
      <c r="B14" s="411">
        <v>8</v>
      </c>
      <c r="C14" s="412" t="s">
        <v>416</v>
      </c>
      <c r="D14" s="413" t="s">
        <v>425</v>
      </c>
      <c r="E14" s="414" t="s">
        <v>200</v>
      </c>
      <c r="F14" s="413" t="s">
        <v>159</v>
      </c>
      <c r="G14" s="413" t="s">
        <v>164</v>
      </c>
      <c r="H14" s="416">
        <v>315.5</v>
      </c>
      <c r="I14" s="417" t="s">
        <v>418</v>
      </c>
    </row>
    <row r="15" spans="2:9" ht="16.5" thickBot="1">
      <c r="B15" s="411">
        <v>9</v>
      </c>
      <c r="C15" s="412" t="s">
        <v>416</v>
      </c>
      <c r="D15" s="416" t="s">
        <v>426</v>
      </c>
      <c r="E15" s="414" t="s">
        <v>200</v>
      </c>
      <c r="F15" s="413" t="s">
        <v>159</v>
      </c>
      <c r="G15" s="415" t="s">
        <v>166</v>
      </c>
      <c r="H15" s="416">
        <v>91.7</v>
      </c>
      <c r="I15" s="417" t="s">
        <v>418</v>
      </c>
    </row>
    <row r="16" spans="2:9" ht="16.5" thickBot="1">
      <c r="B16" s="411">
        <v>10</v>
      </c>
      <c r="C16" s="412" t="s">
        <v>416</v>
      </c>
      <c r="D16" s="419" t="s">
        <v>427</v>
      </c>
      <c r="E16" s="413" t="s">
        <v>200</v>
      </c>
      <c r="F16" s="413" t="s">
        <v>159</v>
      </c>
      <c r="G16" s="413" t="s">
        <v>428</v>
      </c>
      <c r="H16" s="416">
        <v>86.6</v>
      </c>
      <c r="I16" s="417" t="s">
        <v>418</v>
      </c>
    </row>
    <row r="17" spans="2:9" ht="16.5" thickBot="1">
      <c r="B17" s="411">
        <v>11</v>
      </c>
      <c r="C17" s="412" t="s">
        <v>416</v>
      </c>
      <c r="D17" s="413" t="s">
        <v>429</v>
      </c>
      <c r="E17" s="413" t="s">
        <v>200</v>
      </c>
      <c r="F17" s="413" t="s">
        <v>159</v>
      </c>
      <c r="G17" s="413" t="s">
        <v>167</v>
      </c>
      <c r="H17" s="416">
        <v>310.16000000000003</v>
      </c>
      <c r="I17" s="417" t="s">
        <v>418</v>
      </c>
    </row>
    <row r="18" spans="2:9" ht="16.5" thickBot="1">
      <c r="B18" s="411">
        <v>12</v>
      </c>
      <c r="C18" s="412" t="s">
        <v>416</v>
      </c>
      <c r="D18" s="419" t="s">
        <v>430</v>
      </c>
      <c r="E18" s="414" t="s">
        <v>200</v>
      </c>
      <c r="F18" s="413" t="s">
        <v>159</v>
      </c>
      <c r="G18" s="420" t="s">
        <v>355</v>
      </c>
      <c r="H18" s="416">
        <v>51.18</v>
      </c>
      <c r="I18" s="417" t="s">
        <v>418</v>
      </c>
    </row>
    <row r="19" spans="2:9" ht="16.5" thickBot="1">
      <c r="B19" s="411">
        <v>13</v>
      </c>
      <c r="C19" s="412" t="s">
        <v>416</v>
      </c>
      <c r="D19" s="419" t="s">
        <v>431</v>
      </c>
      <c r="E19" s="413" t="s">
        <v>200</v>
      </c>
      <c r="F19" s="413" t="s">
        <v>159</v>
      </c>
      <c r="G19" s="410" t="s">
        <v>432</v>
      </c>
      <c r="H19" s="416">
        <v>16.600000000000001</v>
      </c>
      <c r="I19" s="417" t="s">
        <v>418</v>
      </c>
    </row>
    <row r="20" spans="2:9" ht="16.5" thickBot="1">
      <c r="B20" s="411">
        <v>14</v>
      </c>
      <c r="C20" s="412" t="s">
        <v>416</v>
      </c>
      <c r="D20" s="419" t="s">
        <v>433</v>
      </c>
      <c r="E20" s="413" t="s">
        <v>200</v>
      </c>
      <c r="F20" s="413" t="s">
        <v>159</v>
      </c>
      <c r="G20" s="413" t="s">
        <v>434</v>
      </c>
      <c r="H20" s="416">
        <v>53.12</v>
      </c>
      <c r="I20" s="417" t="s">
        <v>418</v>
      </c>
    </row>
    <row r="21" spans="2:9" ht="16.5" thickBot="1">
      <c r="B21" s="411">
        <v>15</v>
      </c>
      <c r="C21" s="412" t="s">
        <v>416</v>
      </c>
      <c r="D21" s="421" t="s">
        <v>310</v>
      </c>
      <c r="E21" s="414" t="s">
        <v>200</v>
      </c>
      <c r="F21" s="413" t="s">
        <v>159</v>
      </c>
      <c r="G21" s="415" t="s">
        <v>169</v>
      </c>
      <c r="H21" s="416">
        <v>34.659999999999997</v>
      </c>
      <c r="I21" s="417" t="s">
        <v>418</v>
      </c>
    </row>
    <row r="22" spans="2:9" ht="16.5" thickBot="1">
      <c r="B22" s="411">
        <v>16</v>
      </c>
      <c r="C22" s="412" t="s">
        <v>416</v>
      </c>
      <c r="D22" s="413" t="s">
        <v>435</v>
      </c>
      <c r="E22" s="413" t="s">
        <v>199</v>
      </c>
      <c r="F22" s="413" t="s">
        <v>159</v>
      </c>
      <c r="G22" s="413" t="s">
        <v>170</v>
      </c>
      <c r="H22" s="416">
        <v>75.81</v>
      </c>
      <c r="I22" s="417" t="s">
        <v>436</v>
      </c>
    </row>
    <row r="23" spans="2:9" ht="32.25" thickBot="1">
      <c r="B23" s="411">
        <v>17</v>
      </c>
      <c r="C23" s="412" t="s">
        <v>416</v>
      </c>
      <c r="D23" s="416" t="s">
        <v>437</v>
      </c>
      <c r="E23" s="414" t="s">
        <v>199</v>
      </c>
      <c r="F23" s="413" t="s">
        <v>159</v>
      </c>
      <c r="G23" s="422" t="s">
        <v>438</v>
      </c>
      <c r="H23" s="416" t="s">
        <v>439</v>
      </c>
      <c r="I23" s="417" t="s">
        <v>418</v>
      </c>
    </row>
    <row r="24" spans="2:9" ht="16.5" thickBot="1">
      <c r="B24" s="411">
        <v>18</v>
      </c>
      <c r="C24" s="412" t="s">
        <v>416</v>
      </c>
      <c r="D24" s="416" t="s">
        <v>440</v>
      </c>
      <c r="E24" s="413" t="s">
        <v>199</v>
      </c>
      <c r="F24" s="413" t="s">
        <v>159</v>
      </c>
      <c r="G24" s="413" t="s">
        <v>173</v>
      </c>
      <c r="H24" s="416">
        <v>270.51</v>
      </c>
      <c r="I24" s="417" t="s">
        <v>441</v>
      </c>
    </row>
    <row r="25" spans="2:9" ht="16.5" thickBot="1">
      <c r="B25" s="411">
        <v>19</v>
      </c>
      <c r="C25" s="412" t="s">
        <v>416</v>
      </c>
      <c r="D25" s="413" t="s">
        <v>215</v>
      </c>
      <c r="E25" s="414" t="s">
        <v>199</v>
      </c>
      <c r="F25" s="413" t="s">
        <v>159</v>
      </c>
      <c r="G25" s="415" t="s">
        <v>372</v>
      </c>
      <c r="H25" s="416">
        <v>20.68</v>
      </c>
      <c r="I25" s="417" t="s">
        <v>418</v>
      </c>
    </row>
    <row r="26" spans="2:9" ht="16.5" thickBot="1">
      <c r="B26" s="411">
        <v>20</v>
      </c>
      <c r="C26" s="412" t="s">
        <v>416</v>
      </c>
      <c r="D26" s="413" t="s">
        <v>365</v>
      </c>
      <c r="E26" s="414" t="s">
        <v>199</v>
      </c>
      <c r="F26" s="413" t="s">
        <v>357</v>
      </c>
      <c r="G26" s="415" t="s">
        <v>375</v>
      </c>
      <c r="H26" s="416">
        <v>11.6</v>
      </c>
      <c r="I26" s="417" t="s">
        <v>418</v>
      </c>
    </row>
    <row r="27" spans="2:9" ht="16.5" thickBot="1">
      <c r="B27" s="411">
        <v>21</v>
      </c>
      <c r="C27" s="412" t="s">
        <v>416</v>
      </c>
      <c r="D27" s="423" t="s">
        <v>442</v>
      </c>
      <c r="E27" s="413" t="s">
        <v>200</v>
      </c>
      <c r="F27" s="413" t="s">
        <v>357</v>
      </c>
      <c r="G27" s="416" t="s">
        <v>443</v>
      </c>
      <c r="H27" s="416">
        <v>18</v>
      </c>
      <c r="I27" s="417" t="s">
        <v>418</v>
      </c>
    </row>
    <row r="28" spans="2:9" ht="16.5" thickBot="1">
      <c r="B28" s="411">
        <v>22</v>
      </c>
      <c r="C28" s="412" t="s">
        <v>416</v>
      </c>
      <c r="D28" s="413" t="s">
        <v>360</v>
      </c>
      <c r="E28" s="414" t="s">
        <v>200</v>
      </c>
      <c r="F28" s="413" t="s">
        <v>358</v>
      </c>
      <c r="G28" s="413" t="s">
        <v>359</v>
      </c>
      <c r="H28" s="416">
        <v>17</v>
      </c>
      <c r="I28" s="417" t="s">
        <v>418</v>
      </c>
    </row>
    <row r="29" spans="2:9" ht="16.5" thickBot="1">
      <c r="B29" s="411">
        <v>23</v>
      </c>
      <c r="C29" s="412" t="s">
        <v>416</v>
      </c>
      <c r="D29" s="413" t="s">
        <v>444</v>
      </c>
      <c r="E29" s="414" t="s">
        <v>200</v>
      </c>
      <c r="F29" s="413" t="s">
        <v>358</v>
      </c>
      <c r="G29" s="415" t="s">
        <v>361</v>
      </c>
      <c r="H29" s="416">
        <v>20</v>
      </c>
      <c r="I29" s="417" t="s">
        <v>418</v>
      </c>
    </row>
    <row r="30" spans="2:9" ht="16.5" thickBot="1">
      <c r="B30" s="411">
        <v>24</v>
      </c>
      <c r="C30" s="412" t="s">
        <v>416</v>
      </c>
      <c r="D30" s="413" t="s">
        <v>364</v>
      </c>
      <c r="E30" s="414" t="s">
        <v>200</v>
      </c>
      <c r="F30" s="413" t="s">
        <v>445</v>
      </c>
      <c r="G30" s="413" t="s">
        <v>446</v>
      </c>
      <c r="H30" s="416">
        <v>4.5</v>
      </c>
      <c r="I30" s="417" t="s">
        <v>418</v>
      </c>
    </row>
    <row r="31" spans="2:9" ht="16.5" thickBot="1">
      <c r="B31" s="411">
        <v>25</v>
      </c>
      <c r="C31" s="412" t="s">
        <v>416</v>
      </c>
      <c r="D31" s="413" t="s">
        <v>364</v>
      </c>
      <c r="E31" s="414" t="s">
        <v>200</v>
      </c>
      <c r="F31" s="413" t="s">
        <v>445</v>
      </c>
      <c r="G31" s="413" t="s">
        <v>447</v>
      </c>
      <c r="H31" s="416">
        <v>4.5</v>
      </c>
      <c r="I31" s="417" t="s">
        <v>418</v>
      </c>
    </row>
    <row r="32" spans="2:9" ht="16.5" thickBot="1">
      <c r="B32" s="411">
        <v>26</v>
      </c>
      <c r="C32" s="412" t="s">
        <v>416</v>
      </c>
      <c r="D32" s="424" t="s">
        <v>448</v>
      </c>
      <c r="E32" s="424" t="s">
        <v>200</v>
      </c>
      <c r="F32" s="753" t="s">
        <v>449</v>
      </c>
      <c r="G32" s="754"/>
      <c r="H32" s="416">
        <v>550</v>
      </c>
      <c r="I32" s="417" t="s">
        <v>450</v>
      </c>
    </row>
    <row r="33" spans="2:9" ht="16.5" thickBot="1">
      <c r="B33" s="411">
        <v>27</v>
      </c>
      <c r="C33" s="412" t="s">
        <v>416</v>
      </c>
      <c r="D33" s="425" t="s">
        <v>451</v>
      </c>
      <c r="E33" s="425" t="s">
        <v>200</v>
      </c>
      <c r="F33" s="426" t="s">
        <v>451</v>
      </c>
      <c r="G33" s="426"/>
      <c r="H33" s="416">
        <v>1835</v>
      </c>
      <c r="I33" s="417" t="s">
        <v>452</v>
      </c>
    </row>
    <row r="34" spans="2:9" ht="16.5" thickBot="1">
      <c r="B34" s="411">
        <v>28</v>
      </c>
      <c r="C34" s="412" t="s">
        <v>416</v>
      </c>
      <c r="D34" s="413" t="s">
        <v>440</v>
      </c>
      <c r="E34" s="413" t="s">
        <v>199</v>
      </c>
      <c r="F34" s="413" t="s">
        <v>160</v>
      </c>
      <c r="G34" s="413" t="s">
        <v>181</v>
      </c>
      <c r="H34" s="416">
        <v>74.42</v>
      </c>
      <c r="I34" s="417" t="s">
        <v>452</v>
      </c>
    </row>
    <row r="35" spans="2:9" ht="16.5" thickBot="1">
      <c r="B35" s="411">
        <v>29</v>
      </c>
      <c r="C35" s="412" t="s">
        <v>416</v>
      </c>
      <c r="D35" s="416" t="s">
        <v>453</v>
      </c>
      <c r="E35" s="413" t="s">
        <v>199</v>
      </c>
      <c r="F35" s="413" t="s">
        <v>159</v>
      </c>
      <c r="G35" s="413" t="s">
        <v>368</v>
      </c>
      <c r="H35" s="416">
        <v>47.77</v>
      </c>
      <c r="I35" s="417" t="s">
        <v>452</v>
      </c>
    </row>
    <row r="36" spans="2:9" ht="16.5" thickBot="1">
      <c r="B36" s="411">
        <v>30</v>
      </c>
      <c r="C36" s="412" t="s">
        <v>416</v>
      </c>
      <c r="D36" s="427" t="s">
        <v>454</v>
      </c>
      <c r="E36" s="414" t="s">
        <v>199</v>
      </c>
      <c r="F36" s="413" t="s">
        <v>159</v>
      </c>
      <c r="G36" s="413" t="s">
        <v>171</v>
      </c>
      <c r="H36" s="416">
        <v>243.47</v>
      </c>
      <c r="I36" s="417" t="s">
        <v>418</v>
      </c>
    </row>
    <row r="37" spans="2:9" ht="16.5" thickBot="1">
      <c r="B37" s="428">
        <v>31</v>
      </c>
      <c r="C37" s="412" t="s">
        <v>416</v>
      </c>
      <c r="D37" s="429" t="s">
        <v>440</v>
      </c>
      <c r="E37" s="430" t="s">
        <v>199</v>
      </c>
      <c r="F37" s="430" t="s">
        <v>159</v>
      </c>
      <c r="G37" s="430" t="s">
        <v>172</v>
      </c>
      <c r="H37" s="416"/>
      <c r="I37" s="417" t="s">
        <v>452</v>
      </c>
    </row>
    <row r="38" spans="2:9" ht="16.5" thickBot="1">
      <c r="B38" s="431">
        <v>32</v>
      </c>
      <c r="C38" s="412" t="s">
        <v>416</v>
      </c>
      <c r="D38" s="429" t="s">
        <v>440</v>
      </c>
      <c r="E38" s="430" t="s">
        <v>199</v>
      </c>
      <c r="F38" s="430" t="s">
        <v>159</v>
      </c>
      <c r="G38" s="430" t="s">
        <v>373</v>
      </c>
      <c r="H38" s="416"/>
      <c r="I38" s="417" t="s">
        <v>452</v>
      </c>
    </row>
    <row r="39" spans="2:9" ht="16.5" thickBot="1">
      <c r="B39" s="432">
        <v>33</v>
      </c>
      <c r="C39" s="412" t="s">
        <v>416</v>
      </c>
      <c r="D39" s="429" t="s">
        <v>440</v>
      </c>
      <c r="E39" s="430" t="s">
        <v>199</v>
      </c>
      <c r="F39" s="430" t="s">
        <v>159</v>
      </c>
      <c r="G39" s="430" t="s">
        <v>374</v>
      </c>
      <c r="H39" s="416"/>
      <c r="I39" s="417" t="s">
        <v>452</v>
      </c>
    </row>
    <row r="40" spans="2:9" ht="16.5" thickBot="1">
      <c r="B40" s="431">
        <v>34</v>
      </c>
      <c r="C40" s="412" t="s">
        <v>416</v>
      </c>
      <c r="D40" s="429" t="s">
        <v>455</v>
      </c>
      <c r="E40" s="430" t="s">
        <v>456</v>
      </c>
      <c r="F40" s="430" t="s">
        <v>358</v>
      </c>
      <c r="G40" s="430"/>
      <c r="H40" s="416">
        <v>628</v>
      </c>
      <c r="I40" s="417" t="s">
        <v>452</v>
      </c>
    </row>
    <row r="41" spans="2:9" ht="16.5" thickBot="1">
      <c r="B41" s="432">
        <v>35</v>
      </c>
      <c r="C41" s="412" t="s">
        <v>416</v>
      </c>
      <c r="D41" s="429" t="s">
        <v>455</v>
      </c>
      <c r="E41" s="430" t="s">
        <v>456</v>
      </c>
      <c r="F41" s="430" t="s">
        <v>358</v>
      </c>
      <c r="G41" s="430"/>
      <c r="H41" s="416">
        <v>189</v>
      </c>
      <c r="I41" s="417" t="s">
        <v>452</v>
      </c>
    </row>
    <row r="42" spans="2:9" ht="16.5" thickBot="1">
      <c r="B42" s="431">
        <v>36</v>
      </c>
      <c r="C42" s="412" t="s">
        <v>416</v>
      </c>
      <c r="D42" s="429" t="s">
        <v>455</v>
      </c>
      <c r="E42" s="430" t="s">
        <v>456</v>
      </c>
      <c r="F42" s="430" t="s">
        <v>358</v>
      </c>
      <c r="G42" s="430"/>
      <c r="H42" s="416">
        <v>44</v>
      </c>
      <c r="I42" s="417" t="s">
        <v>452</v>
      </c>
    </row>
    <row r="43" spans="2:9" ht="32.25" thickBot="1">
      <c r="B43" s="432">
        <v>37</v>
      </c>
      <c r="C43" s="412" t="s">
        <v>416</v>
      </c>
      <c r="D43" s="429" t="s">
        <v>457</v>
      </c>
      <c r="E43" s="430" t="s">
        <v>456</v>
      </c>
      <c r="F43" s="430" t="s">
        <v>358</v>
      </c>
      <c r="G43" s="430"/>
      <c r="H43" s="416">
        <v>252</v>
      </c>
      <c r="I43" s="416" t="s">
        <v>452</v>
      </c>
    </row>
    <row r="44" spans="2:9" ht="16.5" thickBot="1">
      <c r="B44" s="431">
        <v>38</v>
      </c>
      <c r="C44" s="412" t="s">
        <v>416</v>
      </c>
      <c r="D44" s="429" t="s">
        <v>458</v>
      </c>
      <c r="E44" s="430" t="s">
        <v>456</v>
      </c>
      <c r="F44" s="430" t="s">
        <v>358</v>
      </c>
      <c r="G44" s="430"/>
      <c r="H44" s="416">
        <v>269</v>
      </c>
      <c r="I44" s="416" t="s">
        <v>452</v>
      </c>
    </row>
    <row r="45" spans="2:9" ht="16.5" thickBot="1">
      <c r="B45" s="432">
        <v>39</v>
      </c>
      <c r="C45" s="412" t="s">
        <v>416</v>
      </c>
      <c r="D45" s="429" t="s">
        <v>459</v>
      </c>
      <c r="E45" s="430" t="s">
        <v>456</v>
      </c>
      <c r="F45" s="430" t="s">
        <v>358</v>
      </c>
      <c r="G45" s="430"/>
      <c r="H45" s="416">
        <v>296</v>
      </c>
      <c r="I45" s="416" t="s">
        <v>452</v>
      </c>
    </row>
    <row r="46" spans="2:9" ht="16.5" thickBot="1">
      <c r="B46" s="431">
        <v>40</v>
      </c>
      <c r="C46" s="412" t="s">
        <v>416</v>
      </c>
      <c r="D46" s="429" t="s">
        <v>460</v>
      </c>
      <c r="E46" s="430" t="s">
        <v>456</v>
      </c>
      <c r="F46" s="430" t="s">
        <v>358</v>
      </c>
      <c r="G46" s="430"/>
      <c r="H46" s="416">
        <v>192</v>
      </c>
      <c r="I46" s="416" t="s">
        <v>452</v>
      </c>
    </row>
    <row r="47" spans="2:9" ht="16.5" thickBot="1">
      <c r="B47" s="432">
        <v>41</v>
      </c>
      <c r="C47" s="412" t="s">
        <v>416</v>
      </c>
      <c r="D47" s="429" t="s">
        <v>460</v>
      </c>
      <c r="E47" s="430" t="s">
        <v>456</v>
      </c>
      <c r="F47" s="430" t="s">
        <v>358</v>
      </c>
      <c r="G47" s="430"/>
      <c r="H47" s="416">
        <v>112</v>
      </c>
      <c r="I47" s="416" t="s">
        <v>452</v>
      </c>
    </row>
    <row r="48" spans="2:9">
      <c r="B48" s="371"/>
    </row>
  </sheetData>
  <mergeCells count="1">
    <mergeCell ref="F32:G32"/>
  </mergeCells>
  <hyperlinks>
    <hyperlink ref="D21" r:id="rId1" display="mailto:Dhaba@T3"/>
  </hyperlinks>
  <printOptions horizontalCentered="1"/>
  <pageMargins left="0.31496062992125984" right="0.31496062992125984" top="0.35433070866141736" bottom="0.35433070866141736" header="0.31496062992125984" footer="0.31496062992125984"/>
  <pageSetup paperSize="9" scale="66"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tabSelected="1" zoomScale="85" zoomScaleNormal="85" workbookViewId="0">
      <pane ySplit="3" topLeftCell="A29" activePane="bottomLeft" state="frozen"/>
      <selection pane="bottomLeft" activeCell="O45" sqref="O45"/>
    </sheetView>
  </sheetViews>
  <sheetFormatPr defaultRowHeight="15"/>
  <cols>
    <col min="3" max="3" width="14.85546875" customWidth="1"/>
    <col min="5" max="5" width="11.85546875" customWidth="1"/>
    <col min="9" max="9" width="20.28515625" hidden="1" customWidth="1"/>
    <col min="10" max="12" width="18.85546875" customWidth="1"/>
    <col min="13" max="15" width="19.42578125" customWidth="1"/>
    <col min="16" max="16" width="15.85546875" customWidth="1"/>
    <col min="17" max="17" width="12.140625" bestFit="1" customWidth="1"/>
    <col min="18" max="18" width="10.5703125" bestFit="1" customWidth="1"/>
    <col min="19" max="19" width="66.7109375" bestFit="1" customWidth="1"/>
    <col min="20" max="23" width="28.7109375" bestFit="1" customWidth="1"/>
  </cols>
  <sheetData>
    <row r="1" spans="1:26" ht="23.25">
      <c r="A1" s="445" t="s">
        <v>476</v>
      </c>
    </row>
    <row r="2" spans="1:26" ht="15.75" thickBot="1">
      <c r="A2" s="377"/>
      <c r="B2" s="377"/>
      <c r="C2" s="377"/>
      <c r="D2" s="377"/>
      <c r="E2" s="377"/>
      <c r="F2" s="378"/>
      <c r="G2" s="378"/>
      <c r="H2" s="377"/>
      <c r="I2" s="377"/>
      <c r="J2" s="377"/>
      <c r="K2" s="377"/>
      <c r="L2" s="377"/>
    </row>
    <row r="3" spans="1:26" ht="37.5" customHeight="1" thickBot="1">
      <c r="A3" s="649" t="s">
        <v>348</v>
      </c>
      <c r="B3" s="650" t="s">
        <v>198</v>
      </c>
      <c r="C3" s="650" t="s">
        <v>74</v>
      </c>
      <c r="D3" s="650" t="s">
        <v>349</v>
      </c>
      <c r="E3" s="650" t="s">
        <v>350</v>
      </c>
      <c r="F3" s="650" t="s">
        <v>317</v>
      </c>
      <c r="G3" s="650" t="s">
        <v>330</v>
      </c>
      <c r="H3" s="650" t="s">
        <v>351</v>
      </c>
      <c r="I3" s="650" t="s">
        <v>461</v>
      </c>
      <c r="J3" s="651" t="s">
        <v>320</v>
      </c>
      <c r="K3" s="651" t="s">
        <v>493</v>
      </c>
      <c r="L3" s="651" t="s">
        <v>989</v>
      </c>
      <c r="M3" s="650" t="s">
        <v>379</v>
      </c>
      <c r="N3" s="650" t="s">
        <v>380</v>
      </c>
      <c r="O3" s="650" t="s">
        <v>990</v>
      </c>
      <c r="P3" s="652" t="s">
        <v>850</v>
      </c>
      <c r="Q3" s="650" t="s">
        <v>381</v>
      </c>
      <c r="R3" s="650" t="s">
        <v>382</v>
      </c>
      <c r="S3" s="653" t="s">
        <v>4</v>
      </c>
    </row>
    <row r="4" spans="1:26">
      <c r="A4" s="640">
        <v>1</v>
      </c>
      <c r="B4" s="640" t="s">
        <v>200</v>
      </c>
      <c r="C4" s="640" t="s">
        <v>160</v>
      </c>
      <c r="D4" s="640" t="s">
        <v>160</v>
      </c>
      <c r="E4" s="641" t="s">
        <v>233</v>
      </c>
      <c r="F4" s="642">
        <v>40.770000000000003</v>
      </c>
      <c r="G4" s="642">
        <f>F4*10.764</f>
        <v>438.84827999999999</v>
      </c>
      <c r="H4" s="643" t="s">
        <v>352</v>
      </c>
      <c r="I4" s="644" t="s">
        <v>378</v>
      </c>
      <c r="J4" s="644" t="s">
        <v>378</v>
      </c>
      <c r="K4" s="645">
        <v>7080000</v>
      </c>
      <c r="L4" s="645">
        <f>K4/1.18</f>
        <v>6000000</v>
      </c>
      <c r="M4" s="646">
        <f>'Capex breakup'!H3</f>
        <v>6545422.0961999996</v>
      </c>
      <c r="N4" s="646">
        <f>'Capex breakup'!I3</f>
        <v>7723598.0735159991</v>
      </c>
      <c r="O4" s="646">
        <f>K4-N4</f>
        <v>-643598.07351599913</v>
      </c>
      <c r="P4" s="646">
        <f>'PO Tracker summary'!G18</f>
        <v>5211962.42</v>
      </c>
      <c r="Q4" s="647">
        <f t="shared" ref="Q4:Q13" si="0">N4/F4</f>
        <v>189443.17079999996</v>
      </c>
      <c r="R4" s="647">
        <f t="shared" ref="R4:R13" si="1">N4/G4</f>
        <v>17599.699999999997</v>
      </c>
      <c r="S4" s="648" t="s">
        <v>860</v>
      </c>
      <c r="T4" s="455"/>
      <c r="U4" s="455">
        <f t="shared" ref="U4:U14" si="2">N4-K4</f>
        <v>643598.07351599913</v>
      </c>
      <c r="W4" t="s">
        <v>410</v>
      </c>
      <c r="X4" t="s">
        <v>391</v>
      </c>
    </row>
    <row r="5" spans="1:26">
      <c r="A5" s="381">
        <v>3</v>
      </c>
      <c r="B5" s="381" t="s">
        <v>200</v>
      </c>
      <c r="C5" s="381" t="s">
        <v>157</v>
      </c>
      <c r="D5" s="381" t="s">
        <v>159</v>
      </c>
      <c r="E5" s="436" t="s">
        <v>465</v>
      </c>
      <c r="F5" s="382">
        <v>174</v>
      </c>
      <c r="G5" s="382">
        <f t="shared" ref="G5:G28" si="3">F5*10.764</f>
        <v>1872.9359999999999</v>
      </c>
      <c r="H5" s="383" t="s">
        <v>352</v>
      </c>
      <c r="I5" s="452" t="s">
        <v>353</v>
      </c>
      <c r="J5" s="452" t="s">
        <v>353</v>
      </c>
      <c r="K5" s="448">
        <v>41892371.897643909</v>
      </c>
      <c r="L5" s="448">
        <f t="shared" ref="L5:L28" si="4">K5/1.18</f>
        <v>35502010.082749076</v>
      </c>
      <c r="M5" s="447">
        <f>'Capex breakup'!AB3</f>
        <v>23477616.044999998</v>
      </c>
      <c r="N5" s="446">
        <f t="shared" ref="N5:N16" si="5">M5*1.18</f>
        <v>27703586.933099996</v>
      </c>
      <c r="O5" s="646">
        <f t="shared" ref="O5:O35" si="6">K5-N5</f>
        <v>14188784.964543913</v>
      </c>
      <c r="P5" s="446">
        <f>'PO Tracker summary'!G7</f>
        <v>15211096.931199998</v>
      </c>
      <c r="Q5" s="446">
        <f t="shared" si="0"/>
        <v>159216.01685689652</v>
      </c>
      <c r="R5" s="446">
        <f t="shared" si="1"/>
        <v>14791.528879310343</v>
      </c>
      <c r="S5" s="407" t="s">
        <v>861</v>
      </c>
      <c r="T5" s="455"/>
      <c r="U5" s="455">
        <f t="shared" si="2"/>
        <v>-14188784.964543913</v>
      </c>
      <c r="W5" t="s">
        <v>392</v>
      </c>
      <c r="X5" t="s">
        <v>391</v>
      </c>
    </row>
    <row r="6" spans="1:26">
      <c r="A6" s="381">
        <v>4</v>
      </c>
      <c r="B6" s="381" t="s">
        <v>200</v>
      </c>
      <c r="C6" s="381" t="s">
        <v>157</v>
      </c>
      <c r="D6" s="381" t="s">
        <v>159</v>
      </c>
      <c r="E6" s="436" t="s">
        <v>166</v>
      </c>
      <c r="F6" s="382">
        <v>91.7</v>
      </c>
      <c r="G6" s="382">
        <f t="shared" si="3"/>
        <v>987.05880000000002</v>
      </c>
      <c r="H6" s="383" t="s">
        <v>352</v>
      </c>
      <c r="I6" s="452" t="s">
        <v>473</v>
      </c>
      <c r="J6" s="452" t="str">
        <f>I6</f>
        <v>AJ 1881</v>
      </c>
      <c r="K6" s="448">
        <v>18352601.638743106</v>
      </c>
      <c r="L6" s="448">
        <f t="shared" si="4"/>
        <v>15553052.236222973</v>
      </c>
      <c r="M6" s="447">
        <f>'Capex breakup'!AL3</f>
        <v>13653789.551999997</v>
      </c>
      <c r="N6" s="446">
        <f t="shared" si="5"/>
        <v>16111471.671359995</v>
      </c>
      <c r="O6" s="646">
        <f t="shared" si="6"/>
        <v>2241129.9673831109</v>
      </c>
      <c r="P6" s="446">
        <f>'PO Tracker summary'!G5</f>
        <v>10381154.428199997</v>
      </c>
      <c r="Q6" s="446">
        <f t="shared" si="0"/>
        <v>175697.61909880038</v>
      </c>
      <c r="R6" s="446">
        <f t="shared" si="1"/>
        <v>16322.70708833151</v>
      </c>
      <c r="S6" s="407" t="s">
        <v>861</v>
      </c>
      <c r="T6" s="455"/>
      <c r="U6" s="455">
        <f t="shared" si="2"/>
        <v>-2241129.9673831109</v>
      </c>
      <c r="W6" t="s">
        <v>394</v>
      </c>
      <c r="X6" t="s">
        <v>391</v>
      </c>
    </row>
    <row r="7" spans="1:26">
      <c r="A7" s="381">
        <v>6</v>
      </c>
      <c r="B7" s="381" t="s">
        <v>200</v>
      </c>
      <c r="C7" s="381" t="s">
        <v>157</v>
      </c>
      <c r="D7" s="381" t="s">
        <v>159</v>
      </c>
      <c r="E7" s="436" t="s">
        <v>467</v>
      </c>
      <c r="F7" s="382">
        <v>72.22</v>
      </c>
      <c r="G7" s="382">
        <f t="shared" si="3"/>
        <v>777.37607999999989</v>
      </c>
      <c r="H7" s="383" t="s">
        <v>352</v>
      </c>
      <c r="I7" s="452" t="s">
        <v>356</v>
      </c>
      <c r="J7" s="452" t="s">
        <v>356</v>
      </c>
      <c r="K7" s="448">
        <v>16313423.678882724</v>
      </c>
      <c r="L7" s="448">
        <f t="shared" si="4"/>
        <v>13824935.321087055</v>
      </c>
      <c r="M7" s="447">
        <f>'Capex breakup'!BF3</f>
        <v>10961002.728</v>
      </c>
      <c r="N7" s="446">
        <f t="shared" si="5"/>
        <v>12933983.219039999</v>
      </c>
      <c r="O7" s="646">
        <f t="shared" si="6"/>
        <v>3379440.4598427247</v>
      </c>
      <c r="P7" s="446">
        <f>'PO Tracker summary'!G11</f>
        <v>7574778.4205999998</v>
      </c>
      <c r="Q7" s="446">
        <f t="shared" si="0"/>
        <v>179091.432</v>
      </c>
      <c r="R7" s="446">
        <f t="shared" si="1"/>
        <v>16638</v>
      </c>
      <c r="S7" s="407" t="s">
        <v>861</v>
      </c>
      <c r="T7" s="455"/>
      <c r="U7" s="455">
        <f t="shared" si="2"/>
        <v>-3379440.4598427247</v>
      </c>
      <c r="W7" t="s">
        <v>393</v>
      </c>
      <c r="X7" t="s">
        <v>396</v>
      </c>
      <c r="Z7" t="s">
        <v>397</v>
      </c>
    </row>
    <row r="8" spans="1:26">
      <c r="A8" s="381">
        <v>8</v>
      </c>
      <c r="B8" s="381" t="s">
        <v>200</v>
      </c>
      <c r="C8" s="381" t="s">
        <v>157</v>
      </c>
      <c r="D8" s="381" t="s">
        <v>159</v>
      </c>
      <c r="E8" s="436" t="s">
        <v>169</v>
      </c>
      <c r="F8" s="382">
        <v>34.659999999999997</v>
      </c>
      <c r="G8" s="382">
        <f t="shared" si="3"/>
        <v>373.08023999999995</v>
      </c>
      <c r="H8" s="383" t="s">
        <v>352</v>
      </c>
      <c r="I8" s="452" t="s">
        <v>310</v>
      </c>
      <c r="J8" s="452" t="s">
        <v>310</v>
      </c>
      <c r="K8" s="448">
        <v>10343696.329919172</v>
      </c>
      <c r="L8" s="448">
        <f t="shared" si="4"/>
        <v>8765844.3473891299</v>
      </c>
      <c r="M8" s="447">
        <f>'Capex breakup'!BZ3</f>
        <v>7580990.4767999984</v>
      </c>
      <c r="N8" s="446">
        <f t="shared" si="5"/>
        <v>8945568.7626239974</v>
      </c>
      <c r="O8" s="646">
        <f t="shared" si="6"/>
        <v>1398127.567295175</v>
      </c>
      <c r="P8" s="446">
        <f>'PO Tracker summary'!G15</f>
        <v>5332377.176</v>
      </c>
      <c r="Q8" s="446">
        <f t="shared" si="0"/>
        <v>258094.88639999996</v>
      </c>
      <c r="R8" s="446">
        <f t="shared" si="1"/>
        <v>23977.599999999995</v>
      </c>
      <c r="S8" s="407" t="s">
        <v>861</v>
      </c>
      <c r="T8" s="455"/>
      <c r="U8" s="455">
        <f t="shared" si="2"/>
        <v>-1398127.567295175</v>
      </c>
      <c r="W8" t="s">
        <v>393</v>
      </c>
      <c r="X8" t="s">
        <v>399</v>
      </c>
      <c r="Z8" t="s">
        <v>398</v>
      </c>
    </row>
    <row r="9" spans="1:26" ht="24">
      <c r="A9" s="381">
        <v>9</v>
      </c>
      <c r="B9" s="381" t="s">
        <v>200</v>
      </c>
      <c r="C9" s="381" t="s">
        <v>157</v>
      </c>
      <c r="D9" s="383" t="s">
        <v>357</v>
      </c>
      <c r="E9" s="436" t="s">
        <v>470</v>
      </c>
      <c r="F9" s="382">
        <f>14+4</f>
        <v>18</v>
      </c>
      <c r="G9" s="382">
        <f t="shared" si="3"/>
        <v>193.75199999999998</v>
      </c>
      <c r="H9" s="383" t="s">
        <v>352</v>
      </c>
      <c r="I9" s="452" t="s">
        <v>215</v>
      </c>
      <c r="J9" s="452" t="s">
        <v>472</v>
      </c>
      <c r="K9" s="448">
        <v>8519398.31206608</v>
      </c>
      <c r="L9" s="448">
        <f t="shared" si="4"/>
        <v>7219829.0780221019</v>
      </c>
      <c r="M9" s="447">
        <f>'Capex breakup'!CJ3</f>
        <v>4359420</v>
      </c>
      <c r="N9" s="446">
        <f t="shared" si="5"/>
        <v>5144115.5999999996</v>
      </c>
      <c r="O9" s="646">
        <f t="shared" si="6"/>
        <v>3375282.7120660804</v>
      </c>
      <c r="P9" s="446">
        <f>'PO Tracker summary'!G9</f>
        <v>98538.44</v>
      </c>
      <c r="Q9" s="446">
        <f t="shared" si="0"/>
        <v>285784.19999999995</v>
      </c>
      <c r="R9" s="446">
        <f t="shared" si="1"/>
        <v>26550</v>
      </c>
      <c r="S9" s="407" t="s">
        <v>861</v>
      </c>
      <c r="T9" s="455"/>
      <c r="U9" s="455">
        <f t="shared" si="2"/>
        <v>-3375282.7120660804</v>
      </c>
      <c r="W9" t="s">
        <v>390</v>
      </c>
      <c r="X9" t="s">
        <v>399</v>
      </c>
    </row>
    <row r="10" spans="1:26">
      <c r="A10" s="381">
        <v>10</v>
      </c>
      <c r="B10" s="381" t="s">
        <v>200</v>
      </c>
      <c r="C10" s="381" t="s">
        <v>157</v>
      </c>
      <c r="D10" s="381" t="s">
        <v>358</v>
      </c>
      <c r="E10" s="436" t="s">
        <v>359</v>
      </c>
      <c r="F10" s="382">
        <v>17</v>
      </c>
      <c r="G10" s="382">
        <f t="shared" si="3"/>
        <v>182.988</v>
      </c>
      <c r="H10" s="383" t="s">
        <v>352</v>
      </c>
      <c r="I10" s="452" t="s">
        <v>360</v>
      </c>
      <c r="J10" s="452" t="s">
        <v>360</v>
      </c>
      <c r="K10" s="448">
        <v>2507499.9999999995</v>
      </c>
      <c r="L10" s="448">
        <f t="shared" si="4"/>
        <v>2124999.9999999995</v>
      </c>
      <c r="M10" s="447">
        <f>'Capex breakup'!CT3</f>
        <v>292780.79999999999</v>
      </c>
      <c r="N10" s="446">
        <f t="shared" si="5"/>
        <v>345481.34399999998</v>
      </c>
      <c r="O10" s="646">
        <f t="shared" si="6"/>
        <v>2162018.6559999995</v>
      </c>
      <c r="P10" s="446">
        <f>'PO Tracker summary'!G23</f>
        <v>121245</v>
      </c>
      <c r="Q10" s="446">
        <f t="shared" si="0"/>
        <v>20322.432000000001</v>
      </c>
      <c r="R10" s="446">
        <f t="shared" si="1"/>
        <v>1888</v>
      </c>
      <c r="S10" s="407" t="s">
        <v>861</v>
      </c>
      <c r="T10" s="455"/>
      <c r="U10" s="455">
        <f t="shared" si="2"/>
        <v>-2162018.6559999995</v>
      </c>
      <c r="W10" t="s">
        <v>401</v>
      </c>
      <c r="Z10" t="s">
        <v>400</v>
      </c>
    </row>
    <row r="11" spans="1:26">
      <c r="A11" s="381">
        <v>11</v>
      </c>
      <c r="B11" s="381" t="s">
        <v>200</v>
      </c>
      <c r="C11" s="381" t="s">
        <v>157</v>
      </c>
      <c r="D11" s="381" t="s">
        <v>358</v>
      </c>
      <c r="E11" s="436" t="s">
        <v>361</v>
      </c>
      <c r="F11" s="382">
        <v>20</v>
      </c>
      <c r="G11" s="382">
        <f t="shared" si="3"/>
        <v>215.27999999999997</v>
      </c>
      <c r="H11" s="383" t="s">
        <v>352</v>
      </c>
      <c r="I11" s="452" t="s">
        <v>362</v>
      </c>
      <c r="J11" s="452" t="s">
        <v>362</v>
      </c>
      <c r="K11" s="448">
        <v>2950000</v>
      </c>
      <c r="L11" s="448">
        <f t="shared" si="4"/>
        <v>2500000</v>
      </c>
      <c r="M11" s="447">
        <f>'Capex breakup'!DD3</f>
        <v>3982679.9999999991</v>
      </c>
      <c r="N11" s="446">
        <f t="shared" si="5"/>
        <v>4699562.3999999985</v>
      </c>
      <c r="O11" s="646">
        <f t="shared" si="6"/>
        <v>-1749562.3999999985</v>
      </c>
      <c r="P11" s="446">
        <f>'PO Tracker summary'!G12</f>
        <v>5080267.9700000007</v>
      </c>
      <c r="Q11" s="446">
        <f t="shared" si="0"/>
        <v>234978.11999999994</v>
      </c>
      <c r="R11" s="446">
        <f t="shared" si="1"/>
        <v>21829.999999999996</v>
      </c>
      <c r="S11" s="475" t="s">
        <v>991</v>
      </c>
      <c r="T11" s="455"/>
      <c r="U11" s="455">
        <f t="shared" si="2"/>
        <v>1749562.3999999985</v>
      </c>
      <c r="W11" t="s">
        <v>390</v>
      </c>
      <c r="X11" t="s">
        <v>399</v>
      </c>
      <c r="Z11" t="s">
        <v>402</v>
      </c>
    </row>
    <row r="12" spans="1:26" ht="24">
      <c r="A12" s="381">
        <v>12</v>
      </c>
      <c r="B12" s="381" t="s">
        <v>200</v>
      </c>
      <c r="C12" s="381" t="s">
        <v>157</v>
      </c>
      <c r="D12" s="383" t="s">
        <v>363</v>
      </c>
      <c r="E12" s="436" t="s">
        <v>447</v>
      </c>
      <c r="F12" s="382">
        <v>4.5</v>
      </c>
      <c r="G12" s="382">
        <f t="shared" si="3"/>
        <v>48.437999999999995</v>
      </c>
      <c r="H12" s="383" t="s">
        <v>352</v>
      </c>
      <c r="I12" s="452" t="s">
        <v>364</v>
      </c>
      <c r="J12" s="452" t="s">
        <v>364</v>
      </c>
      <c r="K12" s="448">
        <v>663750</v>
      </c>
      <c r="L12" s="448">
        <f t="shared" si="4"/>
        <v>562500</v>
      </c>
      <c r="M12" s="447">
        <f>'Capex breakup'!DN3</f>
        <v>463502.72</v>
      </c>
      <c r="N12" s="446">
        <f t="shared" si="5"/>
        <v>546933.20959999994</v>
      </c>
      <c r="O12" s="646">
        <f t="shared" si="6"/>
        <v>116816.79040000006</v>
      </c>
      <c r="P12" s="446">
        <f>'PO Tracker summary'!G26</f>
        <v>352443.58</v>
      </c>
      <c r="Q12" s="446">
        <f t="shared" si="0"/>
        <v>121540.71324444443</v>
      </c>
      <c r="R12" s="446">
        <f t="shared" si="1"/>
        <v>11291.407770758495</v>
      </c>
      <c r="S12" s="475" t="s">
        <v>861</v>
      </c>
      <c r="T12" s="455"/>
      <c r="U12" s="455">
        <f t="shared" si="2"/>
        <v>-116816.79040000006</v>
      </c>
      <c r="W12" t="s">
        <v>390</v>
      </c>
      <c r="X12" t="s">
        <v>399</v>
      </c>
      <c r="Y12" t="s">
        <v>403</v>
      </c>
    </row>
    <row r="13" spans="1:26">
      <c r="A13" s="381">
        <v>13</v>
      </c>
      <c r="B13" s="381" t="s">
        <v>199</v>
      </c>
      <c r="C13" s="381" t="s">
        <v>160</v>
      </c>
      <c r="D13" s="381" t="s">
        <v>160</v>
      </c>
      <c r="E13" s="436" t="s">
        <v>179</v>
      </c>
      <c r="F13" s="382">
        <v>121.4</v>
      </c>
      <c r="G13" s="382">
        <f t="shared" si="3"/>
        <v>1306.7495999999999</v>
      </c>
      <c r="H13" s="383" t="s">
        <v>352</v>
      </c>
      <c r="I13" s="452" t="s">
        <v>365</v>
      </c>
      <c r="J13" s="452" t="s">
        <v>365</v>
      </c>
      <c r="K13" s="448">
        <v>2950000</v>
      </c>
      <c r="L13" s="448">
        <f t="shared" si="4"/>
        <v>2500000</v>
      </c>
      <c r="M13" s="447">
        <f>'Capex breakup'!DW3</f>
        <v>8062662.2544</v>
      </c>
      <c r="N13" s="446">
        <f t="shared" si="5"/>
        <v>9513941.4601919986</v>
      </c>
      <c r="O13" s="646">
        <f t="shared" si="6"/>
        <v>-6563941.4601919986</v>
      </c>
      <c r="P13" s="446">
        <f>'PO Tracker summary'!G29</f>
        <v>6681157.4617999997</v>
      </c>
      <c r="Q13" s="446">
        <f t="shared" si="0"/>
        <v>78368.54580059307</v>
      </c>
      <c r="R13" s="446">
        <f t="shared" si="1"/>
        <v>7280.6155518945634</v>
      </c>
      <c r="S13" s="474" t="s">
        <v>484</v>
      </c>
      <c r="T13" s="455"/>
      <c r="U13" s="455">
        <f t="shared" si="2"/>
        <v>6563941.4601919986</v>
      </c>
      <c r="W13" t="s">
        <v>404</v>
      </c>
      <c r="X13" t="s">
        <v>391</v>
      </c>
    </row>
    <row r="14" spans="1:26" hidden="1">
      <c r="A14" s="384">
        <v>13</v>
      </c>
      <c r="B14" s="384" t="s">
        <v>199</v>
      </c>
      <c r="C14" s="384" t="s">
        <v>160</v>
      </c>
      <c r="D14" s="384" t="s">
        <v>160</v>
      </c>
      <c r="E14" s="436" t="s">
        <v>181</v>
      </c>
      <c r="F14" s="385">
        <v>74.42</v>
      </c>
      <c r="G14" s="385">
        <f t="shared" si="3"/>
        <v>801.05687999999998</v>
      </c>
      <c r="H14" s="386" t="s">
        <v>352</v>
      </c>
      <c r="I14" s="453" t="s">
        <v>366</v>
      </c>
      <c r="J14" s="453" t="s">
        <v>366</v>
      </c>
      <c r="K14" s="448"/>
      <c r="L14" s="448">
        <f t="shared" si="4"/>
        <v>0</v>
      </c>
      <c r="M14" s="447"/>
      <c r="N14" s="446"/>
      <c r="O14" s="646">
        <f t="shared" si="6"/>
        <v>0</v>
      </c>
      <c r="P14" s="446"/>
      <c r="Q14" s="449"/>
      <c r="R14" s="449"/>
      <c r="S14" s="474"/>
      <c r="T14" s="455"/>
      <c r="U14" s="455">
        <f t="shared" si="2"/>
        <v>0</v>
      </c>
    </row>
    <row r="15" spans="1:26">
      <c r="A15" s="384" t="s">
        <v>482</v>
      </c>
      <c r="B15" s="381" t="s">
        <v>199</v>
      </c>
      <c r="C15" s="381" t="s">
        <v>160</v>
      </c>
      <c r="D15" s="381" t="s">
        <v>160</v>
      </c>
      <c r="E15" s="436" t="s">
        <v>179</v>
      </c>
      <c r="F15" s="385">
        <v>42</v>
      </c>
      <c r="G15" s="385">
        <f t="shared" si="3"/>
        <v>452.08799999999997</v>
      </c>
      <c r="H15" s="386"/>
      <c r="I15" s="453"/>
      <c r="J15" s="453" t="s">
        <v>481</v>
      </c>
      <c r="K15" s="460"/>
      <c r="L15" s="460"/>
      <c r="M15" s="447">
        <f>N15/1.18</f>
        <v>1915627.1186440678</v>
      </c>
      <c r="N15" s="447">
        <f>G15*R15</f>
        <v>2260440</v>
      </c>
      <c r="O15" s="646">
        <f t="shared" si="6"/>
        <v>-2260440</v>
      </c>
      <c r="P15" s="447"/>
      <c r="Q15" s="461">
        <f>Q13</f>
        <v>78368.54580059307</v>
      </c>
      <c r="R15" s="461">
        <v>5000</v>
      </c>
      <c r="S15" s="474" t="s">
        <v>862</v>
      </c>
      <c r="T15" s="455"/>
      <c r="U15" s="455"/>
    </row>
    <row r="16" spans="1:26">
      <c r="A16" s="381">
        <v>14</v>
      </c>
      <c r="B16" s="381" t="s">
        <v>199</v>
      </c>
      <c r="C16" s="381" t="s">
        <v>157</v>
      </c>
      <c r="D16" s="381" t="s">
        <v>158</v>
      </c>
      <c r="E16" s="436" t="s">
        <v>162</v>
      </c>
      <c r="F16" s="382">
        <v>35.74</v>
      </c>
      <c r="G16" s="382">
        <f t="shared" si="3"/>
        <v>384.70535999999998</v>
      </c>
      <c r="H16" s="383" t="s">
        <v>352</v>
      </c>
      <c r="I16" s="452" t="s">
        <v>367</v>
      </c>
      <c r="J16" s="452" t="s">
        <v>444</v>
      </c>
      <c r="K16" s="448">
        <v>2950000</v>
      </c>
      <c r="L16" s="448">
        <f t="shared" si="4"/>
        <v>2500000</v>
      </c>
      <c r="M16" s="447">
        <f>'Capex breakup'!EG3</f>
        <v>4724181.8207999989</v>
      </c>
      <c r="N16" s="446">
        <f t="shared" si="5"/>
        <v>5574534.548543998</v>
      </c>
      <c r="O16" s="646">
        <f t="shared" si="6"/>
        <v>-2624534.548543998</v>
      </c>
      <c r="P16" s="446">
        <f>'PO Tracker summary'!G13</f>
        <v>2958731.4099999997</v>
      </c>
      <c r="Q16" s="446">
        <f>N16/F16</f>
        <v>155974.66559999995</v>
      </c>
      <c r="R16" s="446">
        <f>N16/G16</f>
        <v>14490.399999999996</v>
      </c>
      <c r="S16" s="475" t="s">
        <v>991</v>
      </c>
      <c r="T16" s="455"/>
      <c r="U16" s="455">
        <f t="shared" ref="U16:U28" si="7">N16-K16</f>
        <v>2624534.548543998</v>
      </c>
      <c r="W16" t="s">
        <v>405</v>
      </c>
      <c r="X16" t="s">
        <v>391</v>
      </c>
      <c r="Z16" t="s">
        <v>402</v>
      </c>
    </row>
    <row r="17" spans="1:25" ht="24" hidden="1">
      <c r="A17" s="384">
        <v>16</v>
      </c>
      <c r="B17" s="384" t="s">
        <v>199</v>
      </c>
      <c r="C17" s="384" t="s">
        <v>157</v>
      </c>
      <c r="D17" s="384" t="s">
        <v>159</v>
      </c>
      <c r="E17" s="384" t="s">
        <v>368</v>
      </c>
      <c r="F17" s="385">
        <v>47.77</v>
      </c>
      <c r="G17" s="385">
        <f t="shared" si="3"/>
        <v>514.19628</v>
      </c>
      <c r="H17" s="386" t="s">
        <v>352</v>
      </c>
      <c r="I17" s="453" t="s">
        <v>369</v>
      </c>
      <c r="J17" s="453" t="s">
        <v>369</v>
      </c>
      <c r="K17" s="448"/>
      <c r="L17" s="448">
        <f t="shared" si="4"/>
        <v>0</v>
      </c>
      <c r="M17" s="446"/>
      <c r="N17" s="446"/>
      <c r="O17" s="646">
        <f t="shared" si="6"/>
        <v>0</v>
      </c>
      <c r="P17" s="446"/>
      <c r="Q17" s="449"/>
      <c r="R17" s="449"/>
      <c r="S17" s="474"/>
      <c r="T17" s="455"/>
      <c r="U17" s="455">
        <f t="shared" si="7"/>
        <v>0</v>
      </c>
    </row>
    <row r="18" spans="1:25" ht="24" hidden="1">
      <c r="A18" s="384">
        <v>17</v>
      </c>
      <c r="B18" s="384" t="s">
        <v>199</v>
      </c>
      <c r="C18" s="384" t="s">
        <v>157</v>
      </c>
      <c r="D18" s="384" t="s">
        <v>159</v>
      </c>
      <c r="E18" s="440" t="s">
        <v>170</v>
      </c>
      <c r="F18" s="385">
        <v>75.81</v>
      </c>
      <c r="G18" s="385">
        <f t="shared" si="3"/>
        <v>816.01883999999995</v>
      </c>
      <c r="H18" s="386" t="s">
        <v>352</v>
      </c>
      <c r="I18" s="453" t="s">
        <v>369</v>
      </c>
      <c r="J18" s="453" t="s">
        <v>369</v>
      </c>
      <c r="K18" s="448"/>
      <c r="L18" s="448">
        <f t="shared" si="4"/>
        <v>0</v>
      </c>
      <c r="M18" s="446"/>
      <c r="N18" s="446"/>
      <c r="O18" s="646">
        <f t="shared" si="6"/>
        <v>0</v>
      </c>
      <c r="P18" s="446"/>
      <c r="Q18" s="449"/>
      <c r="R18" s="449"/>
      <c r="S18" s="474"/>
      <c r="T18" s="455"/>
      <c r="U18" s="455">
        <f t="shared" si="7"/>
        <v>0</v>
      </c>
    </row>
    <row r="19" spans="1:25" ht="24" hidden="1">
      <c r="A19" s="381">
        <v>20</v>
      </c>
      <c r="B19" s="384" t="s">
        <v>199</v>
      </c>
      <c r="C19" s="384" t="s">
        <v>157</v>
      </c>
      <c r="D19" s="384" t="s">
        <v>159</v>
      </c>
      <c r="E19" s="384" t="s">
        <v>173</v>
      </c>
      <c r="F19" s="385">
        <v>270.51</v>
      </c>
      <c r="G19" s="385">
        <f t="shared" si="3"/>
        <v>2911.7696399999995</v>
      </c>
      <c r="H19" s="386" t="s">
        <v>352</v>
      </c>
      <c r="I19" s="453" t="s">
        <v>369</v>
      </c>
      <c r="J19" s="453" t="s">
        <v>369</v>
      </c>
      <c r="K19" s="448"/>
      <c r="L19" s="448">
        <f t="shared" si="4"/>
        <v>0</v>
      </c>
      <c r="M19" s="446"/>
      <c r="N19" s="446"/>
      <c r="O19" s="646">
        <f t="shared" si="6"/>
        <v>0</v>
      </c>
      <c r="P19" s="446"/>
      <c r="Q19" s="449"/>
      <c r="R19" s="449"/>
      <c r="S19" s="474"/>
      <c r="T19" s="455"/>
      <c r="U19" s="455">
        <f t="shared" si="7"/>
        <v>0</v>
      </c>
    </row>
    <row r="20" spans="1:25">
      <c r="A20" s="381">
        <v>18</v>
      </c>
      <c r="B20" s="381" t="s">
        <v>199</v>
      </c>
      <c r="C20" s="381" t="s">
        <v>157</v>
      </c>
      <c r="D20" s="381" t="s">
        <v>159</v>
      </c>
      <c r="E20" s="436" t="s">
        <v>372</v>
      </c>
      <c r="F20" s="382">
        <v>20.68</v>
      </c>
      <c r="G20" s="382">
        <f t="shared" si="3"/>
        <v>222.59951999999998</v>
      </c>
      <c r="H20" s="383" t="s">
        <v>352</v>
      </c>
      <c r="I20" s="452" t="s">
        <v>215</v>
      </c>
      <c r="J20" s="452" t="s">
        <v>215</v>
      </c>
      <c r="K20" s="448">
        <v>9848297.1404308341</v>
      </c>
      <c r="L20" s="448">
        <f t="shared" si="4"/>
        <v>8346014.5257888427</v>
      </c>
      <c r="M20" s="446">
        <f>'Capex breakup'!FZ3</f>
        <v>4411922.4863999998</v>
      </c>
      <c r="N20" s="446">
        <f>M20*1.18</f>
        <v>5206068.5339519996</v>
      </c>
      <c r="O20" s="646">
        <f t="shared" si="6"/>
        <v>4642228.6064788345</v>
      </c>
      <c r="P20" s="446">
        <f>'PO Tracker summary'!G10</f>
        <v>3317263.8673999999</v>
      </c>
      <c r="Q20" s="446">
        <f>N20/F20</f>
        <v>251744.12639999998</v>
      </c>
      <c r="R20" s="446">
        <f>N20/G20</f>
        <v>23387.599999999999</v>
      </c>
      <c r="S20" s="475" t="s">
        <v>861</v>
      </c>
      <c r="T20" s="455"/>
      <c r="U20" s="455">
        <f t="shared" si="7"/>
        <v>-4642228.6064788345</v>
      </c>
      <c r="W20" t="s">
        <v>405</v>
      </c>
      <c r="X20" t="s">
        <v>399</v>
      </c>
    </row>
    <row r="21" spans="1:25" ht="24" hidden="1">
      <c r="A21" s="384">
        <v>22</v>
      </c>
      <c r="B21" s="384" t="s">
        <v>199</v>
      </c>
      <c r="C21" s="384" t="s">
        <v>157</v>
      </c>
      <c r="D21" s="384" t="s">
        <v>159</v>
      </c>
      <c r="E21" s="384" t="s">
        <v>373</v>
      </c>
      <c r="F21" s="385">
        <v>36.01</v>
      </c>
      <c r="G21" s="385">
        <f t="shared" si="3"/>
        <v>387.61163999999997</v>
      </c>
      <c r="H21" s="386" t="s">
        <v>352</v>
      </c>
      <c r="I21" s="453" t="s">
        <v>369</v>
      </c>
      <c r="J21" s="453" t="s">
        <v>369</v>
      </c>
      <c r="K21" s="448"/>
      <c r="L21" s="448">
        <f t="shared" si="4"/>
        <v>0</v>
      </c>
      <c r="M21" s="446"/>
      <c r="N21" s="446"/>
      <c r="O21" s="646">
        <f t="shared" si="6"/>
        <v>0</v>
      </c>
      <c r="P21" s="446"/>
      <c r="Q21" s="449"/>
      <c r="R21" s="449"/>
      <c r="S21" s="474"/>
      <c r="T21" s="455"/>
      <c r="U21" s="455">
        <f t="shared" si="7"/>
        <v>0</v>
      </c>
    </row>
    <row r="22" spans="1:25" ht="24" hidden="1">
      <c r="A22" s="384">
        <v>23</v>
      </c>
      <c r="B22" s="384" t="s">
        <v>199</v>
      </c>
      <c r="C22" s="384" t="s">
        <v>157</v>
      </c>
      <c r="D22" s="384" t="s">
        <v>159</v>
      </c>
      <c r="E22" s="384" t="s">
        <v>374</v>
      </c>
      <c r="F22" s="385">
        <v>22.55</v>
      </c>
      <c r="G22" s="385">
        <f t="shared" si="3"/>
        <v>242.72819999999999</v>
      </c>
      <c r="H22" s="386" t="s">
        <v>352</v>
      </c>
      <c r="I22" s="453" t="s">
        <v>369</v>
      </c>
      <c r="J22" s="453" t="s">
        <v>369</v>
      </c>
      <c r="K22" s="448"/>
      <c r="L22" s="448">
        <f t="shared" si="4"/>
        <v>0</v>
      </c>
      <c r="M22" s="446"/>
      <c r="N22" s="446"/>
      <c r="O22" s="646">
        <f t="shared" si="6"/>
        <v>0</v>
      </c>
      <c r="P22" s="446"/>
      <c r="Q22" s="449"/>
      <c r="R22" s="449"/>
      <c r="S22" s="474"/>
      <c r="T22" s="455"/>
      <c r="U22" s="455">
        <f t="shared" si="7"/>
        <v>0</v>
      </c>
    </row>
    <row r="23" spans="1:25" ht="24">
      <c r="A23" s="381">
        <v>19</v>
      </c>
      <c r="B23" s="381" t="s">
        <v>199</v>
      </c>
      <c r="C23" s="381" t="s">
        <v>157</v>
      </c>
      <c r="D23" s="383" t="s">
        <v>357</v>
      </c>
      <c r="E23" s="436" t="s">
        <v>375</v>
      </c>
      <c r="F23" s="382">
        <v>11.6</v>
      </c>
      <c r="G23" s="382">
        <f t="shared" si="3"/>
        <v>124.86239999999999</v>
      </c>
      <c r="H23" s="383" t="s">
        <v>352</v>
      </c>
      <c r="I23" s="452" t="s">
        <v>365</v>
      </c>
      <c r="J23" s="452" t="s">
        <v>365</v>
      </c>
      <c r="K23" s="448">
        <v>2950000</v>
      </c>
      <c r="L23" s="448">
        <f t="shared" si="4"/>
        <v>2500000</v>
      </c>
      <c r="M23" s="446">
        <f>'Capex breakup'!GJ3</f>
        <v>3259554.48</v>
      </c>
      <c r="N23" s="446">
        <f>M23*1.18</f>
        <v>3846274.2863999996</v>
      </c>
      <c r="O23" s="646">
        <f t="shared" si="6"/>
        <v>-896274.28639999963</v>
      </c>
      <c r="P23" s="446">
        <f>'PO Tracker summary'!G30</f>
        <v>2453758.5999999996</v>
      </c>
      <c r="Q23" s="446">
        <f>N23/F23</f>
        <v>331575.36951724137</v>
      </c>
      <c r="R23" s="446">
        <f>N23/G23</f>
        <v>30804.103448275862</v>
      </c>
      <c r="S23" s="474" t="s">
        <v>992</v>
      </c>
      <c r="T23" s="455"/>
      <c r="U23" s="455">
        <f t="shared" si="7"/>
        <v>896274.28639999963</v>
      </c>
      <c r="W23" t="s">
        <v>390</v>
      </c>
      <c r="X23" t="s">
        <v>399</v>
      </c>
    </row>
    <row r="24" spans="1:25" ht="24">
      <c r="A24" s="381">
        <v>20</v>
      </c>
      <c r="B24" s="381" t="s">
        <v>199</v>
      </c>
      <c r="C24" s="383" t="s">
        <v>157</v>
      </c>
      <c r="D24" s="383" t="s">
        <v>363</v>
      </c>
      <c r="E24" s="436" t="s">
        <v>376</v>
      </c>
      <c r="F24" s="382">
        <v>9</v>
      </c>
      <c r="G24" s="382">
        <f t="shared" si="3"/>
        <v>96.875999999999991</v>
      </c>
      <c r="H24" s="383" t="s">
        <v>352</v>
      </c>
      <c r="I24" s="452" t="s">
        <v>364</v>
      </c>
      <c r="J24" s="452" t="s">
        <v>364</v>
      </c>
      <c r="K24" s="448">
        <v>663750</v>
      </c>
      <c r="L24" s="448">
        <f t="shared" si="4"/>
        <v>562500</v>
      </c>
      <c r="M24" s="446">
        <f>'Capex breakup'!GT3</f>
        <v>433660.51999999996</v>
      </c>
      <c r="N24" s="446">
        <f>M24*1.18</f>
        <v>511719.41359999991</v>
      </c>
      <c r="O24" s="646">
        <f t="shared" si="6"/>
        <v>152030.58640000009</v>
      </c>
      <c r="P24" s="446">
        <f>'PO Tracker summary'!G27</f>
        <v>315061.18</v>
      </c>
      <c r="Q24" s="446">
        <f>N24/F24</f>
        <v>56857.712622222214</v>
      </c>
      <c r="R24" s="446">
        <f>N24/G24</f>
        <v>5282.2103885379247</v>
      </c>
      <c r="S24" s="475" t="s">
        <v>861</v>
      </c>
      <c r="T24" s="455"/>
      <c r="U24" s="455">
        <f t="shared" si="7"/>
        <v>-152030.58640000009</v>
      </c>
      <c r="W24" t="s">
        <v>390</v>
      </c>
      <c r="X24" t="s">
        <v>399</v>
      </c>
      <c r="Y24" t="s">
        <v>403</v>
      </c>
    </row>
    <row r="25" spans="1:25">
      <c r="A25" s="381">
        <v>21</v>
      </c>
      <c r="B25" s="381" t="s">
        <v>200</v>
      </c>
      <c r="C25" s="381" t="s">
        <v>157</v>
      </c>
      <c r="D25" s="381" t="s">
        <v>159</v>
      </c>
      <c r="E25" s="436" t="s">
        <v>167</v>
      </c>
      <c r="F25" s="382">
        <v>310.16000000000003</v>
      </c>
      <c r="G25" s="382">
        <f t="shared" si="3"/>
        <v>3338.5622400000002</v>
      </c>
      <c r="H25" s="383" t="s">
        <v>250</v>
      </c>
      <c r="I25" s="452" t="s">
        <v>377</v>
      </c>
      <c r="J25" s="452" t="s">
        <v>377</v>
      </c>
      <c r="K25" s="448">
        <v>54870000</v>
      </c>
      <c r="L25" s="448">
        <f t="shared" si="4"/>
        <v>46500000</v>
      </c>
      <c r="M25" s="448">
        <f>'Capex breakup'!HC3</f>
        <v>50003371.7991542</v>
      </c>
      <c r="N25" s="448">
        <f>M25*1.18</f>
        <v>59003978.723001949</v>
      </c>
      <c r="O25" s="646">
        <f t="shared" si="6"/>
        <v>-4133978.7230019495</v>
      </c>
      <c r="P25" s="448">
        <f>'PO Tracker summary'!G6</f>
        <v>41524484.305999994</v>
      </c>
      <c r="Q25" s="448">
        <f>N25/F25</f>
        <v>190237.22827895908</v>
      </c>
      <c r="R25" s="448">
        <f>N25/G25</f>
        <v>17673.469739776949</v>
      </c>
      <c r="S25" s="474" t="s">
        <v>992</v>
      </c>
      <c r="T25" s="455"/>
      <c r="U25" s="455">
        <f t="shared" si="7"/>
        <v>4133978.7230019495</v>
      </c>
      <c r="W25" t="s">
        <v>407</v>
      </c>
    </row>
    <row r="26" spans="1:25" ht="24" hidden="1">
      <c r="A26" s="381">
        <v>101</v>
      </c>
      <c r="B26" s="384" t="s">
        <v>199</v>
      </c>
      <c r="C26" s="384" t="s">
        <v>157</v>
      </c>
      <c r="D26" s="384" t="s">
        <v>159</v>
      </c>
      <c r="E26" s="384" t="s">
        <v>172</v>
      </c>
      <c r="F26" s="385">
        <v>485.71</v>
      </c>
      <c r="G26" s="385">
        <f t="shared" si="3"/>
        <v>5228.1824399999996</v>
      </c>
      <c r="H26" s="386" t="s">
        <v>250</v>
      </c>
      <c r="I26" s="453" t="s">
        <v>369</v>
      </c>
      <c r="J26" s="453" t="s">
        <v>369</v>
      </c>
      <c r="K26" s="448"/>
      <c r="L26" s="448">
        <f t="shared" si="4"/>
        <v>0</v>
      </c>
      <c r="M26" s="446"/>
      <c r="N26" s="446"/>
      <c r="O26" s="646">
        <f t="shared" si="6"/>
        <v>0</v>
      </c>
      <c r="P26" s="446"/>
      <c r="Q26" s="449"/>
      <c r="R26" s="449"/>
      <c r="S26" s="474"/>
      <c r="T26" s="455"/>
      <c r="U26" s="455">
        <f t="shared" si="7"/>
        <v>0</v>
      </c>
    </row>
    <row r="27" spans="1:25">
      <c r="A27" s="381">
        <v>22</v>
      </c>
      <c r="B27" s="381" t="s">
        <v>200</v>
      </c>
      <c r="C27" s="381" t="s">
        <v>157</v>
      </c>
      <c r="D27" s="381" t="s">
        <v>159</v>
      </c>
      <c r="E27" s="436" t="s">
        <v>164</v>
      </c>
      <c r="F27" s="382">
        <v>315.5</v>
      </c>
      <c r="G27" s="382">
        <f t="shared" si="3"/>
        <v>3396.0419999999999</v>
      </c>
      <c r="H27" s="383" t="s">
        <v>352</v>
      </c>
      <c r="I27" s="452" t="s">
        <v>478</v>
      </c>
      <c r="J27" s="452" t="s">
        <v>478</v>
      </c>
      <c r="K27" s="448">
        <v>62657999.999999993</v>
      </c>
      <c r="L27" s="448">
        <f t="shared" si="4"/>
        <v>53100000</v>
      </c>
      <c r="M27" s="448">
        <f>'Capex breakup'!HM3</f>
        <v>52590773.044207729</v>
      </c>
      <c r="N27" s="448">
        <f>M27*1.18</f>
        <v>62057112.192165114</v>
      </c>
      <c r="O27" s="646">
        <f t="shared" si="6"/>
        <v>600887.80783487856</v>
      </c>
      <c r="P27" s="448">
        <f>'PO Tracker summary'!G17</f>
        <v>1249397.4588000001</v>
      </c>
      <c r="Q27" s="448">
        <f>N27/F27</f>
        <v>196694.49189275788</v>
      </c>
      <c r="R27" s="448">
        <f>N27/G27</f>
        <v>18273.364166922882</v>
      </c>
      <c r="S27" s="475" t="s">
        <v>861</v>
      </c>
      <c r="T27" s="455"/>
      <c r="U27" s="455">
        <f t="shared" si="7"/>
        <v>-600887.80783487856</v>
      </c>
      <c r="W27" t="s">
        <v>408</v>
      </c>
      <c r="X27" t="s">
        <v>391</v>
      </c>
      <c r="Y27" t="s">
        <v>409</v>
      </c>
    </row>
    <row r="28" spans="1:25">
      <c r="A28" s="451">
        <v>23</v>
      </c>
      <c r="B28" s="408"/>
      <c r="C28" s="408"/>
      <c r="D28" s="408"/>
      <c r="E28" s="408"/>
      <c r="F28" s="382">
        <v>550</v>
      </c>
      <c r="G28" s="382">
        <f t="shared" si="3"/>
        <v>5920.2</v>
      </c>
      <c r="H28" s="408"/>
      <c r="I28" s="452" t="str">
        <f>J28</f>
        <v>Kitchen &amp; Ware house</v>
      </c>
      <c r="J28" s="454" t="s">
        <v>471</v>
      </c>
      <c r="K28" s="448">
        <v>37760000</v>
      </c>
      <c r="L28" s="448">
        <f t="shared" si="4"/>
        <v>32000000</v>
      </c>
      <c r="M28" s="446">
        <f>N28/1.18</f>
        <v>32000000</v>
      </c>
      <c r="N28" s="446">
        <f>K28</f>
        <v>37760000</v>
      </c>
      <c r="O28" s="646">
        <f t="shared" si="6"/>
        <v>0</v>
      </c>
      <c r="P28" s="446">
        <f>'PO Tracker summary'!G24</f>
        <v>1094778.04</v>
      </c>
      <c r="Q28" s="447">
        <f>N28/F28</f>
        <v>68654.545454545456</v>
      </c>
      <c r="R28" s="447">
        <f>N28/G28</f>
        <v>6378.1628999020304</v>
      </c>
      <c r="S28" s="474"/>
      <c r="T28" s="455"/>
      <c r="U28" s="455">
        <f t="shared" si="7"/>
        <v>0</v>
      </c>
    </row>
    <row r="29" spans="1:25">
      <c r="A29" s="451"/>
      <c r="B29" s="408"/>
      <c r="C29" s="408"/>
      <c r="D29" s="408"/>
      <c r="E29" s="408"/>
      <c r="F29" s="382"/>
      <c r="G29" s="382"/>
      <c r="H29" s="408"/>
      <c r="I29" s="452"/>
      <c r="J29" s="454"/>
      <c r="K29" s="448"/>
      <c r="L29" s="448"/>
      <c r="M29" s="446"/>
      <c r="N29" s="446"/>
      <c r="O29" s="646">
        <f t="shared" si="6"/>
        <v>0</v>
      </c>
      <c r="P29" s="446"/>
      <c r="Q29" s="447"/>
      <c r="R29" s="447"/>
      <c r="S29" s="474"/>
      <c r="T29" s="455"/>
      <c r="U29" s="455"/>
    </row>
    <row r="30" spans="1:25" ht="24">
      <c r="A30" s="381">
        <v>16</v>
      </c>
      <c r="B30" s="381" t="s">
        <v>199</v>
      </c>
      <c r="C30" s="381" t="s">
        <v>157</v>
      </c>
      <c r="D30" s="381" t="s">
        <v>159</v>
      </c>
      <c r="E30" s="439" t="s">
        <v>370</v>
      </c>
      <c r="F30" s="382">
        <f>67.82+51.17</f>
        <v>118.99</v>
      </c>
      <c r="G30" s="382">
        <f>F30*10.764</f>
        <v>1280.8083599999998</v>
      </c>
      <c r="H30" s="383" t="s">
        <v>352</v>
      </c>
      <c r="I30" s="452" t="s">
        <v>371</v>
      </c>
      <c r="J30" s="452" t="s">
        <v>371</v>
      </c>
      <c r="K30" s="448">
        <v>15366338.804192031</v>
      </c>
      <c r="L30" s="448">
        <f>K30/1.18</f>
        <v>13022321.020501722</v>
      </c>
      <c r="M30" s="446">
        <f>'Capex breakup'!FA3</f>
        <v>14646043.596599996</v>
      </c>
      <c r="N30" s="446">
        <f>M30*1.18</f>
        <v>17282331.443987995</v>
      </c>
      <c r="O30" s="646">
        <f t="shared" si="6"/>
        <v>-1915992.6397959646</v>
      </c>
      <c r="P30" s="446">
        <f>'PO Tracker summary'!G20</f>
        <v>9782719.2811999992</v>
      </c>
      <c r="Q30" s="446">
        <f>N30/F30</f>
        <v>145241.88119999997</v>
      </c>
      <c r="R30" s="446">
        <f>N30/G30</f>
        <v>13493.3</v>
      </c>
      <c r="S30" s="474" t="s">
        <v>992</v>
      </c>
      <c r="T30" s="455"/>
      <c r="U30" s="455">
        <f>N30-K30</f>
        <v>1915992.6397959646</v>
      </c>
      <c r="W30" t="s">
        <v>393</v>
      </c>
      <c r="X30" t="s">
        <v>391</v>
      </c>
    </row>
    <row r="31" spans="1:25">
      <c r="A31" s="381"/>
      <c r="B31" s="381"/>
      <c r="C31" s="381" t="s">
        <v>358</v>
      </c>
      <c r="D31" s="381"/>
      <c r="E31" s="408"/>
      <c r="F31" s="382"/>
      <c r="G31" s="382"/>
      <c r="H31" s="383"/>
      <c r="I31" s="452"/>
      <c r="J31" s="452" t="s">
        <v>856</v>
      </c>
      <c r="K31" s="448">
        <v>2566500</v>
      </c>
      <c r="L31" s="448">
        <f t="shared" ref="L31:L35" si="8">K31/1.18</f>
        <v>2175000</v>
      </c>
      <c r="M31" s="446">
        <f>N31/1.18</f>
        <v>2288135.5932203392</v>
      </c>
      <c r="N31" s="446">
        <v>2700000</v>
      </c>
      <c r="O31" s="646">
        <f t="shared" si="6"/>
        <v>-133500</v>
      </c>
      <c r="P31" s="446">
        <f>'PO Tracker summary'!G31</f>
        <v>3103388.1399999997</v>
      </c>
      <c r="Q31" s="446"/>
      <c r="R31" s="446"/>
      <c r="S31" s="475"/>
      <c r="T31" s="455"/>
      <c r="U31" s="455"/>
    </row>
    <row r="32" spans="1:25">
      <c r="A32" s="381"/>
      <c r="B32" s="381"/>
      <c r="C32" s="381"/>
      <c r="D32" s="381"/>
      <c r="E32" s="408"/>
      <c r="F32" s="382"/>
      <c r="G32" s="382"/>
      <c r="H32" s="383"/>
      <c r="I32" s="452"/>
      <c r="J32" s="452" t="s">
        <v>857</v>
      </c>
      <c r="K32" s="448">
        <v>2389500</v>
      </c>
      <c r="L32" s="448">
        <f t="shared" si="8"/>
        <v>2025000</v>
      </c>
      <c r="M32" s="446">
        <f>N32/1.18</f>
        <v>2118644.0677966103</v>
      </c>
      <c r="N32" s="446">
        <f>2500000</f>
        <v>2500000</v>
      </c>
      <c r="O32" s="646">
        <f t="shared" si="6"/>
        <v>-110500</v>
      </c>
      <c r="P32" s="446">
        <f>'PO Tracker summary'!G33</f>
        <v>1473029.4000000001</v>
      </c>
      <c r="Q32" s="446"/>
      <c r="R32" s="446"/>
      <c r="S32" s="475"/>
      <c r="T32" s="455"/>
      <c r="U32" s="455"/>
    </row>
    <row r="33" spans="1:25">
      <c r="A33" s="381"/>
      <c r="B33" s="381"/>
      <c r="C33" s="381"/>
      <c r="D33" s="381"/>
      <c r="E33" s="408"/>
      <c r="F33" s="382"/>
      <c r="G33" s="382"/>
      <c r="H33" s="383"/>
      <c r="I33" s="452"/>
      <c r="J33" s="452" t="s">
        <v>858</v>
      </c>
      <c r="K33" s="448">
        <v>2389500</v>
      </c>
      <c r="L33" s="448">
        <f t="shared" si="8"/>
        <v>2025000</v>
      </c>
      <c r="M33" s="446">
        <f t="shared" ref="M33:M35" si="9">N33/1.18</f>
        <v>2118644.0677966103</v>
      </c>
      <c r="N33" s="446">
        <f>2500000</f>
        <v>2500000</v>
      </c>
      <c r="O33" s="646">
        <f t="shared" si="6"/>
        <v>-110500</v>
      </c>
      <c r="P33" s="446">
        <f>'PO Tracker summary'!G34</f>
        <v>1268500</v>
      </c>
      <c r="Q33" s="446"/>
      <c r="R33" s="446"/>
      <c r="S33" s="407"/>
      <c r="T33" s="455"/>
      <c r="U33" s="455"/>
    </row>
    <row r="34" spans="1:25">
      <c r="A34" s="381"/>
      <c r="B34" s="381"/>
      <c r="C34" s="381"/>
      <c r="D34" s="381"/>
      <c r="E34" s="408"/>
      <c r="F34" s="382"/>
      <c r="G34" s="382"/>
      <c r="H34" s="383"/>
      <c r="I34" s="452"/>
      <c r="J34" s="452" t="s">
        <v>859</v>
      </c>
      <c r="K34" s="448">
        <v>2389500</v>
      </c>
      <c r="L34" s="448">
        <f t="shared" si="8"/>
        <v>2025000</v>
      </c>
      <c r="M34" s="446">
        <f t="shared" si="9"/>
        <v>2118644.0677966103</v>
      </c>
      <c r="N34" s="446">
        <f>2500000</f>
        <v>2500000</v>
      </c>
      <c r="O34" s="646">
        <f t="shared" si="6"/>
        <v>-110500</v>
      </c>
      <c r="P34" s="446">
        <f>'PO Tracker summary'!G35</f>
        <v>2565856.9000000004</v>
      </c>
      <c r="Q34" s="446"/>
      <c r="R34" s="446"/>
      <c r="S34" s="407"/>
      <c r="T34" s="455"/>
      <c r="U34" s="455"/>
    </row>
    <row r="35" spans="1:25">
      <c r="A35" s="381"/>
      <c r="B35" s="381"/>
      <c r="C35" s="381"/>
      <c r="D35" s="381"/>
      <c r="E35" s="408"/>
      <c r="F35" s="382"/>
      <c r="G35" s="382"/>
      <c r="H35" s="383"/>
      <c r="I35" s="452"/>
      <c r="J35" s="452" t="s">
        <v>492</v>
      </c>
      <c r="K35" s="448">
        <v>5271650</v>
      </c>
      <c r="L35" s="448">
        <f t="shared" si="8"/>
        <v>4467500</v>
      </c>
      <c r="M35" s="446">
        <f t="shared" si="9"/>
        <v>0</v>
      </c>
      <c r="N35" s="446"/>
      <c r="O35" s="646">
        <f t="shared" si="6"/>
        <v>5271650</v>
      </c>
      <c r="P35" s="446"/>
      <c r="Q35" s="446"/>
      <c r="R35" s="446"/>
      <c r="S35" s="407"/>
      <c r="T35" s="455"/>
      <c r="U35" s="455"/>
    </row>
    <row r="36" spans="1:25">
      <c r="A36" s="381"/>
      <c r="B36" s="381"/>
      <c r="C36" s="381"/>
      <c r="D36" s="381"/>
      <c r="E36" s="408"/>
      <c r="F36" s="382"/>
      <c r="G36" s="382"/>
      <c r="H36" s="383"/>
      <c r="I36" s="452"/>
      <c r="J36" s="452" t="s">
        <v>517</v>
      </c>
      <c r="K36" s="448"/>
      <c r="L36" s="448"/>
      <c r="M36" s="446"/>
      <c r="N36" s="446"/>
      <c r="O36" s="446"/>
      <c r="P36" s="446"/>
      <c r="Q36" s="446"/>
      <c r="R36" s="446"/>
      <c r="S36" s="407"/>
      <c r="T36" s="455"/>
      <c r="U36" s="455"/>
    </row>
    <row r="37" spans="1:25">
      <c r="A37" s="442"/>
      <c r="B37" s="442"/>
      <c r="C37" s="442"/>
      <c r="D37" s="442"/>
      <c r="E37" s="442"/>
      <c r="F37" s="444">
        <f>SUM(F4:F36)</f>
        <v>3020.7</v>
      </c>
      <c r="G37" s="444">
        <f>SUM(G4:G36)</f>
        <v>32514.8148</v>
      </c>
      <c r="H37" s="442"/>
      <c r="I37" s="442"/>
      <c r="J37" s="443" t="s">
        <v>475</v>
      </c>
      <c r="K37" s="444">
        <f>SUM(K4:K36)</f>
        <v>313645777.8018778</v>
      </c>
      <c r="L37" s="444">
        <f>SUM(L4:L36)</f>
        <v>265801506.61176091</v>
      </c>
      <c r="M37" s="444">
        <f>SUM(M4:M36)</f>
        <v>252009069.33481619</v>
      </c>
      <c r="N37" s="444">
        <f>SUM(N4:N36)</f>
        <v>297370701.81508303</v>
      </c>
      <c r="O37" s="444">
        <f>SUM(O4:O36)</f>
        <v>16275075.986794805</v>
      </c>
      <c r="P37" s="444">
        <f>SUM(P4:P36)</f>
        <v>127151990.4112</v>
      </c>
      <c r="Q37" s="442"/>
      <c r="R37" s="442"/>
      <c r="S37" s="442"/>
      <c r="T37" s="455"/>
      <c r="U37" s="455">
        <f>N37-K37</f>
        <v>-16275075.98679477</v>
      </c>
    </row>
    <row r="38" spans="1:25">
      <c r="A38" s="381"/>
      <c r="B38" s="381"/>
      <c r="C38" s="381"/>
      <c r="D38" s="381"/>
      <c r="E38" s="408"/>
      <c r="F38" s="382"/>
      <c r="G38" s="382"/>
      <c r="H38" s="383"/>
      <c r="I38" s="452"/>
      <c r="J38" s="452"/>
      <c r="K38" s="448"/>
      <c r="L38" s="448"/>
      <c r="M38" s="446"/>
      <c r="N38" s="446"/>
      <c r="O38" s="446"/>
      <c r="P38" s="446"/>
      <c r="Q38" s="446"/>
      <c r="R38" s="446"/>
      <c r="S38" s="407"/>
      <c r="T38" s="455"/>
      <c r="U38" s="455"/>
    </row>
    <row r="39" spans="1:25" ht="31.5" customHeight="1">
      <c r="A39" s="381">
        <v>2</v>
      </c>
      <c r="B39" s="381" t="s">
        <v>200</v>
      </c>
      <c r="C39" s="381" t="s">
        <v>157</v>
      </c>
      <c r="D39" s="381" t="s">
        <v>158</v>
      </c>
      <c r="E39" s="436" t="s">
        <v>161</v>
      </c>
      <c r="F39" s="382">
        <v>94.43</v>
      </c>
      <c r="G39" s="382">
        <f>F39*10.764</f>
        <v>1016.44452</v>
      </c>
      <c r="H39" s="383" t="s">
        <v>352</v>
      </c>
      <c r="I39" s="452" t="s">
        <v>385</v>
      </c>
      <c r="J39" s="638" t="s">
        <v>385</v>
      </c>
      <c r="K39" s="448"/>
      <c r="L39" s="448">
        <f>K39/1.18</f>
        <v>0</v>
      </c>
      <c r="M39" s="460">
        <f>'Capex breakup'!R3</f>
        <v>11379096.4014</v>
      </c>
      <c r="N39" s="448">
        <f>M39*1.18</f>
        <v>13427333.753651999</v>
      </c>
      <c r="O39" s="646">
        <f t="shared" ref="O39:O43" si="10">K39-N39</f>
        <v>-13427333.753651999</v>
      </c>
      <c r="P39" s="448">
        <f>'PO Tracker summary'!G25</f>
        <v>8790279.3399999999</v>
      </c>
      <c r="Q39" s="448">
        <f>N39/F39</f>
        <v>142193.51639999996</v>
      </c>
      <c r="R39" s="448">
        <f>N39/G39</f>
        <v>13210.099999999999</v>
      </c>
      <c r="S39" s="435" t="s">
        <v>483</v>
      </c>
      <c r="T39" s="455"/>
      <c r="U39" s="455">
        <f>N39-K39</f>
        <v>13427333.753651999</v>
      </c>
      <c r="V39" s="371"/>
      <c r="W39" s="371" t="s">
        <v>390</v>
      </c>
      <c r="X39" s="371" t="s">
        <v>391</v>
      </c>
    </row>
    <row r="40" spans="1:25">
      <c r="A40" s="381">
        <v>7</v>
      </c>
      <c r="B40" s="381" t="s">
        <v>200</v>
      </c>
      <c r="C40" s="381" t="s">
        <v>157</v>
      </c>
      <c r="D40" s="381" t="s">
        <v>159</v>
      </c>
      <c r="E40" s="436" t="s">
        <v>468</v>
      </c>
      <c r="F40" s="382">
        <v>53.12</v>
      </c>
      <c r="G40" s="382">
        <f>F40*10.764</f>
        <v>571.78367999999989</v>
      </c>
      <c r="H40" s="383"/>
      <c r="I40" s="452" t="s">
        <v>469</v>
      </c>
      <c r="J40" s="638" t="str">
        <f>I40</f>
        <v>Food Hall seating</v>
      </c>
      <c r="K40" s="448"/>
      <c r="L40" s="448">
        <f>K40/1.18</f>
        <v>0</v>
      </c>
      <c r="M40" s="447">
        <f>'Capex breakup'!BP3</f>
        <v>3562212.3263999992</v>
      </c>
      <c r="N40" s="446">
        <f>M40*1.18</f>
        <v>4203410.5451519992</v>
      </c>
      <c r="O40" s="646">
        <f t="shared" si="10"/>
        <v>-4203410.5451519992</v>
      </c>
      <c r="P40" s="446">
        <f>'PO Tracker summary'!G21</f>
        <v>159300</v>
      </c>
      <c r="Q40" s="447">
        <f>N40/F40</f>
        <v>79130.469599999982</v>
      </c>
      <c r="R40" s="447">
        <f>N40/G40</f>
        <v>7351.4</v>
      </c>
      <c r="S40" s="435" t="s">
        <v>483</v>
      </c>
      <c r="T40" s="455"/>
      <c r="U40" s="455">
        <f>N40-K40</f>
        <v>4203410.5451519992</v>
      </c>
    </row>
    <row r="41" spans="1:25">
      <c r="A41" s="381">
        <v>15</v>
      </c>
      <c r="B41" s="381" t="s">
        <v>199</v>
      </c>
      <c r="C41" s="381" t="s">
        <v>157</v>
      </c>
      <c r="D41" s="381" t="s">
        <v>158</v>
      </c>
      <c r="E41" s="436" t="s">
        <v>163</v>
      </c>
      <c r="F41" s="382">
        <v>35.74</v>
      </c>
      <c r="G41" s="382">
        <f>F41*10.764</f>
        <v>384.70535999999998</v>
      </c>
      <c r="H41" s="383" t="s">
        <v>352</v>
      </c>
      <c r="I41" s="452" t="s">
        <v>462</v>
      </c>
      <c r="J41" s="638" t="s">
        <v>463</v>
      </c>
      <c r="K41" s="448"/>
      <c r="L41" s="448">
        <f>K41/1.18</f>
        <v>0</v>
      </c>
      <c r="M41" s="447">
        <f>'Capex breakup'!EQ3</f>
        <v>5724415.7567999996</v>
      </c>
      <c r="N41" s="446">
        <f>M41*1.18</f>
        <v>6754810.5930239996</v>
      </c>
      <c r="O41" s="646">
        <f t="shared" si="10"/>
        <v>-6754810.5930239996</v>
      </c>
      <c r="P41" s="446">
        <f>'PO Tracker summary'!G19</f>
        <v>4193203.5412000008</v>
      </c>
      <c r="Q41" s="446">
        <f>N41/F41</f>
        <v>188998.61759999997</v>
      </c>
      <c r="R41" s="446">
        <f>N41/G41</f>
        <v>17558.400000000001</v>
      </c>
      <c r="S41" s="435" t="s">
        <v>483</v>
      </c>
      <c r="T41" s="455"/>
      <c r="U41" s="455">
        <f>N41-K41</f>
        <v>6754810.5930239996</v>
      </c>
      <c r="W41" t="s">
        <v>405</v>
      </c>
      <c r="X41" t="s">
        <v>391</v>
      </c>
    </row>
    <row r="42" spans="1:25">
      <c r="A42" s="381">
        <v>17</v>
      </c>
      <c r="B42" s="381" t="s">
        <v>199</v>
      </c>
      <c r="C42" s="381" t="s">
        <v>157</v>
      </c>
      <c r="D42" s="381" t="s">
        <v>159</v>
      </c>
      <c r="E42" s="436" t="s">
        <v>171</v>
      </c>
      <c r="F42" s="382">
        <v>243.47</v>
      </c>
      <c r="G42" s="382">
        <f>F42*10.764</f>
        <v>2620.71108</v>
      </c>
      <c r="H42" s="383" t="s">
        <v>352</v>
      </c>
      <c r="I42" s="452" t="s">
        <v>464</v>
      </c>
      <c r="J42" s="638" t="s">
        <v>474</v>
      </c>
      <c r="K42" s="448"/>
      <c r="L42" s="448">
        <f>K42/1.18</f>
        <v>0</v>
      </c>
      <c r="M42" s="446">
        <f>'Capex breakup'!FN71</f>
        <v>14800387.473322727</v>
      </c>
      <c r="N42" s="446">
        <f>M42*1.18</f>
        <v>17464457.218520816</v>
      </c>
      <c r="O42" s="646">
        <f t="shared" si="10"/>
        <v>-17464457.218520816</v>
      </c>
      <c r="P42" s="446">
        <f>'PO Tracker summary'!G16</f>
        <v>538922.46</v>
      </c>
      <c r="Q42" s="446">
        <f>N42/F42</f>
        <v>71731.454464701266</v>
      </c>
      <c r="R42" s="446">
        <f>N42/G42</f>
        <v>6664.0147217299573</v>
      </c>
      <c r="S42" s="435" t="s">
        <v>483</v>
      </c>
      <c r="T42" s="455"/>
      <c r="U42" s="455">
        <f>N42-K42</f>
        <v>17464457.218520816</v>
      </c>
      <c r="W42" t="s">
        <v>393</v>
      </c>
      <c r="X42" t="s">
        <v>391</v>
      </c>
      <c r="Y42" t="s">
        <v>406</v>
      </c>
    </row>
    <row r="43" spans="1:25">
      <c r="A43" s="381">
        <v>5</v>
      </c>
      <c r="B43" s="381" t="s">
        <v>200</v>
      </c>
      <c r="C43" s="381" t="s">
        <v>157</v>
      </c>
      <c r="D43" s="381" t="s">
        <v>159</v>
      </c>
      <c r="E43" s="436" t="s">
        <v>466</v>
      </c>
      <c r="F43" s="382">
        <v>86.6</v>
      </c>
      <c r="G43" s="382">
        <f>F43*10.764</f>
        <v>932.16239999999993</v>
      </c>
      <c r="H43" s="383" t="s">
        <v>352</v>
      </c>
      <c r="I43" s="452" t="s">
        <v>354</v>
      </c>
      <c r="J43" s="638" t="s">
        <v>354</v>
      </c>
      <c r="K43" s="448">
        <v>0</v>
      </c>
      <c r="L43" s="448">
        <f>K43/1.18</f>
        <v>0</v>
      </c>
      <c r="M43" s="446">
        <f>'Capex breakup'!AV3</f>
        <v>23284065.869999997</v>
      </c>
      <c r="N43" s="446">
        <f>M43*1.18</f>
        <v>27475197.726599995</v>
      </c>
      <c r="O43" s="646">
        <f t="shared" si="10"/>
        <v>-27475197.726599995</v>
      </c>
      <c r="P43" s="446">
        <f>'PO Tracker summary'!G22</f>
        <v>9630135.9134</v>
      </c>
      <c r="Q43" s="446">
        <f>N43/F43</f>
        <v>317265.56266281754</v>
      </c>
      <c r="R43" s="446">
        <f>N43/G43</f>
        <v>29474.689953810619</v>
      </c>
      <c r="S43" s="435" t="s">
        <v>483</v>
      </c>
      <c r="T43" s="455"/>
      <c r="U43" s="455">
        <f>N43-K43</f>
        <v>27475197.726599995</v>
      </c>
      <c r="W43" t="s">
        <v>393</v>
      </c>
      <c r="X43" t="s">
        <v>395</v>
      </c>
    </row>
    <row r="44" spans="1:25">
      <c r="A44" s="408"/>
      <c r="B44" s="408"/>
      <c r="C44" s="408"/>
      <c r="D44" s="408"/>
      <c r="E44" s="408"/>
      <c r="F44" s="382"/>
      <c r="G44" s="382"/>
      <c r="H44" s="408"/>
      <c r="I44" s="408"/>
      <c r="J44" s="468"/>
      <c r="K44" s="441"/>
      <c r="L44" s="448"/>
      <c r="M44" s="407"/>
      <c r="N44" s="407"/>
      <c r="O44" s="407"/>
      <c r="P44" s="407"/>
      <c r="Q44" s="408"/>
      <c r="R44" s="408"/>
      <c r="S44" s="408"/>
      <c r="T44" s="455"/>
      <c r="U44" s="455"/>
    </row>
    <row r="45" spans="1:25">
      <c r="A45" s="442"/>
      <c r="B45" s="442"/>
      <c r="C45" s="442"/>
      <c r="D45" s="442"/>
      <c r="E45" s="442"/>
      <c r="F45" s="444">
        <f>SUM(F37:F44)</f>
        <v>3534.059999999999</v>
      </c>
      <c r="G45" s="444">
        <f>SUM(G37:G44)</f>
        <v>38040.62184</v>
      </c>
      <c r="H45" s="442"/>
      <c r="I45" s="442"/>
      <c r="J45" s="443" t="s">
        <v>475</v>
      </c>
      <c r="K45" s="444">
        <f>SUM(K37:K44)</f>
        <v>313645777.8018778</v>
      </c>
      <c r="L45" s="444">
        <f>SUM(L37:L44)</f>
        <v>265801506.61176091</v>
      </c>
      <c r="M45" s="444">
        <f>SUM(M37:M44)</f>
        <v>310759247.16273898</v>
      </c>
      <c r="N45" s="444">
        <f>SUM(N37:N44)</f>
        <v>366695911.65203184</v>
      </c>
      <c r="O45" s="444">
        <f>SUM(O37:O44)</f>
        <v>-53050133.850154005</v>
      </c>
      <c r="P45" s="444">
        <f>SUM(P37:P44)</f>
        <v>150463831.66580001</v>
      </c>
      <c r="Q45" s="442"/>
      <c r="R45" s="442"/>
      <c r="S45" s="442"/>
      <c r="T45" s="455"/>
      <c r="U45" s="455">
        <f>N45-K45</f>
        <v>53050133.850154042</v>
      </c>
    </row>
    <row r="47" spans="1:25">
      <c r="L47" s="820"/>
      <c r="N47" s="455">
        <f>K45-N45</f>
        <v>-53050133.850154042</v>
      </c>
      <c r="O47" s="455"/>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K83"/>
  <sheetViews>
    <sheetView topLeftCell="A7" workbookViewId="0">
      <selection activeCell="K69" sqref="K69"/>
    </sheetView>
  </sheetViews>
  <sheetFormatPr defaultRowHeight="15"/>
  <cols>
    <col min="1" max="1" width="33.5703125" bestFit="1" customWidth="1"/>
    <col min="2" max="2" width="7.85546875" hidden="1" customWidth="1"/>
    <col min="3" max="3" width="10.85546875" hidden="1" customWidth="1"/>
    <col min="4" max="4" width="8.140625" hidden="1" customWidth="1"/>
    <col min="5" max="5" width="14.5703125" hidden="1" customWidth="1"/>
    <col min="6" max="6" width="15.85546875" hidden="1" customWidth="1"/>
    <col min="7" max="7" width="13.7109375" customWidth="1"/>
    <col min="8" max="8" width="13.7109375" hidden="1" customWidth="1"/>
    <col min="9" max="9" width="8.42578125" bestFit="1" customWidth="1"/>
    <col min="10" max="10" width="14.140625" style="629" bestFit="1" customWidth="1"/>
    <col min="11" max="11" width="12.140625" bestFit="1" customWidth="1"/>
  </cols>
  <sheetData>
    <row r="2" spans="1:11" ht="21">
      <c r="A2" s="464" t="s">
        <v>494</v>
      </c>
    </row>
    <row r="4" spans="1:11" ht="25.5">
      <c r="A4" s="465" t="s">
        <v>75</v>
      </c>
      <c r="B4" s="466" t="s">
        <v>495</v>
      </c>
      <c r="C4" s="466" t="s">
        <v>74</v>
      </c>
      <c r="D4" s="466" t="s">
        <v>496</v>
      </c>
      <c r="E4" s="467" t="s">
        <v>497</v>
      </c>
      <c r="F4" s="467" t="s">
        <v>1</v>
      </c>
      <c r="G4" s="467" t="s">
        <v>498</v>
      </c>
      <c r="H4" s="467" t="s">
        <v>499</v>
      </c>
      <c r="I4" s="467" t="s">
        <v>4</v>
      </c>
      <c r="J4" s="755" t="s">
        <v>855</v>
      </c>
      <c r="K4" s="755"/>
    </row>
    <row r="5" spans="1:11" s="473" customFormat="1">
      <c r="A5" s="468" t="s">
        <v>500</v>
      </c>
      <c r="B5" s="469"/>
      <c r="C5" s="469"/>
      <c r="D5" s="470"/>
      <c r="E5" s="471">
        <v>18352601</v>
      </c>
      <c r="F5" s="471">
        <v>18352601.638743106</v>
      </c>
      <c r="G5" s="472">
        <f>SUMIF('PO Tracker'!$K$44:$K$815,'PO Tracker summary'!A5,'PO Tracker'!$J$44:$J$815)</f>
        <v>10381154.428199997</v>
      </c>
      <c r="H5" s="472">
        <f>F5-G5</f>
        <v>7971447.2105431091</v>
      </c>
      <c r="I5" s="469"/>
      <c r="J5" s="475">
        <f>'Capex breakup'!AO3</f>
        <v>10381154.428199999</v>
      </c>
      <c r="K5" s="636">
        <f t="shared" ref="K5:K30" si="0">G5-J5</f>
        <v>0</v>
      </c>
    </row>
    <row r="6" spans="1:11" s="476" customFormat="1">
      <c r="A6" s="468" t="s">
        <v>429</v>
      </c>
      <c r="B6" s="469"/>
      <c r="C6" s="469"/>
      <c r="D6" s="470"/>
      <c r="E6" s="471">
        <v>36580000</v>
      </c>
      <c r="F6" s="475">
        <v>54870000</v>
      </c>
      <c r="G6" s="472">
        <f>SUMIF('PO Tracker'!$K$44:$K$815,'PO Tracker summary'!A6,'PO Tracker'!$J$44:$J$815)</f>
        <v>41524484.305999994</v>
      </c>
      <c r="H6" s="472">
        <f t="shared" ref="H6:H31" si="1">F6-G6</f>
        <v>13345515.694000006</v>
      </c>
      <c r="I6" s="469"/>
      <c r="J6" s="475">
        <f>'Capex breakup'!HF3</f>
        <v>41524484.306000002</v>
      </c>
      <c r="K6" s="636">
        <f t="shared" si="0"/>
        <v>0</v>
      </c>
    </row>
    <row r="7" spans="1:11" s="473" customFormat="1">
      <c r="A7" s="468" t="s">
        <v>501</v>
      </c>
      <c r="B7" s="469"/>
      <c r="C7" s="469"/>
      <c r="D7" s="470"/>
      <c r="E7" s="471">
        <v>41892371.897643909</v>
      </c>
      <c r="F7" s="407">
        <v>41892371.897643909</v>
      </c>
      <c r="G7" s="472">
        <f>SUMIF('PO Tracker'!$K$44:$K$815,'PO Tracker summary'!A7,'PO Tracker'!$J$44:$J$815)</f>
        <v>15211096.931199998</v>
      </c>
      <c r="H7" s="472">
        <f t="shared" si="1"/>
        <v>26681274.966443911</v>
      </c>
      <c r="I7" s="469"/>
      <c r="J7" s="475">
        <f>'Capex breakup'!AE3</f>
        <v>15211096.931200001</v>
      </c>
      <c r="K7" s="636">
        <f t="shared" si="0"/>
        <v>0</v>
      </c>
    </row>
    <row r="8" spans="1:11" s="473" customFormat="1">
      <c r="A8" s="468" t="s">
        <v>502</v>
      </c>
      <c r="B8" s="469"/>
      <c r="C8" s="469"/>
      <c r="D8" s="470"/>
      <c r="E8" s="471"/>
      <c r="F8" s="471"/>
      <c r="G8" s="472">
        <f>SUMIF('PO Tracker'!$K$44:$K$815,'PO Tracker summary'!A8,'PO Tracker'!$J$44:$J$815)</f>
        <v>0</v>
      </c>
      <c r="H8" s="472">
        <f t="shared" si="1"/>
        <v>0</v>
      </c>
      <c r="I8" s="469"/>
      <c r="J8" s="475"/>
      <c r="K8" s="636">
        <f t="shared" si="0"/>
        <v>0</v>
      </c>
    </row>
    <row r="9" spans="1:11" s="473" customFormat="1">
      <c r="A9" s="468" t="s">
        <v>504</v>
      </c>
      <c r="B9" s="469"/>
      <c r="C9" s="469"/>
      <c r="D9" s="470"/>
      <c r="E9" s="471">
        <v>8519398.31206608</v>
      </c>
      <c r="F9" s="475">
        <v>8519398.31206608</v>
      </c>
      <c r="G9" s="472">
        <f>SUMIF('PO Tracker'!$K$44:$K$815,'PO Tracker summary'!A9,'PO Tracker'!$J$44:$J$815)</f>
        <v>98538.44</v>
      </c>
      <c r="H9" s="472">
        <f t="shared" si="1"/>
        <v>8420859.8720660806</v>
      </c>
      <c r="I9" s="469"/>
      <c r="J9" s="475">
        <f>'Capex breakup'!CM3</f>
        <v>98538.44</v>
      </c>
      <c r="K9" s="636">
        <f t="shared" si="0"/>
        <v>0</v>
      </c>
    </row>
    <row r="10" spans="1:11" s="473" customFormat="1">
      <c r="A10" s="468" t="s">
        <v>215</v>
      </c>
      <c r="B10" s="469"/>
      <c r="C10" s="469"/>
      <c r="D10" s="470"/>
      <c r="E10" s="471">
        <v>9848297.1404308341</v>
      </c>
      <c r="F10" s="475">
        <v>9848297.1404308341</v>
      </c>
      <c r="G10" s="472">
        <f>SUMIF('PO Tracker'!$K$44:$K$815,'PO Tracker summary'!A10,'PO Tracker'!$J$44:$J$815)</f>
        <v>3317263.8673999999</v>
      </c>
      <c r="H10" s="472">
        <f t="shared" si="1"/>
        <v>6531033.2730308343</v>
      </c>
      <c r="I10" s="469"/>
      <c r="J10" s="475">
        <f>'Capex breakup'!GC3</f>
        <v>3317263.8673999999</v>
      </c>
      <c r="K10" s="636">
        <f t="shared" si="0"/>
        <v>0</v>
      </c>
    </row>
    <row r="11" spans="1:11" s="473" customFormat="1">
      <c r="A11" s="468" t="s">
        <v>356</v>
      </c>
      <c r="B11" s="469"/>
      <c r="C11" s="469"/>
      <c r="D11" s="470"/>
      <c r="E11" s="471">
        <v>16313423.678882724</v>
      </c>
      <c r="F11" s="475">
        <v>16313423.678882724</v>
      </c>
      <c r="G11" s="472">
        <f>SUMIF('PO Tracker'!$K$44:$K$815,'PO Tracker summary'!A11,'PO Tracker'!$J$44:$J$815)</f>
        <v>7574778.4205999998</v>
      </c>
      <c r="H11" s="472">
        <f t="shared" si="1"/>
        <v>8738645.2582827248</v>
      </c>
      <c r="I11" s="469"/>
      <c r="J11" s="475">
        <f>'Capex breakup'!BI3</f>
        <v>7574778.4206000008</v>
      </c>
      <c r="K11" s="636">
        <f t="shared" si="0"/>
        <v>0</v>
      </c>
    </row>
    <row r="12" spans="1:11" s="473" customFormat="1">
      <c r="A12" s="468" t="s">
        <v>505</v>
      </c>
      <c r="B12" s="469"/>
      <c r="C12" s="469"/>
      <c r="D12" s="470"/>
      <c r="E12" s="471">
        <v>2950000</v>
      </c>
      <c r="F12" s="475">
        <v>2950000</v>
      </c>
      <c r="G12" s="472">
        <f>SUMIF('PO Tracker'!$K$44:$K$815,'PO Tracker summary'!A12,'PO Tracker'!$J$44:$J$815)</f>
        <v>5080267.9700000007</v>
      </c>
      <c r="H12" s="472">
        <f t="shared" si="1"/>
        <v>-2130267.9700000007</v>
      </c>
      <c r="I12" s="469"/>
      <c r="J12" s="475">
        <f>'Capex breakup'!DG3</f>
        <v>5080267.9700000007</v>
      </c>
      <c r="K12" s="636">
        <f t="shared" si="0"/>
        <v>0</v>
      </c>
    </row>
    <row r="13" spans="1:11" s="473" customFormat="1">
      <c r="A13" s="468" t="s">
        <v>506</v>
      </c>
      <c r="B13" s="469"/>
      <c r="C13" s="469"/>
      <c r="D13" s="470"/>
      <c r="E13" s="471">
        <v>2950000</v>
      </c>
      <c r="F13" s="475">
        <v>2950000</v>
      </c>
      <c r="G13" s="472">
        <f>SUMIF('PO Tracker'!$K$44:$K$815,'PO Tracker summary'!A13,'PO Tracker'!$J$44:$J$815)</f>
        <v>2958731.4099999997</v>
      </c>
      <c r="H13" s="472">
        <f t="shared" si="1"/>
        <v>-8731.4099999996834</v>
      </c>
      <c r="I13" s="469"/>
      <c r="J13" s="475">
        <f>'Capex breakup'!EJ3</f>
        <v>2958731.4099999997</v>
      </c>
      <c r="K13" s="636">
        <f t="shared" si="0"/>
        <v>0</v>
      </c>
    </row>
    <row r="14" spans="1:11" s="473" customFormat="1">
      <c r="A14" s="468" t="s">
        <v>507</v>
      </c>
      <c r="B14" s="469"/>
      <c r="C14" s="469"/>
      <c r="D14" s="470"/>
      <c r="E14" s="477"/>
      <c r="F14" s="477"/>
      <c r="G14" s="472">
        <f>SUMIF('PO Tracker'!$K$44:$K$815,'PO Tracker summary'!A14,'PO Tracker'!$J$44:$J$815)</f>
        <v>0</v>
      </c>
      <c r="H14" s="472">
        <f t="shared" si="1"/>
        <v>0</v>
      </c>
      <c r="I14" s="469"/>
      <c r="J14" s="475"/>
      <c r="K14" s="637">
        <f t="shared" si="0"/>
        <v>0</v>
      </c>
    </row>
    <row r="15" spans="1:11" s="473" customFormat="1">
      <c r="A15" s="468" t="s">
        <v>508</v>
      </c>
      <c r="B15" s="469"/>
      <c r="C15" s="469"/>
      <c r="D15" s="470"/>
      <c r="E15" s="471">
        <v>10343696.329919172</v>
      </c>
      <c r="F15" s="475">
        <v>10343696.329919172</v>
      </c>
      <c r="G15" s="472">
        <f>SUMIF('PO Tracker'!$K$44:$K$815,'PO Tracker summary'!A15,'PO Tracker'!$J$44:$J$815)</f>
        <v>5332377.176</v>
      </c>
      <c r="H15" s="472">
        <f t="shared" si="1"/>
        <v>5011319.1539191725</v>
      </c>
      <c r="I15" s="469"/>
      <c r="J15" s="475">
        <f>'Capex breakup'!CC3</f>
        <v>5332377.175999999</v>
      </c>
      <c r="K15" s="636">
        <f t="shared" si="0"/>
        <v>0</v>
      </c>
    </row>
    <row r="16" spans="1:11" s="473" customFormat="1">
      <c r="A16" s="468" t="s">
        <v>474</v>
      </c>
      <c r="B16" s="469"/>
      <c r="C16" s="469"/>
      <c r="D16" s="470"/>
      <c r="E16" s="471">
        <v>10000000</v>
      </c>
      <c r="F16" s="471"/>
      <c r="G16" s="472">
        <f>SUMIF('PO Tracker'!$K$44:$K$815,'PO Tracker summary'!A16,'PO Tracker'!$J$44:$J$815)</f>
        <v>538922.46</v>
      </c>
      <c r="H16" s="472">
        <f t="shared" si="1"/>
        <v>-538922.46</v>
      </c>
      <c r="I16" s="469"/>
      <c r="J16" s="475">
        <f>'Capex breakup'!FS3</f>
        <v>538922.46</v>
      </c>
      <c r="K16" s="636">
        <f t="shared" si="0"/>
        <v>0</v>
      </c>
    </row>
    <row r="17" spans="1:11" s="473" customFormat="1">
      <c r="A17" s="468" t="s">
        <v>509</v>
      </c>
      <c r="B17" s="469"/>
      <c r="C17" s="469"/>
      <c r="D17" s="470"/>
      <c r="E17" s="471">
        <v>62658000</v>
      </c>
      <c r="F17" s="475">
        <v>62657999.999999993</v>
      </c>
      <c r="G17" s="472">
        <f>SUMIF('PO Tracker'!$K$44:$K$815,'PO Tracker summary'!A17,'PO Tracker'!$J$44:$J$815)</f>
        <v>1249397.4588000001</v>
      </c>
      <c r="H17" s="472">
        <f t="shared" si="1"/>
        <v>61408602.54119999</v>
      </c>
      <c r="I17" s="469"/>
      <c r="J17" s="475">
        <f>'Capex breakup'!HO3</f>
        <v>1249397.4588000001</v>
      </c>
      <c r="K17" s="636">
        <f t="shared" si="0"/>
        <v>0</v>
      </c>
    </row>
    <row r="18" spans="1:11" s="473" customFormat="1">
      <c r="A18" s="468" t="s">
        <v>503</v>
      </c>
      <c r="B18" s="469"/>
      <c r="C18" s="469"/>
      <c r="D18" s="470"/>
      <c r="E18" s="471">
        <v>7080000</v>
      </c>
      <c r="F18" s="475">
        <v>7080000</v>
      </c>
      <c r="G18" s="472">
        <f>SUMIF('PO Tracker'!$K$44:$K$815,'PO Tracker summary'!A18,'PO Tracker'!$J$44:$J$815)</f>
        <v>5211962.42</v>
      </c>
      <c r="H18" s="472">
        <f t="shared" si="1"/>
        <v>1868037.58</v>
      </c>
      <c r="I18" s="469"/>
      <c r="J18" s="475">
        <f>'Capex breakup'!K3</f>
        <v>5211962.42</v>
      </c>
      <c r="K18" s="636">
        <f t="shared" si="0"/>
        <v>0</v>
      </c>
    </row>
    <row r="19" spans="1:11" s="473" customFormat="1">
      <c r="A19" s="468" t="s">
        <v>463</v>
      </c>
      <c r="B19" s="469"/>
      <c r="C19" s="469"/>
      <c r="D19" s="470"/>
      <c r="E19" s="471">
        <v>4320658</v>
      </c>
      <c r="F19" s="471"/>
      <c r="G19" s="472">
        <f>SUMIF('PO Tracker'!$K$44:$K$815,'PO Tracker summary'!A19,'PO Tracker'!$J$44:$J$815)</f>
        <v>4193203.5412000008</v>
      </c>
      <c r="H19" s="472">
        <f t="shared" si="1"/>
        <v>-4193203.5412000008</v>
      </c>
      <c r="I19" s="469"/>
      <c r="J19" s="475">
        <f>'Capex breakup'!ET3</f>
        <v>4193203.5411999999</v>
      </c>
      <c r="K19" s="636">
        <f t="shared" si="0"/>
        <v>0</v>
      </c>
    </row>
    <row r="20" spans="1:11" s="473" customFormat="1">
      <c r="A20" s="468" t="s">
        <v>510</v>
      </c>
      <c r="B20" s="469"/>
      <c r="C20" s="469"/>
      <c r="D20" s="470"/>
      <c r="E20" s="471">
        <v>15366338.804192031</v>
      </c>
      <c r="F20" s="475">
        <v>15366338.804192031</v>
      </c>
      <c r="G20" s="472">
        <f>SUMIF('PO Tracker'!$K$44:$K$815,'PO Tracker summary'!A20,'PO Tracker'!$J$44:$J$815)</f>
        <v>9782719.2811999992</v>
      </c>
      <c r="H20" s="472">
        <f t="shared" si="1"/>
        <v>5583619.5229920316</v>
      </c>
      <c r="I20" s="469"/>
      <c r="J20" s="475">
        <f>'Capex breakup'!FD3</f>
        <v>9782719.281200001</v>
      </c>
      <c r="K20" s="636">
        <f t="shared" si="0"/>
        <v>0</v>
      </c>
    </row>
    <row r="21" spans="1:11" s="473" customFormat="1">
      <c r="A21" s="468" t="s">
        <v>511</v>
      </c>
      <c r="B21" s="469"/>
      <c r="C21" s="469"/>
      <c r="D21" s="470"/>
      <c r="E21" s="477"/>
      <c r="F21" s="477"/>
      <c r="G21" s="472">
        <f>SUMIF('PO Tracker'!$K$44:$K$815,'PO Tracker summary'!A21,'PO Tracker'!$J$44:$J$815)</f>
        <v>159300</v>
      </c>
      <c r="H21" s="472">
        <f t="shared" si="1"/>
        <v>-159300</v>
      </c>
      <c r="I21" s="469"/>
      <c r="J21" s="475"/>
      <c r="K21" s="637">
        <f t="shared" si="0"/>
        <v>159300</v>
      </c>
    </row>
    <row r="22" spans="1:11" s="473" customFormat="1">
      <c r="A22" s="468" t="s">
        <v>512</v>
      </c>
      <c r="B22" s="469"/>
      <c r="C22" s="469"/>
      <c r="D22" s="470"/>
      <c r="E22" s="471">
        <v>13923000</v>
      </c>
      <c r="F22" s="471"/>
      <c r="G22" s="472">
        <f>SUMIF('PO Tracker'!$K$44:$K$815,'PO Tracker summary'!A22,'PO Tracker'!$J$44:$J$815)</f>
        <v>9630135.9134</v>
      </c>
      <c r="H22" s="472">
        <f t="shared" si="1"/>
        <v>-9630135.9134</v>
      </c>
      <c r="I22" s="469"/>
      <c r="J22" s="475">
        <f>'Capex breakup'!AY3</f>
        <v>9630135.9134000018</v>
      </c>
      <c r="K22" s="636">
        <f t="shared" si="0"/>
        <v>0</v>
      </c>
    </row>
    <row r="23" spans="1:11" s="473" customFormat="1">
      <c r="A23" s="468" t="s">
        <v>360</v>
      </c>
      <c r="B23" s="469"/>
      <c r="C23" s="469"/>
      <c r="D23" s="470"/>
      <c r="E23" s="471">
        <v>2507499.9999999995</v>
      </c>
      <c r="F23" s="475">
        <v>2507499.9999999995</v>
      </c>
      <c r="G23" s="472">
        <f>SUMIF('PO Tracker'!$K$44:$K$815,'PO Tracker summary'!A23,'PO Tracker'!$J$44:$J$815)</f>
        <v>121245</v>
      </c>
      <c r="H23" s="472">
        <f t="shared" si="1"/>
        <v>2386254.9999999995</v>
      </c>
      <c r="I23" s="469"/>
      <c r="J23" s="475">
        <f>'Capex breakup'!CW3</f>
        <v>121245</v>
      </c>
      <c r="K23" s="636">
        <f t="shared" si="0"/>
        <v>0</v>
      </c>
    </row>
    <row r="24" spans="1:11" s="473" customFormat="1">
      <c r="A24" s="468" t="s">
        <v>513</v>
      </c>
      <c r="B24" s="469"/>
      <c r="C24" s="469"/>
      <c r="D24" s="478"/>
      <c r="E24" s="471">
        <v>2500000</v>
      </c>
      <c r="F24" s="475">
        <v>37760000</v>
      </c>
      <c r="G24" s="472">
        <f>SUMIF('PO Tracker'!$K$44:$K$815,'PO Tracker summary'!A24,'PO Tracker'!$J$44:$J$815)</f>
        <v>1094778.04</v>
      </c>
      <c r="H24" s="472">
        <f t="shared" si="1"/>
        <v>36665221.960000001</v>
      </c>
      <c r="I24" s="469"/>
      <c r="J24" s="475"/>
      <c r="K24" s="637">
        <f t="shared" si="0"/>
        <v>1094778.04</v>
      </c>
    </row>
    <row r="25" spans="1:11" s="473" customFormat="1">
      <c r="A25" s="468" t="s">
        <v>514</v>
      </c>
      <c r="B25" s="469"/>
      <c r="C25" s="469"/>
      <c r="D25" s="478"/>
      <c r="E25" s="471">
        <v>12000000</v>
      </c>
      <c r="F25" s="471"/>
      <c r="G25" s="472">
        <f>SUMIF('PO Tracker'!$K$44:$K$815,'PO Tracker summary'!A25,'PO Tracker'!$J$44:$J$815)</f>
        <v>8790279.3399999999</v>
      </c>
      <c r="H25" s="472">
        <f t="shared" si="1"/>
        <v>-8790279.3399999999</v>
      </c>
      <c r="I25" s="469"/>
      <c r="J25" s="475">
        <f>'Capex breakup'!U3</f>
        <v>8790279.3399999999</v>
      </c>
      <c r="K25" s="636">
        <f t="shared" si="0"/>
        <v>0</v>
      </c>
    </row>
    <row r="26" spans="1:11" s="473" customFormat="1">
      <c r="A26" s="468" t="s">
        <v>515</v>
      </c>
      <c r="B26" s="469"/>
      <c r="C26" s="469"/>
      <c r="D26" s="478"/>
      <c r="E26" s="471">
        <v>663750</v>
      </c>
      <c r="F26" s="475">
        <v>663750</v>
      </c>
      <c r="G26" s="472">
        <f>SUMIF('PO Tracker'!$K$44:$K$815,'PO Tracker summary'!A26,'PO Tracker'!$J$44:$J$815)</f>
        <v>352443.58</v>
      </c>
      <c r="H26" s="472">
        <f t="shared" si="1"/>
        <v>311306.42</v>
      </c>
      <c r="I26" s="469"/>
      <c r="J26" s="475">
        <f>'Capex breakup'!DP3</f>
        <v>352443.57999999996</v>
      </c>
      <c r="K26" s="636">
        <f t="shared" si="0"/>
        <v>0</v>
      </c>
    </row>
    <row r="27" spans="1:11" s="473" customFormat="1" ht="24" customHeight="1">
      <c r="A27" s="468" t="s">
        <v>516</v>
      </c>
      <c r="B27" s="469"/>
      <c r="C27" s="469"/>
      <c r="D27" s="478"/>
      <c r="E27" s="471">
        <v>663750</v>
      </c>
      <c r="F27" s="475">
        <v>663750</v>
      </c>
      <c r="G27" s="472">
        <f>SUMIF('PO Tracker'!$K$44:$K$815,'PO Tracker summary'!A27,'PO Tracker'!$J$44:$J$815)</f>
        <v>315061.18</v>
      </c>
      <c r="H27" s="472">
        <f t="shared" si="1"/>
        <v>348688.82</v>
      </c>
      <c r="I27" s="469"/>
      <c r="J27" s="475">
        <f>'Capex breakup'!GV3</f>
        <v>315061.18</v>
      </c>
      <c r="K27" s="636">
        <f t="shared" si="0"/>
        <v>0</v>
      </c>
    </row>
    <row r="28" spans="1:11" s="473" customFormat="1">
      <c r="A28" s="468" t="s">
        <v>517</v>
      </c>
      <c r="B28" s="469"/>
      <c r="C28" s="469"/>
      <c r="D28" s="478"/>
      <c r="E28" s="477"/>
      <c r="F28" s="477"/>
      <c r="G28" s="472">
        <f>SUMIF('PO Tracker'!$K$44:$K$815,'PO Tracker summary'!A28,'PO Tracker'!$J$44:$J$815)</f>
        <v>0</v>
      </c>
      <c r="H28" s="472">
        <f t="shared" si="1"/>
        <v>0</v>
      </c>
      <c r="I28" s="469"/>
      <c r="J28" s="475"/>
      <c r="K28" s="637">
        <f t="shared" si="0"/>
        <v>0</v>
      </c>
    </row>
    <row r="29" spans="1:11" s="473" customFormat="1">
      <c r="A29" s="468" t="s">
        <v>518</v>
      </c>
      <c r="B29" s="469"/>
      <c r="C29" s="469"/>
      <c r="D29" s="470"/>
      <c r="E29" s="471">
        <v>6287000</v>
      </c>
      <c r="F29" s="475">
        <v>2950000</v>
      </c>
      <c r="G29" s="472">
        <f>SUMIF('PO Tracker'!$K$44:$K$815,'PO Tracker summary'!A29,'PO Tracker'!$J$44:$J$815)</f>
        <v>6681157.4617999997</v>
      </c>
      <c r="H29" s="472">
        <f t="shared" si="1"/>
        <v>-3731157.4617999997</v>
      </c>
      <c r="I29" s="469"/>
      <c r="J29" s="475">
        <f>'Capex breakup'!GM3</f>
        <v>6681157.4617999997</v>
      </c>
      <c r="K29" s="636">
        <f t="shared" si="0"/>
        <v>0</v>
      </c>
    </row>
    <row r="30" spans="1:11" s="473" customFormat="1">
      <c r="A30" s="468" t="s">
        <v>519</v>
      </c>
      <c r="B30" s="469"/>
      <c r="C30" s="469"/>
      <c r="D30" s="478"/>
      <c r="E30" s="471">
        <v>4000000</v>
      </c>
      <c r="F30" s="475">
        <v>2950000</v>
      </c>
      <c r="G30" s="472">
        <f>SUMIF('PO Tracker'!$K$44:$K$815,'PO Tracker summary'!A30,'PO Tracker'!$J$44:$J$815)</f>
        <v>2453758.5999999996</v>
      </c>
      <c r="H30" s="472">
        <f t="shared" si="1"/>
        <v>496241.40000000037</v>
      </c>
      <c r="I30" s="469"/>
      <c r="J30" s="475">
        <f>'Capex breakup'!DZ3</f>
        <v>2453758.6</v>
      </c>
      <c r="K30" s="636">
        <f t="shared" si="0"/>
        <v>0</v>
      </c>
    </row>
    <row r="31" spans="1:11" s="473" customFormat="1">
      <c r="A31" s="468" t="s">
        <v>856</v>
      </c>
      <c r="B31" s="469"/>
      <c r="C31" s="469"/>
      <c r="D31" s="478"/>
      <c r="E31" s="477"/>
      <c r="F31" s="477">
        <v>2566500</v>
      </c>
      <c r="G31" s="472">
        <f>SUMIF('PO Tracker'!$K$44:$K$815,'PO Tracker summary'!A31,'PO Tracker'!$J$44:$J$815)</f>
        <v>3103388.1399999997</v>
      </c>
      <c r="H31" s="472">
        <f t="shared" si="1"/>
        <v>-536888.13999999966</v>
      </c>
      <c r="I31" s="469"/>
      <c r="J31" s="475"/>
      <c r="K31" s="474"/>
    </row>
    <row r="32" spans="1:11" s="473" customFormat="1">
      <c r="A32" s="468" t="s">
        <v>492</v>
      </c>
      <c r="B32" s="469"/>
      <c r="C32" s="469"/>
      <c r="D32" s="478"/>
      <c r="E32" s="477"/>
      <c r="F32" s="477">
        <v>5271650</v>
      </c>
      <c r="G32" s="472">
        <f>SUMIF('PO Tracker'!$K$44:$K$815,'PO Tracker summary'!A32,'PO Tracker'!$J$44:$J$815)</f>
        <v>0</v>
      </c>
      <c r="H32" s="472"/>
      <c r="I32" s="469"/>
      <c r="J32" s="475"/>
      <c r="K32" s="474"/>
    </row>
    <row r="33" spans="1:11" s="473" customFormat="1">
      <c r="A33" s="468" t="s">
        <v>857</v>
      </c>
      <c r="B33" s="469"/>
      <c r="C33" s="469"/>
      <c r="D33" s="478"/>
      <c r="E33" s="477"/>
      <c r="F33" s="477">
        <v>2389500</v>
      </c>
      <c r="G33" s="472">
        <f>SUMIF('PO Tracker'!$K$44:$K$815,'PO Tracker summary'!A33,'PO Tracker'!$J$44:$J$815)</f>
        <v>1473029.4000000001</v>
      </c>
      <c r="H33" s="472"/>
      <c r="I33" s="469"/>
      <c r="J33" s="475"/>
      <c r="K33" s="474"/>
    </row>
    <row r="34" spans="1:11" s="473" customFormat="1">
      <c r="A34" s="468" t="s">
        <v>858</v>
      </c>
      <c r="B34" s="469"/>
      <c r="C34" s="469"/>
      <c r="D34" s="478"/>
      <c r="E34" s="477"/>
      <c r="F34" s="477">
        <v>2389500</v>
      </c>
      <c r="G34" s="472">
        <f>SUMIF('PO Tracker'!$K$44:$K$815,'PO Tracker summary'!A34,'PO Tracker'!$J$44:$J$815)</f>
        <v>1268500</v>
      </c>
      <c r="H34" s="472"/>
      <c r="I34" s="469"/>
      <c r="J34" s="475"/>
      <c r="K34" s="474"/>
    </row>
    <row r="35" spans="1:11" s="473" customFormat="1">
      <c r="A35" s="468" t="s">
        <v>859</v>
      </c>
      <c r="B35" s="469"/>
      <c r="C35" s="469"/>
      <c r="D35" s="478"/>
      <c r="E35" s="477"/>
      <c r="F35" s="477">
        <v>2389500</v>
      </c>
      <c r="G35" s="472">
        <f>SUMIF('PO Tracker'!$K$44:$K$815,'PO Tracker summary'!A35,'PO Tracker'!$J$44:$J$815)</f>
        <v>2565856.9000000004</v>
      </c>
      <c r="H35" s="472"/>
      <c r="I35" s="469"/>
      <c r="J35" s="475"/>
      <c r="K35" s="474"/>
    </row>
    <row r="36" spans="1:11">
      <c r="A36" s="479"/>
      <c r="B36" s="480"/>
      <c r="C36" s="480"/>
      <c r="D36" s="480"/>
      <c r="E36" s="481"/>
      <c r="F36" s="481"/>
      <c r="G36" s="482"/>
      <c r="H36" s="482"/>
      <c r="I36" s="480"/>
      <c r="J36" s="475"/>
      <c r="K36" s="408"/>
    </row>
    <row r="37" spans="1:11">
      <c r="A37" s="483" t="s">
        <v>520</v>
      </c>
      <c r="B37" s="484"/>
      <c r="C37" s="484"/>
      <c r="D37" s="484"/>
      <c r="E37" s="485">
        <f>SUM(E5:E36)</f>
        <v>289719785.16313469</v>
      </c>
      <c r="F37" s="485">
        <f>SUM(F5:F36)</f>
        <v>313645777.80187786</v>
      </c>
      <c r="G37" s="485">
        <f>SUM(G5:G36)</f>
        <v>150463831.66580001</v>
      </c>
      <c r="H37" s="485">
        <f>SUM(H5:H36)</f>
        <v>156049182.43607789</v>
      </c>
      <c r="I37" s="484"/>
      <c r="J37" s="407"/>
      <c r="K37" s="408"/>
    </row>
    <row r="39" spans="1:11">
      <c r="G39">
        <f>'PO Tracker'!J42</f>
        <v>150463831.66579998</v>
      </c>
    </row>
    <row r="40" spans="1:11">
      <c r="G40" s="455">
        <f>G39-G37</f>
        <v>0</v>
      </c>
    </row>
    <row r="44" spans="1:11">
      <c r="G44">
        <v>5211962.42</v>
      </c>
    </row>
    <row r="45" spans="1:11">
      <c r="G45">
        <v>15211096.931199998</v>
      </c>
    </row>
    <row r="46" spans="1:11">
      <c r="G46">
        <v>10381154.428199997</v>
      </c>
    </row>
    <row r="47" spans="1:11">
      <c r="G47">
        <v>7574778.4205999998</v>
      </c>
    </row>
    <row r="48" spans="1:11">
      <c r="G48">
        <v>5332377.176</v>
      </c>
    </row>
    <row r="49" spans="7:7">
      <c r="G49">
        <v>98538.44</v>
      </c>
    </row>
    <row r="50" spans="7:7">
      <c r="G50">
        <v>121245</v>
      </c>
    </row>
    <row r="51" spans="7:7">
      <c r="G51">
        <v>5080267.9700000007</v>
      </c>
    </row>
    <row r="52" spans="7:7">
      <c r="G52">
        <v>352443.58</v>
      </c>
    </row>
    <row r="53" spans="7:7">
      <c r="G53">
        <v>6681157.4617999997</v>
      </c>
    </row>
    <row r="56" spans="7:7">
      <c r="G56">
        <v>2958731.4099999997</v>
      </c>
    </row>
    <row r="60" spans="7:7">
      <c r="G60">
        <v>3317263.8673999999</v>
      </c>
    </row>
    <row r="63" spans="7:7">
      <c r="G63">
        <v>2453758.5999999996</v>
      </c>
    </row>
    <row r="64" spans="7:7">
      <c r="G64">
        <v>315061.18</v>
      </c>
    </row>
    <row r="65" spans="7:7">
      <c r="G65">
        <v>41524484.305999994</v>
      </c>
    </row>
    <row r="67" spans="7:7">
      <c r="G67">
        <v>1249397.4588000001</v>
      </c>
    </row>
    <row r="68" spans="7:7">
      <c r="G68">
        <v>1094778.04</v>
      </c>
    </row>
    <row r="70" spans="7:7">
      <c r="G70">
        <v>9782719.2811999992</v>
      </c>
    </row>
    <row r="71" spans="7:7">
      <c r="G71">
        <v>3103388.1399999997</v>
      </c>
    </row>
    <row r="72" spans="7:7">
      <c r="G72">
        <v>1473029.4000000001</v>
      </c>
    </row>
    <row r="73" spans="7:7">
      <c r="G73">
        <v>1268500</v>
      </c>
    </row>
    <row r="74" spans="7:7">
      <c r="G74">
        <v>2565856.9000000004</v>
      </c>
    </row>
    <row r="77" spans="7:7">
      <c r="G77">
        <v>127151990.4112</v>
      </c>
    </row>
    <row r="79" spans="7:7">
      <c r="G79">
        <v>8790279.3399999999</v>
      </c>
    </row>
    <row r="80" spans="7:7">
      <c r="G80">
        <v>159300</v>
      </c>
    </row>
    <row r="81" spans="7:7">
      <c r="G81">
        <v>4000633.4412000002</v>
      </c>
    </row>
    <row r="82" spans="7:7">
      <c r="G82">
        <v>538922.46</v>
      </c>
    </row>
    <row r="83" spans="7:7">
      <c r="G83">
        <v>9630135.9134</v>
      </c>
    </row>
  </sheetData>
  <mergeCells count="1">
    <mergeCell ref="J4:K4"/>
  </mergeCells>
  <conditionalFormatting sqref="G44:G83 G5:G35">
    <cfRule type="duplicateValues" dxfId="0" priority="1"/>
  </conditionalFormatting>
  <dataValidations disablePrompts="1" count="2">
    <dataValidation allowBlank="1" showInputMessage="1" showErrorMessage="1" prompt="Enter % Complete in this column under this heading. A status bar indicates progress toward completion." sqref="I4"/>
    <dataValidation allowBlank="1" showInputMessage="1" showErrorMessage="1" prompt="Enter Bid number in this column under this heading. Use heading filter to find specific entries." sqref="A4:D4"/>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35"/>
  <sheetViews>
    <sheetView view="pageBreakPreview" zoomScale="60" zoomScaleNormal="100" workbookViewId="0">
      <selection activeCell="O32" sqref="O32"/>
    </sheetView>
  </sheetViews>
  <sheetFormatPr defaultRowHeight="15"/>
  <cols>
    <col min="1" max="1" width="6.85546875" customWidth="1"/>
    <col min="6" max="6" width="10.140625" customWidth="1"/>
    <col min="7" max="7" width="11.140625" customWidth="1"/>
    <col min="9" max="9" width="0" hidden="1" customWidth="1"/>
    <col min="10" max="10" width="19.140625" customWidth="1"/>
    <col min="11" max="11" width="17.140625" customWidth="1"/>
    <col min="12" max="12" width="19.7109375" customWidth="1"/>
  </cols>
  <sheetData>
    <row r="2" spans="1:12" ht="24" customHeight="1">
      <c r="K2" s="756" t="s">
        <v>488</v>
      </c>
      <c r="L2" s="756"/>
    </row>
    <row r="3" spans="1:12" ht="24">
      <c r="A3" s="379" t="s">
        <v>348</v>
      </c>
      <c r="B3" s="379" t="s">
        <v>198</v>
      </c>
      <c r="C3" s="379" t="s">
        <v>74</v>
      </c>
      <c r="D3" s="379" t="s">
        <v>349</v>
      </c>
      <c r="E3" s="379" t="s">
        <v>350</v>
      </c>
      <c r="F3" s="379" t="s">
        <v>317</v>
      </c>
      <c r="G3" s="379" t="s">
        <v>330</v>
      </c>
      <c r="H3" s="379" t="s">
        <v>351</v>
      </c>
      <c r="I3" s="379" t="s">
        <v>461</v>
      </c>
      <c r="J3" s="380" t="s">
        <v>320</v>
      </c>
      <c r="K3" s="379" t="s">
        <v>489</v>
      </c>
      <c r="L3" s="379" t="s">
        <v>490</v>
      </c>
    </row>
    <row r="4" spans="1:12" ht="24">
      <c r="A4" s="381">
        <v>1</v>
      </c>
      <c r="B4" s="381" t="s">
        <v>200</v>
      </c>
      <c r="C4" s="381" t="s">
        <v>160</v>
      </c>
      <c r="D4" s="381" t="s">
        <v>160</v>
      </c>
      <c r="E4" s="436" t="s">
        <v>233</v>
      </c>
      <c r="F4" s="382">
        <v>40.770000000000003</v>
      </c>
      <c r="G4" s="382">
        <f>F4*10.764</f>
        <v>438.84827999999999</v>
      </c>
      <c r="H4" s="383" t="s">
        <v>352</v>
      </c>
      <c r="I4" s="452" t="s">
        <v>378</v>
      </c>
      <c r="J4" s="452" t="s">
        <v>378</v>
      </c>
      <c r="K4" s="407">
        <f>'Capex breakup'!H48</f>
        <v>307193.79599999997</v>
      </c>
      <c r="L4" s="407">
        <f>K4*1.18</f>
        <v>362488.67927999992</v>
      </c>
    </row>
    <row r="5" spans="1:12" ht="60">
      <c r="A5" s="381">
        <v>2</v>
      </c>
      <c r="B5" s="381" t="s">
        <v>200</v>
      </c>
      <c r="C5" s="381" t="s">
        <v>157</v>
      </c>
      <c r="D5" s="381" t="s">
        <v>158</v>
      </c>
      <c r="E5" s="436" t="s">
        <v>161</v>
      </c>
      <c r="F5" s="382">
        <v>94.43</v>
      </c>
      <c r="G5" s="382">
        <f t="shared" ref="G5:G24" si="0">F5*10.764</f>
        <v>1016.44452</v>
      </c>
      <c r="H5" s="383" t="s">
        <v>352</v>
      </c>
      <c r="I5" s="452" t="s">
        <v>385</v>
      </c>
      <c r="J5" s="452" t="s">
        <v>385</v>
      </c>
      <c r="K5" s="407">
        <f>'Capex breakup'!R48</f>
        <v>1016444.52</v>
      </c>
      <c r="L5" s="407">
        <f t="shared" ref="L5:L25" si="1">K5*1.18</f>
        <v>1199404.5336</v>
      </c>
    </row>
    <row r="6" spans="1:12">
      <c r="A6" s="381">
        <v>3</v>
      </c>
      <c r="B6" s="381" t="s">
        <v>200</v>
      </c>
      <c r="C6" s="381" t="s">
        <v>157</v>
      </c>
      <c r="D6" s="381" t="s">
        <v>159</v>
      </c>
      <c r="E6" s="436" t="s">
        <v>465</v>
      </c>
      <c r="F6" s="382">
        <v>174</v>
      </c>
      <c r="G6" s="382">
        <f t="shared" si="0"/>
        <v>1872.9359999999999</v>
      </c>
      <c r="H6" s="383" t="s">
        <v>352</v>
      </c>
      <c r="I6" s="452" t="s">
        <v>353</v>
      </c>
      <c r="J6" s="452" t="s">
        <v>353</v>
      </c>
      <c r="K6" s="407">
        <f>'Capex breakup'!AB48</f>
        <v>2060229.5999999999</v>
      </c>
      <c r="L6" s="407">
        <f t="shared" si="1"/>
        <v>2431070.9279999998</v>
      </c>
    </row>
    <row r="7" spans="1:12">
      <c r="A7" s="381">
        <v>4</v>
      </c>
      <c r="B7" s="381" t="s">
        <v>200</v>
      </c>
      <c r="C7" s="381" t="s">
        <v>157</v>
      </c>
      <c r="D7" s="381" t="s">
        <v>159</v>
      </c>
      <c r="E7" s="436" t="s">
        <v>166</v>
      </c>
      <c r="F7" s="382">
        <v>91.7</v>
      </c>
      <c r="G7" s="382">
        <f t="shared" si="0"/>
        <v>987.05880000000002</v>
      </c>
      <c r="H7" s="383" t="s">
        <v>352</v>
      </c>
      <c r="I7" s="452" t="s">
        <v>473</v>
      </c>
      <c r="J7" s="452" t="str">
        <f>I7</f>
        <v>AJ 1881</v>
      </c>
      <c r="K7" s="407">
        <f>'Capex breakup'!AL48</f>
        <v>1418049.3599999999</v>
      </c>
      <c r="L7" s="407">
        <f t="shared" si="1"/>
        <v>1673298.2447999998</v>
      </c>
    </row>
    <row r="8" spans="1:12" ht="24">
      <c r="A8" s="381">
        <v>6</v>
      </c>
      <c r="B8" s="381" t="s">
        <v>200</v>
      </c>
      <c r="C8" s="381" t="s">
        <v>157</v>
      </c>
      <c r="D8" s="381" t="s">
        <v>159</v>
      </c>
      <c r="E8" s="436" t="s">
        <v>467</v>
      </c>
      <c r="F8" s="382">
        <v>72.22</v>
      </c>
      <c r="G8" s="382">
        <f t="shared" si="0"/>
        <v>777.37607999999989</v>
      </c>
      <c r="H8" s="383" t="s">
        <v>352</v>
      </c>
      <c r="I8" s="452" t="s">
        <v>356</v>
      </c>
      <c r="J8" s="452" t="s">
        <v>356</v>
      </c>
      <c r="K8" s="407"/>
      <c r="L8" s="407">
        <f t="shared" si="1"/>
        <v>0</v>
      </c>
    </row>
    <row r="9" spans="1:12" ht="24">
      <c r="A9" s="381">
        <v>7</v>
      </c>
      <c r="B9" s="381" t="s">
        <v>200</v>
      </c>
      <c r="C9" s="381" t="s">
        <v>157</v>
      </c>
      <c r="D9" s="381" t="s">
        <v>159</v>
      </c>
      <c r="E9" s="436" t="s">
        <v>468</v>
      </c>
      <c r="F9" s="382">
        <v>53.12</v>
      </c>
      <c r="G9" s="382">
        <f t="shared" si="0"/>
        <v>571.78367999999989</v>
      </c>
      <c r="H9" s="383"/>
      <c r="I9" s="452" t="s">
        <v>469</v>
      </c>
      <c r="J9" s="452" t="str">
        <f>I9</f>
        <v>Food Hall seating</v>
      </c>
      <c r="K9" s="407">
        <f>'Capex breakup'!BP48</f>
        <v>686140.41599999985</v>
      </c>
      <c r="L9" s="407">
        <f t="shared" si="1"/>
        <v>809645.69087999978</v>
      </c>
    </row>
    <row r="10" spans="1:12">
      <c r="A10" s="381">
        <v>8</v>
      </c>
      <c r="B10" s="381" t="s">
        <v>200</v>
      </c>
      <c r="C10" s="381" t="s">
        <v>157</v>
      </c>
      <c r="D10" s="381" t="s">
        <v>159</v>
      </c>
      <c r="E10" s="436" t="s">
        <v>169</v>
      </c>
      <c r="F10" s="382">
        <v>34.659999999999997</v>
      </c>
      <c r="G10" s="382">
        <f t="shared" si="0"/>
        <v>373.08023999999995</v>
      </c>
      <c r="H10" s="383" t="s">
        <v>352</v>
      </c>
      <c r="I10" s="452" t="s">
        <v>310</v>
      </c>
      <c r="J10" s="452" t="s">
        <v>310</v>
      </c>
      <c r="K10" s="407"/>
      <c r="L10" s="407">
        <f t="shared" si="1"/>
        <v>0</v>
      </c>
    </row>
    <row r="11" spans="1:12" ht="24">
      <c r="A11" s="381">
        <v>9</v>
      </c>
      <c r="B11" s="381" t="s">
        <v>200</v>
      </c>
      <c r="C11" s="381" t="s">
        <v>157</v>
      </c>
      <c r="D11" s="383" t="s">
        <v>357</v>
      </c>
      <c r="E11" s="436" t="s">
        <v>470</v>
      </c>
      <c r="F11" s="382">
        <f>14+4</f>
        <v>18</v>
      </c>
      <c r="G11" s="382">
        <f t="shared" si="0"/>
        <v>193.75199999999998</v>
      </c>
      <c r="H11" s="383" t="s">
        <v>352</v>
      </c>
      <c r="I11" s="452" t="s">
        <v>215</v>
      </c>
      <c r="J11" s="452" t="s">
        <v>472</v>
      </c>
      <c r="K11" s="407"/>
      <c r="L11" s="407">
        <f t="shared" si="1"/>
        <v>0</v>
      </c>
    </row>
    <row r="12" spans="1:12">
      <c r="A12" s="381">
        <v>10</v>
      </c>
      <c r="B12" s="381" t="s">
        <v>200</v>
      </c>
      <c r="C12" s="381" t="s">
        <v>157</v>
      </c>
      <c r="D12" s="381" t="s">
        <v>358</v>
      </c>
      <c r="E12" s="436" t="s">
        <v>359</v>
      </c>
      <c r="F12" s="382">
        <v>17</v>
      </c>
      <c r="G12" s="382">
        <f t="shared" si="0"/>
        <v>182.988</v>
      </c>
      <c r="H12" s="383" t="s">
        <v>352</v>
      </c>
      <c r="I12" s="452" t="s">
        <v>360</v>
      </c>
      <c r="J12" s="452" t="s">
        <v>360</v>
      </c>
      <c r="K12" s="407"/>
      <c r="L12" s="407">
        <f t="shared" si="1"/>
        <v>0</v>
      </c>
    </row>
    <row r="13" spans="1:12">
      <c r="A13" s="381">
        <v>11</v>
      </c>
      <c r="B13" s="381" t="s">
        <v>200</v>
      </c>
      <c r="C13" s="381" t="s">
        <v>157</v>
      </c>
      <c r="D13" s="381" t="s">
        <v>358</v>
      </c>
      <c r="E13" s="436" t="s">
        <v>361</v>
      </c>
      <c r="F13" s="382">
        <v>20</v>
      </c>
      <c r="G13" s="382">
        <f t="shared" si="0"/>
        <v>215.27999999999997</v>
      </c>
      <c r="H13" s="383" t="s">
        <v>352</v>
      </c>
      <c r="I13" s="452" t="s">
        <v>362</v>
      </c>
      <c r="J13" s="452" t="s">
        <v>362</v>
      </c>
      <c r="K13" s="407"/>
      <c r="L13" s="407">
        <f t="shared" si="1"/>
        <v>0</v>
      </c>
    </row>
    <row r="14" spans="1:12" ht="24">
      <c r="A14" s="381">
        <v>12</v>
      </c>
      <c r="B14" s="381" t="s">
        <v>200</v>
      </c>
      <c r="C14" s="381" t="s">
        <v>157</v>
      </c>
      <c r="D14" s="383" t="s">
        <v>363</v>
      </c>
      <c r="E14" s="436" t="s">
        <v>447</v>
      </c>
      <c r="F14" s="382">
        <v>4.5</v>
      </c>
      <c r="G14" s="382">
        <f t="shared" si="0"/>
        <v>48.437999999999995</v>
      </c>
      <c r="H14" s="383" t="s">
        <v>352</v>
      </c>
      <c r="I14" s="452" t="s">
        <v>364</v>
      </c>
      <c r="J14" s="452" t="s">
        <v>364</v>
      </c>
      <c r="K14" s="407"/>
      <c r="L14" s="407">
        <f t="shared" si="1"/>
        <v>0</v>
      </c>
    </row>
    <row r="15" spans="1:12" ht="24">
      <c r="A15" s="381">
        <v>13</v>
      </c>
      <c r="B15" s="381" t="s">
        <v>199</v>
      </c>
      <c r="C15" s="381" t="s">
        <v>160</v>
      </c>
      <c r="D15" s="381" t="s">
        <v>160</v>
      </c>
      <c r="E15" s="436" t="s">
        <v>179</v>
      </c>
      <c r="F15" s="382">
        <v>121.4</v>
      </c>
      <c r="G15" s="382">
        <f t="shared" si="0"/>
        <v>1306.7495999999999</v>
      </c>
      <c r="H15" s="383" t="s">
        <v>352</v>
      </c>
      <c r="I15" s="452" t="s">
        <v>365</v>
      </c>
      <c r="J15" s="452" t="s">
        <v>365</v>
      </c>
      <c r="K15" s="407">
        <f>'Capex breakup'!DW48</f>
        <v>784049.75999999989</v>
      </c>
      <c r="L15" s="407">
        <f t="shared" si="1"/>
        <v>925178.71679999982</v>
      </c>
    </row>
    <row r="16" spans="1:12" ht="24">
      <c r="A16" s="381">
        <v>14</v>
      </c>
      <c r="B16" s="381" t="s">
        <v>199</v>
      </c>
      <c r="C16" s="381" t="s">
        <v>157</v>
      </c>
      <c r="D16" s="381" t="s">
        <v>158</v>
      </c>
      <c r="E16" s="436" t="s">
        <v>162</v>
      </c>
      <c r="F16" s="382">
        <v>35.74</v>
      </c>
      <c r="G16" s="382">
        <f t="shared" si="0"/>
        <v>384.70535999999998</v>
      </c>
      <c r="H16" s="383" t="s">
        <v>352</v>
      </c>
      <c r="I16" s="452" t="s">
        <v>367</v>
      </c>
      <c r="J16" s="452" t="s">
        <v>444</v>
      </c>
      <c r="K16" s="407">
        <f>'Capex breakup'!EG48</f>
        <v>384705.36</v>
      </c>
      <c r="L16" s="407">
        <f t="shared" si="1"/>
        <v>453952.32479999994</v>
      </c>
    </row>
    <row r="17" spans="1:13" ht="24">
      <c r="A17" s="381">
        <v>15</v>
      </c>
      <c r="B17" s="381" t="s">
        <v>199</v>
      </c>
      <c r="C17" s="381" t="s">
        <v>157</v>
      </c>
      <c r="D17" s="381" t="s">
        <v>158</v>
      </c>
      <c r="E17" s="436" t="s">
        <v>163</v>
      </c>
      <c r="F17" s="382">
        <v>35.74</v>
      </c>
      <c r="G17" s="382">
        <f t="shared" si="0"/>
        <v>384.70535999999998</v>
      </c>
      <c r="H17" s="383" t="s">
        <v>352</v>
      </c>
      <c r="I17" s="452" t="s">
        <v>462</v>
      </c>
      <c r="J17" s="452" t="s">
        <v>463</v>
      </c>
      <c r="K17" s="407">
        <f>'Capex breakup'!EQ48</f>
        <v>500116.96799999999</v>
      </c>
      <c r="L17" s="407">
        <f t="shared" si="1"/>
        <v>590138.02223999996</v>
      </c>
    </row>
    <row r="18" spans="1:13" ht="24">
      <c r="A18" s="381">
        <v>17</v>
      </c>
      <c r="B18" s="381" t="s">
        <v>199</v>
      </c>
      <c r="C18" s="381" t="s">
        <v>157</v>
      </c>
      <c r="D18" s="381" t="s">
        <v>159</v>
      </c>
      <c r="E18" s="436" t="s">
        <v>171</v>
      </c>
      <c r="F18" s="382">
        <v>243.47</v>
      </c>
      <c r="G18" s="382">
        <f t="shared" si="0"/>
        <v>2620.71108</v>
      </c>
      <c r="H18" s="383" t="s">
        <v>352</v>
      </c>
      <c r="I18" s="452" t="s">
        <v>464</v>
      </c>
      <c r="J18" s="452" t="s">
        <v>474</v>
      </c>
      <c r="K18" s="407"/>
      <c r="L18" s="407"/>
      <c r="M18" t="s">
        <v>491</v>
      </c>
    </row>
    <row r="19" spans="1:13">
      <c r="A19" s="381">
        <v>18</v>
      </c>
      <c r="B19" s="381" t="s">
        <v>199</v>
      </c>
      <c r="C19" s="381" t="s">
        <v>157</v>
      </c>
      <c r="D19" s="381" t="s">
        <v>159</v>
      </c>
      <c r="E19" s="436" t="s">
        <v>372</v>
      </c>
      <c r="F19" s="382">
        <v>20.68</v>
      </c>
      <c r="G19" s="382">
        <f t="shared" si="0"/>
        <v>222.59951999999998</v>
      </c>
      <c r="H19" s="383" t="s">
        <v>352</v>
      </c>
      <c r="I19" s="452" t="s">
        <v>215</v>
      </c>
      <c r="J19" s="452" t="s">
        <v>215</v>
      </c>
      <c r="K19" s="407"/>
      <c r="L19" s="407">
        <f t="shared" si="1"/>
        <v>0</v>
      </c>
    </row>
    <row r="20" spans="1:13" ht="24">
      <c r="A20" s="381">
        <v>19</v>
      </c>
      <c r="B20" s="381" t="s">
        <v>199</v>
      </c>
      <c r="C20" s="381" t="s">
        <v>157</v>
      </c>
      <c r="D20" s="383" t="s">
        <v>357</v>
      </c>
      <c r="E20" s="436" t="s">
        <v>375</v>
      </c>
      <c r="F20" s="382">
        <v>11.6</v>
      </c>
      <c r="G20" s="382">
        <f t="shared" si="0"/>
        <v>124.86239999999999</v>
      </c>
      <c r="H20" s="383" t="s">
        <v>352</v>
      </c>
      <c r="I20" s="452" t="s">
        <v>365</v>
      </c>
      <c r="J20" s="452" t="s">
        <v>365</v>
      </c>
      <c r="K20" s="407"/>
      <c r="L20" s="407">
        <f t="shared" si="1"/>
        <v>0</v>
      </c>
    </row>
    <row r="21" spans="1:13" ht="24">
      <c r="A21" s="381">
        <v>20</v>
      </c>
      <c r="B21" s="381" t="s">
        <v>199</v>
      </c>
      <c r="C21" s="383" t="s">
        <v>157</v>
      </c>
      <c r="D21" s="383" t="s">
        <v>363</v>
      </c>
      <c r="E21" s="436" t="s">
        <v>376</v>
      </c>
      <c r="F21" s="382">
        <v>9</v>
      </c>
      <c r="G21" s="382">
        <f t="shared" si="0"/>
        <v>96.875999999999991</v>
      </c>
      <c r="H21" s="383" t="s">
        <v>352</v>
      </c>
      <c r="I21" s="452" t="s">
        <v>364</v>
      </c>
      <c r="J21" s="452" t="s">
        <v>364</v>
      </c>
      <c r="K21" s="407"/>
      <c r="L21" s="407">
        <f t="shared" si="1"/>
        <v>0</v>
      </c>
    </row>
    <row r="22" spans="1:13" ht="36">
      <c r="A22" s="381">
        <v>21</v>
      </c>
      <c r="B22" s="381" t="s">
        <v>200</v>
      </c>
      <c r="C22" s="381" t="s">
        <v>157</v>
      </c>
      <c r="D22" s="381" t="s">
        <v>159</v>
      </c>
      <c r="E22" s="436" t="s">
        <v>167</v>
      </c>
      <c r="F22" s="382">
        <v>310.16000000000003</v>
      </c>
      <c r="G22" s="382">
        <f t="shared" si="0"/>
        <v>3338.5622400000002</v>
      </c>
      <c r="H22" s="383" t="s">
        <v>250</v>
      </c>
      <c r="I22" s="452" t="s">
        <v>377</v>
      </c>
      <c r="J22" s="452" t="s">
        <v>377</v>
      </c>
      <c r="K22" s="407">
        <f>'Capex breakup'!HC48</f>
        <v>4006274.6880000001</v>
      </c>
      <c r="L22" s="407">
        <f t="shared" si="1"/>
        <v>4727404.1318399999</v>
      </c>
    </row>
    <row r="23" spans="1:13" ht="24">
      <c r="A23" s="381">
        <v>22</v>
      </c>
      <c r="B23" s="381" t="s">
        <v>200</v>
      </c>
      <c r="C23" s="381" t="s">
        <v>157</v>
      </c>
      <c r="D23" s="381" t="s">
        <v>159</v>
      </c>
      <c r="E23" s="436" t="s">
        <v>164</v>
      </c>
      <c r="F23" s="382">
        <v>315.5</v>
      </c>
      <c r="G23" s="382">
        <f t="shared" si="0"/>
        <v>3396.0419999999999</v>
      </c>
      <c r="H23" s="383" t="s">
        <v>352</v>
      </c>
      <c r="I23" s="452" t="s">
        <v>478</v>
      </c>
      <c r="J23" s="452" t="s">
        <v>478</v>
      </c>
      <c r="K23" s="407">
        <f>'Capex breakup'!HM48</f>
        <v>4075250.4</v>
      </c>
      <c r="L23" s="407">
        <f t="shared" si="1"/>
        <v>4808795.4720000001</v>
      </c>
    </row>
    <row r="24" spans="1:13" ht="36">
      <c r="A24" s="451">
        <v>23</v>
      </c>
      <c r="B24" s="408"/>
      <c r="C24" s="408"/>
      <c r="D24" s="408"/>
      <c r="E24" s="408"/>
      <c r="F24" s="382">
        <v>550</v>
      </c>
      <c r="G24" s="382">
        <f t="shared" si="0"/>
        <v>5920.2</v>
      </c>
      <c r="H24" s="408"/>
      <c r="I24" s="452" t="str">
        <f>J24</f>
        <v>Kitchen &amp; Ware house</v>
      </c>
      <c r="J24" s="454" t="s">
        <v>471</v>
      </c>
      <c r="K24" s="407"/>
      <c r="L24" s="407">
        <f t="shared" si="1"/>
        <v>0</v>
      </c>
    </row>
    <row r="25" spans="1:13">
      <c r="A25" s="451"/>
      <c r="B25" s="408"/>
      <c r="C25" s="408"/>
      <c r="D25" s="408"/>
      <c r="E25" s="408"/>
      <c r="F25" s="382"/>
      <c r="G25" s="382"/>
      <c r="H25" s="408"/>
      <c r="I25" s="452"/>
      <c r="J25" s="454"/>
      <c r="K25" s="407"/>
      <c r="L25" s="407">
        <f t="shared" si="1"/>
        <v>0</v>
      </c>
    </row>
    <row r="26" spans="1:13">
      <c r="A26" s="456"/>
      <c r="B26" s="457"/>
      <c r="C26" s="457"/>
      <c r="D26" s="457"/>
      <c r="E26" s="457"/>
      <c r="F26" s="458"/>
      <c r="G26" s="458"/>
      <c r="H26" s="457"/>
      <c r="I26" s="459"/>
      <c r="J26" s="459"/>
      <c r="K26" s="459"/>
      <c r="L26" s="459"/>
    </row>
    <row r="27" spans="1:13">
      <c r="A27" s="451"/>
      <c r="B27" s="408"/>
      <c r="C27" s="408"/>
      <c r="D27" s="408"/>
      <c r="E27" s="408"/>
      <c r="F27" s="382"/>
      <c r="G27" s="382"/>
      <c r="H27" s="408" t="s">
        <v>485</v>
      </c>
      <c r="I27" s="452"/>
      <c r="J27" s="454"/>
      <c r="K27" s="407"/>
      <c r="L27" s="407"/>
    </row>
    <row r="28" spans="1:13">
      <c r="A28" s="381">
        <v>5</v>
      </c>
      <c r="B28" s="381" t="s">
        <v>200</v>
      </c>
      <c r="C28" s="381" t="s">
        <v>157</v>
      </c>
      <c r="D28" s="381" t="s">
        <v>159</v>
      </c>
      <c r="E28" s="436" t="s">
        <v>466</v>
      </c>
      <c r="F28" s="382">
        <v>86.6</v>
      </c>
      <c r="G28" s="382">
        <f>F28*10.764</f>
        <v>932.16239999999993</v>
      </c>
      <c r="H28" s="383" t="s">
        <v>352</v>
      </c>
      <c r="I28" s="452" t="s">
        <v>354</v>
      </c>
      <c r="J28" s="452" t="s">
        <v>354</v>
      </c>
      <c r="K28" s="407">
        <f>'Capex breakup'!AV48</f>
        <v>509944.49999999994</v>
      </c>
      <c r="L28" s="407">
        <f>K28*1.18</f>
        <v>601734.50999999989</v>
      </c>
    </row>
    <row r="29" spans="1:13" ht="36">
      <c r="A29" s="381">
        <v>16</v>
      </c>
      <c r="B29" s="381" t="s">
        <v>199</v>
      </c>
      <c r="C29" s="381" t="s">
        <v>157</v>
      </c>
      <c r="D29" s="381" t="s">
        <v>159</v>
      </c>
      <c r="E29" s="439" t="s">
        <v>370</v>
      </c>
      <c r="F29" s="382">
        <f>67.82+51.17</f>
        <v>118.99</v>
      </c>
      <c r="G29" s="382">
        <f>F29*10.764</f>
        <v>1280.8083599999998</v>
      </c>
      <c r="H29" s="383" t="s">
        <v>352</v>
      </c>
      <c r="I29" s="452" t="s">
        <v>371</v>
      </c>
      <c r="J29" s="452" t="s">
        <v>371</v>
      </c>
      <c r="K29" s="407">
        <f>'Capex breakup'!FA48</f>
        <v>1152727.5239999997</v>
      </c>
      <c r="L29" s="407">
        <f>K29*1.18</f>
        <v>1360218.4783199995</v>
      </c>
    </row>
    <row r="30" spans="1:13">
      <c r="A30" s="381"/>
      <c r="B30" s="381"/>
      <c r="C30" s="381" t="s">
        <v>358</v>
      </c>
      <c r="D30" s="381"/>
      <c r="E30" s="408"/>
      <c r="F30" s="382"/>
      <c r="G30" s="382"/>
      <c r="H30" s="383"/>
      <c r="I30" s="452"/>
      <c r="J30" s="452" t="s">
        <v>486</v>
      </c>
      <c r="K30" s="407"/>
      <c r="L30" s="407"/>
    </row>
    <row r="31" spans="1:13" ht="24">
      <c r="A31" s="381"/>
      <c r="B31" s="381"/>
      <c r="C31" s="381" t="s">
        <v>358</v>
      </c>
      <c r="D31" s="381"/>
      <c r="E31" s="408"/>
      <c r="F31" s="382"/>
      <c r="G31" s="382"/>
      <c r="H31" s="383"/>
      <c r="I31" s="452"/>
      <c r="J31" s="452" t="s">
        <v>487</v>
      </c>
      <c r="K31" s="408"/>
      <c r="L31" s="408"/>
    </row>
    <row r="32" spans="1:13">
      <c r="A32" s="381"/>
      <c r="B32" s="381"/>
      <c r="C32" s="381" t="s">
        <v>198</v>
      </c>
      <c r="D32" s="381"/>
      <c r="E32" s="408"/>
      <c r="F32" s="382"/>
      <c r="G32" s="382"/>
      <c r="H32" s="383"/>
      <c r="I32" s="452"/>
      <c r="J32" s="452" t="s">
        <v>486</v>
      </c>
      <c r="K32" s="408"/>
      <c r="L32" s="408"/>
    </row>
    <row r="33" spans="1:12" ht="24">
      <c r="A33" s="451"/>
      <c r="B33" s="408"/>
      <c r="C33" s="381" t="s">
        <v>198</v>
      </c>
      <c r="D33" s="408"/>
      <c r="E33" s="408"/>
      <c r="F33" s="382"/>
      <c r="G33" s="382"/>
      <c r="H33" s="408"/>
      <c r="I33" s="452"/>
      <c r="J33" s="452" t="s">
        <v>487</v>
      </c>
      <c r="K33" s="408"/>
      <c r="L33" s="408"/>
    </row>
    <row r="34" spans="1:12">
      <c r="A34" s="408"/>
      <c r="B34" s="408"/>
      <c r="C34" s="408"/>
      <c r="D34" s="408"/>
      <c r="E34" s="408"/>
      <c r="F34" s="382"/>
      <c r="G34" s="382"/>
      <c r="H34" s="408"/>
      <c r="I34" s="408"/>
      <c r="J34" s="441"/>
      <c r="K34" s="408"/>
      <c r="L34" s="408"/>
    </row>
    <row r="35" spans="1:12">
      <c r="A35" s="442"/>
      <c r="B35" s="442"/>
      <c r="C35" s="442"/>
      <c r="D35" s="442"/>
      <c r="E35" s="442"/>
      <c r="F35" s="444">
        <f>SUM(F4:F34)</f>
        <v>2479.2799999999997</v>
      </c>
      <c r="G35" s="444">
        <f>SUM(G4:G34)</f>
        <v>26686.969920000003</v>
      </c>
      <c r="H35" s="442"/>
      <c r="I35" s="442"/>
      <c r="J35" s="443" t="s">
        <v>475</v>
      </c>
      <c r="K35" s="463">
        <f>SUM(K4:K34)</f>
        <v>16901126.892000001</v>
      </c>
      <c r="L35" s="463">
        <f>SUM(L4:L34)</f>
        <v>19943329.732559998</v>
      </c>
    </row>
  </sheetData>
  <mergeCells count="1">
    <mergeCell ref="K2:L2"/>
  </mergeCells>
  <printOptions horizontalCentered="1"/>
  <pageMargins left="0.11811023622047245" right="0.11811023622047245" top="0.35433070866141736" bottom="0.15748031496062992" header="0.31496062992125984" footer="0.31496062992125984"/>
  <pageSetup paperSize="9" scale="73"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U78"/>
  <sheetViews>
    <sheetView zoomScale="80" zoomScaleNormal="80" workbookViewId="0">
      <pane xSplit="2" ySplit="7" topLeftCell="FS36" activePane="bottomRight" state="frozen"/>
      <selection pane="topRight" activeCell="C1" sqref="C1"/>
      <selection pane="bottomLeft" activeCell="A8" sqref="A8"/>
      <selection pane="bottomRight" activeCell="GJ53" sqref="GJ53"/>
    </sheetView>
  </sheetViews>
  <sheetFormatPr defaultColWidth="9.140625" defaultRowHeight="13.5"/>
  <cols>
    <col min="1" max="1" width="6.7109375" style="60" bestFit="1" customWidth="1"/>
    <col min="2" max="2" width="29" style="60" bestFit="1" customWidth="1"/>
    <col min="3" max="3" width="1.7109375" style="60" customWidth="1"/>
    <col min="4" max="4" width="10.28515625" style="60" customWidth="1"/>
    <col min="5" max="5" width="10.28515625" style="60" bestFit="1" customWidth="1"/>
    <col min="6" max="7" width="8" style="60" bestFit="1" customWidth="1"/>
    <col min="8" max="8" width="13.7109375" style="404" bestFit="1" customWidth="1"/>
    <col min="9" max="9" width="12.7109375" style="404" bestFit="1" customWidth="1"/>
    <col min="10" max="10" width="12.7109375" style="60" customWidth="1"/>
    <col min="11" max="12" width="12.7109375" style="611" customWidth="1"/>
    <col min="13" max="13" width="1.7109375" style="60" customWidth="1"/>
    <col min="14" max="14" width="10.28515625" style="60" customWidth="1"/>
    <col min="15" max="15" width="10.28515625" style="60" bestFit="1" customWidth="1"/>
    <col min="16" max="17" width="8" style="60" bestFit="1" customWidth="1"/>
    <col min="18" max="18" width="13.7109375" style="404" bestFit="1" customWidth="1"/>
    <col min="19" max="19" width="12.7109375" style="404" bestFit="1" customWidth="1"/>
    <col min="20" max="20" width="12.7109375" style="60" customWidth="1"/>
    <col min="21" max="21" width="12.7109375" style="611" customWidth="1"/>
    <col min="22" max="22" width="12.7109375" style="626" customWidth="1"/>
    <col min="23" max="23" width="1.7109375" style="60" customWidth="1"/>
    <col min="24" max="24" width="12.5703125" style="60" customWidth="1"/>
    <col min="25" max="25" width="13.7109375" style="60" bestFit="1" customWidth="1"/>
    <col min="26" max="26" width="12.28515625" style="60" customWidth="1"/>
    <col min="27" max="27" width="8" style="60" bestFit="1" customWidth="1"/>
    <col min="28" max="28" width="13.7109375" style="404" bestFit="1" customWidth="1"/>
    <col min="29" max="29" width="12.7109375" style="404" bestFit="1" customWidth="1"/>
    <col min="30" max="30" width="12.7109375" style="60" customWidth="1"/>
    <col min="31" max="31" width="12.7109375" style="611" customWidth="1"/>
    <col min="32" max="32" width="12.7109375" style="626" customWidth="1"/>
    <col min="33" max="33" width="1.7109375" style="60" customWidth="1"/>
    <col min="34" max="34" width="10.28515625" style="60" customWidth="1"/>
    <col min="35" max="35" width="10.28515625" style="60" bestFit="1" customWidth="1"/>
    <col min="36" max="36" width="8" style="60" bestFit="1" customWidth="1"/>
    <col min="37" max="37" width="8.5703125" style="60" bestFit="1" customWidth="1"/>
    <col min="38" max="38" width="13.7109375" style="404" bestFit="1" customWidth="1"/>
    <col min="39" max="39" width="12.7109375" style="404" bestFit="1" customWidth="1"/>
    <col min="40" max="40" width="12.7109375" style="60" customWidth="1"/>
    <col min="41" max="41" width="12.7109375" style="611" customWidth="1"/>
    <col min="42" max="42" width="12.7109375" style="626" customWidth="1"/>
    <col min="43" max="43" width="1.7109375" style="60" customWidth="1"/>
    <col min="44" max="44" width="12.7109375" style="60" bestFit="1" customWidth="1"/>
    <col min="45" max="45" width="12.140625" style="60" bestFit="1" customWidth="1"/>
    <col min="46" max="46" width="9.85546875" style="60" customWidth="1"/>
    <col min="47" max="47" width="8" style="60" bestFit="1" customWidth="1"/>
    <col min="48" max="48" width="13.7109375" style="404" bestFit="1" customWidth="1"/>
    <col min="49" max="49" width="12.7109375" style="404" bestFit="1" customWidth="1"/>
    <col min="50" max="50" width="13" style="60" customWidth="1"/>
    <col min="51" max="51" width="12.7109375" style="611" customWidth="1"/>
    <col min="52" max="52" width="12.7109375" style="626" customWidth="1"/>
    <col min="53" max="53" width="1.7109375" style="60" customWidth="1"/>
    <col min="54" max="54" width="12" style="60" customWidth="1"/>
    <col min="55" max="55" width="12.140625" style="60" bestFit="1" customWidth="1"/>
    <col min="56" max="56" width="7.5703125" style="60" bestFit="1" customWidth="1"/>
    <col min="57" max="57" width="8" style="60" bestFit="1" customWidth="1"/>
    <col min="58" max="58" width="13.7109375" style="404" bestFit="1" customWidth="1"/>
    <col min="59" max="59" width="12.7109375" style="404" bestFit="1" customWidth="1"/>
    <col min="60" max="60" width="12.7109375" style="60" customWidth="1"/>
    <col min="61" max="61" width="12.7109375" style="611" customWidth="1"/>
    <col min="62" max="62" width="12.7109375" style="626" customWidth="1"/>
    <col min="63" max="63" width="1.7109375" style="60" customWidth="1"/>
    <col min="64" max="64" width="10.28515625" style="60" customWidth="1"/>
    <col min="65" max="65" width="10.28515625" style="60" bestFit="1" customWidth="1"/>
    <col min="66" max="66" width="7.5703125" style="60" bestFit="1" customWidth="1"/>
    <col min="67" max="67" width="8" style="60" bestFit="1" customWidth="1"/>
    <col min="68" max="68" width="13.7109375" style="404" bestFit="1" customWidth="1"/>
    <col min="69" max="69" width="12.7109375" style="404" bestFit="1" customWidth="1"/>
    <col min="70" max="70" width="12.7109375" style="60" customWidth="1"/>
    <col min="71" max="71" width="12.7109375" style="611" customWidth="1"/>
    <col min="72" max="72" width="12.7109375" style="626" customWidth="1"/>
    <col min="73" max="73" width="1.7109375" style="60" customWidth="1"/>
    <col min="74" max="74" width="10.28515625" style="60" customWidth="1"/>
    <col min="75" max="75" width="10.28515625" style="60" bestFit="1" customWidth="1"/>
    <col min="76" max="76" width="7.5703125" style="60" bestFit="1" customWidth="1"/>
    <col min="77" max="77" width="9.140625" style="60" customWidth="1"/>
    <col min="78" max="78" width="13.7109375" style="404" bestFit="1" customWidth="1"/>
    <col min="79" max="79" width="12.7109375" style="404" bestFit="1" customWidth="1"/>
    <col min="80" max="80" width="12.7109375" style="60" customWidth="1"/>
    <col min="81" max="81" width="12.7109375" style="611" customWidth="1"/>
    <col min="82" max="82" width="12.7109375" style="626" customWidth="1"/>
    <col min="83" max="83" width="1.7109375" style="60" customWidth="1"/>
    <col min="84" max="84" width="10.28515625" style="60" customWidth="1"/>
    <col min="85" max="85" width="10.28515625" style="60" bestFit="1" customWidth="1"/>
    <col min="86" max="86" width="7.5703125" style="60" bestFit="1" customWidth="1"/>
    <col min="87" max="87" width="8" style="60" bestFit="1" customWidth="1"/>
    <col min="88" max="88" width="13.7109375" style="404" bestFit="1" customWidth="1"/>
    <col min="89" max="89" width="12.7109375" style="404" bestFit="1" customWidth="1"/>
    <col min="90" max="90" width="12.7109375" style="60" customWidth="1"/>
    <col min="91" max="91" width="12.7109375" style="611" customWidth="1"/>
    <col min="92" max="92" width="12.7109375" style="626" customWidth="1"/>
    <col min="93" max="93" width="1.7109375" style="60" customWidth="1"/>
    <col min="94" max="94" width="10.28515625" style="60" customWidth="1"/>
    <col min="95" max="95" width="10.28515625" style="60" bestFit="1" customWidth="1"/>
    <col min="96" max="96" width="9.140625" style="60" customWidth="1"/>
    <col min="97" max="97" width="8" style="60" bestFit="1" customWidth="1"/>
    <col min="98" max="98" width="13.7109375" style="404" bestFit="1" customWidth="1"/>
    <col min="99" max="99" width="12.7109375" style="404" bestFit="1" customWidth="1"/>
    <col min="100" max="100" width="12.7109375" style="60" customWidth="1"/>
    <col min="101" max="101" width="12.7109375" style="611" customWidth="1"/>
    <col min="102" max="102" width="12.7109375" style="626" customWidth="1"/>
    <col min="103" max="103" width="1.7109375" style="60" customWidth="1"/>
    <col min="104" max="104" width="10.28515625" style="60" customWidth="1"/>
    <col min="105" max="105" width="10.28515625" style="60" bestFit="1" customWidth="1"/>
    <col min="106" max="106" width="7.5703125" style="60" bestFit="1" customWidth="1"/>
    <col min="107" max="107" width="8" style="60" bestFit="1" customWidth="1"/>
    <col min="108" max="108" width="13.7109375" style="404" bestFit="1" customWidth="1"/>
    <col min="109" max="109" width="12.7109375" style="404" bestFit="1" customWidth="1"/>
    <col min="110" max="110" width="12.7109375" style="60" customWidth="1"/>
    <col min="111" max="111" width="12.7109375" style="611" customWidth="1"/>
    <col min="112" max="112" width="12.7109375" style="626" customWidth="1"/>
    <col min="113" max="113" width="1.7109375" style="60" customWidth="1"/>
    <col min="114" max="114" width="10.28515625" style="60" customWidth="1"/>
    <col min="115" max="115" width="10.28515625" style="60" bestFit="1" customWidth="1"/>
    <col min="116" max="117" width="8" style="60" bestFit="1" customWidth="1"/>
    <col min="118" max="118" width="13.7109375" style="404" bestFit="1" customWidth="1"/>
    <col min="119" max="119" width="12.7109375" style="60" bestFit="1" customWidth="1"/>
    <col min="120" max="120" width="12.7109375" style="611" customWidth="1"/>
    <col min="121" max="121" width="12.7109375" style="626" customWidth="1"/>
    <col min="122" max="122" width="1.7109375" style="60" customWidth="1"/>
    <col min="123" max="123" width="10.28515625" style="60" customWidth="1"/>
    <col min="124" max="124" width="10.28515625" style="60" bestFit="1" customWidth="1"/>
    <col min="125" max="125" width="7.5703125" style="60" bestFit="1" customWidth="1"/>
    <col min="126" max="126" width="8" style="60" bestFit="1" customWidth="1"/>
    <col min="127" max="127" width="13.7109375" style="404" bestFit="1" customWidth="1"/>
    <col min="128" max="128" width="12.7109375" style="404" bestFit="1" customWidth="1"/>
    <col min="129" max="129" width="12.7109375" style="60" customWidth="1"/>
    <col min="130" max="130" width="12.7109375" style="611" customWidth="1"/>
    <col min="131" max="131" width="12.7109375" style="626" customWidth="1"/>
    <col min="132" max="132" width="1.7109375" style="60" customWidth="1"/>
    <col min="133" max="133" width="10.28515625" style="60" customWidth="1"/>
    <col min="134" max="134" width="10.28515625" style="60" bestFit="1" customWidth="1"/>
    <col min="135" max="135" width="7.5703125" style="60" bestFit="1" customWidth="1"/>
    <col min="136" max="136" width="8" style="60" bestFit="1" customWidth="1"/>
    <col min="137" max="137" width="13.7109375" style="404" bestFit="1" customWidth="1"/>
    <col min="138" max="138" width="12.7109375" style="404" bestFit="1" customWidth="1"/>
    <col min="139" max="139" width="12.7109375" style="60" customWidth="1"/>
    <col min="140" max="140" width="12.7109375" style="611" customWidth="1"/>
    <col min="141" max="141" width="12.7109375" style="626" customWidth="1"/>
    <col min="142" max="142" width="1.7109375" style="60" customWidth="1"/>
    <col min="143" max="143" width="10.28515625" style="60" customWidth="1"/>
    <col min="144" max="144" width="10.28515625" style="60" bestFit="1" customWidth="1"/>
    <col min="145" max="146" width="8" style="60" bestFit="1" customWidth="1"/>
    <col min="147" max="147" width="13.7109375" style="404" bestFit="1" customWidth="1"/>
    <col min="148" max="148" width="12.7109375" style="404" bestFit="1" customWidth="1"/>
    <col min="149" max="149" width="12.7109375" style="60" customWidth="1"/>
    <col min="150" max="150" width="12.7109375" style="611" customWidth="1"/>
    <col min="151" max="151" width="12.7109375" style="626" customWidth="1"/>
    <col min="152" max="152" width="1.7109375" style="60" customWidth="1"/>
    <col min="153" max="153" width="10.28515625" style="60" customWidth="1"/>
    <col min="154" max="154" width="10.28515625" style="60" bestFit="1" customWidth="1"/>
    <col min="155" max="156" width="8" style="60" bestFit="1" customWidth="1"/>
    <col min="157" max="157" width="13.7109375" style="404" bestFit="1" customWidth="1"/>
    <col min="158" max="158" width="12.7109375" style="404" bestFit="1" customWidth="1"/>
    <col min="159" max="159" width="12.7109375" style="60" customWidth="1"/>
    <col min="160" max="160" width="12.7109375" style="611" customWidth="1"/>
    <col min="161" max="161" width="12.7109375" style="626" customWidth="1"/>
    <col min="162" max="162" width="1.7109375" style="60" customWidth="1"/>
    <col min="163" max="163" width="12.5703125" style="60" customWidth="1"/>
    <col min="164" max="164" width="13.7109375" style="60" bestFit="1" customWidth="1"/>
    <col min="165" max="165" width="12.28515625" style="60" customWidth="1"/>
    <col min="166" max="166" width="7.5703125" style="60" bestFit="1" customWidth="1"/>
    <col min="167" max="167" width="14.7109375" style="404" bestFit="1" customWidth="1"/>
    <col min="168" max="172" width="13" style="60" customWidth="1"/>
    <col min="173" max="173" width="13" style="601" customWidth="1"/>
    <col min="174" max="174" width="13" style="60" customWidth="1"/>
    <col min="175" max="175" width="12.7109375" style="611" customWidth="1"/>
    <col min="176" max="176" width="12.7109375" style="626" customWidth="1"/>
    <col min="177" max="177" width="1.7109375" style="60" customWidth="1"/>
    <col min="178" max="178" width="10.28515625" style="60" customWidth="1"/>
    <col min="179" max="179" width="10.28515625" style="60" bestFit="1" customWidth="1"/>
    <col min="180" max="180" width="7.5703125" style="60" bestFit="1" customWidth="1"/>
    <col min="181" max="181" width="8" style="60" bestFit="1" customWidth="1"/>
    <col min="182" max="182" width="13.7109375" style="404" bestFit="1" customWidth="1"/>
    <col min="183" max="183" width="12.7109375" style="404" bestFit="1" customWidth="1"/>
    <col min="184" max="184" width="12.7109375" style="60" customWidth="1"/>
    <col min="185" max="185" width="12.7109375" style="611" customWidth="1"/>
    <col min="186" max="186" width="12.7109375" style="626" customWidth="1"/>
    <col min="187" max="187" width="1.7109375" style="60" customWidth="1"/>
    <col min="188" max="188" width="10.28515625" style="60" customWidth="1"/>
    <col min="189" max="189" width="10.28515625" style="60" bestFit="1" customWidth="1"/>
    <col min="190" max="191" width="8" style="60" bestFit="1" customWidth="1"/>
    <col min="192" max="192" width="13.7109375" style="404" bestFit="1" customWidth="1"/>
    <col min="193" max="193" width="12.7109375" style="404" bestFit="1" customWidth="1"/>
    <col min="194" max="194" width="12.7109375" style="60" customWidth="1"/>
    <col min="195" max="195" width="12.7109375" style="611" customWidth="1"/>
    <col min="196" max="196" width="12.7109375" style="626" customWidth="1"/>
    <col min="197" max="197" width="1.7109375" style="60" customWidth="1"/>
    <col min="198" max="198" width="11.7109375" style="60" customWidth="1"/>
    <col min="199" max="199" width="12.5703125" style="60" customWidth="1"/>
    <col min="200" max="200" width="9.28515625" style="60" customWidth="1"/>
    <col min="201" max="201" width="8" style="60" bestFit="1" customWidth="1"/>
    <col min="202" max="202" width="13.7109375" style="404" bestFit="1" customWidth="1"/>
    <col min="203" max="203" width="12.7109375" style="60" bestFit="1" customWidth="1"/>
    <col min="204" max="204" width="12.7109375" style="611" customWidth="1"/>
    <col min="205" max="205" width="12.7109375" style="626" customWidth="1"/>
    <col min="206" max="206" width="1.7109375" style="60" customWidth="1"/>
    <col min="207" max="207" width="12.5703125" style="60" customWidth="1"/>
    <col min="208" max="208" width="13.7109375" style="60" bestFit="1" customWidth="1"/>
    <col min="209" max="209" width="12.28515625" style="60" customWidth="1"/>
    <col min="210" max="210" width="7.5703125" style="60" bestFit="1" customWidth="1"/>
    <col min="211" max="211" width="14.7109375" style="404" bestFit="1" customWidth="1"/>
    <col min="212" max="213" width="13" style="60" customWidth="1"/>
    <col min="214" max="214" width="12.7109375" style="611" customWidth="1"/>
    <col min="215" max="215" width="12.7109375" style="626" customWidth="1"/>
    <col min="216" max="216" width="1.7109375" style="60" customWidth="1"/>
    <col min="217" max="217" width="12.5703125" style="60" customWidth="1"/>
    <col min="218" max="218" width="13.7109375" style="60" bestFit="1" customWidth="1"/>
    <col min="219" max="219" width="12.28515625" style="60" customWidth="1"/>
    <col min="220" max="220" width="7.5703125" style="60" bestFit="1" customWidth="1"/>
    <col min="221" max="221" width="14.7109375" style="404" bestFit="1" customWidth="1"/>
    <col min="222" max="222" width="13" style="60" customWidth="1"/>
    <col min="223" max="223" width="12.7109375" style="611" customWidth="1"/>
    <col min="224" max="224" width="12.7109375" style="626" customWidth="1"/>
    <col min="225" max="225" width="1.7109375" style="60" customWidth="1"/>
    <col min="226" max="229" width="10.28515625" style="60" customWidth="1"/>
    <col min="230" max="16384" width="9.140625" style="1"/>
  </cols>
  <sheetData>
    <row r="1" spans="1:229" ht="19.5" thickBot="1">
      <c r="A1" s="140" t="str">
        <f>'Summary_Old outlets'!B2</f>
        <v>CAPEX - LUCKNOW - F&amp;B</v>
      </c>
      <c r="B1" s="141"/>
      <c r="C1" s="141"/>
      <c r="D1" s="141"/>
      <c r="E1" s="141"/>
      <c r="F1" s="141"/>
      <c r="G1" s="141"/>
      <c r="H1" s="389"/>
      <c r="I1" s="389"/>
      <c r="J1" s="141"/>
      <c r="K1" s="141"/>
      <c r="L1" s="141"/>
      <c r="M1" s="141"/>
      <c r="N1" s="141"/>
      <c r="O1" s="141"/>
      <c r="P1" s="141"/>
      <c r="Q1" s="141"/>
      <c r="R1" s="389"/>
      <c r="S1" s="389"/>
      <c r="T1" s="141"/>
      <c r="U1" s="141"/>
      <c r="V1" s="603"/>
      <c r="W1" s="141"/>
      <c r="X1" s="269"/>
      <c r="Y1" s="269"/>
      <c r="Z1" s="269"/>
      <c r="AA1" s="141"/>
      <c r="AB1" s="389"/>
      <c r="AC1" s="389"/>
      <c r="AD1" s="141"/>
      <c r="AE1" s="141"/>
      <c r="AF1" s="603"/>
      <c r="AG1" s="141"/>
      <c r="AH1" s="141"/>
      <c r="AI1" s="141"/>
      <c r="AJ1" s="141"/>
      <c r="AK1" s="141"/>
      <c r="AL1" s="389"/>
      <c r="AM1" s="389"/>
      <c r="AN1" s="141"/>
      <c r="AO1" s="141"/>
      <c r="AP1" s="603"/>
      <c r="AQ1" s="141"/>
      <c r="AR1" s="141"/>
      <c r="AS1" s="141"/>
      <c r="AT1" s="141"/>
      <c r="AU1" s="141"/>
      <c r="AV1" s="389"/>
      <c r="AW1" s="389"/>
      <c r="AX1" s="141"/>
      <c r="AY1" s="141"/>
      <c r="AZ1" s="603"/>
      <c r="BA1" s="141"/>
      <c r="BB1" s="141"/>
      <c r="BC1" s="141"/>
      <c r="BD1" s="141"/>
      <c r="BE1" s="141"/>
      <c r="BF1" s="389"/>
      <c r="BG1" s="389"/>
      <c r="BH1" s="141"/>
      <c r="BI1" s="141"/>
      <c r="BJ1" s="603"/>
      <c r="BK1" s="141"/>
      <c r="BL1" s="141"/>
      <c r="BM1" s="141"/>
      <c r="BN1" s="141"/>
      <c r="BO1" s="141"/>
      <c r="BP1" s="389"/>
      <c r="BQ1" s="389"/>
      <c r="BR1" s="141"/>
      <c r="BS1" s="141"/>
      <c r="BT1" s="603"/>
      <c r="BU1" s="141"/>
      <c r="BV1" s="141"/>
      <c r="BW1" s="141"/>
      <c r="BX1" s="141"/>
      <c r="BY1" s="141"/>
      <c r="BZ1" s="389"/>
      <c r="CA1" s="389"/>
      <c r="CB1" s="141"/>
      <c r="CC1" s="141"/>
      <c r="CD1" s="603"/>
      <c r="CE1" s="141"/>
      <c r="CF1" s="141"/>
      <c r="CG1" s="141"/>
      <c r="CH1" s="141"/>
      <c r="CI1" s="141"/>
      <c r="CJ1" s="389"/>
      <c r="CK1" s="389"/>
      <c r="CL1" s="141"/>
      <c r="CM1" s="141"/>
      <c r="CN1" s="603"/>
      <c r="CO1" s="141"/>
      <c r="CP1" s="141"/>
      <c r="CQ1" s="141"/>
      <c r="CR1" s="141"/>
      <c r="CS1" s="141"/>
      <c r="CT1" s="389"/>
      <c r="CU1" s="389"/>
      <c r="CV1" s="141"/>
      <c r="CW1" s="141"/>
      <c r="CX1" s="603"/>
      <c r="CY1" s="141"/>
      <c r="CZ1" s="141"/>
      <c r="DA1" s="141"/>
      <c r="DB1" s="141"/>
      <c r="DC1" s="141"/>
      <c r="DD1" s="389"/>
      <c r="DE1" s="389"/>
      <c r="DF1" s="141"/>
      <c r="DG1" s="141"/>
      <c r="DH1" s="603"/>
      <c r="DI1" s="141"/>
      <c r="DJ1" s="141"/>
      <c r="DK1" s="141"/>
      <c r="DL1" s="141"/>
      <c r="DM1" s="141"/>
      <c r="DN1" s="389"/>
      <c r="DO1" s="141"/>
      <c r="DP1" s="141"/>
      <c r="DQ1" s="603"/>
      <c r="DR1" s="141"/>
      <c r="DS1" s="141"/>
      <c r="DT1" s="141"/>
      <c r="DU1" s="141"/>
      <c r="DV1" s="141"/>
      <c r="DW1" s="389"/>
      <c r="DX1" s="389"/>
      <c r="DY1" s="141"/>
      <c r="DZ1" s="141"/>
      <c r="EA1" s="603"/>
      <c r="EB1" s="141"/>
      <c r="EC1" s="141"/>
      <c r="ED1" s="141"/>
      <c r="EE1" s="141"/>
      <c r="EF1" s="141"/>
      <c r="EG1" s="389"/>
      <c r="EH1" s="389"/>
      <c r="EI1" s="141"/>
      <c r="EJ1" s="141"/>
      <c r="EK1" s="603"/>
      <c r="EL1" s="141"/>
      <c r="EM1" s="141"/>
      <c r="EN1" s="141"/>
      <c r="EO1" s="141"/>
      <c r="EP1" s="141"/>
      <c r="EQ1" s="389"/>
      <c r="ER1" s="389"/>
      <c r="ES1" s="141"/>
      <c r="ET1" s="141"/>
      <c r="EU1" s="603"/>
      <c r="EV1" s="141"/>
      <c r="EW1" s="141"/>
      <c r="EX1" s="141"/>
      <c r="EY1" s="141"/>
      <c r="EZ1" s="141"/>
      <c r="FA1" s="389"/>
      <c r="FB1" s="389"/>
      <c r="FC1" s="141"/>
      <c r="FD1" s="141"/>
      <c r="FE1" s="603"/>
      <c r="FF1" s="141"/>
      <c r="FG1" s="720"/>
      <c r="FH1" s="720"/>
      <c r="FI1" s="720"/>
      <c r="FJ1" s="671"/>
      <c r="FK1" s="721"/>
      <c r="FL1" s="671"/>
      <c r="FM1" s="671"/>
      <c r="FN1" s="671"/>
      <c r="FO1" s="671"/>
      <c r="FP1" s="671"/>
      <c r="FQ1" s="671"/>
      <c r="FR1" s="671"/>
      <c r="FS1" s="671"/>
      <c r="FT1" s="722"/>
      <c r="FU1" s="141"/>
      <c r="FV1" s="141"/>
      <c r="FW1" s="141"/>
      <c r="FX1" s="141"/>
      <c r="FY1" s="141"/>
      <c r="FZ1" s="389"/>
      <c r="GA1" s="389"/>
      <c r="GB1" s="141"/>
      <c r="GC1" s="141"/>
      <c r="GD1" s="603"/>
      <c r="GE1" s="141"/>
      <c r="GF1" s="141"/>
      <c r="GG1" s="141"/>
      <c r="GH1" s="141"/>
      <c r="GI1" s="141"/>
      <c r="GJ1" s="389"/>
      <c r="GK1" s="389"/>
      <c r="GL1" s="141"/>
      <c r="GM1" s="141"/>
      <c r="GN1" s="603"/>
      <c r="GO1" s="141"/>
      <c r="GP1" s="141"/>
      <c r="GQ1" s="141"/>
      <c r="GR1" s="141"/>
      <c r="GS1" s="141"/>
      <c r="GT1" s="389"/>
      <c r="GU1" s="141"/>
      <c r="GV1" s="141"/>
      <c r="GW1" s="603"/>
      <c r="GX1" s="141"/>
      <c r="GY1" s="269"/>
      <c r="GZ1" s="269"/>
      <c r="HA1" s="269"/>
      <c r="HB1" s="141"/>
      <c r="HC1" s="389"/>
      <c r="HD1" s="141"/>
      <c r="HE1" s="141"/>
      <c r="HF1" s="141"/>
      <c r="HG1" s="603"/>
      <c r="HH1" s="141"/>
      <c r="HI1" s="269"/>
      <c r="HJ1" s="269"/>
      <c r="HK1" s="269"/>
      <c r="HL1" s="141"/>
      <c r="HM1" s="389"/>
      <c r="HN1" s="141"/>
      <c r="HO1" s="141"/>
      <c r="HP1" s="603"/>
      <c r="HQ1" s="141"/>
      <c r="HR1" s="141"/>
      <c r="HS1" s="141"/>
      <c r="HT1" s="141"/>
      <c r="HU1" s="141"/>
    </row>
    <row r="2" spans="1:229" ht="15">
      <c r="A2" s="768" t="s">
        <v>0</v>
      </c>
      <c r="B2" s="769"/>
      <c r="C2" s="111"/>
      <c r="D2" s="147">
        <v>247.48</v>
      </c>
      <c r="E2" s="147">
        <f>D2</f>
        <v>247.48</v>
      </c>
      <c r="F2" s="3"/>
      <c r="G2" s="68"/>
      <c r="H2" s="390">
        <f>'Capex Summary'!G4</f>
        <v>438.84827999999999</v>
      </c>
      <c r="I2" s="390">
        <f>H2</f>
        <v>438.84827999999999</v>
      </c>
      <c r="J2" s="68"/>
      <c r="K2" s="68"/>
      <c r="L2" s="68"/>
      <c r="M2" s="111"/>
      <c r="N2" s="147">
        <v>247.48</v>
      </c>
      <c r="O2" s="147">
        <f>N2</f>
        <v>247.48</v>
      </c>
      <c r="P2" s="3"/>
      <c r="Q2" s="68"/>
      <c r="R2" s="390">
        <f>'Capex Summary'!G39</f>
        <v>1016.44452</v>
      </c>
      <c r="S2" s="390">
        <f>R2</f>
        <v>1016.44452</v>
      </c>
      <c r="T2" s="68"/>
      <c r="U2" s="68"/>
      <c r="V2" s="604"/>
      <c r="W2" s="111"/>
      <c r="X2" s="147">
        <f>245*10.76</f>
        <v>2636.2</v>
      </c>
      <c r="Y2" s="147">
        <f>X2</f>
        <v>2636.2</v>
      </c>
      <c r="Z2" s="3"/>
      <c r="AA2" s="68"/>
      <c r="AB2" s="390">
        <f>'Capex Summary'!G5</f>
        <v>1872.9359999999999</v>
      </c>
      <c r="AC2" s="390">
        <f>AB2</f>
        <v>1872.9359999999999</v>
      </c>
      <c r="AD2" s="68"/>
      <c r="AE2" s="68"/>
      <c r="AF2" s="604"/>
      <c r="AG2" s="111"/>
      <c r="AH2" s="147">
        <v>247.48</v>
      </c>
      <c r="AI2" s="147">
        <f>AH2</f>
        <v>247.48</v>
      </c>
      <c r="AJ2" s="3"/>
      <c r="AK2" s="68"/>
      <c r="AL2" s="390">
        <v>405.15695999999997</v>
      </c>
      <c r="AM2" s="390">
        <f>AL2</f>
        <v>405.15695999999997</v>
      </c>
      <c r="AN2" s="68"/>
      <c r="AO2" s="68"/>
      <c r="AP2" s="604"/>
      <c r="AQ2" s="111"/>
      <c r="AR2" s="147">
        <f>101*10.76</f>
        <v>1086.76</v>
      </c>
      <c r="AS2" s="147">
        <f>AR2</f>
        <v>1086.76</v>
      </c>
      <c r="AT2" s="3"/>
      <c r="AU2" s="68"/>
      <c r="AV2" s="390">
        <v>1019.8889999999999</v>
      </c>
      <c r="AW2" s="390">
        <f>AV2</f>
        <v>1019.8889999999999</v>
      </c>
      <c r="AX2" s="68"/>
      <c r="AY2" s="68"/>
      <c r="AZ2" s="604"/>
      <c r="BA2" s="111"/>
      <c r="BB2" s="147">
        <v>624.08000000000004</v>
      </c>
      <c r="BC2" s="147">
        <f>BB2</f>
        <v>624.08000000000004</v>
      </c>
      <c r="BD2" s="3"/>
      <c r="BE2" s="68"/>
      <c r="BF2" s="390">
        <f>'Capex Summary'!G7</f>
        <v>777.37607999999989</v>
      </c>
      <c r="BG2" s="390">
        <f>BF2</f>
        <v>777.37607999999989</v>
      </c>
      <c r="BH2" s="68"/>
      <c r="BI2" s="68"/>
      <c r="BJ2" s="604"/>
      <c r="BK2" s="111"/>
      <c r="BL2" s="147"/>
      <c r="BM2" s="147"/>
      <c r="BN2" s="3"/>
      <c r="BO2" s="68"/>
      <c r="BP2" s="390">
        <f>'Capex Summary'!G40</f>
        <v>571.78367999999989</v>
      </c>
      <c r="BQ2" s="390">
        <f>BP2</f>
        <v>571.78367999999989</v>
      </c>
      <c r="BR2" s="68"/>
      <c r="BS2" s="68"/>
      <c r="BT2" s="604"/>
      <c r="BU2" s="111"/>
      <c r="BV2" s="147">
        <v>979</v>
      </c>
      <c r="BW2" s="147">
        <f>BV2</f>
        <v>979</v>
      </c>
      <c r="BX2" s="3"/>
      <c r="BY2" s="68"/>
      <c r="BZ2" s="390">
        <f>'Capex Summary'!G8</f>
        <v>373.08023999999995</v>
      </c>
      <c r="CA2" s="390">
        <f>BZ2</f>
        <v>373.08023999999995</v>
      </c>
      <c r="CB2" s="68"/>
      <c r="CC2" s="68"/>
      <c r="CD2" s="604"/>
      <c r="CE2" s="111"/>
      <c r="CF2" s="147">
        <v>333.56</v>
      </c>
      <c r="CG2" s="147">
        <f>CF2</f>
        <v>333.56</v>
      </c>
      <c r="CH2" s="3"/>
      <c r="CI2" s="68"/>
      <c r="CJ2" s="390">
        <f>'Capex Summary'!G9</f>
        <v>193.75199999999998</v>
      </c>
      <c r="CK2" s="390">
        <f>CJ2</f>
        <v>193.75199999999998</v>
      </c>
      <c r="CL2" s="68"/>
      <c r="CM2" s="68"/>
      <c r="CN2" s="604"/>
      <c r="CO2" s="111"/>
      <c r="CP2" s="147"/>
      <c r="CQ2" s="147">
        <f>CP2</f>
        <v>0</v>
      </c>
      <c r="CR2" s="3"/>
      <c r="CS2" s="68"/>
      <c r="CT2" s="390">
        <f>'Capex Summary'!G10</f>
        <v>182.988</v>
      </c>
      <c r="CU2" s="390">
        <f>CT2</f>
        <v>182.988</v>
      </c>
      <c r="CV2" s="68"/>
      <c r="CW2" s="68"/>
      <c r="CX2" s="604"/>
      <c r="CY2" s="111"/>
      <c r="CZ2" s="147">
        <v>333.56</v>
      </c>
      <c r="DA2" s="147">
        <f>CZ2</f>
        <v>333.56</v>
      </c>
      <c r="DB2" s="3"/>
      <c r="DC2" s="68"/>
      <c r="DD2" s="390">
        <f>'Capex Summary'!G11</f>
        <v>215.27999999999997</v>
      </c>
      <c r="DE2" s="390">
        <f>DD2</f>
        <v>215.27999999999997</v>
      </c>
      <c r="DF2" s="68"/>
      <c r="DG2" s="68"/>
      <c r="DH2" s="604"/>
      <c r="DI2" s="111"/>
      <c r="DJ2" s="147">
        <v>100</v>
      </c>
      <c r="DK2" s="147">
        <f>DJ2</f>
        <v>100</v>
      </c>
      <c r="DL2" s="3"/>
      <c r="DM2" s="68"/>
      <c r="DN2" s="390">
        <f>'Capex Summary'!G12</f>
        <v>48.437999999999995</v>
      </c>
      <c r="DO2" s="68">
        <f>DN2</f>
        <v>48.437999999999995</v>
      </c>
      <c r="DP2" s="68"/>
      <c r="DQ2" s="604"/>
      <c r="DR2" s="111"/>
      <c r="DS2" s="147">
        <v>333.56</v>
      </c>
      <c r="DT2" s="147">
        <f>DS2</f>
        <v>333.56</v>
      </c>
      <c r="DU2" s="3"/>
      <c r="DV2" s="68"/>
      <c r="DW2" s="390">
        <f>'Capex Summary'!G13</f>
        <v>1306.7495999999999</v>
      </c>
      <c r="DX2" s="390">
        <f>DW2</f>
        <v>1306.7495999999999</v>
      </c>
      <c r="DY2" s="68"/>
      <c r="DZ2" s="68"/>
      <c r="EA2" s="604"/>
      <c r="EB2" s="111"/>
      <c r="EC2" s="147">
        <v>333.56</v>
      </c>
      <c r="ED2" s="147">
        <f>EC2</f>
        <v>333.56</v>
      </c>
      <c r="EE2" s="3"/>
      <c r="EF2" s="68"/>
      <c r="EG2" s="390">
        <f>'Capex Summary'!G16</f>
        <v>384.70535999999998</v>
      </c>
      <c r="EH2" s="390">
        <f>EG2</f>
        <v>384.70535999999998</v>
      </c>
      <c r="EI2" s="68"/>
      <c r="EJ2" s="68"/>
      <c r="EK2" s="604"/>
      <c r="EL2" s="111"/>
      <c r="EM2" s="147"/>
      <c r="EN2" s="147">
        <f>EM2</f>
        <v>0</v>
      </c>
      <c r="EO2" s="3"/>
      <c r="EP2" s="68"/>
      <c r="EQ2" s="390">
        <f>'Capex Summary'!G16</f>
        <v>384.70535999999998</v>
      </c>
      <c r="ER2" s="390">
        <f>EQ2</f>
        <v>384.70535999999998</v>
      </c>
      <c r="ES2" s="68"/>
      <c r="ET2" s="68"/>
      <c r="EU2" s="604"/>
      <c r="EV2" s="111"/>
      <c r="EW2" s="147"/>
      <c r="EX2" s="147">
        <f>EW2</f>
        <v>0</v>
      </c>
      <c r="EY2" s="3"/>
      <c r="EZ2" s="68"/>
      <c r="FA2" s="390">
        <f>'Capex Summary'!G30</f>
        <v>1280.8083599999998</v>
      </c>
      <c r="FB2" s="390">
        <f>FA2</f>
        <v>1280.8083599999998</v>
      </c>
      <c r="FC2" s="68"/>
      <c r="FD2" s="68"/>
      <c r="FE2" s="604"/>
      <c r="FF2" s="111"/>
      <c r="FG2" s="723">
        <f>245*10.76</f>
        <v>2636.2</v>
      </c>
      <c r="FH2" s="724">
        <f>FG2</f>
        <v>2636.2</v>
      </c>
      <c r="FI2" s="725"/>
      <c r="FJ2" s="673"/>
      <c r="FK2" s="400">
        <f>'Capex Summary'!G42</f>
        <v>2620.71108</v>
      </c>
      <c r="FL2" s="673">
        <f>FK2</f>
        <v>2620.71108</v>
      </c>
      <c r="FM2" s="672"/>
      <c r="FN2" s="673">
        <f>$FK$2</f>
        <v>2620.71108</v>
      </c>
      <c r="FO2" s="674">
        <f>FN2</f>
        <v>2620.71108</v>
      </c>
      <c r="FP2" s="672"/>
      <c r="FQ2" s="673">
        <f>$FN$2</f>
        <v>2620.71108</v>
      </c>
      <c r="FR2" s="674">
        <f>FQ2</f>
        <v>2620.71108</v>
      </c>
      <c r="FS2" s="726"/>
      <c r="FT2" s="727"/>
      <c r="FU2" s="704"/>
      <c r="FV2" s="147">
        <v>333.56</v>
      </c>
      <c r="FW2" s="147">
        <f>FV2</f>
        <v>333.56</v>
      </c>
      <c r="FX2" s="3"/>
      <c r="FY2" s="68"/>
      <c r="FZ2" s="390">
        <f>'Capex Summary'!G20</f>
        <v>222.59951999999998</v>
      </c>
      <c r="GA2" s="390">
        <f>FZ2</f>
        <v>222.59951999999998</v>
      </c>
      <c r="GB2" s="68"/>
      <c r="GC2" s="68"/>
      <c r="GD2" s="604"/>
      <c r="GE2" s="111"/>
      <c r="GF2" s="147">
        <v>100</v>
      </c>
      <c r="GG2" s="147">
        <f>GF2</f>
        <v>100</v>
      </c>
      <c r="GH2" s="3"/>
      <c r="GI2" s="68"/>
      <c r="GJ2" s="390">
        <v>150.696</v>
      </c>
      <c r="GK2" s="390">
        <f>GJ2</f>
        <v>150.696</v>
      </c>
      <c r="GL2" s="68"/>
      <c r="GM2" s="68"/>
      <c r="GN2" s="604"/>
      <c r="GO2" s="111"/>
      <c r="GP2" s="147">
        <v>100</v>
      </c>
      <c r="GQ2" s="147">
        <f>GP2</f>
        <v>100</v>
      </c>
      <c r="GR2" s="3"/>
      <c r="GS2" s="68"/>
      <c r="GT2" s="390">
        <f>'Capex Summary'!G24</f>
        <v>96.875999999999991</v>
      </c>
      <c r="GU2" s="68">
        <f>GT2</f>
        <v>96.875999999999991</v>
      </c>
      <c r="GV2" s="68"/>
      <c r="GW2" s="604"/>
      <c r="GX2" s="111"/>
      <c r="GY2" s="147"/>
      <c r="GZ2" s="147"/>
      <c r="HA2" s="3"/>
      <c r="HB2" s="68"/>
      <c r="HC2" s="390">
        <f>'Capex Summary'!G25</f>
        <v>3338.5622400000002</v>
      </c>
      <c r="HD2" s="68">
        <f>HC2</f>
        <v>3338.5622400000002</v>
      </c>
      <c r="HE2" s="68"/>
      <c r="HF2" s="68"/>
      <c r="HG2" s="604"/>
      <c r="HH2" s="111"/>
      <c r="HI2" s="147"/>
      <c r="HJ2" s="147"/>
      <c r="HK2" s="3"/>
      <c r="HL2" s="68"/>
      <c r="HM2" s="437">
        <f>'Capex Summary'!G27</f>
        <v>3396.0419999999999</v>
      </c>
      <c r="HN2" s="438">
        <f>HM2</f>
        <v>3396.0419999999999</v>
      </c>
      <c r="HO2" s="68"/>
      <c r="HP2" s="604"/>
      <c r="HQ2" s="111"/>
      <c r="HR2" s="333"/>
      <c r="HS2" s="333"/>
      <c r="HT2" s="333"/>
      <c r="HU2" s="333"/>
    </row>
    <row r="3" spans="1:229" ht="15">
      <c r="A3" s="768" t="s">
        <v>1</v>
      </c>
      <c r="B3" s="769"/>
      <c r="C3" s="112"/>
      <c r="D3" s="6">
        <f>D71</f>
        <v>7712519.7467198512</v>
      </c>
      <c r="E3" s="6">
        <f>E71</f>
        <v>6511285.6836608909</v>
      </c>
      <c r="F3" s="6"/>
      <c r="G3" s="69"/>
      <c r="H3" s="391">
        <f>H71</f>
        <v>6545422.0961999996</v>
      </c>
      <c r="I3" s="391">
        <f>I71</f>
        <v>7723598.0735159991</v>
      </c>
      <c r="J3" s="69"/>
      <c r="K3" s="612">
        <f>K71</f>
        <v>5211962.42</v>
      </c>
      <c r="L3" s="612"/>
      <c r="M3" s="112"/>
      <c r="N3" s="6">
        <f>N71</f>
        <v>7712519.7467198512</v>
      </c>
      <c r="O3" s="6">
        <f>O71</f>
        <v>6511285.6836608909</v>
      </c>
      <c r="P3" s="6"/>
      <c r="Q3" s="69"/>
      <c r="R3" s="391">
        <f>R71</f>
        <v>11379096.4014</v>
      </c>
      <c r="S3" s="391">
        <f>S71</f>
        <v>13427333.753651999</v>
      </c>
      <c r="T3" s="69"/>
      <c r="U3" s="612">
        <f>U71</f>
        <v>8790279.3399999999</v>
      </c>
      <c r="V3" s="602"/>
      <c r="W3" s="112"/>
      <c r="X3" s="6">
        <f>X71</f>
        <v>39536000.369600005</v>
      </c>
      <c r="Y3" s="6">
        <f>Y71</f>
        <v>35258231.312456138</v>
      </c>
      <c r="Z3" s="6"/>
      <c r="AA3" s="69"/>
      <c r="AB3" s="391">
        <f>AB71</f>
        <v>23477616.044999998</v>
      </c>
      <c r="AC3" s="391">
        <f>AC71</f>
        <v>27703586.933100004</v>
      </c>
      <c r="AD3" s="69"/>
      <c r="AE3" s="612">
        <f>AE71</f>
        <v>15211096.931200001</v>
      </c>
      <c r="AF3" s="602"/>
      <c r="AG3" s="112"/>
      <c r="AH3" s="6">
        <f>AH71</f>
        <v>7712519.7467198512</v>
      </c>
      <c r="AI3" s="6">
        <f>AI71</f>
        <v>6511285.6836608909</v>
      </c>
      <c r="AJ3" s="6"/>
      <c r="AK3" s="69"/>
      <c r="AL3" s="391">
        <f>AL71</f>
        <v>13653789.551999997</v>
      </c>
      <c r="AM3" s="391">
        <f>AM71</f>
        <v>16111471.671359997</v>
      </c>
      <c r="AN3" s="69"/>
      <c r="AO3" s="391">
        <f>AO71</f>
        <v>10381154.428199999</v>
      </c>
      <c r="AP3" s="602"/>
      <c r="AQ3" s="112"/>
      <c r="AR3" s="6">
        <f>AR71</f>
        <v>21483087.552000001</v>
      </c>
      <c r="AS3" s="6">
        <f>AS71</f>
        <v>18206006.399999999</v>
      </c>
      <c r="AT3" s="6"/>
      <c r="AU3" s="69"/>
      <c r="AV3" s="391">
        <f>AV71</f>
        <v>23284065.869999997</v>
      </c>
      <c r="AW3" s="391">
        <f>AW71</f>
        <v>27475197.726599999</v>
      </c>
      <c r="AX3" s="69"/>
      <c r="AY3" s="612">
        <f>AY71</f>
        <v>9630135.9134000018</v>
      </c>
      <c r="AZ3" s="602"/>
      <c r="BA3" s="112"/>
      <c r="BB3" s="6">
        <f>BB71</f>
        <v>14865003.5</v>
      </c>
      <c r="BC3" s="6">
        <f>BC71</f>
        <v>12597460.593220338</v>
      </c>
      <c r="BD3" s="6"/>
      <c r="BE3" s="69"/>
      <c r="BF3" s="391">
        <f>BF71</f>
        <v>10961002.728</v>
      </c>
      <c r="BG3" s="391">
        <f>BG71</f>
        <v>12933983.219039997</v>
      </c>
      <c r="BH3" s="69"/>
      <c r="BI3" s="612">
        <f>BI71</f>
        <v>7574778.4206000008</v>
      </c>
      <c r="BJ3" s="602"/>
      <c r="BK3" s="112"/>
      <c r="BL3" s="6"/>
      <c r="BM3" s="6"/>
      <c r="BN3" s="6"/>
      <c r="BO3" s="69"/>
      <c r="BP3" s="391">
        <f>BP71</f>
        <v>3562212.3263999992</v>
      </c>
      <c r="BQ3" s="391">
        <f>BQ71</f>
        <v>4203410.5451519983</v>
      </c>
      <c r="BR3" s="69"/>
      <c r="BS3" s="612">
        <f>BS71</f>
        <v>0</v>
      </c>
      <c r="BT3" s="602"/>
      <c r="BU3" s="112"/>
      <c r="BV3" s="6">
        <f>BV71</f>
        <v>6190592.9359999998</v>
      </c>
      <c r="BW3" s="6">
        <f>BW71</f>
        <v>5246265.2</v>
      </c>
      <c r="BX3" s="6"/>
      <c r="BY3" s="69"/>
      <c r="BZ3" s="391">
        <f>BZ71</f>
        <v>7580990.4767999984</v>
      </c>
      <c r="CA3" s="391">
        <f>CA71</f>
        <v>8945568.7626239974</v>
      </c>
      <c r="CB3" s="69"/>
      <c r="CC3" s="612">
        <f>CC71</f>
        <v>5332377.175999999</v>
      </c>
      <c r="CD3" s="602"/>
      <c r="CE3" s="112"/>
      <c r="CF3" s="6">
        <f>CF71</f>
        <v>4969746.5133333337</v>
      </c>
      <c r="CG3" s="6">
        <f>CG71</f>
        <v>4211649.5875706207</v>
      </c>
      <c r="CH3" s="6"/>
      <c r="CI3" s="69"/>
      <c r="CJ3" s="391">
        <f>CJ71</f>
        <v>4359420</v>
      </c>
      <c r="CK3" s="391">
        <f>CK71</f>
        <v>5144115.5999999987</v>
      </c>
      <c r="CL3" s="69"/>
      <c r="CM3" s="612">
        <f>CM71</f>
        <v>98538.44</v>
      </c>
      <c r="CN3" s="602"/>
      <c r="CO3" s="112"/>
      <c r="CP3" s="6">
        <f>CP71</f>
        <v>0</v>
      </c>
      <c r="CQ3" s="6">
        <f>CQ71</f>
        <v>0</v>
      </c>
      <c r="CR3" s="6"/>
      <c r="CS3" s="69"/>
      <c r="CT3" s="391">
        <f>CT71</f>
        <v>292780.79999999999</v>
      </c>
      <c r="CU3" s="391">
        <f>CU71</f>
        <v>345481.34399999998</v>
      </c>
      <c r="CV3" s="69"/>
      <c r="CW3" s="612">
        <f>CW71</f>
        <v>121245</v>
      </c>
      <c r="CX3" s="602"/>
      <c r="CY3" s="112"/>
      <c r="CZ3" s="6">
        <f>CZ71</f>
        <v>4969746.5133333337</v>
      </c>
      <c r="DA3" s="6">
        <f>DA71</f>
        <v>4211649.5875706207</v>
      </c>
      <c r="DB3" s="6"/>
      <c r="DC3" s="69"/>
      <c r="DD3" s="391">
        <f>DD71</f>
        <v>3982679.9999999991</v>
      </c>
      <c r="DE3" s="391">
        <f>DE71</f>
        <v>4699562.3999999985</v>
      </c>
      <c r="DF3" s="69"/>
      <c r="DG3" s="612">
        <f>DG71</f>
        <v>5080267.9700000007</v>
      </c>
      <c r="DH3" s="602"/>
      <c r="DI3" s="112"/>
      <c r="DJ3" s="6">
        <f>DJ71</f>
        <v>2124000</v>
      </c>
      <c r="DK3" s="6">
        <f>DK71</f>
        <v>1800000</v>
      </c>
      <c r="DL3" s="6"/>
      <c r="DM3" s="69"/>
      <c r="DN3" s="391">
        <f>DN71</f>
        <v>463502.72</v>
      </c>
      <c r="DO3" s="69">
        <f>DO71</f>
        <v>546933.20959999994</v>
      </c>
      <c r="DP3" s="612">
        <f>DP71</f>
        <v>352443.57999999996</v>
      </c>
      <c r="DQ3" s="602"/>
      <c r="DR3" s="112"/>
      <c r="DS3" s="6">
        <f>DS71</f>
        <v>4969746.5133333337</v>
      </c>
      <c r="DT3" s="6">
        <f>DT71</f>
        <v>4211649.5875706207</v>
      </c>
      <c r="DU3" s="6"/>
      <c r="DV3" s="69"/>
      <c r="DW3" s="391">
        <f>DW71</f>
        <v>8062662.2544</v>
      </c>
      <c r="DX3" s="391">
        <f>DX71</f>
        <v>9513941.4601919986</v>
      </c>
      <c r="DY3" s="69"/>
      <c r="DZ3" s="612">
        <f>DZ71</f>
        <v>2453758.6</v>
      </c>
      <c r="EA3" s="602"/>
      <c r="EB3" s="112"/>
      <c r="EC3" s="6">
        <f>EC71</f>
        <v>4969746.5133333337</v>
      </c>
      <c r="ED3" s="6">
        <f>ED71</f>
        <v>4211649.5875706207</v>
      </c>
      <c r="EE3" s="6"/>
      <c r="EF3" s="69"/>
      <c r="EG3" s="391">
        <f>EG71</f>
        <v>4724181.8207999989</v>
      </c>
      <c r="EH3" s="391">
        <f>EH71</f>
        <v>5574534.5485439999</v>
      </c>
      <c r="EI3" s="69"/>
      <c r="EJ3" s="612">
        <f>EJ71</f>
        <v>2958731.4099999997</v>
      </c>
      <c r="EK3" s="602"/>
      <c r="EL3" s="112"/>
      <c r="EM3" s="6">
        <f>EM71</f>
        <v>0</v>
      </c>
      <c r="EN3" s="6">
        <f>EN71</f>
        <v>0</v>
      </c>
      <c r="EO3" s="6"/>
      <c r="EP3" s="69"/>
      <c r="EQ3" s="391">
        <f>EQ71</f>
        <v>5724415.7567999996</v>
      </c>
      <c r="ER3" s="391">
        <f>ER71</f>
        <v>6754810.5930239996</v>
      </c>
      <c r="ES3" s="69"/>
      <c r="ET3" s="612">
        <f>ET71</f>
        <v>4193203.5411999999</v>
      </c>
      <c r="EU3" s="602"/>
      <c r="EV3" s="112"/>
      <c r="EW3" s="6">
        <f>EW71</f>
        <v>0</v>
      </c>
      <c r="EX3" s="6">
        <f>EX71</f>
        <v>0</v>
      </c>
      <c r="EY3" s="6"/>
      <c r="EZ3" s="69"/>
      <c r="FA3" s="391">
        <f>FA71</f>
        <v>14646043.596599996</v>
      </c>
      <c r="FB3" s="391">
        <f>FB71</f>
        <v>17282331.443987995</v>
      </c>
      <c r="FC3" s="69"/>
      <c r="FD3" s="612">
        <f>FD71</f>
        <v>9782719.281200001</v>
      </c>
      <c r="FE3" s="602"/>
      <c r="FF3" s="197"/>
      <c r="FG3" s="728">
        <f>FG71</f>
        <v>39536000.369600005</v>
      </c>
      <c r="FH3" s="6">
        <f>FH71</f>
        <v>35258231.312456138</v>
      </c>
      <c r="FI3" s="6"/>
      <c r="FJ3" s="612"/>
      <c r="FK3" s="391">
        <f>FK71</f>
        <v>29881423.564973738</v>
      </c>
      <c r="FL3" s="654">
        <f>FL71</f>
        <v>35260079.806669004</v>
      </c>
      <c r="FM3" s="675"/>
      <c r="FN3" s="391">
        <f>FN71</f>
        <v>14800387.473322727</v>
      </c>
      <c r="FO3" s="676">
        <f>FO71</f>
        <v>17464457.218520813</v>
      </c>
      <c r="FP3" s="675"/>
      <c r="FQ3" s="391">
        <f>FQ71</f>
        <v>15081036.091651013</v>
      </c>
      <c r="FR3" s="676">
        <f>FR71</f>
        <v>17795622.588148195</v>
      </c>
      <c r="FS3" s="659">
        <f>FS71</f>
        <v>538922.46</v>
      </c>
      <c r="FT3" s="729"/>
      <c r="FU3" s="705"/>
      <c r="FV3" s="6">
        <f>FV71</f>
        <v>4969746.5133333337</v>
      </c>
      <c r="FW3" s="6">
        <f>FW71</f>
        <v>4211649.5875706207</v>
      </c>
      <c r="FX3" s="6"/>
      <c r="FY3" s="69"/>
      <c r="FZ3" s="391">
        <f>FZ71</f>
        <v>4411922.4863999998</v>
      </c>
      <c r="GA3" s="391">
        <f>GA71</f>
        <v>5206068.5339519996</v>
      </c>
      <c r="GB3" s="69"/>
      <c r="GC3" s="612">
        <f>GC71</f>
        <v>3317263.8673999999</v>
      </c>
      <c r="GD3" s="602"/>
      <c r="GE3" s="112"/>
      <c r="GF3" s="6">
        <f>GF71</f>
        <v>2124000</v>
      </c>
      <c r="GG3" s="6">
        <f>GG71</f>
        <v>1800000</v>
      </c>
      <c r="GH3" s="6"/>
      <c r="GI3" s="69"/>
      <c r="GJ3" s="391">
        <f>GJ71</f>
        <v>3259554.48</v>
      </c>
      <c r="GK3" s="391">
        <f>GK71</f>
        <v>3846274.2863999996</v>
      </c>
      <c r="GL3" s="69"/>
      <c r="GM3" s="612">
        <f>GM71</f>
        <v>6681157.4617999997</v>
      </c>
      <c r="GN3" s="602"/>
      <c r="GO3" s="112"/>
      <c r="GP3" s="6">
        <f>GP71</f>
        <v>2124000</v>
      </c>
      <c r="GQ3" s="6">
        <f>GQ71</f>
        <v>1800000</v>
      </c>
      <c r="GR3" s="6"/>
      <c r="GS3" s="69"/>
      <c r="GT3" s="391">
        <f>GT71</f>
        <v>433660.51999999996</v>
      </c>
      <c r="GU3" s="69">
        <f>GU71</f>
        <v>556707.62159999995</v>
      </c>
      <c r="GV3" s="612">
        <f>GV71</f>
        <v>315061.18</v>
      </c>
      <c r="GW3" s="602"/>
      <c r="GX3" s="112"/>
      <c r="GY3" s="6"/>
      <c r="GZ3" s="6"/>
      <c r="HA3" s="6"/>
      <c r="HB3" s="69"/>
      <c r="HC3" s="391">
        <f>HC71</f>
        <v>50003371.7991542</v>
      </c>
      <c r="HD3" s="69">
        <f>HD71</f>
        <v>59003978.723001949</v>
      </c>
      <c r="HE3" s="69"/>
      <c r="HF3" s="612">
        <f>HF71</f>
        <v>41524484.306000002</v>
      </c>
      <c r="HG3" s="602"/>
      <c r="HH3" s="112"/>
      <c r="HI3" s="6"/>
      <c r="HJ3" s="6"/>
      <c r="HK3" s="6"/>
      <c r="HL3" s="69"/>
      <c r="HM3" s="391">
        <f>HM71</f>
        <v>52590773.044207729</v>
      </c>
      <c r="HN3" s="69">
        <f>HN71</f>
        <v>62057112.192165121</v>
      </c>
      <c r="HO3" s="612">
        <f>HO71</f>
        <v>1249397.4588000001</v>
      </c>
      <c r="HP3" s="602"/>
      <c r="HQ3" s="112"/>
      <c r="HR3" s="335"/>
      <c r="HS3" s="335"/>
      <c r="HT3" s="335"/>
      <c r="HU3" s="335"/>
    </row>
    <row r="4" spans="1:229" ht="15.75" thickBot="1">
      <c r="A4" s="770" t="s">
        <v>2</v>
      </c>
      <c r="B4" s="771"/>
      <c r="C4" s="113"/>
      <c r="D4" s="8">
        <f>D3/D2</f>
        <v>31164.214266687617</v>
      </c>
      <c r="E4" s="8">
        <f>E3/E2</f>
        <v>26310.351073464084</v>
      </c>
      <c r="F4" s="8"/>
      <c r="G4" s="70"/>
      <c r="H4" s="392">
        <f>H3/H2</f>
        <v>14915</v>
      </c>
      <c r="I4" s="392">
        <f>I3/I2</f>
        <v>17599.699999999997</v>
      </c>
      <c r="J4" s="70"/>
      <c r="K4" s="613"/>
      <c r="L4" s="613"/>
      <c r="M4" s="113"/>
      <c r="N4" s="8">
        <f>N3/N2</f>
        <v>31164.214266687617</v>
      </c>
      <c r="O4" s="8">
        <f>O3/O2</f>
        <v>26310.351073464084</v>
      </c>
      <c r="P4" s="8"/>
      <c r="Q4" s="70"/>
      <c r="R4" s="392">
        <f>R3/R2</f>
        <v>11195</v>
      </c>
      <c r="S4" s="392">
        <f>S3/S2</f>
        <v>13210.099999999999</v>
      </c>
      <c r="T4" s="70"/>
      <c r="U4" s="613"/>
      <c r="V4" s="599"/>
      <c r="W4" s="113"/>
      <c r="X4" s="271">
        <f>X3/X2</f>
        <v>14997.344802973981</v>
      </c>
      <c r="Y4" s="8">
        <f>Y3/Y2</f>
        <v>13374.642027333337</v>
      </c>
      <c r="Z4" s="8"/>
      <c r="AA4" s="70"/>
      <c r="AB4" s="392">
        <f>AB3/AB2</f>
        <v>12535.193965517241</v>
      </c>
      <c r="AC4" s="392">
        <f>AC3/AC2</f>
        <v>14791.528879310348</v>
      </c>
      <c r="AD4" s="70"/>
      <c r="AE4" s="613"/>
      <c r="AF4" s="599"/>
      <c r="AG4" s="113"/>
      <c r="AH4" s="8">
        <f>AH3/AH2</f>
        <v>31164.214266687617</v>
      </c>
      <c r="AI4" s="8">
        <f>AI3/AI2</f>
        <v>26310.351073464084</v>
      </c>
      <c r="AJ4" s="8"/>
      <c r="AK4" s="70"/>
      <c r="AL4" s="392">
        <f>AL3/AL2</f>
        <v>33699.999999999993</v>
      </c>
      <c r="AM4" s="392">
        <f>AM3/AM2</f>
        <v>39765.999999999993</v>
      </c>
      <c r="AN4" s="70"/>
      <c r="AO4" s="613"/>
      <c r="AP4" s="599"/>
      <c r="AQ4" s="113"/>
      <c r="AR4" s="283">
        <f>AR3/AR2</f>
        <v>19768.014604880562</v>
      </c>
      <c r="AS4" s="283">
        <f>AS3/AS2</f>
        <v>16752.55474989878</v>
      </c>
      <c r="AT4" s="283"/>
      <c r="AU4" s="70"/>
      <c r="AV4" s="392">
        <f>AV3/AV2</f>
        <v>22830</v>
      </c>
      <c r="AW4" s="392">
        <f>AW3/AW2</f>
        <v>26939.4</v>
      </c>
      <c r="AX4" s="70"/>
      <c r="AY4" s="613"/>
      <c r="AZ4" s="599"/>
      <c r="BA4" s="113"/>
      <c r="BB4" s="8">
        <f>BB3/BB2</f>
        <v>23819.067267017046</v>
      </c>
      <c r="BC4" s="8">
        <f>BC3/BC2</f>
        <v>20185.650226285634</v>
      </c>
      <c r="BD4" s="8"/>
      <c r="BE4" s="70"/>
      <c r="BF4" s="392">
        <f>BF3/BF2</f>
        <v>14100.000000000002</v>
      </c>
      <c r="BG4" s="392">
        <f>BG3/BG2</f>
        <v>16638</v>
      </c>
      <c r="BH4" s="70"/>
      <c r="BI4" s="613"/>
      <c r="BJ4" s="599"/>
      <c r="BK4" s="113"/>
      <c r="BL4" s="8"/>
      <c r="BM4" s="8"/>
      <c r="BN4" s="8"/>
      <c r="BO4" s="70"/>
      <c r="BP4" s="392">
        <f>BP3/BP2</f>
        <v>6230</v>
      </c>
      <c r="BQ4" s="392">
        <f>BQ3/BQ2</f>
        <v>7351.3999999999987</v>
      </c>
      <c r="BR4" s="70"/>
      <c r="BS4" s="613"/>
      <c r="BT4" s="599"/>
      <c r="BU4" s="113"/>
      <c r="BV4" s="8">
        <f>BV3/BV2</f>
        <v>6323.384</v>
      </c>
      <c r="BW4" s="8">
        <f>BW3/BW2</f>
        <v>5358.8</v>
      </c>
      <c r="BX4" s="8"/>
      <c r="BY4" s="70"/>
      <c r="BZ4" s="392">
        <f>BZ3/BZ2</f>
        <v>20320</v>
      </c>
      <c r="CA4" s="392">
        <f>CA3/CA2</f>
        <v>23977.599999999995</v>
      </c>
      <c r="CB4" s="70"/>
      <c r="CC4" s="613"/>
      <c r="CD4" s="599"/>
      <c r="CE4" s="113"/>
      <c r="CF4" s="8">
        <f>CF3/CF2</f>
        <v>14899.108146460409</v>
      </c>
      <c r="CG4" s="8">
        <f>CG3/CG2</f>
        <v>12626.362835983393</v>
      </c>
      <c r="CH4" s="8"/>
      <c r="CI4" s="70"/>
      <c r="CJ4" s="392">
        <f>CJ3/CJ2</f>
        <v>22500.000000000004</v>
      </c>
      <c r="CK4" s="392">
        <f>CK3/CK2</f>
        <v>26549.999999999996</v>
      </c>
      <c r="CL4" s="70"/>
      <c r="CM4" s="613"/>
      <c r="CN4" s="599"/>
      <c r="CO4" s="113"/>
      <c r="CP4" s="8"/>
      <c r="CQ4" s="8"/>
      <c r="CR4" s="8"/>
      <c r="CS4" s="70"/>
      <c r="CT4" s="392">
        <f>CT3/CT2</f>
        <v>1600</v>
      </c>
      <c r="CU4" s="392">
        <f>CU3/CU2</f>
        <v>1888</v>
      </c>
      <c r="CV4" s="70"/>
      <c r="CW4" s="613"/>
      <c r="CX4" s="599"/>
      <c r="CY4" s="113"/>
      <c r="CZ4" s="8">
        <f>CZ3/CZ2</f>
        <v>14899.108146460409</v>
      </c>
      <c r="DA4" s="8">
        <f>DA3/DA2</f>
        <v>12626.362835983393</v>
      </c>
      <c r="DB4" s="8"/>
      <c r="DC4" s="70"/>
      <c r="DD4" s="392">
        <f>DD3/DD2</f>
        <v>18499.999999999996</v>
      </c>
      <c r="DE4" s="392">
        <f>DE3/DE2</f>
        <v>21829.999999999996</v>
      </c>
      <c r="DF4" s="70"/>
      <c r="DG4" s="613"/>
      <c r="DH4" s="599"/>
      <c r="DI4" s="113"/>
      <c r="DJ4" s="8">
        <f>DJ3/DJ2</f>
        <v>21240</v>
      </c>
      <c r="DK4" s="8">
        <f>DK3/DK2</f>
        <v>18000</v>
      </c>
      <c r="DL4" s="8"/>
      <c r="DM4" s="70"/>
      <c r="DN4" s="392">
        <f>DN3/DN2</f>
        <v>9568.9896362360141</v>
      </c>
      <c r="DO4" s="70">
        <f>DO3/DO2</f>
        <v>11291.407770758495</v>
      </c>
      <c r="DP4" s="613"/>
      <c r="DQ4" s="599"/>
      <c r="DR4" s="113"/>
      <c r="DS4" s="8">
        <f>DS3/DS2</f>
        <v>14899.108146460409</v>
      </c>
      <c r="DT4" s="8">
        <f>DT3/DT2</f>
        <v>12626.362835983393</v>
      </c>
      <c r="DU4" s="8"/>
      <c r="DV4" s="70"/>
      <c r="DW4" s="392">
        <f>DW3/DW2</f>
        <v>6170.0131795716643</v>
      </c>
      <c r="DX4" s="392">
        <f>DX3/DX2</f>
        <v>7280.6155518945634</v>
      </c>
      <c r="DY4" s="70"/>
      <c r="DZ4" s="613"/>
      <c r="EA4" s="599"/>
      <c r="EB4" s="113"/>
      <c r="EC4" s="8">
        <f>EC3/EC2</f>
        <v>14899.108146460409</v>
      </c>
      <c r="ED4" s="8">
        <f>ED3/ED2</f>
        <v>12626.362835983393</v>
      </c>
      <c r="EE4" s="8"/>
      <c r="EF4" s="70"/>
      <c r="EG4" s="392">
        <f>EG3/EG2</f>
        <v>12279.999999999998</v>
      </c>
      <c r="EH4" s="392">
        <f>EH3/EH2</f>
        <v>14490.4</v>
      </c>
      <c r="EI4" s="70"/>
      <c r="EJ4" s="613"/>
      <c r="EK4" s="599"/>
      <c r="EL4" s="113"/>
      <c r="EM4" s="8"/>
      <c r="EN4" s="8"/>
      <c r="EO4" s="8"/>
      <c r="EP4" s="70"/>
      <c r="EQ4" s="392">
        <f>EQ3/EQ2</f>
        <v>14880</v>
      </c>
      <c r="ER4" s="392">
        <f>ER3/ER2</f>
        <v>17558.400000000001</v>
      </c>
      <c r="ES4" s="70"/>
      <c r="ET4" s="613"/>
      <c r="EU4" s="599"/>
      <c r="EV4" s="113"/>
      <c r="EW4" s="8"/>
      <c r="EX4" s="8"/>
      <c r="EY4" s="8"/>
      <c r="EZ4" s="70"/>
      <c r="FA4" s="392">
        <f>FA3/FA2</f>
        <v>11434.999999999998</v>
      </c>
      <c r="FB4" s="392">
        <f>FB3/FB2</f>
        <v>13493.3</v>
      </c>
      <c r="FC4" s="70"/>
      <c r="FD4" s="613"/>
      <c r="FE4" s="599"/>
      <c r="FF4" s="198"/>
      <c r="FG4" s="730">
        <f>FG3/FG2</f>
        <v>14997.344802973981</v>
      </c>
      <c r="FH4" s="8">
        <f>FH3/FH2</f>
        <v>13374.642027333337</v>
      </c>
      <c r="FI4" s="8"/>
      <c r="FJ4" s="613"/>
      <c r="FK4" s="392">
        <f>FK3/FK2</f>
        <v>11402.028935205532</v>
      </c>
      <c r="FL4" s="655">
        <f>FL3/FL2</f>
        <v>13454.394143542524</v>
      </c>
      <c r="FM4" s="677"/>
      <c r="FN4" s="392">
        <f>FN3/FN2</f>
        <v>5647.4701031609811</v>
      </c>
      <c r="FO4" s="678">
        <f>FO3/FO2</f>
        <v>6664.0147217299564</v>
      </c>
      <c r="FP4" s="677"/>
      <c r="FQ4" s="392">
        <f>FQ3/FQ2</f>
        <v>5754.5588320445504</v>
      </c>
      <c r="FR4" s="678">
        <f>FR3/FR2</f>
        <v>6790.3794218125695</v>
      </c>
      <c r="FS4" s="660"/>
      <c r="FT4" s="731"/>
      <c r="FU4" s="706"/>
      <c r="FV4" s="8">
        <f>FV3/FV2</f>
        <v>14899.108146460409</v>
      </c>
      <c r="FW4" s="8">
        <f>FW3/FW2</f>
        <v>12626.362835983393</v>
      </c>
      <c r="FX4" s="8"/>
      <c r="FY4" s="70"/>
      <c r="FZ4" s="392">
        <f>FZ3/FZ2</f>
        <v>19820</v>
      </c>
      <c r="GA4" s="392">
        <f>GA3/GA2</f>
        <v>23387.599999999999</v>
      </c>
      <c r="GB4" s="70"/>
      <c r="GC4" s="613"/>
      <c r="GD4" s="599"/>
      <c r="GE4" s="113"/>
      <c r="GF4" s="8">
        <f>GF3/GF2</f>
        <v>21240</v>
      </c>
      <c r="GG4" s="8">
        <f>GG3/GG2</f>
        <v>18000</v>
      </c>
      <c r="GH4" s="8"/>
      <c r="GI4" s="70"/>
      <c r="GJ4" s="392">
        <f>GJ3/GJ2</f>
        <v>21630</v>
      </c>
      <c r="GK4" s="392">
        <f>GK3/GK2</f>
        <v>25523.399999999998</v>
      </c>
      <c r="GL4" s="70"/>
      <c r="GM4" s="613"/>
      <c r="GN4" s="599"/>
      <c r="GO4" s="113"/>
      <c r="GP4" s="8">
        <f>GP3/GP2</f>
        <v>21240</v>
      </c>
      <c r="GQ4" s="8">
        <f>GQ3/GQ2</f>
        <v>18000</v>
      </c>
      <c r="GR4" s="8"/>
      <c r="GS4" s="70"/>
      <c r="GT4" s="392">
        <f>GT3/GT2</f>
        <v>4476.449481811801</v>
      </c>
      <c r="GU4" s="70">
        <f>GU3/GU2</f>
        <v>5746.6</v>
      </c>
      <c r="GV4" s="613"/>
      <c r="GW4" s="599"/>
      <c r="GX4" s="113"/>
      <c r="GY4" s="271"/>
      <c r="GZ4" s="8"/>
      <c r="HA4" s="8"/>
      <c r="HB4" s="70"/>
      <c r="HC4" s="392">
        <f>HC3/HC2</f>
        <v>14977.516728624534</v>
      </c>
      <c r="HD4" s="70">
        <f>HD3/HD2</f>
        <v>17673.469739776949</v>
      </c>
      <c r="HE4" s="70"/>
      <c r="HF4" s="613"/>
      <c r="HG4" s="599"/>
      <c r="HH4" s="113"/>
      <c r="HI4" s="271"/>
      <c r="HJ4" s="8"/>
      <c r="HK4" s="8"/>
      <c r="HL4" s="70"/>
      <c r="HM4" s="392">
        <f>HM3/HM2</f>
        <v>15485.901836375324</v>
      </c>
      <c r="HN4" s="70">
        <f>HN3/HN2</f>
        <v>18273.364166922882</v>
      </c>
      <c r="HO4" s="613"/>
      <c r="HP4" s="599"/>
      <c r="HQ4" s="113"/>
      <c r="HR4" s="336"/>
      <c r="HS4" s="336"/>
      <c r="HT4" s="336"/>
      <c r="HU4" s="336"/>
    </row>
    <row r="5" spans="1:229" ht="15">
      <c r="A5" s="85" t="s">
        <v>3</v>
      </c>
      <c r="B5" s="86"/>
      <c r="C5" s="114"/>
      <c r="D5" s="767" t="s">
        <v>64</v>
      </c>
      <c r="E5" s="767"/>
      <c r="F5" s="767"/>
      <c r="G5" s="763" t="s">
        <v>65</v>
      </c>
      <c r="H5" s="764"/>
      <c r="I5" s="765"/>
      <c r="J5" s="388"/>
      <c r="K5" s="388"/>
      <c r="L5" s="388"/>
      <c r="M5" s="114"/>
      <c r="N5" s="767" t="s">
        <v>64</v>
      </c>
      <c r="O5" s="767"/>
      <c r="P5" s="767"/>
      <c r="Q5" s="763" t="s">
        <v>65</v>
      </c>
      <c r="R5" s="764"/>
      <c r="S5" s="765"/>
      <c r="T5" s="388"/>
      <c r="U5" s="388"/>
      <c r="V5" s="616"/>
      <c r="W5" s="114"/>
      <c r="X5" s="767" t="s">
        <v>64</v>
      </c>
      <c r="Y5" s="767"/>
      <c r="Z5" s="767"/>
      <c r="AA5" s="763" t="s">
        <v>65</v>
      </c>
      <c r="AB5" s="764"/>
      <c r="AC5" s="765"/>
      <c r="AD5" s="388"/>
      <c r="AE5" s="388"/>
      <c r="AF5" s="616"/>
      <c r="AG5" s="114"/>
      <c r="AH5" s="767" t="s">
        <v>64</v>
      </c>
      <c r="AI5" s="767"/>
      <c r="AJ5" s="767"/>
      <c r="AK5" s="763" t="s">
        <v>65</v>
      </c>
      <c r="AL5" s="764"/>
      <c r="AM5" s="765"/>
      <c r="AN5" s="388"/>
      <c r="AO5" s="388"/>
      <c r="AP5" s="616"/>
      <c r="AQ5" s="114"/>
      <c r="AR5" s="773" t="s">
        <v>64</v>
      </c>
      <c r="AS5" s="773"/>
      <c r="AT5" s="773"/>
      <c r="AU5" s="763" t="s">
        <v>65</v>
      </c>
      <c r="AV5" s="764"/>
      <c r="AW5" s="765"/>
      <c r="AX5" s="388"/>
      <c r="AY5" s="388"/>
      <c r="AZ5" s="616"/>
      <c r="BA5" s="114"/>
      <c r="BB5" s="767" t="s">
        <v>64</v>
      </c>
      <c r="BC5" s="767"/>
      <c r="BD5" s="767"/>
      <c r="BE5" s="763" t="s">
        <v>65</v>
      </c>
      <c r="BF5" s="764"/>
      <c r="BG5" s="765"/>
      <c r="BH5" s="388"/>
      <c r="BI5" s="388"/>
      <c r="BJ5" s="616"/>
      <c r="BK5" s="114"/>
      <c r="BL5" s="767"/>
      <c r="BM5" s="767"/>
      <c r="BN5" s="767"/>
      <c r="BO5" s="763" t="s">
        <v>65</v>
      </c>
      <c r="BP5" s="764"/>
      <c r="BQ5" s="765"/>
      <c r="BR5" s="388"/>
      <c r="BS5" s="388"/>
      <c r="BT5" s="616"/>
      <c r="BU5" s="114"/>
      <c r="BV5" s="767" t="s">
        <v>64</v>
      </c>
      <c r="BW5" s="767"/>
      <c r="BX5" s="767"/>
      <c r="BY5" s="763" t="s">
        <v>65</v>
      </c>
      <c r="BZ5" s="764"/>
      <c r="CA5" s="765"/>
      <c r="CB5" s="388"/>
      <c r="CC5" s="388"/>
      <c r="CD5" s="616"/>
      <c r="CE5" s="114"/>
      <c r="CF5" s="767" t="s">
        <v>64</v>
      </c>
      <c r="CG5" s="767"/>
      <c r="CH5" s="767"/>
      <c r="CI5" s="763" t="s">
        <v>65</v>
      </c>
      <c r="CJ5" s="764"/>
      <c r="CK5" s="765"/>
      <c r="CL5" s="388"/>
      <c r="CM5" s="388"/>
      <c r="CN5" s="616"/>
      <c r="CO5" s="114"/>
      <c r="CP5" s="767" t="s">
        <v>64</v>
      </c>
      <c r="CQ5" s="767"/>
      <c r="CR5" s="767"/>
      <c r="CS5" s="763" t="s">
        <v>65</v>
      </c>
      <c r="CT5" s="764"/>
      <c r="CU5" s="765"/>
      <c r="CV5" s="388"/>
      <c r="CW5" s="388"/>
      <c r="CX5" s="616"/>
      <c r="CY5" s="114"/>
      <c r="CZ5" s="767" t="s">
        <v>64</v>
      </c>
      <c r="DA5" s="767"/>
      <c r="DB5" s="767"/>
      <c r="DC5" s="763" t="s">
        <v>65</v>
      </c>
      <c r="DD5" s="764"/>
      <c r="DE5" s="765"/>
      <c r="DF5" s="388"/>
      <c r="DG5" s="388"/>
      <c r="DH5" s="616"/>
      <c r="DI5" s="114"/>
      <c r="DJ5" s="767" t="s">
        <v>64</v>
      </c>
      <c r="DK5" s="767"/>
      <c r="DL5" s="767"/>
      <c r="DM5" s="763" t="s">
        <v>65</v>
      </c>
      <c r="DN5" s="764"/>
      <c r="DO5" s="765"/>
      <c r="DP5" s="388"/>
      <c r="DQ5" s="616"/>
      <c r="DR5" s="114"/>
      <c r="DS5" s="767" t="s">
        <v>64</v>
      </c>
      <c r="DT5" s="767"/>
      <c r="DU5" s="767"/>
      <c r="DV5" s="763" t="s">
        <v>65</v>
      </c>
      <c r="DW5" s="764"/>
      <c r="DX5" s="765"/>
      <c r="DY5" s="388"/>
      <c r="DZ5" s="388"/>
      <c r="EA5" s="616"/>
      <c r="EB5" s="114"/>
      <c r="EC5" s="767" t="s">
        <v>64</v>
      </c>
      <c r="ED5" s="767"/>
      <c r="EE5" s="767"/>
      <c r="EF5" s="763" t="s">
        <v>65</v>
      </c>
      <c r="EG5" s="764"/>
      <c r="EH5" s="765"/>
      <c r="EI5" s="388"/>
      <c r="EJ5" s="388"/>
      <c r="EK5" s="616"/>
      <c r="EL5" s="114"/>
      <c r="EM5" s="767" t="s">
        <v>64</v>
      </c>
      <c r="EN5" s="767"/>
      <c r="EO5" s="767"/>
      <c r="EP5" s="763" t="s">
        <v>65</v>
      </c>
      <c r="EQ5" s="764"/>
      <c r="ER5" s="765"/>
      <c r="ES5" s="388"/>
      <c r="ET5" s="388"/>
      <c r="EU5" s="616"/>
      <c r="EV5" s="114"/>
      <c r="EW5" s="767" t="s">
        <v>64</v>
      </c>
      <c r="EX5" s="767"/>
      <c r="EY5" s="767"/>
      <c r="EZ5" s="763" t="s">
        <v>65</v>
      </c>
      <c r="FA5" s="764"/>
      <c r="FB5" s="765"/>
      <c r="FC5" s="388"/>
      <c r="FD5" s="388"/>
      <c r="FE5" s="616"/>
      <c r="FF5" s="199"/>
      <c r="FG5" s="777" t="s">
        <v>64</v>
      </c>
      <c r="FH5" s="767"/>
      <c r="FI5" s="767"/>
      <c r="FJ5" s="763" t="s">
        <v>65</v>
      </c>
      <c r="FK5" s="764"/>
      <c r="FL5" s="764"/>
      <c r="FM5" s="679"/>
      <c r="FN5" s="388"/>
      <c r="FO5" s="680"/>
      <c r="FP5" s="679"/>
      <c r="FQ5" s="388"/>
      <c r="FR5" s="680"/>
      <c r="FS5" s="388"/>
      <c r="FT5" s="732"/>
      <c r="FU5" s="114"/>
      <c r="FV5" s="767" t="s">
        <v>64</v>
      </c>
      <c r="FW5" s="767"/>
      <c r="FX5" s="767"/>
      <c r="FY5" s="763" t="s">
        <v>65</v>
      </c>
      <c r="FZ5" s="764"/>
      <c r="GA5" s="765"/>
      <c r="GB5" s="388"/>
      <c r="GC5" s="388"/>
      <c r="GD5" s="616"/>
      <c r="GE5" s="114"/>
      <c r="GF5" s="767" t="s">
        <v>64</v>
      </c>
      <c r="GG5" s="767"/>
      <c r="GH5" s="767"/>
      <c r="GI5" s="763" t="s">
        <v>65</v>
      </c>
      <c r="GJ5" s="764"/>
      <c r="GK5" s="765"/>
      <c r="GL5" s="388"/>
      <c r="GM5" s="388"/>
      <c r="GN5" s="616"/>
      <c r="GO5" s="114"/>
      <c r="GP5" s="767" t="s">
        <v>64</v>
      </c>
      <c r="GQ5" s="767"/>
      <c r="GR5" s="767"/>
      <c r="GS5" s="763" t="s">
        <v>65</v>
      </c>
      <c r="GT5" s="764"/>
      <c r="GU5" s="765"/>
      <c r="GV5" s="388"/>
      <c r="GW5" s="616"/>
      <c r="GX5" s="114"/>
      <c r="GY5" s="767" t="s">
        <v>64</v>
      </c>
      <c r="GZ5" s="767"/>
      <c r="HA5" s="767"/>
      <c r="HB5" s="763" t="s">
        <v>65</v>
      </c>
      <c r="HC5" s="764"/>
      <c r="HD5" s="765"/>
      <c r="HE5" s="388"/>
      <c r="HF5" s="388"/>
      <c r="HG5" s="616"/>
      <c r="HH5" s="114"/>
      <c r="HI5" s="767" t="s">
        <v>64</v>
      </c>
      <c r="HJ5" s="767"/>
      <c r="HK5" s="767"/>
      <c r="HL5" s="763" t="s">
        <v>65</v>
      </c>
      <c r="HM5" s="764"/>
      <c r="HN5" s="765"/>
      <c r="HO5" s="388"/>
      <c r="HP5" s="616"/>
      <c r="HQ5" s="114"/>
      <c r="HR5" s="86"/>
      <c r="HS5" s="86"/>
      <c r="HT5" s="86"/>
      <c r="HU5" s="86"/>
    </row>
    <row r="6" spans="1:229" ht="46.5" customHeight="1">
      <c r="A6" s="10"/>
      <c r="B6" s="83"/>
      <c r="C6" s="115"/>
      <c r="D6" s="757" t="s">
        <v>383</v>
      </c>
      <c r="E6" s="758"/>
      <c r="F6" s="759"/>
      <c r="G6" s="760" t="s">
        <v>503</v>
      </c>
      <c r="H6" s="761"/>
      <c r="I6" s="762"/>
      <c r="J6" s="606" t="s">
        <v>4</v>
      </c>
      <c r="K6" s="606" t="s">
        <v>853</v>
      </c>
      <c r="L6" s="462" t="s">
        <v>854</v>
      </c>
      <c r="M6" s="115"/>
      <c r="N6" s="757" t="s">
        <v>383</v>
      </c>
      <c r="O6" s="758"/>
      <c r="P6" s="759"/>
      <c r="Q6" s="760" t="str">
        <f>'Capex Summary'!J39</f>
        <v>Third wave coffee + Wrapafella</v>
      </c>
      <c r="R6" s="761"/>
      <c r="S6" s="762"/>
      <c r="T6" s="375" t="s">
        <v>4</v>
      </c>
      <c r="U6" s="606" t="s">
        <v>853</v>
      </c>
      <c r="V6" s="617" t="s">
        <v>854</v>
      </c>
      <c r="W6" s="115"/>
      <c r="X6" s="757" t="s">
        <v>268</v>
      </c>
      <c r="Y6" s="758"/>
      <c r="Z6" s="759"/>
      <c r="AA6" s="760" t="s">
        <v>501</v>
      </c>
      <c r="AB6" s="761"/>
      <c r="AC6" s="762"/>
      <c r="AD6" s="375" t="s">
        <v>4</v>
      </c>
      <c r="AE6" s="606" t="s">
        <v>853</v>
      </c>
      <c r="AF6" s="617" t="s">
        <v>854</v>
      </c>
      <c r="AG6" s="115"/>
      <c r="AH6" s="757" t="s">
        <v>383</v>
      </c>
      <c r="AI6" s="758"/>
      <c r="AJ6" s="759"/>
      <c r="AK6" s="760" t="s">
        <v>500</v>
      </c>
      <c r="AL6" s="761"/>
      <c r="AM6" s="762"/>
      <c r="AN6" s="375" t="s">
        <v>4</v>
      </c>
      <c r="AO6" s="606" t="s">
        <v>853</v>
      </c>
      <c r="AP6" s="617" t="s">
        <v>854</v>
      </c>
      <c r="AQ6" s="115"/>
      <c r="AR6" s="772" t="s">
        <v>294</v>
      </c>
      <c r="AS6" s="772"/>
      <c r="AT6" s="772"/>
      <c r="AU6" s="760" t="s">
        <v>512</v>
      </c>
      <c r="AV6" s="761"/>
      <c r="AW6" s="762"/>
      <c r="AX6" s="375" t="s">
        <v>4</v>
      </c>
      <c r="AY6" s="606" t="s">
        <v>853</v>
      </c>
      <c r="AZ6" s="617" t="s">
        <v>854</v>
      </c>
      <c r="BA6" s="115"/>
      <c r="BB6" s="757" t="s">
        <v>305</v>
      </c>
      <c r="BC6" s="758"/>
      <c r="BD6" s="759"/>
      <c r="BE6" s="760" t="str">
        <f>'Capex Summary'!J7</f>
        <v>Dominos + MOD</v>
      </c>
      <c r="BF6" s="761"/>
      <c r="BG6" s="762"/>
      <c r="BH6" s="375" t="s">
        <v>4</v>
      </c>
      <c r="BI6" s="606" t="s">
        <v>853</v>
      </c>
      <c r="BJ6" s="617" t="s">
        <v>854</v>
      </c>
      <c r="BK6" s="115"/>
      <c r="BL6" s="757" t="s">
        <v>285</v>
      </c>
      <c r="BM6" s="758"/>
      <c r="BN6" s="759"/>
      <c r="BO6" s="760" t="s">
        <v>477</v>
      </c>
      <c r="BP6" s="761"/>
      <c r="BQ6" s="762"/>
      <c r="BR6" s="409" t="s">
        <v>4</v>
      </c>
      <c r="BS6" s="606" t="s">
        <v>853</v>
      </c>
      <c r="BT6" s="617" t="s">
        <v>854</v>
      </c>
      <c r="BU6" s="115"/>
      <c r="BV6" s="757" t="s">
        <v>302</v>
      </c>
      <c r="BW6" s="758"/>
      <c r="BX6" s="759"/>
      <c r="BY6" s="760" t="str">
        <f>'Capex Summary'!J8</f>
        <v>Subway</v>
      </c>
      <c r="BZ6" s="761"/>
      <c r="CA6" s="762"/>
      <c r="CB6" s="375" t="s">
        <v>4</v>
      </c>
      <c r="CC6" s="606" t="s">
        <v>853</v>
      </c>
      <c r="CD6" s="617" t="s">
        <v>854</v>
      </c>
      <c r="CE6" s="115"/>
      <c r="CF6" s="757" t="s">
        <v>386</v>
      </c>
      <c r="CG6" s="758"/>
      <c r="CH6" s="759"/>
      <c r="CI6" s="760" t="s">
        <v>504</v>
      </c>
      <c r="CJ6" s="761"/>
      <c r="CK6" s="762"/>
      <c r="CL6" s="375" t="s">
        <v>4</v>
      </c>
      <c r="CM6" s="606" t="s">
        <v>853</v>
      </c>
      <c r="CN6" s="617" t="s">
        <v>854</v>
      </c>
      <c r="CO6" s="115"/>
      <c r="CP6" s="757" t="s">
        <v>285</v>
      </c>
      <c r="CQ6" s="758"/>
      <c r="CR6" s="759"/>
      <c r="CS6" s="760" t="str">
        <f>'Capex Summary'!J10</f>
        <v>Nescafe</v>
      </c>
      <c r="CT6" s="761"/>
      <c r="CU6" s="762"/>
      <c r="CV6" s="375" t="s">
        <v>4</v>
      </c>
      <c r="CW6" s="606" t="s">
        <v>853</v>
      </c>
      <c r="CX6" s="617" t="s">
        <v>854</v>
      </c>
      <c r="CY6" s="115"/>
      <c r="CZ6" s="757" t="s">
        <v>386</v>
      </c>
      <c r="DA6" s="758"/>
      <c r="DB6" s="759"/>
      <c r="DC6" s="760" t="s">
        <v>505</v>
      </c>
      <c r="DD6" s="761"/>
      <c r="DE6" s="762"/>
      <c r="DF6" s="375" t="s">
        <v>4</v>
      </c>
      <c r="DG6" s="606" t="s">
        <v>853</v>
      </c>
      <c r="DH6" s="617" t="s">
        <v>854</v>
      </c>
      <c r="DI6" s="115"/>
      <c r="DJ6" s="757" t="s">
        <v>387</v>
      </c>
      <c r="DK6" s="758"/>
      <c r="DL6" s="759"/>
      <c r="DM6" s="760" t="s">
        <v>515</v>
      </c>
      <c r="DN6" s="761"/>
      <c r="DO6" s="762"/>
      <c r="DP6" s="606" t="s">
        <v>853</v>
      </c>
      <c r="DQ6" s="617" t="s">
        <v>854</v>
      </c>
      <c r="DR6" s="115"/>
      <c r="DS6" s="757" t="s">
        <v>386</v>
      </c>
      <c r="DT6" s="758"/>
      <c r="DU6" s="759"/>
      <c r="DV6" s="760" t="s">
        <v>519</v>
      </c>
      <c r="DW6" s="761"/>
      <c r="DX6" s="762"/>
      <c r="DY6" s="375" t="s">
        <v>4</v>
      </c>
      <c r="DZ6" s="606" t="s">
        <v>853</v>
      </c>
      <c r="EA6" s="617" t="s">
        <v>854</v>
      </c>
      <c r="EB6" s="115"/>
      <c r="EC6" s="757" t="s">
        <v>386</v>
      </c>
      <c r="ED6" s="758"/>
      <c r="EE6" s="759"/>
      <c r="EF6" s="760" t="s">
        <v>506</v>
      </c>
      <c r="EG6" s="761"/>
      <c r="EH6" s="762"/>
      <c r="EI6" s="376" t="s">
        <v>4</v>
      </c>
      <c r="EJ6" s="606" t="s">
        <v>853</v>
      </c>
      <c r="EK6" s="617" t="s">
        <v>854</v>
      </c>
      <c r="EL6" s="115"/>
      <c r="EM6" s="757" t="s">
        <v>285</v>
      </c>
      <c r="EN6" s="758"/>
      <c r="EO6" s="759"/>
      <c r="EP6" s="760" t="str">
        <f>'Capex Summary'!J41</f>
        <v>Swamys</v>
      </c>
      <c r="EQ6" s="761"/>
      <c r="ER6" s="762"/>
      <c r="ES6" s="376" t="s">
        <v>4</v>
      </c>
      <c r="ET6" s="606" t="s">
        <v>853</v>
      </c>
      <c r="EU6" s="617" t="s">
        <v>854</v>
      </c>
      <c r="EV6" s="115"/>
      <c r="EW6" s="757" t="s">
        <v>285</v>
      </c>
      <c r="EX6" s="758"/>
      <c r="EY6" s="759"/>
      <c r="EZ6" s="760" t="s">
        <v>510</v>
      </c>
      <c r="FA6" s="761"/>
      <c r="FB6" s="762"/>
      <c r="FC6" s="376" t="s">
        <v>4</v>
      </c>
      <c r="FD6" s="606" t="s">
        <v>853</v>
      </c>
      <c r="FE6" s="617" t="s">
        <v>854</v>
      </c>
      <c r="FF6" s="115"/>
      <c r="FG6" s="766" t="s">
        <v>268</v>
      </c>
      <c r="FH6" s="758"/>
      <c r="FI6" s="759"/>
      <c r="FJ6" s="760" t="str">
        <f>'Capex Summary'!J42</f>
        <v>Budweiser Bar</v>
      </c>
      <c r="FK6" s="761"/>
      <c r="FL6" s="761"/>
      <c r="FM6" s="778" t="s">
        <v>851</v>
      </c>
      <c r="FN6" s="779"/>
      <c r="FO6" s="780"/>
      <c r="FP6" s="778" t="s">
        <v>852</v>
      </c>
      <c r="FQ6" s="779"/>
      <c r="FR6" s="780"/>
      <c r="FS6" s="639" t="s">
        <v>853</v>
      </c>
      <c r="FT6" s="733" t="s">
        <v>854</v>
      </c>
      <c r="FU6" s="115"/>
      <c r="FV6" s="757" t="s">
        <v>386</v>
      </c>
      <c r="FW6" s="758"/>
      <c r="FX6" s="759"/>
      <c r="FY6" s="760" t="str">
        <f>'Capex Summary'!J20</f>
        <v>Cafeccino</v>
      </c>
      <c r="FZ6" s="761"/>
      <c r="GA6" s="762"/>
      <c r="GB6" s="376" t="s">
        <v>4</v>
      </c>
      <c r="GC6" s="606" t="s">
        <v>853</v>
      </c>
      <c r="GD6" s="617" t="s">
        <v>854</v>
      </c>
      <c r="GE6" s="115"/>
      <c r="GF6" s="757" t="s">
        <v>387</v>
      </c>
      <c r="GG6" s="758"/>
      <c r="GH6" s="759"/>
      <c r="GI6" s="760" t="s">
        <v>518</v>
      </c>
      <c r="GJ6" s="761"/>
      <c r="GK6" s="762"/>
      <c r="GL6" s="376" t="s">
        <v>4</v>
      </c>
      <c r="GM6" s="606" t="s">
        <v>853</v>
      </c>
      <c r="GN6" s="617" t="s">
        <v>854</v>
      </c>
      <c r="GO6" s="115"/>
      <c r="GP6" s="757" t="s">
        <v>387</v>
      </c>
      <c r="GQ6" s="758"/>
      <c r="GR6" s="759"/>
      <c r="GS6" s="760" t="s">
        <v>516</v>
      </c>
      <c r="GT6" s="761"/>
      <c r="GU6" s="762"/>
      <c r="GV6" s="606" t="s">
        <v>853</v>
      </c>
      <c r="GW6" s="617" t="s">
        <v>854</v>
      </c>
      <c r="GX6" s="115"/>
      <c r="GY6" s="757" t="s">
        <v>285</v>
      </c>
      <c r="GZ6" s="758"/>
      <c r="HA6" s="759"/>
      <c r="HB6" s="760" t="s">
        <v>429</v>
      </c>
      <c r="HC6" s="761"/>
      <c r="HD6" s="762"/>
      <c r="HE6" s="450" t="s">
        <v>4</v>
      </c>
      <c r="HF6" s="606" t="s">
        <v>853</v>
      </c>
      <c r="HG6" s="617" t="s">
        <v>854</v>
      </c>
      <c r="HH6" s="115"/>
      <c r="HI6" s="757" t="s">
        <v>285</v>
      </c>
      <c r="HJ6" s="758"/>
      <c r="HK6" s="759"/>
      <c r="HL6" s="760" t="s">
        <v>509</v>
      </c>
      <c r="HM6" s="761"/>
      <c r="HN6" s="762"/>
      <c r="HO6" s="606" t="s">
        <v>853</v>
      </c>
      <c r="HP6" s="617" t="s">
        <v>854</v>
      </c>
      <c r="HQ6" s="115"/>
      <c r="HR6" s="362"/>
      <c r="HS6" s="362"/>
      <c r="HT6" s="362"/>
      <c r="HU6" s="362"/>
    </row>
    <row r="7" spans="1:229" s="165" customFormat="1" ht="30">
      <c r="A7" s="162" t="s">
        <v>5</v>
      </c>
      <c r="B7" s="163" t="s">
        <v>6</v>
      </c>
      <c r="C7" s="116"/>
      <c r="D7" s="160" t="s">
        <v>66</v>
      </c>
      <c r="E7" s="160" t="s">
        <v>7</v>
      </c>
      <c r="F7" s="160" t="s">
        <v>8</v>
      </c>
      <c r="G7" s="71" t="s">
        <v>9</v>
      </c>
      <c r="H7" s="393" t="s">
        <v>7</v>
      </c>
      <c r="I7" s="393" t="s">
        <v>66</v>
      </c>
      <c r="J7" s="72"/>
      <c r="K7" s="72"/>
      <c r="L7" s="72"/>
      <c r="M7" s="116"/>
      <c r="N7" s="160" t="s">
        <v>66</v>
      </c>
      <c r="O7" s="160" t="s">
        <v>7</v>
      </c>
      <c r="P7" s="160" t="s">
        <v>8</v>
      </c>
      <c r="Q7" s="71" t="s">
        <v>9</v>
      </c>
      <c r="R7" s="393" t="s">
        <v>7</v>
      </c>
      <c r="S7" s="393" t="s">
        <v>66</v>
      </c>
      <c r="T7" s="72"/>
      <c r="U7" s="72"/>
      <c r="V7" s="618"/>
      <c r="W7" s="116"/>
      <c r="X7" s="160" t="s">
        <v>66</v>
      </c>
      <c r="Y7" s="83" t="s">
        <v>7</v>
      </c>
      <c r="Z7" s="83" t="s">
        <v>8</v>
      </c>
      <c r="AA7" s="71" t="s">
        <v>9</v>
      </c>
      <c r="AB7" s="393" t="s">
        <v>7</v>
      </c>
      <c r="AC7" s="393" t="s">
        <v>66</v>
      </c>
      <c r="AD7" s="72"/>
      <c r="AE7" s="72"/>
      <c r="AF7" s="618"/>
      <c r="AG7" s="116"/>
      <c r="AH7" s="160" t="s">
        <v>66</v>
      </c>
      <c r="AI7" s="160" t="s">
        <v>7</v>
      </c>
      <c r="AJ7" s="160" t="s">
        <v>8</v>
      </c>
      <c r="AK7" s="71" t="s">
        <v>9</v>
      </c>
      <c r="AL7" s="393" t="s">
        <v>7</v>
      </c>
      <c r="AM7" s="393" t="s">
        <v>66</v>
      </c>
      <c r="AN7" s="72"/>
      <c r="AO7" s="72"/>
      <c r="AP7" s="618"/>
      <c r="AQ7" s="116"/>
      <c r="AR7" s="284" t="s">
        <v>66</v>
      </c>
      <c r="AS7" s="285" t="s">
        <v>7</v>
      </c>
      <c r="AT7" s="285" t="s">
        <v>8</v>
      </c>
      <c r="AU7" s="71" t="s">
        <v>9</v>
      </c>
      <c r="AV7" s="393" t="s">
        <v>7</v>
      </c>
      <c r="AW7" s="393" t="s">
        <v>66</v>
      </c>
      <c r="AX7" s="72"/>
      <c r="AY7" s="72"/>
      <c r="AZ7" s="618"/>
      <c r="BA7" s="116"/>
      <c r="BB7" s="160" t="s">
        <v>66</v>
      </c>
      <c r="BC7" s="160" t="s">
        <v>7</v>
      </c>
      <c r="BD7" s="160" t="s">
        <v>8</v>
      </c>
      <c r="BE7" s="71" t="s">
        <v>9</v>
      </c>
      <c r="BF7" s="393" t="s">
        <v>7</v>
      </c>
      <c r="BG7" s="393" t="s">
        <v>66</v>
      </c>
      <c r="BH7" s="72"/>
      <c r="BI7" s="72"/>
      <c r="BJ7" s="618"/>
      <c r="BK7" s="116"/>
      <c r="BL7" s="160"/>
      <c r="BM7" s="160"/>
      <c r="BN7" s="160"/>
      <c r="BO7" s="71" t="s">
        <v>9</v>
      </c>
      <c r="BP7" s="393" t="s">
        <v>7</v>
      </c>
      <c r="BQ7" s="393" t="s">
        <v>66</v>
      </c>
      <c r="BR7" s="72"/>
      <c r="BS7" s="72"/>
      <c r="BT7" s="618"/>
      <c r="BU7" s="116"/>
      <c r="BV7" s="160" t="s">
        <v>66</v>
      </c>
      <c r="BW7" s="160" t="s">
        <v>7</v>
      </c>
      <c r="BX7" s="160" t="s">
        <v>8</v>
      </c>
      <c r="BY7" s="71" t="s">
        <v>9</v>
      </c>
      <c r="BZ7" s="393" t="s">
        <v>7</v>
      </c>
      <c r="CA7" s="393" t="s">
        <v>66</v>
      </c>
      <c r="CB7" s="72"/>
      <c r="CC7" s="72"/>
      <c r="CD7" s="618"/>
      <c r="CE7" s="116"/>
      <c r="CF7" s="160" t="s">
        <v>66</v>
      </c>
      <c r="CG7" s="160" t="s">
        <v>7</v>
      </c>
      <c r="CH7" s="160" t="s">
        <v>8</v>
      </c>
      <c r="CI7" s="71" t="s">
        <v>9</v>
      </c>
      <c r="CJ7" s="393" t="s">
        <v>7</v>
      </c>
      <c r="CK7" s="393" t="s">
        <v>66</v>
      </c>
      <c r="CL7" s="72"/>
      <c r="CM7" s="72"/>
      <c r="CN7" s="618"/>
      <c r="CO7" s="116"/>
      <c r="CP7" s="160" t="s">
        <v>66</v>
      </c>
      <c r="CQ7" s="160" t="s">
        <v>7</v>
      </c>
      <c r="CR7" s="160" t="s">
        <v>8</v>
      </c>
      <c r="CS7" s="71" t="s">
        <v>9</v>
      </c>
      <c r="CT7" s="393" t="s">
        <v>7</v>
      </c>
      <c r="CU7" s="393" t="s">
        <v>66</v>
      </c>
      <c r="CV7" s="72"/>
      <c r="CW7" s="72"/>
      <c r="CX7" s="618"/>
      <c r="CY7" s="116"/>
      <c r="CZ7" s="160" t="s">
        <v>66</v>
      </c>
      <c r="DA7" s="160" t="s">
        <v>7</v>
      </c>
      <c r="DB7" s="160" t="s">
        <v>8</v>
      </c>
      <c r="DC7" s="71" t="s">
        <v>9</v>
      </c>
      <c r="DD7" s="393" t="s">
        <v>7</v>
      </c>
      <c r="DE7" s="393" t="s">
        <v>66</v>
      </c>
      <c r="DF7" s="72"/>
      <c r="DG7" s="72"/>
      <c r="DH7" s="618"/>
      <c r="DI7" s="116"/>
      <c r="DJ7" s="160" t="s">
        <v>66</v>
      </c>
      <c r="DK7" s="160" t="s">
        <v>7</v>
      </c>
      <c r="DL7" s="160" t="s">
        <v>8</v>
      </c>
      <c r="DM7" s="71" t="s">
        <v>9</v>
      </c>
      <c r="DN7" s="393" t="s">
        <v>7</v>
      </c>
      <c r="DO7" s="72" t="s">
        <v>66</v>
      </c>
      <c r="DP7" s="72"/>
      <c r="DQ7" s="618"/>
      <c r="DR7" s="116"/>
      <c r="DS7" s="160" t="s">
        <v>66</v>
      </c>
      <c r="DT7" s="160" t="s">
        <v>7</v>
      </c>
      <c r="DU7" s="160" t="s">
        <v>8</v>
      </c>
      <c r="DV7" s="71" t="s">
        <v>9</v>
      </c>
      <c r="DW7" s="393" t="s">
        <v>7</v>
      </c>
      <c r="DX7" s="393" t="s">
        <v>66</v>
      </c>
      <c r="DY7" s="72"/>
      <c r="DZ7" s="72"/>
      <c r="EA7" s="618"/>
      <c r="EB7" s="116"/>
      <c r="EC7" s="160" t="s">
        <v>66</v>
      </c>
      <c r="ED7" s="160" t="s">
        <v>7</v>
      </c>
      <c r="EE7" s="160" t="s">
        <v>8</v>
      </c>
      <c r="EF7" s="71" t="s">
        <v>9</v>
      </c>
      <c r="EG7" s="393" t="s">
        <v>7</v>
      </c>
      <c r="EH7" s="393" t="s">
        <v>66</v>
      </c>
      <c r="EI7" s="72"/>
      <c r="EJ7" s="72"/>
      <c r="EK7" s="618"/>
      <c r="EL7" s="116"/>
      <c r="EM7" s="160" t="s">
        <v>66</v>
      </c>
      <c r="EN7" s="160" t="s">
        <v>7</v>
      </c>
      <c r="EO7" s="160" t="s">
        <v>8</v>
      </c>
      <c r="EP7" s="71" t="s">
        <v>9</v>
      </c>
      <c r="EQ7" s="393" t="s">
        <v>7</v>
      </c>
      <c r="ER7" s="393" t="s">
        <v>66</v>
      </c>
      <c r="ES7" s="72"/>
      <c r="ET7" s="72"/>
      <c r="EU7" s="618"/>
      <c r="EV7" s="116"/>
      <c r="EW7" s="160" t="s">
        <v>66</v>
      </c>
      <c r="EX7" s="160" t="s">
        <v>7</v>
      </c>
      <c r="EY7" s="160" t="s">
        <v>8</v>
      </c>
      <c r="EZ7" s="71" t="s">
        <v>9</v>
      </c>
      <c r="FA7" s="393" t="s">
        <v>7</v>
      </c>
      <c r="FB7" s="393" t="s">
        <v>66</v>
      </c>
      <c r="FC7" s="72"/>
      <c r="FD7" s="72"/>
      <c r="FE7" s="618"/>
      <c r="FF7" s="116"/>
      <c r="FG7" s="315" t="s">
        <v>66</v>
      </c>
      <c r="FH7" s="83" t="s">
        <v>7</v>
      </c>
      <c r="FI7" s="83" t="s">
        <v>8</v>
      </c>
      <c r="FJ7" s="71" t="s">
        <v>9</v>
      </c>
      <c r="FK7" s="393" t="s">
        <v>7</v>
      </c>
      <c r="FL7" s="72" t="s">
        <v>66</v>
      </c>
      <c r="FM7" s="681" t="s">
        <v>9</v>
      </c>
      <c r="FN7" s="393" t="s">
        <v>7</v>
      </c>
      <c r="FO7" s="682" t="s">
        <v>66</v>
      </c>
      <c r="FP7" s="681" t="s">
        <v>9</v>
      </c>
      <c r="FQ7" s="393" t="s">
        <v>7</v>
      </c>
      <c r="FR7" s="682" t="s">
        <v>66</v>
      </c>
      <c r="FS7" s="702"/>
      <c r="FT7" s="734"/>
      <c r="FU7" s="707"/>
      <c r="FV7" s="160" t="s">
        <v>66</v>
      </c>
      <c r="FW7" s="160" t="s">
        <v>7</v>
      </c>
      <c r="FX7" s="160" t="s">
        <v>8</v>
      </c>
      <c r="FY7" s="71" t="s">
        <v>9</v>
      </c>
      <c r="FZ7" s="393" t="s">
        <v>7</v>
      </c>
      <c r="GA7" s="393" t="s">
        <v>66</v>
      </c>
      <c r="GB7" s="72"/>
      <c r="GC7" s="72"/>
      <c r="GD7" s="618"/>
      <c r="GE7" s="116"/>
      <c r="GF7" s="160" t="s">
        <v>66</v>
      </c>
      <c r="GG7" s="160" t="s">
        <v>7</v>
      </c>
      <c r="GH7" s="160" t="s">
        <v>8</v>
      </c>
      <c r="GI7" s="71" t="s">
        <v>9</v>
      </c>
      <c r="GJ7" s="393" t="s">
        <v>7</v>
      </c>
      <c r="GK7" s="393" t="s">
        <v>66</v>
      </c>
      <c r="GL7" s="72"/>
      <c r="GM7" s="72"/>
      <c r="GN7" s="618"/>
      <c r="GO7" s="116"/>
      <c r="GP7" s="160" t="s">
        <v>66</v>
      </c>
      <c r="GQ7" s="160" t="s">
        <v>7</v>
      </c>
      <c r="GR7" s="160" t="s">
        <v>8</v>
      </c>
      <c r="GS7" s="71" t="s">
        <v>9</v>
      </c>
      <c r="GT7" s="393" t="s">
        <v>7</v>
      </c>
      <c r="GU7" s="72" t="s">
        <v>66</v>
      </c>
      <c r="GV7" s="72"/>
      <c r="GW7" s="618"/>
      <c r="GX7" s="116"/>
      <c r="GY7" s="160" t="s">
        <v>66</v>
      </c>
      <c r="GZ7" s="83" t="s">
        <v>7</v>
      </c>
      <c r="HA7" s="83" t="s">
        <v>8</v>
      </c>
      <c r="HB7" s="71" t="s">
        <v>9</v>
      </c>
      <c r="HC7" s="393" t="s">
        <v>7</v>
      </c>
      <c r="HD7" s="72" t="s">
        <v>66</v>
      </c>
      <c r="HE7" s="72"/>
      <c r="HF7" s="72"/>
      <c r="HG7" s="618"/>
      <c r="HH7" s="116"/>
      <c r="HI7" s="160" t="s">
        <v>66</v>
      </c>
      <c r="HJ7" s="83" t="s">
        <v>7</v>
      </c>
      <c r="HK7" s="83" t="s">
        <v>8</v>
      </c>
      <c r="HL7" s="71" t="s">
        <v>9</v>
      </c>
      <c r="HM7" s="393" t="s">
        <v>7</v>
      </c>
      <c r="HN7" s="72" t="s">
        <v>66</v>
      </c>
      <c r="HO7" s="72"/>
      <c r="HP7" s="618"/>
      <c r="HQ7" s="116"/>
      <c r="HR7" s="363"/>
      <c r="HS7" s="363"/>
      <c r="HT7" s="363"/>
      <c r="HU7" s="363"/>
    </row>
    <row r="8" spans="1:229" ht="15">
      <c r="A8" s="13" t="s">
        <v>10</v>
      </c>
      <c r="B8" s="14" t="s">
        <v>11</v>
      </c>
      <c r="C8" s="117"/>
      <c r="D8" s="150"/>
      <c r="E8" s="150"/>
      <c r="F8" s="150"/>
      <c r="G8" s="16"/>
      <c r="H8" s="394"/>
      <c r="I8" s="394"/>
      <c r="J8" s="16"/>
      <c r="K8" s="16"/>
      <c r="L8" s="16"/>
      <c r="M8" s="117"/>
      <c r="N8" s="150"/>
      <c r="O8" s="150"/>
      <c r="P8" s="150"/>
      <c r="Q8" s="16"/>
      <c r="R8" s="394"/>
      <c r="S8" s="394"/>
      <c r="T8" s="16"/>
      <c r="U8" s="16"/>
      <c r="V8" s="619"/>
      <c r="W8" s="117"/>
      <c r="X8" s="150"/>
      <c r="Y8" s="150"/>
      <c r="Z8" s="150"/>
      <c r="AA8" s="16"/>
      <c r="AB8" s="394"/>
      <c r="AC8" s="394"/>
      <c r="AD8" s="16"/>
      <c r="AE8" s="16"/>
      <c r="AF8" s="619"/>
      <c r="AG8" s="117"/>
      <c r="AH8" s="150"/>
      <c r="AI8" s="150"/>
      <c r="AJ8" s="150"/>
      <c r="AK8" s="16"/>
      <c r="AL8" s="394"/>
      <c r="AM8" s="394"/>
      <c r="AN8" s="16"/>
      <c r="AO8" s="16"/>
      <c r="AP8" s="619"/>
      <c r="AQ8" s="117"/>
      <c r="AR8" s="286"/>
      <c r="AS8" s="286"/>
      <c r="AT8" s="286"/>
      <c r="AU8" s="16"/>
      <c r="AV8" s="394"/>
      <c r="AW8" s="394"/>
      <c r="AX8" s="16"/>
      <c r="AY8" s="16"/>
      <c r="AZ8" s="619"/>
      <c r="BA8" s="117"/>
      <c r="BB8" s="150"/>
      <c r="BC8" s="150"/>
      <c r="BD8" s="150"/>
      <c r="BE8" s="16"/>
      <c r="BF8" s="394"/>
      <c r="BG8" s="394"/>
      <c r="BH8" s="16"/>
      <c r="BI8" s="16"/>
      <c r="BJ8" s="619"/>
      <c r="BK8" s="117"/>
      <c r="BL8" s="150"/>
      <c r="BM8" s="150"/>
      <c r="BN8" s="150"/>
      <c r="BO8" s="16"/>
      <c r="BP8" s="394"/>
      <c r="BQ8" s="394"/>
      <c r="BR8" s="16"/>
      <c r="BS8" s="16"/>
      <c r="BT8" s="619"/>
      <c r="BU8" s="117"/>
      <c r="BV8" s="150"/>
      <c r="BW8" s="150"/>
      <c r="BX8" s="150"/>
      <c r="BY8" s="16"/>
      <c r="BZ8" s="394"/>
      <c r="CA8" s="394"/>
      <c r="CB8" s="16"/>
      <c r="CC8" s="16"/>
      <c r="CD8" s="619"/>
      <c r="CE8" s="117"/>
      <c r="CF8" s="150"/>
      <c r="CG8" s="150"/>
      <c r="CH8" s="150"/>
      <c r="CI8" s="16"/>
      <c r="CJ8" s="394"/>
      <c r="CK8" s="394"/>
      <c r="CL8" s="16"/>
      <c r="CM8" s="16"/>
      <c r="CN8" s="619"/>
      <c r="CO8" s="117"/>
      <c r="CP8" s="150"/>
      <c r="CQ8" s="150"/>
      <c r="CR8" s="150"/>
      <c r="CS8" s="16"/>
      <c r="CT8" s="394"/>
      <c r="CU8" s="394"/>
      <c r="CV8" s="16"/>
      <c r="CW8" s="16"/>
      <c r="CX8" s="619"/>
      <c r="CY8" s="117"/>
      <c r="CZ8" s="150"/>
      <c r="DA8" s="150"/>
      <c r="DB8" s="150"/>
      <c r="DC8" s="16"/>
      <c r="DD8" s="394"/>
      <c r="DE8" s="394"/>
      <c r="DF8" s="16"/>
      <c r="DG8" s="16"/>
      <c r="DH8" s="619"/>
      <c r="DI8" s="117"/>
      <c r="DJ8" s="150"/>
      <c r="DK8" s="150"/>
      <c r="DL8" s="150"/>
      <c r="DM8" s="16"/>
      <c r="DN8" s="394"/>
      <c r="DO8" s="16"/>
      <c r="DP8" s="16"/>
      <c r="DQ8" s="619"/>
      <c r="DR8" s="117"/>
      <c r="DS8" s="150"/>
      <c r="DT8" s="150"/>
      <c r="DU8" s="150"/>
      <c r="DV8" s="16"/>
      <c r="DW8" s="394"/>
      <c r="DX8" s="394"/>
      <c r="DY8" s="16"/>
      <c r="DZ8" s="16"/>
      <c r="EA8" s="619"/>
      <c r="EB8" s="117"/>
      <c r="EC8" s="150"/>
      <c r="ED8" s="150"/>
      <c r="EE8" s="150"/>
      <c r="EF8" s="16"/>
      <c r="EG8" s="394"/>
      <c r="EH8" s="394"/>
      <c r="EI8" s="16"/>
      <c r="EJ8" s="16"/>
      <c r="EK8" s="619"/>
      <c r="EL8" s="117"/>
      <c r="EM8" s="150"/>
      <c r="EN8" s="150"/>
      <c r="EO8" s="150"/>
      <c r="EP8" s="16"/>
      <c r="EQ8" s="394"/>
      <c r="ER8" s="394"/>
      <c r="ES8" s="16"/>
      <c r="ET8" s="16"/>
      <c r="EU8" s="619"/>
      <c r="EV8" s="117"/>
      <c r="EW8" s="150"/>
      <c r="EX8" s="150"/>
      <c r="EY8" s="150"/>
      <c r="EZ8" s="16"/>
      <c r="FA8" s="394"/>
      <c r="FB8" s="394"/>
      <c r="FC8" s="16"/>
      <c r="FD8" s="16"/>
      <c r="FE8" s="619"/>
      <c r="FF8" s="117"/>
      <c r="FG8" s="316"/>
      <c r="FH8" s="150"/>
      <c r="FI8" s="150"/>
      <c r="FJ8" s="16"/>
      <c r="FK8" s="394"/>
      <c r="FL8" s="16"/>
      <c r="FM8" s="683"/>
      <c r="FN8" s="16"/>
      <c r="FO8" s="17"/>
      <c r="FP8" s="683"/>
      <c r="FQ8" s="16"/>
      <c r="FR8" s="17"/>
      <c r="FS8" s="661"/>
      <c r="FT8" s="735"/>
      <c r="FU8" s="708"/>
      <c r="FV8" s="150"/>
      <c r="FW8" s="150"/>
      <c r="FX8" s="150"/>
      <c r="FY8" s="16"/>
      <c r="FZ8" s="394"/>
      <c r="GA8" s="394"/>
      <c r="GB8" s="16"/>
      <c r="GC8" s="16"/>
      <c r="GD8" s="619"/>
      <c r="GE8" s="117"/>
      <c r="GF8" s="150"/>
      <c r="GG8" s="150"/>
      <c r="GH8" s="150"/>
      <c r="GI8" s="16"/>
      <c r="GJ8" s="394"/>
      <c r="GK8" s="394"/>
      <c r="GL8" s="16"/>
      <c r="GM8" s="16"/>
      <c r="GN8" s="619"/>
      <c r="GO8" s="117"/>
      <c r="GP8" s="150"/>
      <c r="GQ8" s="150"/>
      <c r="GR8" s="150"/>
      <c r="GS8" s="16"/>
      <c r="GT8" s="394"/>
      <c r="GU8" s="16"/>
      <c r="GV8" s="16"/>
      <c r="GW8" s="619"/>
      <c r="GX8" s="117"/>
      <c r="GY8" s="150"/>
      <c r="GZ8" s="150"/>
      <c r="HA8" s="150"/>
      <c r="HB8" s="16"/>
      <c r="HC8" s="394"/>
      <c r="HD8" s="16"/>
      <c r="HE8" s="16"/>
      <c r="HF8" s="16"/>
      <c r="HG8" s="619"/>
      <c r="HH8" s="117"/>
      <c r="HI8" s="150"/>
      <c r="HJ8" s="150"/>
      <c r="HK8" s="150"/>
      <c r="HL8" s="16"/>
      <c r="HM8" s="394"/>
      <c r="HN8" s="16"/>
      <c r="HO8" s="16"/>
      <c r="HP8" s="619"/>
      <c r="HQ8" s="117"/>
      <c r="HR8" s="150"/>
      <c r="HS8" s="150"/>
      <c r="HT8" s="150"/>
      <c r="HU8" s="150"/>
    </row>
    <row r="9" spans="1:229">
      <c r="A9" s="18">
        <v>1</v>
      </c>
      <c r="B9" s="19" t="s">
        <v>12</v>
      </c>
      <c r="C9" s="118"/>
      <c r="D9" s="151">
        <v>903399.74</v>
      </c>
      <c r="E9" s="151">
        <f>D9/118%</f>
        <v>765593</v>
      </c>
      <c r="F9" s="151">
        <f>E9/E2</f>
        <v>3093.5550347502831</v>
      </c>
      <c r="G9" s="159">
        <v>305</v>
      </c>
      <c r="H9" s="395">
        <f>G9*H$2</f>
        <v>133848.7254</v>
      </c>
      <c r="I9" s="395">
        <f>H9*118%</f>
        <v>157941.49597199998</v>
      </c>
      <c r="J9" s="159"/>
      <c r="K9" s="159">
        <f>IFERROR(SUMIFS('PO Tracker'!$J$44:$J$1433,'PO Tracker'!$K$44:$K$1433,$G$6,'PO Tracker'!$L$44:$L$1433,'Capex breakup'!$B9),0)</f>
        <v>155873.28</v>
      </c>
      <c r="L9" s="605">
        <f>IFERROR(K9/I9,"")</f>
        <v>0.98690517676009204</v>
      </c>
      <c r="M9" s="118"/>
      <c r="N9" s="151">
        <v>903399.74</v>
      </c>
      <c r="O9" s="151">
        <f>N9/118%</f>
        <v>765593</v>
      </c>
      <c r="P9" s="151">
        <f>O9/O2</f>
        <v>3093.5550347502831</v>
      </c>
      <c r="Q9" s="159">
        <v>355</v>
      </c>
      <c r="R9" s="395">
        <f>Q9*R$2</f>
        <v>360837.80460000003</v>
      </c>
      <c r="S9" s="395">
        <f>R9*118%</f>
        <v>425788.609428</v>
      </c>
      <c r="T9" s="159" t="s">
        <v>388</v>
      </c>
      <c r="U9" s="159">
        <f>IFERROR(SUMIFS('PO Tracker'!$J$44:$J$1433,'PO Tracker'!$K$44:$K$1433,$Q$6,'PO Tracker'!$L$44:$L$1433,'Capex breakup'!$B9),0)</f>
        <v>421193.92</v>
      </c>
      <c r="V9" s="605">
        <f>IFERROR(U9/S9,"")</f>
        <v>0.98920898932883039</v>
      </c>
      <c r="W9" s="118"/>
      <c r="X9" s="151">
        <v>2498534.08</v>
      </c>
      <c r="Y9" s="151">
        <f>X9/114%</f>
        <v>2191696.5614035092</v>
      </c>
      <c r="Z9" s="133">
        <f>Y9/$Y$2</f>
        <v>831.38478165674428</v>
      </c>
      <c r="AA9" s="159">
        <v>721.73132183908046</v>
      </c>
      <c r="AB9" s="395">
        <f>AA9*AB2</f>
        <v>1351756.575</v>
      </c>
      <c r="AC9" s="395">
        <f>AB9*118%</f>
        <v>1595072.7584999998</v>
      </c>
      <c r="AD9" s="159" t="s">
        <v>388</v>
      </c>
      <c r="AE9" s="159">
        <f>IFERROR(SUMIFS('PO Tracker'!$J$44:$J$1433,'PO Tracker'!$K$44:$K$1433,$AA$6,'PO Tracker'!$L$44:$L$1433,'Capex breakup'!$B9),0)</f>
        <v>1577866.5</v>
      </c>
      <c r="AF9" s="605">
        <f>IFERROR(AE9/AC9,"")</f>
        <v>0.98921286918837459</v>
      </c>
      <c r="AG9" s="118"/>
      <c r="AH9" s="151">
        <v>903399.74</v>
      </c>
      <c r="AI9" s="151">
        <f>AH9/118%</f>
        <v>765593</v>
      </c>
      <c r="AJ9" s="151">
        <f>AI9/AI2</f>
        <v>3093.5550347502831</v>
      </c>
      <c r="AK9" s="159">
        <v>500</v>
      </c>
      <c r="AL9" s="395">
        <f>AK9*AL$2</f>
        <v>202578.47999999998</v>
      </c>
      <c r="AM9" s="395">
        <f>AL9*118%</f>
        <v>239042.60639999996</v>
      </c>
      <c r="AN9" s="159"/>
      <c r="AO9" s="159">
        <f>IFERROR(SUMIFS('PO Tracker'!$J$44:$J$1433,'PO Tracker'!$K$44:$K$1433,$AK$6,'PO Tracker'!$L$44:$L$1433,'Capex breakup'!$B9),0)</f>
        <v>165200</v>
      </c>
      <c r="AP9" s="605">
        <f>IFERROR(AO9/AM9,"")</f>
        <v>0.69109018884927964</v>
      </c>
      <c r="AQ9" s="118"/>
      <c r="AR9" s="287">
        <v>354000</v>
      </c>
      <c r="AS9" s="287">
        <f>AR9/118%</f>
        <v>300000</v>
      </c>
      <c r="AT9" s="288">
        <f>AS9/AS$2</f>
        <v>276.04990982369611</v>
      </c>
      <c r="AU9" s="159">
        <v>370</v>
      </c>
      <c r="AV9" s="395">
        <f>AU9*AV$2</f>
        <v>377358.92999999993</v>
      </c>
      <c r="AW9" s="395">
        <f>AV9*118%</f>
        <v>445283.53739999991</v>
      </c>
      <c r="AX9" s="159"/>
      <c r="AY9" s="159">
        <f>IFERROR(SUMIFS('PO Tracker'!$J$44:$J$1433,'PO Tracker'!$K$44:$K$1433,$AU$6,'PO Tracker'!$L$44:$L$1433,'Capex breakup'!$B9),0)</f>
        <v>383594.4</v>
      </c>
      <c r="AZ9" s="605">
        <f>IFERROR(AY9/AW9,"")</f>
        <v>0.86146099682866939</v>
      </c>
      <c r="BA9" s="118"/>
      <c r="BB9" s="151">
        <v>147500</v>
      </c>
      <c r="BC9" s="151">
        <f>BB9/118%</f>
        <v>125000</v>
      </c>
      <c r="BD9" s="151">
        <f>BC9/BC2</f>
        <v>200.29483399564157</v>
      </c>
      <c r="BE9" s="159">
        <v>380</v>
      </c>
      <c r="BF9" s="395">
        <f>BE9*BF$2</f>
        <v>295402.91039999994</v>
      </c>
      <c r="BG9" s="395">
        <f>BF9*118%</f>
        <v>348575.43427199993</v>
      </c>
      <c r="BH9" s="159"/>
      <c r="BI9" s="159">
        <f>IFERROR(SUMIFS('PO Tracker'!$J$44:$J$1433,'PO Tracker'!$K$44:$K$1433,$BE$6,'PO Tracker'!$L$44:$L$1433,'Capex breakup'!$B9),0)</f>
        <v>0</v>
      </c>
      <c r="BJ9" s="605">
        <f>IFERROR(BI9/BG9,"")</f>
        <v>0</v>
      </c>
      <c r="BK9" s="118"/>
      <c r="BL9" s="151"/>
      <c r="BM9" s="151"/>
      <c r="BN9" s="151"/>
      <c r="BO9" s="159">
        <v>300</v>
      </c>
      <c r="BP9" s="395">
        <f>BO9*BP$2</f>
        <v>171535.10399999996</v>
      </c>
      <c r="BQ9" s="395">
        <f>BP9*118%</f>
        <v>202411.42271999994</v>
      </c>
      <c r="BR9" s="159"/>
      <c r="BS9" s="159">
        <f>IFERROR(SUMIFS('PO Tracker'!$J$44:$J$1433,'PO Tracker'!$K$44:$K$1433,$BO$6,'PO Tracker'!$L$44:$L$1433,'Capex breakup'!$B9),0)</f>
        <v>0</v>
      </c>
      <c r="BT9" s="605">
        <f>IFERROR(BS9/BQ9,"")</f>
        <v>0</v>
      </c>
      <c r="BU9" s="118"/>
      <c r="BV9" s="151">
        <v>118000</v>
      </c>
      <c r="BW9" s="151">
        <f>BV9/118%</f>
        <v>100000</v>
      </c>
      <c r="BX9" s="151">
        <f>BW9/BW2</f>
        <v>102.14504596527068</v>
      </c>
      <c r="BY9" s="159">
        <v>500</v>
      </c>
      <c r="BZ9" s="395">
        <f>BY9*BZ$2</f>
        <v>186540.11999999997</v>
      </c>
      <c r="CA9" s="395">
        <f>BZ9*118%</f>
        <v>220117.34159999996</v>
      </c>
      <c r="CB9" s="159"/>
      <c r="CC9" s="159">
        <f>IFERROR(SUMIFS('PO Tracker'!$J$44:$J$1433,'PO Tracker'!$K$44:$K$1433,$BY$6,'PO Tracker'!$L$44:$L$1433,'Capex breakup'!$B9),0)</f>
        <v>132512.82</v>
      </c>
      <c r="CD9" s="605">
        <f>IFERROR(CC9/CA9,"")</f>
        <v>0.60200990542945954</v>
      </c>
      <c r="CE9" s="118"/>
      <c r="CF9" s="151">
        <v>115640</v>
      </c>
      <c r="CG9" s="151">
        <f>CF9/118%</f>
        <v>98000</v>
      </c>
      <c r="CH9" s="151">
        <f>CG9/CG2</f>
        <v>293.80021585321981</v>
      </c>
      <c r="CI9" s="159">
        <v>1100</v>
      </c>
      <c r="CJ9" s="395">
        <f>CI9*CJ$2</f>
        <v>213127.19999999998</v>
      </c>
      <c r="CK9" s="395">
        <f>CJ9*118%</f>
        <v>251490.09599999996</v>
      </c>
      <c r="CL9" s="159"/>
      <c r="CM9" s="159">
        <f>IFERROR(SUMIFS('PO Tracker'!$J$44:$J$1433,'PO Tracker'!$K$44:$K$1433,$CI$6,'PO Tracker'!$L$44:$L$1433,'Capex breakup'!$B9),0)</f>
        <v>0</v>
      </c>
      <c r="CN9" s="605">
        <f>IFERROR(CM9/CK9,"")</f>
        <v>0</v>
      </c>
      <c r="CO9" s="118"/>
      <c r="CP9" s="151"/>
      <c r="CQ9" s="151">
        <f>CP9/118%</f>
        <v>0</v>
      </c>
      <c r="CR9" s="151"/>
      <c r="CS9" s="159"/>
      <c r="CT9" s="395">
        <f>CS9*CT$2</f>
        <v>0</v>
      </c>
      <c r="CU9" s="395">
        <f>CT9*118%</f>
        <v>0</v>
      </c>
      <c r="CV9" s="159"/>
      <c r="CW9" s="159">
        <f>IFERROR(SUMIFS('PO Tracker'!$J$44:$J$1433,'PO Tracker'!$K$44:$K$1433,$CS$6,'PO Tracker'!$L$44:$L$1433,'Capex breakup'!$B9),0)</f>
        <v>0</v>
      </c>
      <c r="CX9" s="605" t="str">
        <f>IFERROR(CW9/CU9,"")</f>
        <v/>
      </c>
      <c r="CY9" s="118"/>
      <c r="CZ9" s="151">
        <v>115640</v>
      </c>
      <c r="DA9" s="151">
        <f>CZ9/118%</f>
        <v>98000</v>
      </c>
      <c r="DB9" s="151">
        <f>DA9/DA2</f>
        <v>293.80021585321981</v>
      </c>
      <c r="DC9" s="159">
        <v>0</v>
      </c>
      <c r="DD9" s="395">
        <f>DC9*DD$2</f>
        <v>0</v>
      </c>
      <c r="DE9" s="395">
        <f>DD9*118%</f>
        <v>0</v>
      </c>
      <c r="DF9" s="159" t="s">
        <v>402</v>
      </c>
      <c r="DG9" s="159">
        <f>IFERROR(SUMIFS('PO Tracker'!$J$44:$J$1433,'PO Tracker'!$K$44:$K$1433,$DC$6,'PO Tracker'!$L$44:$L$1433,'Capex breakup'!$B9),0)</f>
        <v>236000</v>
      </c>
      <c r="DH9" s="605" t="str">
        <f>IFERROR(DG9/DE9,"")</f>
        <v/>
      </c>
      <c r="DI9" s="118"/>
      <c r="DJ9" s="151"/>
      <c r="DK9" s="151">
        <f>DJ9/118%</f>
        <v>0</v>
      </c>
      <c r="DL9" s="151">
        <f>DK9/DK2</f>
        <v>0</v>
      </c>
      <c r="DM9" s="159"/>
      <c r="DN9" s="395">
        <f>GT9</f>
        <v>0</v>
      </c>
      <c r="DO9" s="159">
        <f>DN9*118%</f>
        <v>0</v>
      </c>
      <c r="DP9" s="159">
        <f>IFERROR(SUMIFS('PO Tracker'!$J$44:$J$1433,'PO Tracker'!$K$44:$K$1433,$DM$6,'PO Tracker'!$L$44:$L$1433,'Capex breakup'!$B9),0)</f>
        <v>0</v>
      </c>
      <c r="DQ9" s="605" t="str">
        <f>IFERROR(DP9/DN9,"")</f>
        <v/>
      </c>
      <c r="DR9" s="118"/>
      <c r="DS9" s="151">
        <v>115640</v>
      </c>
      <c r="DT9" s="151">
        <f>DS9/118%</f>
        <v>98000</v>
      </c>
      <c r="DU9" s="151">
        <f>DT9/DT2</f>
        <v>293.80021585321981</v>
      </c>
      <c r="DV9" s="159">
        <v>129.36243822075781</v>
      </c>
      <c r="DW9" s="395">
        <f>DV9*$DW$2</f>
        <v>169044.31439999997</v>
      </c>
      <c r="DX9" s="395">
        <f>DW9*118%</f>
        <v>199472.29099199997</v>
      </c>
      <c r="DY9" s="159" t="s">
        <v>389</v>
      </c>
      <c r="DZ9" s="159">
        <f>IFERROR(SUMIFS('PO Tracker'!$J$44:$J$1433,'PO Tracker'!$K$44:$K$1433,$DV$6,'PO Tracker'!$L$44:$L$1433,'Capex breakup'!$B9),0)</f>
        <v>372640.45999999996</v>
      </c>
      <c r="EA9" s="605">
        <f>IFERROR(DZ9/DX9,"")</f>
        <v>1.8681314489687446</v>
      </c>
      <c r="EB9" s="118"/>
      <c r="EC9" s="151">
        <v>115640</v>
      </c>
      <c r="ED9" s="151">
        <f>EC9/118%</f>
        <v>98000</v>
      </c>
      <c r="EE9" s="151">
        <f>ED9/ED2</f>
        <v>293.80021585321981</v>
      </c>
      <c r="EF9" s="159">
        <v>0</v>
      </c>
      <c r="EG9" s="395">
        <f>EF9*EG$2</f>
        <v>0</v>
      </c>
      <c r="EH9" s="395">
        <f>EG9*118%</f>
        <v>0</v>
      </c>
      <c r="EI9" s="159" t="s">
        <v>402</v>
      </c>
      <c r="EJ9" s="159">
        <f>IFERROR(SUMIFS('PO Tracker'!$J$44:$J$1433,'PO Tracker'!$K$44:$K$1433,$EF$6,'PO Tracker'!$L$44:$L$1433,'Capex breakup'!$B9),0)</f>
        <v>0</v>
      </c>
      <c r="EK9" s="605" t="str">
        <f>IFERROR(EJ9/EH9,"")</f>
        <v/>
      </c>
      <c r="EL9" s="118"/>
      <c r="EM9" s="151"/>
      <c r="EN9" s="151"/>
      <c r="EO9" s="151"/>
      <c r="EP9" s="159">
        <v>370</v>
      </c>
      <c r="EQ9" s="395">
        <f>EP9*EQ$2</f>
        <v>142340.98319999999</v>
      </c>
      <c r="ER9" s="395">
        <f>EQ9*118%</f>
        <v>167962.36017599999</v>
      </c>
      <c r="ES9" s="159"/>
      <c r="ET9" s="159">
        <f>IFERROR(SUMIFS('PO Tracker'!$J$44:$J$1433,'PO Tracker'!$K$44:$K$1433,$EP$6,'PO Tracker'!$L$44:$L$1433,'Capex breakup'!$B9),0)</f>
        <v>136640.46</v>
      </c>
      <c r="EU9" s="605">
        <f>IFERROR(ET9/ER9,"")</f>
        <v>0.81351833742286528</v>
      </c>
      <c r="EV9" s="118"/>
      <c r="EW9" s="151"/>
      <c r="EX9" s="151"/>
      <c r="EY9" s="151"/>
      <c r="EZ9" s="159">
        <v>200</v>
      </c>
      <c r="FA9" s="395">
        <f>EZ9*FA$2</f>
        <v>256161.67199999996</v>
      </c>
      <c r="FB9" s="395">
        <f>FA9*118%</f>
        <v>302270.77295999991</v>
      </c>
      <c r="FC9" s="159"/>
      <c r="FD9" s="159">
        <f>IFERROR(SUMIFS('PO Tracker'!$J$44:$J$1433,'PO Tracker'!$K$44:$K$1433,$EZ$6,'PO Tracker'!$L$44:$L$1433,'Capex breakup'!$B9),0)</f>
        <v>259290.84</v>
      </c>
      <c r="FE9" s="605">
        <f>IFERROR(FD9/FB9,"")</f>
        <v>0.85780982878656431</v>
      </c>
      <c r="FF9" s="118"/>
      <c r="FG9" s="318">
        <v>2498534.08</v>
      </c>
      <c r="FH9" s="151">
        <f>FG9/114%</f>
        <v>2191696.5614035092</v>
      </c>
      <c r="FI9" s="133">
        <f>FH9/$FH$2</f>
        <v>831.38478165674428</v>
      </c>
      <c r="FJ9" s="159">
        <v>250</v>
      </c>
      <c r="FK9" s="395">
        <v>400000</v>
      </c>
      <c r="FL9" s="159">
        <f>FK9*118%</f>
        <v>472000</v>
      </c>
      <c r="FM9" s="684"/>
      <c r="FN9" s="159">
        <v>400000</v>
      </c>
      <c r="FO9" s="685">
        <f>FN9*1.18</f>
        <v>472000</v>
      </c>
      <c r="FP9" s="684"/>
      <c r="FQ9" s="159">
        <f>FK9-FN9</f>
        <v>0</v>
      </c>
      <c r="FR9" s="685">
        <f>FQ9*1.18</f>
        <v>0</v>
      </c>
      <c r="FS9" s="662">
        <f>IFERROR(SUMIFS('PO Tracker'!$J$44:$J$1433,'PO Tracker'!$K$44:$K$1433,$FJ$6,'PO Tracker'!$L$44:$L$1433,'Capex breakup'!$B9),0)</f>
        <v>448400</v>
      </c>
      <c r="FT9" s="736" t="str">
        <f>IFERROR(FS9/FQ9,"")</f>
        <v/>
      </c>
      <c r="FU9" s="709"/>
      <c r="FV9" s="151">
        <v>115640</v>
      </c>
      <c r="FW9" s="151">
        <f>FV9/118%</f>
        <v>98000</v>
      </c>
      <c r="FX9" s="151">
        <f>FW9/FW2</f>
        <v>293.80021585321981</v>
      </c>
      <c r="FY9" s="159">
        <v>900</v>
      </c>
      <c r="FZ9" s="395">
        <f>FY9*FZ$2</f>
        <v>200339.568</v>
      </c>
      <c r="GA9" s="395">
        <f>FZ9*118%</f>
        <v>236400.69024</v>
      </c>
      <c r="GB9" s="159"/>
      <c r="GC9" s="159">
        <f>IFERROR(SUMIFS('PO Tracker'!$J$44:$J$1433,'PO Tracker'!$K$44:$K$1433,$FY$6,'PO Tracker'!$L$44:$L$1433,'Capex breakup'!$B9),0)</f>
        <v>236000</v>
      </c>
      <c r="GD9" s="605">
        <f>IFERROR(GC9/GA9,"")</f>
        <v>0.99830503777466473</v>
      </c>
      <c r="GE9" s="118"/>
      <c r="GF9" s="151"/>
      <c r="GG9" s="151">
        <f>GF9/118%</f>
        <v>0</v>
      </c>
      <c r="GH9" s="151">
        <f>GG9/GG2</f>
        <v>0</v>
      </c>
      <c r="GI9" s="159">
        <v>0</v>
      </c>
      <c r="GJ9" s="395">
        <f>GI9*GJ$2</f>
        <v>0</v>
      </c>
      <c r="GK9" s="395">
        <f>GJ9*118%</f>
        <v>0</v>
      </c>
      <c r="GL9" s="159"/>
      <c r="GM9" s="159">
        <f>IFERROR(SUMIFS('PO Tracker'!$J$44:$J$1433,'PO Tracker'!$K$44:$K$1433,$GI$6,'PO Tracker'!$L$44:$L$1433,'Capex breakup'!$B9),0)</f>
        <v>429684.02</v>
      </c>
      <c r="GN9" s="605" t="str">
        <f>IFERROR(GM9/GK9,"")</f>
        <v/>
      </c>
      <c r="GO9" s="118"/>
      <c r="GP9" s="151"/>
      <c r="GQ9" s="151">
        <f>GP9/118%</f>
        <v>0</v>
      </c>
      <c r="GR9" s="151">
        <f>GQ9/GQ2</f>
        <v>0</v>
      </c>
      <c r="GS9" s="159"/>
      <c r="GT9" s="395">
        <v>0</v>
      </c>
      <c r="GU9" s="159">
        <v>0</v>
      </c>
      <c r="GV9" s="159">
        <f>IFERROR(SUMIFS('PO Tracker'!$J$44:$J$1433,'PO Tracker'!$K$44:$K$1433,$GS$6,'PO Tracker'!$L$44:$L$1433,'Capex breakup'!$B9),0)</f>
        <v>0</v>
      </c>
      <c r="GW9" s="605" t="str">
        <f>IFERROR(GV9/GT9,"")</f>
        <v/>
      </c>
      <c r="GX9" s="118"/>
      <c r="GY9" s="151"/>
      <c r="GZ9" s="151"/>
      <c r="HA9" s="133"/>
      <c r="HB9" s="159">
        <f>831.384781656744*0</f>
        <v>0</v>
      </c>
      <c r="HC9" s="395">
        <f>HB9*HC$2</f>
        <v>0</v>
      </c>
      <c r="HD9" s="159">
        <f>HC9*118%</f>
        <v>0</v>
      </c>
      <c r="HE9" s="774" t="s">
        <v>479</v>
      </c>
      <c r="HF9" s="159">
        <f>IFERROR(SUMIFS('PO Tracker'!$J$44:$J$1433,'PO Tracker'!$K$44:$K$1433,$HB$6,'PO Tracker'!$L$44:$L$1433,'Capex breakup'!$B9),0)</f>
        <v>0</v>
      </c>
      <c r="HG9" s="605" t="str">
        <f>IFERROR(HF9/HD9,"")</f>
        <v/>
      </c>
      <c r="HH9" s="118"/>
      <c r="HI9" s="151"/>
      <c r="HJ9" s="151"/>
      <c r="HK9" s="133"/>
      <c r="HL9" s="159">
        <v>500</v>
      </c>
      <c r="HM9" s="395">
        <f>HL9*HM$2</f>
        <v>1698021</v>
      </c>
      <c r="HN9" s="159">
        <f>HM9*118%</f>
        <v>2003664.7799999998</v>
      </c>
      <c r="HO9" s="159">
        <f>IFERROR(SUMIFS('PO Tracker'!$J$44:$J$1433,'PO Tracker'!$K$44:$K$1433,$HL$6,'PO Tracker'!$L$44:$L$1433,'Capex breakup'!$B9),0)</f>
        <v>362248.2</v>
      </c>
      <c r="HP9" s="605">
        <f>IFERROR(HO9/HM9,"")</f>
        <v>0.21333552411895967</v>
      </c>
      <c r="HQ9" s="118"/>
      <c r="HR9" s="364"/>
      <c r="HS9" s="364"/>
      <c r="HT9" s="364"/>
      <c r="HU9" s="364"/>
    </row>
    <row r="10" spans="1:229">
      <c r="A10" s="18">
        <v>2</v>
      </c>
      <c r="B10" s="19" t="s">
        <v>13</v>
      </c>
      <c r="C10" s="118"/>
      <c r="D10" s="151">
        <v>0</v>
      </c>
      <c r="E10" s="151">
        <f t="shared" ref="E10:E17" si="0">D10/118%</f>
        <v>0</v>
      </c>
      <c r="F10" s="151">
        <f>E10/E2</f>
        <v>0</v>
      </c>
      <c r="G10" s="159">
        <f>+F10</f>
        <v>0</v>
      </c>
      <c r="H10" s="395">
        <f t="shared" ref="H10:H17" si="1">G10*H$2</f>
        <v>0</v>
      </c>
      <c r="I10" s="395">
        <f t="shared" ref="I10:I17" si="2">H10*118%</f>
        <v>0</v>
      </c>
      <c r="J10" s="159"/>
      <c r="K10" s="159">
        <f>IFERROR(SUMIFS('PO Tracker'!$J$44:$J$1433,'PO Tracker'!$K$44:$K$1433,$G$6,'PO Tracker'!$L$44:$L$1433,'Capex breakup'!$B10),0)</f>
        <v>0</v>
      </c>
      <c r="L10" s="605" t="str">
        <f t="shared" ref="L10:L18" si="3">IFERROR(K10/I10,"")</f>
        <v/>
      </c>
      <c r="M10" s="118"/>
      <c r="N10" s="151">
        <v>0</v>
      </c>
      <c r="O10" s="151">
        <f t="shared" ref="O10:O17" si="4">N10/118%</f>
        <v>0</v>
      </c>
      <c r="P10" s="151">
        <f>O10/O2</f>
        <v>0</v>
      </c>
      <c r="Q10" s="159">
        <f>+P10</f>
        <v>0</v>
      </c>
      <c r="R10" s="395">
        <f t="shared" ref="R10:R17" si="5">Q10*R$2</f>
        <v>0</v>
      </c>
      <c r="S10" s="395">
        <f t="shared" ref="S10:S17" si="6">R10*118%</f>
        <v>0</v>
      </c>
      <c r="T10" s="159"/>
      <c r="U10" s="159">
        <f>IFERROR(SUMIFS('PO Tracker'!$J$44:$J$1433,'PO Tracker'!$K$44:$K$1433,$Q$6,'PO Tracker'!$L$44:$L$1433,'Capex breakup'!$B10),0)</f>
        <v>0</v>
      </c>
      <c r="V10" s="605" t="str">
        <f t="shared" ref="V10:V18" si="7">IFERROR(U10/S10,"")</f>
        <v/>
      </c>
      <c r="W10" s="118"/>
      <c r="X10" s="151"/>
      <c r="Y10" s="151">
        <f t="shared" ref="Y10:Y17" si="8">X10/114%</f>
        <v>0</v>
      </c>
      <c r="Z10" s="133"/>
      <c r="AA10" s="159">
        <f>+Z10</f>
        <v>0</v>
      </c>
      <c r="AB10" s="395">
        <v>0</v>
      </c>
      <c r="AC10" s="395">
        <f t="shared" ref="AC10:AC17" si="9">AB10*118%</f>
        <v>0</v>
      </c>
      <c r="AD10" s="159"/>
      <c r="AE10" s="159">
        <f>IFERROR(SUMIFS('PO Tracker'!$J$44:$J$1433,'PO Tracker'!$K$44:$K$1433,$AA$6,'PO Tracker'!$L$44:$L$1433,'Capex breakup'!$B10),0)</f>
        <v>0</v>
      </c>
      <c r="AF10" s="605" t="str">
        <f t="shared" ref="AF10:AF18" si="10">IFERROR(AE10/AC10,"")</f>
        <v/>
      </c>
      <c r="AG10" s="118"/>
      <c r="AH10" s="151">
        <v>0</v>
      </c>
      <c r="AI10" s="151">
        <f t="shared" ref="AI10:AI17" si="11">AH10/118%</f>
        <v>0</v>
      </c>
      <c r="AJ10" s="151">
        <f>AI10/AI2</f>
        <v>0</v>
      </c>
      <c r="AK10" s="159">
        <f>+AJ10</f>
        <v>0</v>
      </c>
      <c r="AL10" s="395">
        <f t="shared" ref="AL10:AL17" si="12">AK10*AL$2</f>
        <v>0</v>
      </c>
      <c r="AM10" s="395">
        <f t="shared" ref="AM10:AM17" si="13">AL10*118%</f>
        <v>0</v>
      </c>
      <c r="AN10" s="159"/>
      <c r="AO10" s="159">
        <f>IFERROR(SUMIFS('PO Tracker'!$J$44:$J$1433,'PO Tracker'!$K$44:$K$1433,$AK$6,'PO Tracker'!$L$44:$L$1433,'Capex breakup'!$B10),0)</f>
        <v>0</v>
      </c>
      <c r="AP10" s="605" t="str">
        <f t="shared" ref="AP10:AP18" si="14">IFERROR(AO10/AM10,"")</f>
        <v/>
      </c>
      <c r="AQ10" s="118"/>
      <c r="AR10" s="287"/>
      <c r="AS10" s="287">
        <f>AR10/118%</f>
        <v>0</v>
      </c>
      <c r="AT10" s="288">
        <f t="shared" ref="AT10:AT17" si="15">AS10/AS$2</f>
        <v>0</v>
      </c>
      <c r="AU10" s="159">
        <f>+AT10</f>
        <v>0</v>
      </c>
      <c r="AV10" s="395">
        <f t="shared" ref="AV10:AV17" si="16">AU10*AV$2</f>
        <v>0</v>
      </c>
      <c r="AW10" s="395">
        <f t="shared" ref="AW10:AW17" si="17">AV10*118%</f>
        <v>0</v>
      </c>
      <c r="AX10" s="159"/>
      <c r="AY10" s="159">
        <f>IFERROR(SUMIFS('PO Tracker'!$J$44:$J$1433,'PO Tracker'!$K$44:$K$1433,$AU$6,'PO Tracker'!$L$44:$L$1433,'Capex breakup'!$B10),0)</f>
        <v>0</v>
      </c>
      <c r="AZ10" s="605" t="str">
        <f t="shared" ref="AZ10:AZ18" si="18">IFERROR(AY10/AW10,"")</f>
        <v/>
      </c>
      <c r="BA10" s="118"/>
      <c r="BB10" s="151"/>
      <c r="BC10" s="151">
        <f t="shared" ref="BC10:BC17" si="19">BB10/118%</f>
        <v>0</v>
      </c>
      <c r="BD10" s="151">
        <f>BC10/BC2</f>
        <v>0</v>
      </c>
      <c r="BE10" s="159">
        <f>+BD10</f>
        <v>0</v>
      </c>
      <c r="BF10" s="395">
        <f t="shared" ref="BF10:BF17" si="20">BE10*BF$2</f>
        <v>0</v>
      </c>
      <c r="BG10" s="395">
        <f t="shared" ref="BG10:BG17" si="21">BF10*118%</f>
        <v>0</v>
      </c>
      <c r="BH10" s="159"/>
      <c r="BI10" s="159">
        <f>IFERROR(SUMIFS('PO Tracker'!$J$44:$J$1433,'PO Tracker'!$K$44:$K$1433,$BE$6,'PO Tracker'!$L$44:$L$1433,'Capex breakup'!$B10),0)</f>
        <v>0</v>
      </c>
      <c r="BJ10" s="605" t="str">
        <f t="shared" ref="BJ10:BJ18" si="22">IFERROR(BI10/BG10,"")</f>
        <v/>
      </c>
      <c r="BK10" s="118"/>
      <c r="BL10" s="151"/>
      <c r="BM10" s="151"/>
      <c r="BN10" s="151"/>
      <c r="BO10" s="159"/>
      <c r="BP10" s="395">
        <f t="shared" ref="BP10:BP17" si="23">BO10*BP$2</f>
        <v>0</v>
      </c>
      <c r="BQ10" s="395">
        <f t="shared" ref="BQ10:BQ17" si="24">BP10*118%</f>
        <v>0</v>
      </c>
      <c r="BR10" s="159"/>
      <c r="BS10" s="159">
        <f>IFERROR(SUMIFS('PO Tracker'!$J$44:$J$1433,'PO Tracker'!$K$44:$K$1433,$BO$6,'PO Tracker'!$L$44:$L$1433,'Capex breakup'!$B10),0)</f>
        <v>0</v>
      </c>
      <c r="BT10" s="605" t="str">
        <f t="shared" ref="BT10:BT18" si="25">IFERROR(BS10/BQ10,"")</f>
        <v/>
      </c>
      <c r="BU10" s="118"/>
      <c r="BV10" s="151"/>
      <c r="BW10" s="151">
        <f t="shared" ref="BW10:BW17" si="26">BV10/118%</f>
        <v>0</v>
      </c>
      <c r="BX10" s="151">
        <f>BW10/BW2</f>
        <v>0</v>
      </c>
      <c r="BY10" s="159">
        <f>+BX10</f>
        <v>0</v>
      </c>
      <c r="BZ10" s="395">
        <f t="shared" ref="BZ10:BZ17" si="27">BY10*BZ$2</f>
        <v>0</v>
      </c>
      <c r="CA10" s="395">
        <f t="shared" ref="CA10:CA17" si="28">BZ10*118%</f>
        <v>0</v>
      </c>
      <c r="CB10" s="159"/>
      <c r="CC10" s="159">
        <f>IFERROR(SUMIFS('PO Tracker'!$J$44:$J$1433,'PO Tracker'!$K$44:$K$1433,$BY$6,'PO Tracker'!$L$44:$L$1433,'Capex breakup'!$B10),0)</f>
        <v>0</v>
      </c>
      <c r="CD10" s="605" t="str">
        <f t="shared" ref="CD10:CD18" si="29">IFERROR(CC10/CA10,"")</f>
        <v/>
      </c>
      <c r="CE10" s="118"/>
      <c r="CF10" s="151">
        <v>0</v>
      </c>
      <c r="CG10" s="151">
        <f t="shared" ref="CG10:CG17" si="30">CF10/118%</f>
        <v>0</v>
      </c>
      <c r="CH10" s="151">
        <f>CG10/CG2</f>
        <v>0</v>
      </c>
      <c r="CI10" s="159">
        <f>+CH10</f>
        <v>0</v>
      </c>
      <c r="CJ10" s="395">
        <f t="shared" ref="CJ10:CJ17" si="31">CI10*CJ$2</f>
        <v>0</v>
      </c>
      <c r="CK10" s="395">
        <f t="shared" ref="CK10:CK17" si="32">CJ10*118%</f>
        <v>0</v>
      </c>
      <c r="CL10" s="159"/>
      <c r="CM10" s="159">
        <f>IFERROR(SUMIFS('PO Tracker'!$J$44:$J$1433,'PO Tracker'!$K$44:$K$1433,$CI$6,'PO Tracker'!$L$44:$L$1433,'Capex breakup'!$B10),0)</f>
        <v>0</v>
      </c>
      <c r="CN10" s="605" t="str">
        <f t="shared" ref="CN10:CN18" si="33">IFERROR(CM10/CK10,"")</f>
        <v/>
      </c>
      <c r="CO10" s="118"/>
      <c r="CP10" s="151"/>
      <c r="CQ10" s="151">
        <f t="shared" ref="CQ10:CQ17" si="34">CP10/118%</f>
        <v>0</v>
      </c>
      <c r="CR10" s="151"/>
      <c r="CS10" s="159"/>
      <c r="CT10" s="395">
        <f t="shared" ref="CT10:CT17" si="35">CS10*CT$2</f>
        <v>0</v>
      </c>
      <c r="CU10" s="395">
        <f t="shared" ref="CU10:CU17" si="36">CT10*118%</f>
        <v>0</v>
      </c>
      <c r="CV10" s="159"/>
      <c r="CW10" s="159">
        <f>IFERROR(SUMIFS('PO Tracker'!$J$44:$J$1433,'PO Tracker'!$K$44:$K$1433,$CS$6,'PO Tracker'!$L$44:$L$1433,'Capex breakup'!$B10),0)</f>
        <v>0</v>
      </c>
      <c r="CX10" s="605" t="str">
        <f t="shared" ref="CX10:CX18" si="37">IFERROR(CW10/CU10,"")</f>
        <v/>
      </c>
      <c r="CY10" s="118"/>
      <c r="CZ10" s="151">
        <v>0</v>
      </c>
      <c r="DA10" s="151">
        <f t="shared" ref="DA10:DA17" si="38">CZ10/118%</f>
        <v>0</v>
      </c>
      <c r="DB10" s="151">
        <f>DA10/DA2</f>
        <v>0</v>
      </c>
      <c r="DC10" s="159">
        <f>+DB10</f>
        <v>0</v>
      </c>
      <c r="DD10" s="395">
        <f t="shared" ref="DD10:DD17" si="39">DC10*DD$2</f>
        <v>0</v>
      </c>
      <c r="DE10" s="395">
        <f t="shared" ref="DE10:DE17" si="40">DD10*118%</f>
        <v>0</v>
      </c>
      <c r="DF10" s="159"/>
      <c r="DG10" s="159">
        <f>IFERROR(SUMIFS('PO Tracker'!$J$44:$J$1433,'PO Tracker'!$K$44:$K$1433,$DC$6,'PO Tracker'!$L$44:$L$1433,'Capex breakup'!$B10),0)</f>
        <v>0</v>
      </c>
      <c r="DH10" s="605" t="str">
        <f t="shared" ref="DH10:DH18" si="41">IFERROR(DG10/DE10,"")</f>
        <v/>
      </c>
      <c r="DI10" s="118"/>
      <c r="DJ10" s="151"/>
      <c r="DK10" s="151">
        <f t="shared" ref="DK10:DK17" si="42">DJ10/118%</f>
        <v>0</v>
      </c>
      <c r="DL10" s="151">
        <f>DK10/DK2</f>
        <v>0</v>
      </c>
      <c r="DM10" s="159"/>
      <c r="DN10" s="395">
        <f t="shared" ref="DN10:DN17" si="43">GT10</f>
        <v>0</v>
      </c>
      <c r="DO10" s="159">
        <f t="shared" ref="DO10:DO17" si="44">DN10*118%</f>
        <v>0</v>
      </c>
      <c r="DP10" s="159">
        <f>IFERROR(SUMIFS('PO Tracker'!$J$44:$J$1433,'PO Tracker'!$K$44:$K$1433,$DM$6,'PO Tracker'!$L$44:$L$1433,'Capex breakup'!$B10),0)</f>
        <v>0</v>
      </c>
      <c r="DQ10" s="605" t="str">
        <f t="shared" ref="DQ10:DQ18" si="45">IFERROR(DP10/DN10,"")</f>
        <v/>
      </c>
      <c r="DR10" s="118"/>
      <c r="DS10" s="151">
        <v>0</v>
      </c>
      <c r="DT10" s="151">
        <f t="shared" ref="DT10:DT17" si="46">DS10/118%</f>
        <v>0</v>
      </c>
      <c r="DU10" s="151">
        <f>DT10/DT2</f>
        <v>0</v>
      </c>
      <c r="DV10" s="159">
        <v>0</v>
      </c>
      <c r="DW10" s="395">
        <f t="shared" ref="DW10:DW17" si="47">DV10*DW$2</f>
        <v>0</v>
      </c>
      <c r="DX10" s="395">
        <f t="shared" ref="DX10:DX17" si="48">DW10*118%</f>
        <v>0</v>
      </c>
      <c r="DY10" s="159"/>
      <c r="DZ10" s="159">
        <f>IFERROR(SUMIFS('PO Tracker'!$J$44:$J$1433,'PO Tracker'!$K$44:$K$1433,$DV$6,'PO Tracker'!$L$44:$L$1433,'Capex breakup'!$B10),0)</f>
        <v>0</v>
      </c>
      <c r="EA10" s="605" t="str">
        <f t="shared" ref="EA10:EA18" si="49">IFERROR(DZ10/DX10,"")</f>
        <v/>
      </c>
      <c r="EB10" s="118"/>
      <c r="EC10" s="151">
        <v>0</v>
      </c>
      <c r="ED10" s="151">
        <f t="shared" ref="ED10:ED17" si="50">EC10/118%</f>
        <v>0</v>
      </c>
      <c r="EE10" s="151">
        <f>ED10/ED2</f>
        <v>0</v>
      </c>
      <c r="EF10" s="159">
        <f>+EE10</f>
        <v>0</v>
      </c>
      <c r="EG10" s="395">
        <f t="shared" ref="EG10:EG17" si="51">EF10*EG$2</f>
        <v>0</v>
      </c>
      <c r="EH10" s="395">
        <f t="shared" ref="EH10:EH17" si="52">EG10*118%</f>
        <v>0</v>
      </c>
      <c r="EI10" s="159"/>
      <c r="EJ10" s="159">
        <f>IFERROR(SUMIFS('PO Tracker'!$J$44:$J$1433,'PO Tracker'!$K$44:$K$1433,$EF$6,'PO Tracker'!$L$44:$L$1433,'Capex breakup'!$B10),0)</f>
        <v>0</v>
      </c>
      <c r="EK10" s="605" t="str">
        <f t="shared" ref="EK10:EK18" si="53">IFERROR(EJ10/EH10,"")</f>
        <v/>
      </c>
      <c r="EL10" s="118"/>
      <c r="EM10" s="151"/>
      <c r="EN10" s="151"/>
      <c r="EO10" s="151"/>
      <c r="EP10" s="159">
        <f>+EO10</f>
        <v>0</v>
      </c>
      <c r="EQ10" s="395">
        <f t="shared" ref="EQ10:EQ17" si="54">EP10*EQ$2</f>
        <v>0</v>
      </c>
      <c r="ER10" s="395">
        <f t="shared" ref="ER10:ER17" si="55">EQ10*118%</f>
        <v>0</v>
      </c>
      <c r="ES10" s="159"/>
      <c r="ET10" s="159">
        <f>IFERROR(SUMIFS('PO Tracker'!$J$44:$J$1433,'PO Tracker'!$K$44:$K$1433,$EP$6,'PO Tracker'!$L$44:$L$1433,'Capex breakup'!$B10),0)</f>
        <v>0</v>
      </c>
      <c r="EU10" s="605" t="str">
        <f t="shared" ref="EU10:EU18" si="56">IFERROR(ET10/ER10,"")</f>
        <v/>
      </c>
      <c r="EV10" s="118"/>
      <c r="EW10" s="151"/>
      <c r="EX10" s="151"/>
      <c r="EY10" s="151"/>
      <c r="EZ10" s="159">
        <f>+EY10</f>
        <v>0</v>
      </c>
      <c r="FA10" s="395">
        <f t="shared" ref="FA10:FA17" si="57">EZ10*FA$2</f>
        <v>0</v>
      </c>
      <c r="FB10" s="395">
        <f t="shared" ref="FB10:FB17" si="58">FA10*118%</f>
        <v>0</v>
      </c>
      <c r="FC10" s="159"/>
      <c r="FD10" s="159">
        <f>IFERROR(SUMIFS('PO Tracker'!$J$44:$J$1433,'PO Tracker'!$K$44:$K$1433,$EZ$6,'PO Tracker'!$L$44:$L$1433,'Capex breakup'!$B10),0)</f>
        <v>0</v>
      </c>
      <c r="FE10" s="605" t="str">
        <f t="shared" ref="FE10:FE18" si="59">IFERROR(FD10/FB10,"")</f>
        <v/>
      </c>
      <c r="FF10" s="118"/>
      <c r="FG10" s="318"/>
      <c r="FH10" s="151">
        <f t="shared" ref="FH10:FH17" si="60">FG10/114%</f>
        <v>0</v>
      </c>
      <c r="FI10" s="133">
        <f t="shared" ref="FI10:FI17" si="61">FH10/$FH$2</f>
        <v>0</v>
      </c>
      <c r="FJ10" s="159">
        <f>+FI10</f>
        <v>0</v>
      </c>
      <c r="FK10" s="395">
        <f t="shared" ref="FK10:FK17" si="62">FJ10*FK$2</f>
        <v>0</v>
      </c>
      <c r="FL10" s="159">
        <f t="shared" ref="FL10:FL17" si="63">FK10*118%</f>
        <v>0</v>
      </c>
      <c r="FM10" s="684"/>
      <c r="FN10" s="159"/>
      <c r="FO10" s="685"/>
      <c r="FP10" s="684"/>
      <c r="FQ10" s="159">
        <f t="shared" ref="FQ10:FQ17" si="64">FK10-FN10</f>
        <v>0</v>
      </c>
      <c r="FR10" s="685">
        <f t="shared" ref="FR10:FR17" si="65">FQ10*1.18</f>
        <v>0</v>
      </c>
      <c r="FS10" s="662">
        <f>IFERROR(SUMIFS('PO Tracker'!$J$44:$J$1433,'PO Tracker'!$K$44:$K$1433,$FJ$6,'PO Tracker'!$L$44:$L$1433,'Capex breakup'!$B10),0)</f>
        <v>0</v>
      </c>
      <c r="FT10" s="736" t="str">
        <f t="shared" ref="FT10:FT18" si="66">IFERROR(FS10/FQ10,"")</f>
        <v/>
      </c>
      <c r="FU10" s="709"/>
      <c r="FV10" s="151">
        <v>0</v>
      </c>
      <c r="FW10" s="151">
        <f t="shared" ref="FW10:FW17" si="67">FV10/118%</f>
        <v>0</v>
      </c>
      <c r="FX10" s="151">
        <f>FW10/FW2</f>
        <v>0</v>
      </c>
      <c r="FY10" s="159">
        <f>+FX10</f>
        <v>0</v>
      </c>
      <c r="FZ10" s="395">
        <f t="shared" ref="FZ10:FZ17" si="68">FY10*FZ$2</f>
        <v>0</v>
      </c>
      <c r="GA10" s="395">
        <f t="shared" ref="GA10:GA17" si="69">FZ10*118%</f>
        <v>0</v>
      </c>
      <c r="GB10" s="159"/>
      <c r="GC10" s="159">
        <f>IFERROR(SUMIFS('PO Tracker'!$J$44:$J$1433,'PO Tracker'!$K$44:$K$1433,$FY$6,'PO Tracker'!$L$44:$L$1433,'Capex breakup'!$B10),0)</f>
        <v>0</v>
      </c>
      <c r="GD10" s="605" t="str">
        <f t="shared" ref="GD10:GD18" si="70">IFERROR(GC10/GA10,"")</f>
        <v/>
      </c>
      <c r="GE10" s="118"/>
      <c r="GF10" s="151"/>
      <c r="GG10" s="151">
        <f t="shared" ref="GG10:GG17" si="71">GF10/118%</f>
        <v>0</v>
      </c>
      <c r="GH10" s="151">
        <f>GG10/GG2</f>
        <v>0</v>
      </c>
      <c r="GI10" s="159">
        <f>+GH10</f>
        <v>0</v>
      </c>
      <c r="GJ10" s="395">
        <f t="shared" ref="GJ10:GJ17" si="72">GI10*GJ$2</f>
        <v>0</v>
      </c>
      <c r="GK10" s="395">
        <f t="shared" ref="GK10:GK17" si="73">GJ10*118%</f>
        <v>0</v>
      </c>
      <c r="GL10" s="159"/>
      <c r="GM10" s="159">
        <f>IFERROR(SUMIFS('PO Tracker'!$J$44:$J$1433,'PO Tracker'!$K$44:$K$1433,$GI$6,'PO Tracker'!$L$44:$L$1433,'Capex breakup'!$B10),0)</f>
        <v>0</v>
      </c>
      <c r="GN10" s="605" t="str">
        <f t="shared" ref="GN10:GN18" si="74">IFERROR(GM10/GK10,"")</f>
        <v/>
      </c>
      <c r="GO10" s="118"/>
      <c r="GP10" s="151"/>
      <c r="GQ10" s="151">
        <f t="shared" ref="GQ10:GQ17" si="75">GP10/118%</f>
        <v>0</v>
      </c>
      <c r="GR10" s="151">
        <f>GQ10/GQ2</f>
        <v>0</v>
      </c>
      <c r="GS10" s="159"/>
      <c r="GT10" s="395">
        <v>0</v>
      </c>
      <c r="GU10" s="159">
        <v>0</v>
      </c>
      <c r="GV10" s="159">
        <f>IFERROR(SUMIFS('PO Tracker'!$J$44:$J$1433,'PO Tracker'!$K$44:$K$1433,$GS$6,'PO Tracker'!$L$44:$L$1433,'Capex breakup'!$B10),0)</f>
        <v>0</v>
      </c>
      <c r="GW10" s="605" t="str">
        <f t="shared" ref="GW10:GW18" si="76">IFERROR(GV10/GT10,"")</f>
        <v/>
      </c>
      <c r="GX10" s="118"/>
      <c r="GY10" s="151"/>
      <c r="GZ10" s="151"/>
      <c r="HA10" s="133"/>
      <c r="HB10" s="159">
        <v>0</v>
      </c>
      <c r="HC10" s="395">
        <f t="shared" ref="HC10:HC17" si="77">HB10*HC$2</f>
        <v>0</v>
      </c>
      <c r="HD10" s="159">
        <f t="shared" ref="HD10:HD17" si="78">HC10*118%</f>
        <v>0</v>
      </c>
      <c r="HE10" s="775"/>
      <c r="HF10" s="159">
        <f>IFERROR(SUMIFS('PO Tracker'!$J$44:$J$1433,'PO Tracker'!$K$44:$K$1433,$HB$6,'PO Tracker'!$L$44:$L$1433,'Capex breakup'!$B10),0)</f>
        <v>0</v>
      </c>
      <c r="HG10" s="605" t="str">
        <f t="shared" ref="HG10:HG18" si="79">IFERROR(HF10/HD10,"")</f>
        <v/>
      </c>
      <c r="HH10" s="118"/>
      <c r="HI10" s="151"/>
      <c r="HJ10" s="151"/>
      <c r="HK10" s="133"/>
      <c r="HL10" s="159">
        <v>250</v>
      </c>
      <c r="HM10" s="395">
        <f t="shared" ref="HM10:HM17" si="80">HL10*HM$2</f>
        <v>849010.5</v>
      </c>
      <c r="HN10" s="159">
        <f t="shared" ref="HN10:HN17" si="81">HM10*118%</f>
        <v>1001832.3899999999</v>
      </c>
      <c r="HO10" s="159">
        <f>IFERROR(SUMIFS('PO Tracker'!$J$44:$J$1433,'PO Tracker'!$K$44:$K$1433,$HL$6,'PO Tracker'!$L$44:$L$1433,'Capex breakup'!$B10),0)</f>
        <v>0</v>
      </c>
      <c r="HP10" s="605">
        <f t="shared" ref="HP10:HP18" si="82">IFERROR(HO10/HM10,"")</f>
        <v>0</v>
      </c>
      <c r="HQ10" s="118"/>
      <c r="HR10" s="364"/>
      <c r="HS10" s="364"/>
      <c r="HT10" s="364"/>
      <c r="HU10" s="364"/>
    </row>
    <row r="11" spans="1:229">
      <c r="A11" s="18">
        <v>3</v>
      </c>
      <c r="B11" s="19" t="s">
        <v>14</v>
      </c>
      <c r="C11" s="118"/>
      <c r="D11" s="151">
        <v>0</v>
      </c>
      <c r="E11" s="151">
        <f t="shared" si="0"/>
        <v>0</v>
      </c>
      <c r="F11" s="151">
        <f>E11/E2</f>
        <v>0</v>
      </c>
      <c r="G11" s="159"/>
      <c r="H11" s="395">
        <f t="shared" si="1"/>
        <v>0</v>
      </c>
      <c r="I11" s="395">
        <f t="shared" si="2"/>
        <v>0</v>
      </c>
      <c r="J11" s="159"/>
      <c r="K11" s="159">
        <f>IFERROR(SUMIFS('PO Tracker'!$J$44:$J$1433,'PO Tracker'!$K$44:$K$1433,$G$6,'PO Tracker'!$L$44:$L$1433,'Capex breakup'!$B11),0)</f>
        <v>0</v>
      </c>
      <c r="L11" s="605" t="str">
        <f t="shared" si="3"/>
        <v/>
      </c>
      <c r="M11" s="118"/>
      <c r="N11" s="151">
        <v>0</v>
      </c>
      <c r="O11" s="151">
        <f t="shared" si="4"/>
        <v>0</v>
      </c>
      <c r="P11" s="151">
        <f>O11/O2</f>
        <v>0</v>
      </c>
      <c r="Q11" s="159"/>
      <c r="R11" s="395">
        <f t="shared" si="5"/>
        <v>0</v>
      </c>
      <c r="S11" s="395">
        <f t="shared" si="6"/>
        <v>0</v>
      </c>
      <c r="T11" s="159"/>
      <c r="U11" s="159">
        <f>IFERROR(SUMIFS('PO Tracker'!$J$44:$J$1433,'PO Tracker'!$K$44:$K$1433,$Q$6,'PO Tracker'!$L$44:$L$1433,'Capex breakup'!$B11),0)</f>
        <v>0</v>
      </c>
      <c r="V11" s="605" t="str">
        <f t="shared" si="7"/>
        <v/>
      </c>
      <c r="W11" s="118"/>
      <c r="X11" s="151"/>
      <c r="Y11" s="151">
        <f t="shared" si="8"/>
        <v>0</v>
      </c>
      <c r="Z11" s="133"/>
      <c r="AA11" s="159"/>
      <c r="AB11" s="395">
        <v>0</v>
      </c>
      <c r="AC11" s="395">
        <f t="shared" si="9"/>
        <v>0</v>
      </c>
      <c r="AD11" s="159"/>
      <c r="AE11" s="159">
        <f>IFERROR(SUMIFS('PO Tracker'!$J$44:$J$1433,'PO Tracker'!$K$44:$K$1433,$AA$6,'PO Tracker'!$L$44:$L$1433,'Capex breakup'!$B11),0)</f>
        <v>0</v>
      </c>
      <c r="AF11" s="605" t="str">
        <f t="shared" si="10"/>
        <v/>
      </c>
      <c r="AG11" s="118"/>
      <c r="AH11" s="151">
        <v>0</v>
      </c>
      <c r="AI11" s="151">
        <f t="shared" si="11"/>
        <v>0</v>
      </c>
      <c r="AJ11" s="151">
        <f>AI11/AI2</f>
        <v>0</v>
      </c>
      <c r="AK11" s="159"/>
      <c r="AL11" s="395">
        <f t="shared" si="12"/>
        <v>0</v>
      </c>
      <c r="AM11" s="395">
        <f t="shared" si="13"/>
        <v>0</v>
      </c>
      <c r="AN11" s="159"/>
      <c r="AO11" s="159">
        <f>IFERROR(SUMIFS('PO Tracker'!$J$44:$J$1433,'PO Tracker'!$K$44:$K$1433,$AK$6,'PO Tracker'!$L$44:$L$1433,'Capex breakup'!$B11),0)</f>
        <v>0</v>
      </c>
      <c r="AP11" s="605" t="str">
        <f t="shared" si="14"/>
        <v/>
      </c>
      <c r="AQ11" s="118"/>
      <c r="AR11" s="287"/>
      <c r="AS11" s="287">
        <f>AR11/118%</f>
        <v>0</v>
      </c>
      <c r="AT11" s="288">
        <f t="shared" si="15"/>
        <v>0</v>
      </c>
      <c r="AU11" s="159"/>
      <c r="AV11" s="395">
        <f t="shared" si="16"/>
        <v>0</v>
      </c>
      <c r="AW11" s="395">
        <f t="shared" si="17"/>
        <v>0</v>
      </c>
      <c r="AX11" s="159"/>
      <c r="AY11" s="159">
        <f>IFERROR(SUMIFS('PO Tracker'!$J$44:$J$1433,'PO Tracker'!$K$44:$K$1433,$AU$6,'PO Tracker'!$L$44:$L$1433,'Capex breakup'!$B11),0)</f>
        <v>0</v>
      </c>
      <c r="AZ11" s="605" t="str">
        <f t="shared" si="18"/>
        <v/>
      </c>
      <c r="BA11" s="118"/>
      <c r="BB11" s="151"/>
      <c r="BC11" s="151">
        <f t="shared" si="19"/>
        <v>0</v>
      </c>
      <c r="BD11" s="151">
        <f>BC11/BC2</f>
        <v>0</v>
      </c>
      <c r="BE11" s="159"/>
      <c r="BF11" s="395">
        <f t="shared" si="20"/>
        <v>0</v>
      </c>
      <c r="BG11" s="395">
        <f t="shared" si="21"/>
        <v>0</v>
      </c>
      <c r="BH11" s="159"/>
      <c r="BI11" s="159">
        <f>IFERROR(SUMIFS('PO Tracker'!$J$44:$J$1433,'PO Tracker'!$K$44:$K$1433,$BE$6,'PO Tracker'!$L$44:$L$1433,'Capex breakup'!$B11),0)</f>
        <v>0</v>
      </c>
      <c r="BJ11" s="605" t="str">
        <f t="shared" si="22"/>
        <v/>
      </c>
      <c r="BK11" s="118"/>
      <c r="BL11" s="151"/>
      <c r="BM11" s="151"/>
      <c r="BN11" s="151"/>
      <c r="BO11" s="159"/>
      <c r="BP11" s="395">
        <f t="shared" si="23"/>
        <v>0</v>
      </c>
      <c r="BQ11" s="395">
        <f t="shared" si="24"/>
        <v>0</v>
      </c>
      <c r="BR11" s="159"/>
      <c r="BS11" s="159">
        <f>IFERROR(SUMIFS('PO Tracker'!$J$44:$J$1433,'PO Tracker'!$K$44:$K$1433,$BO$6,'PO Tracker'!$L$44:$L$1433,'Capex breakup'!$B11),0)</f>
        <v>0</v>
      </c>
      <c r="BT11" s="605" t="str">
        <f t="shared" si="25"/>
        <v/>
      </c>
      <c r="BU11" s="118"/>
      <c r="BV11" s="151"/>
      <c r="BW11" s="151">
        <f t="shared" si="26"/>
        <v>0</v>
      </c>
      <c r="BX11" s="151">
        <f>BW11/BW2</f>
        <v>0</v>
      </c>
      <c r="BY11" s="159"/>
      <c r="BZ11" s="395">
        <f t="shared" si="27"/>
        <v>0</v>
      </c>
      <c r="CA11" s="395">
        <f t="shared" si="28"/>
        <v>0</v>
      </c>
      <c r="CB11" s="159"/>
      <c r="CC11" s="159">
        <f>IFERROR(SUMIFS('PO Tracker'!$J$44:$J$1433,'PO Tracker'!$K$44:$K$1433,$BY$6,'PO Tracker'!$L$44:$L$1433,'Capex breakup'!$B11),0)</f>
        <v>0</v>
      </c>
      <c r="CD11" s="605" t="str">
        <f t="shared" si="29"/>
        <v/>
      </c>
      <c r="CE11" s="118"/>
      <c r="CF11" s="151">
        <v>0</v>
      </c>
      <c r="CG11" s="151">
        <f t="shared" si="30"/>
        <v>0</v>
      </c>
      <c r="CH11" s="151">
        <f>CG11/CG2</f>
        <v>0</v>
      </c>
      <c r="CI11" s="159"/>
      <c r="CJ11" s="395">
        <f t="shared" si="31"/>
        <v>0</v>
      </c>
      <c r="CK11" s="395">
        <f t="shared" si="32"/>
        <v>0</v>
      </c>
      <c r="CL11" s="159"/>
      <c r="CM11" s="159">
        <f>IFERROR(SUMIFS('PO Tracker'!$J$44:$J$1433,'PO Tracker'!$K$44:$K$1433,$CI$6,'PO Tracker'!$L$44:$L$1433,'Capex breakup'!$B11),0)</f>
        <v>0</v>
      </c>
      <c r="CN11" s="605" t="str">
        <f t="shared" si="33"/>
        <v/>
      </c>
      <c r="CO11" s="118"/>
      <c r="CP11" s="151"/>
      <c r="CQ11" s="151">
        <f t="shared" si="34"/>
        <v>0</v>
      </c>
      <c r="CR11" s="151"/>
      <c r="CS11" s="159"/>
      <c r="CT11" s="395">
        <f t="shared" si="35"/>
        <v>0</v>
      </c>
      <c r="CU11" s="395">
        <f t="shared" si="36"/>
        <v>0</v>
      </c>
      <c r="CV11" s="159"/>
      <c r="CW11" s="159">
        <f>IFERROR(SUMIFS('PO Tracker'!$J$44:$J$1433,'PO Tracker'!$K$44:$K$1433,$CS$6,'PO Tracker'!$L$44:$L$1433,'Capex breakup'!$B11),0)</f>
        <v>0</v>
      </c>
      <c r="CX11" s="605" t="str">
        <f t="shared" si="37"/>
        <v/>
      </c>
      <c r="CY11" s="118"/>
      <c r="CZ11" s="151">
        <v>0</v>
      </c>
      <c r="DA11" s="151">
        <f t="shared" si="38"/>
        <v>0</v>
      </c>
      <c r="DB11" s="151">
        <f>DA11/DA2</f>
        <v>0</v>
      </c>
      <c r="DC11" s="159"/>
      <c r="DD11" s="395">
        <f t="shared" si="39"/>
        <v>0</v>
      </c>
      <c r="DE11" s="395">
        <f t="shared" si="40"/>
        <v>0</v>
      </c>
      <c r="DF11" s="159"/>
      <c r="DG11" s="159">
        <f>IFERROR(SUMIFS('PO Tracker'!$J$44:$J$1433,'PO Tracker'!$K$44:$K$1433,$DC$6,'PO Tracker'!$L$44:$L$1433,'Capex breakup'!$B11),0)</f>
        <v>0</v>
      </c>
      <c r="DH11" s="605" t="str">
        <f t="shared" si="41"/>
        <v/>
      </c>
      <c r="DI11" s="118"/>
      <c r="DJ11" s="151"/>
      <c r="DK11" s="151">
        <f t="shared" si="42"/>
        <v>0</v>
      </c>
      <c r="DL11" s="151">
        <f>DK11/DK2</f>
        <v>0</v>
      </c>
      <c r="DM11" s="159"/>
      <c r="DN11" s="395">
        <f t="shared" si="43"/>
        <v>0</v>
      </c>
      <c r="DO11" s="159">
        <f t="shared" si="44"/>
        <v>0</v>
      </c>
      <c r="DP11" s="159">
        <f>IFERROR(SUMIFS('PO Tracker'!$J$44:$J$1433,'PO Tracker'!$K$44:$K$1433,$DM$6,'PO Tracker'!$L$44:$L$1433,'Capex breakup'!$B11),0)</f>
        <v>0</v>
      </c>
      <c r="DQ11" s="605" t="str">
        <f t="shared" si="45"/>
        <v/>
      </c>
      <c r="DR11" s="118"/>
      <c r="DS11" s="151">
        <v>0</v>
      </c>
      <c r="DT11" s="151">
        <f t="shared" si="46"/>
        <v>0</v>
      </c>
      <c r="DU11" s="151">
        <f>DT11/DT2</f>
        <v>0</v>
      </c>
      <c r="DV11" s="159"/>
      <c r="DW11" s="395">
        <f t="shared" si="47"/>
        <v>0</v>
      </c>
      <c r="DX11" s="395">
        <f t="shared" si="48"/>
        <v>0</v>
      </c>
      <c r="DY11" s="159"/>
      <c r="DZ11" s="159">
        <f>IFERROR(SUMIFS('PO Tracker'!$J$44:$J$1433,'PO Tracker'!$K$44:$K$1433,$DV$6,'PO Tracker'!$L$44:$L$1433,'Capex breakup'!$B11),0)</f>
        <v>0</v>
      </c>
      <c r="EA11" s="605" t="str">
        <f t="shared" si="49"/>
        <v/>
      </c>
      <c r="EB11" s="118"/>
      <c r="EC11" s="151">
        <v>0</v>
      </c>
      <c r="ED11" s="151">
        <f t="shared" si="50"/>
        <v>0</v>
      </c>
      <c r="EE11" s="151">
        <f>ED11/ED2</f>
        <v>0</v>
      </c>
      <c r="EF11" s="159"/>
      <c r="EG11" s="395">
        <f t="shared" si="51"/>
        <v>0</v>
      </c>
      <c r="EH11" s="395">
        <f t="shared" si="52"/>
        <v>0</v>
      </c>
      <c r="EI11" s="159"/>
      <c r="EJ11" s="159">
        <f>IFERROR(SUMIFS('PO Tracker'!$J$44:$J$1433,'PO Tracker'!$K$44:$K$1433,$EF$6,'PO Tracker'!$L$44:$L$1433,'Capex breakup'!$B11),0)</f>
        <v>0</v>
      </c>
      <c r="EK11" s="605" t="str">
        <f t="shared" si="53"/>
        <v/>
      </c>
      <c r="EL11" s="118"/>
      <c r="EM11" s="151"/>
      <c r="EN11" s="151"/>
      <c r="EO11" s="151"/>
      <c r="EP11" s="159"/>
      <c r="EQ11" s="395">
        <f t="shared" si="54"/>
        <v>0</v>
      </c>
      <c r="ER11" s="395">
        <f t="shared" si="55"/>
        <v>0</v>
      </c>
      <c r="ES11" s="159"/>
      <c r="ET11" s="159">
        <f>IFERROR(SUMIFS('PO Tracker'!$J$44:$J$1433,'PO Tracker'!$K$44:$K$1433,$EP$6,'PO Tracker'!$L$44:$L$1433,'Capex breakup'!$B11),0)</f>
        <v>0</v>
      </c>
      <c r="EU11" s="605" t="str">
        <f t="shared" si="56"/>
        <v/>
      </c>
      <c r="EV11" s="118"/>
      <c r="EW11" s="151"/>
      <c r="EX11" s="151"/>
      <c r="EY11" s="151"/>
      <c r="EZ11" s="159"/>
      <c r="FA11" s="395">
        <f t="shared" si="57"/>
        <v>0</v>
      </c>
      <c r="FB11" s="395">
        <f t="shared" si="58"/>
        <v>0</v>
      </c>
      <c r="FC11" s="159"/>
      <c r="FD11" s="159">
        <f>IFERROR(SUMIFS('PO Tracker'!$J$44:$J$1433,'PO Tracker'!$K$44:$K$1433,$EZ$6,'PO Tracker'!$L$44:$L$1433,'Capex breakup'!$B11),0)</f>
        <v>0</v>
      </c>
      <c r="FE11" s="605" t="str">
        <f t="shared" si="59"/>
        <v/>
      </c>
      <c r="FF11" s="118"/>
      <c r="FG11" s="318"/>
      <c r="FH11" s="151">
        <f t="shared" si="60"/>
        <v>0</v>
      </c>
      <c r="FI11" s="133">
        <f t="shared" si="61"/>
        <v>0</v>
      </c>
      <c r="FJ11" s="159"/>
      <c r="FK11" s="395">
        <f t="shared" si="62"/>
        <v>0</v>
      </c>
      <c r="FL11" s="159">
        <f t="shared" si="63"/>
        <v>0</v>
      </c>
      <c r="FM11" s="684"/>
      <c r="FN11" s="159">
        <v>0</v>
      </c>
      <c r="FO11" s="685">
        <f>FN11*1.18</f>
        <v>0</v>
      </c>
      <c r="FP11" s="684"/>
      <c r="FQ11" s="159">
        <f t="shared" si="64"/>
        <v>0</v>
      </c>
      <c r="FR11" s="685">
        <f t="shared" si="65"/>
        <v>0</v>
      </c>
      <c r="FS11" s="662">
        <f>IFERROR(SUMIFS('PO Tracker'!$J$44:$J$1433,'PO Tracker'!$K$44:$K$1433,$FJ$6,'PO Tracker'!$L$44:$L$1433,'Capex breakup'!$B11),0)</f>
        <v>0</v>
      </c>
      <c r="FT11" s="736" t="str">
        <f t="shared" si="66"/>
        <v/>
      </c>
      <c r="FU11" s="709"/>
      <c r="FV11" s="151">
        <v>0</v>
      </c>
      <c r="FW11" s="151">
        <f t="shared" si="67"/>
        <v>0</v>
      </c>
      <c r="FX11" s="151">
        <f>FW11/FW2</f>
        <v>0</v>
      </c>
      <c r="FY11" s="159"/>
      <c r="FZ11" s="395">
        <f t="shared" si="68"/>
        <v>0</v>
      </c>
      <c r="GA11" s="395">
        <f t="shared" si="69"/>
        <v>0</v>
      </c>
      <c r="GB11" s="159"/>
      <c r="GC11" s="159">
        <f>IFERROR(SUMIFS('PO Tracker'!$J$44:$J$1433,'PO Tracker'!$K$44:$K$1433,$FY$6,'PO Tracker'!$L$44:$L$1433,'Capex breakup'!$B11),0)</f>
        <v>0</v>
      </c>
      <c r="GD11" s="605" t="str">
        <f t="shared" si="70"/>
        <v/>
      </c>
      <c r="GE11" s="118"/>
      <c r="GF11" s="151"/>
      <c r="GG11" s="151">
        <f t="shared" si="71"/>
        <v>0</v>
      </c>
      <c r="GH11" s="151">
        <f>GG11/GG2</f>
        <v>0</v>
      </c>
      <c r="GI11" s="159"/>
      <c r="GJ11" s="395">
        <f t="shared" si="72"/>
        <v>0</v>
      </c>
      <c r="GK11" s="395">
        <f t="shared" si="73"/>
        <v>0</v>
      </c>
      <c r="GL11" s="159"/>
      <c r="GM11" s="159">
        <f>IFERROR(SUMIFS('PO Tracker'!$J$44:$J$1433,'PO Tracker'!$K$44:$K$1433,$GI$6,'PO Tracker'!$L$44:$L$1433,'Capex breakup'!$B11),0)</f>
        <v>0</v>
      </c>
      <c r="GN11" s="605" t="str">
        <f t="shared" si="74"/>
        <v/>
      </c>
      <c r="GO11" s="118"/>
      <c r="GP11" s="151"/>
      <c r="GQ11" s="151">
        <f t="shared" si="75"/>
        <v>0</v>
      </c>
      <c r="GR11" s="151">
        <f>GQ11/GQ2</f>
        <v>0</v>
      </c>
      <c r="GS11" s="159"/>
      <c r="GT11" s="395">
        <v>0</v>
      </c>
      <c r="GU11" s="159">
        <v>0</v>
      </c>
      <c r="GV11" s="159">
        <f>IFERROR(SUMIFS('PO Tracker'!$J$44:$J$1433,'PO Tracker'!$K$44:$K$1433,$GS$6,'PO Tracker'!$L$44:$L$1433,'Capex breakup'!$B11),0)</f>
        <v>0</v>
      </c>
      <c r="GW11" s="605" t="str">
        <f t="shared" si="76"/>
        <v/>
      </c>
      <c r="GX11" s="118"/>
      <c r="GY11" s="151"/>
      <c r="GZ11" s="151"/>
      <c r="HA11" s="133"/>
      <c r="HB11" s="159">
        <f>40*0</f>
        <v>0</v>
      </c>
      <c r="HC11" s="395">
        <f t="shared" si="77"/>
        <v>0</v>
      </c>
      <c r="HD11" s="159">
        <f t="shared" si="78"/>
        <v>0</v>
      </c>
      <c r="HE11" s="775"/>
      <c r="HF11" s="159">
        <f>IFERROR(SUMIFS('PO Tracker'!$J$44:$J$1433,'PO Tracker'!$K$44:$K$1433,$HB$6,'PO Tracker'!$L$44:$L$1433,'Capex breakup'!$B11),0)</f>
        <v>0</v>
      </c>
      <c r="HG11" s="605" t="str">
        <f t="shared" si="79"/>
        <v/>
      </c>
      <c r="HH11" s="118"/>
      <c r="HI11" s="151"/>
      <c r="HJ11" s="151"/>
      <c r="HK11" s="133"/>
      <c r="HL11" s="159">
        <v>40</v>
      </c>
      <c r="HM11" s="395">
        <f t="shared" si="80"/>
        <v>135841.68</v>
      </c>
      <c r="HN11" s="159">
        <f t="shared" si="81"/>
        <v>160293.18239999999</v>
      </c>
      <c r="HO11" s="159">
        <f>IFERROR(SUMIFS('PO Tracker'!$J$44:$J$1433,'PO Tracker'!$K$44:$K$1433,$HL$6,'PO Tracker'!$L$44:$L$1433,'Capex breakup'!$B11),0)</f>
        <v>0</v>
      </c>
      <c r="HP11" s="605">
        <f t="shared" si="82"/>
        <v>0</v>
      </c>
      <c r="HQ11" s="118"/>
      <c r="HR11" s="364"/>
      <c r="HS11" s="364"/>
      <c r="HT11" s="364"/>
      <c r="HU11" s="364"/>
    </row>
    <row r="12" spans="1:229">
      <c r="A12" s="18">
        <v>4</v>
      </c>
      <c r="B12" s="19" t="s">
        <v>15</v>
      </c>
      <c r="C12" s="118"/>
      <c r="D12" s="151">
        <v>29202.639999999999</v>
      </c>
      <c r="E12" s="151">
        <f t="shared" si="0"/>
        <v>24748</v>
      </c>
      <c r="F12" s="151">
        <f>E12/E2</f>
        <v>100</v>
      </c>
      <c r="G12" s="159">
        <v>100</v>
      </c>
      <c r="H12" s="395">
        <f t="shared" si="1"/>
        <v>43884.828000000001</v>
      </c>
      <c r="I12" s="395">
        <f t="shared" si="2"/>
        <v>51784.097040000001</v>
      </c>
      <c r="J12" s="159"/>
      <c r="K12" s="159">
        <f>IFERROR(SUMIFS('PO Tracker'!$J$44:$J$1433,'PO Tracker'!$K$44:$K$1433,$G$6,'PO Tracker'!$L$44:$L$1433,'Capex breakup'!$B12),0)</f>
        <v>0</v>
      </c>
      <c r="L12" s="605">
        <f t="shared" si="3"/>
        <v>0</v>
      </c>
      <c r="M12" s="118"/>
      <c r="N12" s="151">
        <v>29202.639999999999</v>
      </c>
      <c r="O12" s="151">
        <f t="shared" si="4"/>
        <v>24748</v>
      </c>
      <c r="P12" s="151">
        <f>O12/O2</f>
        <v>100</v>
      </c>
      <c r="Q12" s="159">
        <v>0</v>
      </c>
      <c r="R12" s="395">
        <f t="shared" si="5"/>
        <v>0</v>
      </c>
      <c r="S12" s="395">
        <f t="shared" si="6"/>
        <v>0</v>
      </c>
      <c r="T12" s="159"/>
      <c r="U12" s="159">
        <f>IFERROR(SUMIFS('PO Tracker'!$J$44:$J$1433,'PO Tracker'!$K$44:$K$1433,$Q$6,'PO Tracker'!$L$44:$L$1433,'Capex breakup'!$B12),0)</f>
        <v>0</v>
      </c>
      <c r="V12" s="605" t="str">
        <f t="shared" si="7"/>
        <v/>
      </c>
      <c r="W12" s="118"/>
      <c r="X12" s="151">
        <v>168000.00000000003</v>
      </c>
      <c r="Y12" s="151">
        <f t="shared" si="8"/>
        <v>147368.42105263163</v>
      </c>
      <c r="Z12" s="133">
        <f>Y12/$Y$2</f>
        <v>55.901836375324955</v>
      </c>
      <c r="AA12" s="159">
        <v>0</v>
      </c>
      <c r="AB12" s="395">
        <v>0</v>
      </c>
      <c r="AC12" s="395">
        <f t="shared" si="9"/>
        <v>0</v>
      </c>
      <c r="AD12" s="159"/>
      <c r="AE12" s="159">
        <f>IFERROR(SUMIFS('PO Tracker'!$J$44:$J$1433,'PO Tracker'!$K$44:$K$1433,$AA$6,'PO Tracker'!$L$44:$L$1433,'Capex breakup'!$B12),0)</f>
        <v>0</v>
      </c>
      <c r="AF12" s="605" t="str">
        <f t="shared" si="10"/>
        <v/>
      </c>
      <c r="AG12" s="118"/>
      <c r="AH12" s="151">
        <v>29202.639999999999</v>
      </c>
      <c r="AI12" s="151">
        <f t="shared" si="11"/>
        <v>24748</v>
      </c>
      <c r="AJ12" s="151">
        <f>AI12/AI2</f>
        <v>100</v>
      </c>
      <c r="AK12" s="159">
        <v>0</v>
      </c>
      <c r="AL12" s="395">
        <f t="shared" si="12"/>
        <v>0</v>
      </c>
      <c r="AM12" s="395">
        <f t="shared" si="13"/>
        <v>0</v>
      </c>
      <c r="AN12" s="159"/>
      <c r="AO12" s="159">
        <f>IFERROR(SUMIFS('PO Tracker'!$J$44:$J$1433,'PO Tracker'!$K$44:$K$1433,$AK$6,'PO Tracker'!$L$44:$L$1433,'Capex breakup'!$B12),0)</f>
        <v>0</v>
      </c>
      <c r="AP12" s="605" t="str">
        <f t="shared" si="14"/>
        <v/>
      </c>
      <c r="AQ12" s="118"/>
      <c r="AR12" s="287"/>
      <c r="AS12" s="287"/>
      <c r="AT12" s="288">
        <f t="shared" si="15"/>
        <v>0</v>
      </c>
      <c r="AU12" s="159">
        <v>0</v>
      </c>
      <c r="AV12" s="395">
        <f t="shared" si="16"/>
        <v>0</v>
      </c>
      <c r="AW12" s="395">
        <f t="shared" si="17"/>
        <v>0</v>
      </c>
      <c r="AX12" s="159"/>
      <c r="AY12" s="159">
        <f>IFERROR(SUMIFS('PO Tracker'!$J$44:$J$1433,'PO Tracker'!$K$44:$K$1433,$AU$6,'PO Tracker'!$L$44:$L$1433,'Capex breakup'!$B12),0)</f>
        <v>0</v>
      </c>
      <c r="AZ12" s="605" t="str">
        <f t="shared" si="18"/>
        <v/>
      </c>
      <c r="BA12" s="118"/>
      <c r="BB12" s="151"/>
      <c r="BC12" s="151">
        <f t="shared" si="19"/>
        <v>0</v>
      </c>
      <c r="BD12" s="151">
        <f>BC12/BC2</f>
        <v>0</v>
      </c>
      <c r="BE12" s="159">
        <v>0</v>
      </c>
      <c r="BF12" s="395">
        <f t="shared" si="20"/>
        <v>0</v>
      </c>
      <c r="BG12" s="395">
        <f t="shared" si="21"/>
        <v>0</v>
      </c>
      <c r="BH12" s="159"/>
      <c r="BI12" s="159">
        <f>IFERROR(SUMIFS('PO Tracker'!$J$44:$J$1433,'PO Tracker'!$K$44:$K$1433,$BE$6,'PO Tracker'!$L$44:$L$1433,'Capex breakup'!$B12),0)</f>
        <v>0</v>
      </c>
      <c r="BJ12" s="605" t="str">
        <f t="shared" si="22"/>
        <v/>
      </c>
      <c r="BK12" s="118"/>
      <c r="BL12" s="151"/>
      <c r="BM12" s="151"/>
      <c r="BN12" s="151"/>
      <c r="BO12" s="159"/>
      <c r="BP12" s="395">
        <f t="shared" si="23"/>
        <v>0</v>
      </c>
      <c r="BQ12" s="395">
        <f t="shared" si="24"/>
        <v>0</v>
      </c>
      <c r="BR12" s="159"/>
      <c r="BS12" s="159">
        <f>IFERROR(SUMIFS('PO Tracker'!$J$44:$J$1433,'PO Tracker'!$K$44:$K$1433,$BO$6,'PO Tracker'!$L$44:$L$1433,'Capex breakup'!$B12),0)</f>
        <v>0</v>
      </c>
      <c r="BT12" s="605" t="str">
        <f t="shared" si="25"/>
        <v/>
      </c>
      <c r="BU12" s="118"/>
      <c r="BV12" s="151"/>
      <c r="BW12" s="151">
        <f t="shared" si="26"/>
        <v>0</v>
      </c>
      <c r="BX12" s="151">
        <f>BW12/BW2</f>
        <v>0</v>
      </c>
      <c r="BY12" s="159">
        <v>0</v>
      </c>
      <c r="BZ12" s="395">
        <f t="shared" si="27"/>
        <v>0</v>
      </c>
      <c r="CA12" s="395">
        <f t="shared" si="28"/>
        <v>0</v>
      </c>
      <c r="CB12" s="159"/>
      <c r="CC12" s="159">
        <f>IFERROR(SUMIFS('PO Tracker'!$J$44:$J$1433,'PO Tracker'!$K$44:$K$1433,$BY$6,'PO Tracker'!$L$44:$L$1433,'Capex breakup'!$B12),0)</f>
        <v>0</v>
      </c>
      <c r="CD12" s="605" t="str">
        <f t="shared" si="29"/>
        <v/>
      </c>
      <c r="CE12" s="118"/>
      <c r="CF12" s="151">
        <v>25960</v>
      </c>
      <c r="CG12" s="151">
        <f t="shared" si="30"/>
        <v>22000</v>
      </c>
      <c r="CH12" s="151">
        <f>CG12/CG2</f>
        <v>65.955150497661592</v>
      </c>
      <c r="CI12" s="159">
        <v>0</v>
      </c>
      <c r="CJ12" s="395">
        <f t="shared" si="31"/>
        <v>0</v>
      </c>
      <c r="CK12" s="395">
        <f t="shared" si="32"/>
        <v>0</v>
      </c>
      <c r="CL12" s="159"/>
      <c r="CM12" s="159">
        <f>IFERROR(SUMIFS('PO Tracker'!$J$44:$J$1433,'PO Tracker'!$K$44:$K$1433,$CI$6,'PO Tracker'!$L$44:$L$1433,'Capex breakup'!$B12),0)</f>
        <v>0</v>
      </c>
      <c r="CN12" s="605" t="str">
        <f t="shared" si="33"/>
        <v/>
      </c>
      <c r="CO12" s="118"/>
      <c r="CP12" s="151"/>
      <c r="CQ12" s="151">
        <f t="shared" si="34"/>
        <v>0</v>
      </c>
      <c r="CR12" s="151"/>
      <c r="CS12" s="159"/>
      <c r="CT12" s="395">
        <f t="shared" si="35"/>
        <v>0</v>
      </c>
      <c r="CU12" s="395">
        <f t="shared" si="36"/>
        <v>0</v>
      </c>
      <c r="CV12" s="159"/>
      <c r="CW12" s="159">
        <f>IFERROR(SUMIFS('PO Tracker'!$J$44:$J$1433,'PO Tracker'!$K$44:$K$1433,$CS$6,'PO Tracker'!$L$44:$L$1433,'Capex breakup'!$B12),0)</f>
        <v>0</v>
      </c>
      <c r="CX12" s="605" t="str">
        <f t="shared" si="37"/>
        <v/>
      </c>
      <c r="CY12" s="118"/>
      <c r="CZ12" s="151">
        <v>25960</v>
      </c>
      <c r="DA12" s="151">
        <f t="shared" si="38"/>
        <v>22000</v>
      </c>
      <c r="DB12" s="151">
        <f>DA12/DA2</f>
        <v>65.955150497661592</v>
      </c>
      <c r="DC12" s="159">
        <v>0</v>
      </c>
      <c r="DD12" s="395">
        <f t="shared" si="39"/>
        <v>0</v>
      </c>
      <c r="DE12" s="395">
        <f t="shared" si="40"/>
        <v>0</v>
      </c>
      <c r="DF12" s="159"/>
      <c r="DG12" s="159">
        <f>IFERROR(SUMIFS('PO Tracker'!$J$44:$J$1433,'PO Tracker'!$K$44:$K$1433,$DC$6,'PO Tracker'!$L$44:$L$1433,'Capex breakup'!$B12),0)</f>
        <v>0</v>
      </c>
      <c r="DH12" s="605" t="str">
        <f t="shared" si="41"/>
        <v/>
      </c>
      <c r="DI12" s="118"/>
      <c r="DJ12" s="151"/>
      <c r="DK12" s="151">
        <f t="shared" si="42"/>
        <v>0</v>
      </c>
      <c r="DL12" s="151">
        <f>DK12/DK2</f>
        <v>0</v>
      </c>
      <c r="DM12" s="159"/>
      <c r="DN12" s="395">
        <f t="shared" si="43"/>
        <v>0</v>
      </c>
      <c r="DO12" s="159">
        <f t="shared" si="44"/>
        <v>0</v>
      </c>
      <c r="DP12" s="159">
        <f>IFERROR(SUMIFS('PO Tracker'!$J$44:$J$1433,'PO Tracker'!$K$44:$K$1433,$DM$6,'PO Tracker'!$L$44:$L$1433,'Capex breakup'!$B12),0)</f>
        <v>0</v>
      </c>
      <c r="DQ12" s="605" t="str">
        <f t="shared" si="45"/>
        <v/>
      </c>
      <c r="DR12" s="118"/>
      <c r="DS12" s="151">
        <v>25960</v>
      </c>
      <c r="DT12" s="151">
        <f t="shared" si="46"/>
        <v>22000</v>
      </c>
      <c r="DU12" s="151">
        <f>DT12/DT2</f>
        <v>65.955150497661592</v>
      </c>
      <c r="DV12" s="159">
        <v>0</v>
      </c>
      <c r="DW12" s="395">
        <f t="shared" si="47"/>
        <v>0</v>
      </c>
      <c r="DX12" s="395">
        <f t="shared" si="48"/>
        <v>0</v>
      </c>
      <c r="DY12" s="159"/>
      <c r="DZ12" s="159">
        <f>IFERROR(SUMIFS('PO Tracker'!$J$44:$J$1433,'PO Tracker'!$K$44:$K$1433,$DV$6,'PO Tracker'!$L$44:$L$1433,'Capex breakup'!$B12),0)</f>
        <v>0</v>
      </c>
      <c r="EA12" s="605" t="str">
        <f t="shared" si="49"/>
        <v/>
      </c>
      <c r="EB12" s="118"/>
      <c r="EC12" s="151">
        <v>25960</v>
      </c>
      <c r="ED12" s="151">
        <f t="shared" si="50"/>
        <v>22000</v>
      </c>
      <c r="EE12" s="151">
        <f>ED12/ED2</f>
        <v>65.955150497661592</v>
      </c>
      <c r="EF12" s="159">
        <v>0</v>
      </c>
      <c r="EG12" s="395">
        <f t="shared" si="51"/>
        <v>0</v>
      </c>
      <c r="EH12" s="395">
        <f t="shared" si="52"/>
        <v>0</v>
      </c>
      <c r="EI12" s="159"/>
      <c r="EJ12" s="159">
        <f>IFERROR(SUMIFS('PO Tracker'!$J$44:$J$1433,'PO Tracker'!$K$44:$K$1433,$EF$6,'PO Tracker'!$L$44:$L$1433,'Capex breakup'!$B12),0)</f>
        <v>0</v>
      </c>
      <c r="EK12" s="605" t="str">
        <f t="shared" si="53"/>
        <v/>
      </c>
      <c r="EL12" s="118"/>
      <c r="EM12" s="151"/>
      <c r="EN12" s="151"/>
      <c r="EO12" s="151"/>
      <c r="EP12" s="159">
        <v>0</v>
      </c>
      <c r="EQ12" s="395">
        <f t="shared" si="54"/>
        <v>0</v>
      </c>
      <c r="ER12" s="395">
        <f t="shared" si="55"/>
        <v>0</v>
      </c>
      <c r="ES12" s="159"/>
      <c r="ET12" s="159">
        <f>IFERROR(SUMIFS('PO Tracker'!$J$44:$J$1433,'PO Tracker'!$K$44:$K$1433,$EP$6,'PO Tracker'!$L$44:$L$1433,'Capex breakup'!$B12),0)</f>
        <v>0</v>
      </c>
      <c r="EU12" s="605" t="str">
        <f t="shared" si="56"/>
        <v/>
      </c>
      <c r="EV12" s="118"/>
      <c r="EW12" s="151"/>
      <c r="EX12" s="151"/>
      <c r="EY12" s="151"/>
      <c r="EZ12" s="159">
        <v>0</v>
      </c>
      <c r="FA12" s="395">
        <f t="shared" si="57"/>
        <v>0</v>
      </c>
      <c r="FB12" s="395">
        <f t="shared" si="58"/>
        <v>0</v>
      </c>
      <c r="FC12" s="159"/>
      <c r="FD12" s="159">
        <f>IFERROR(SUMIFS('PO Tracker'!$J$44:$J$1433,'PO Tracker'!$K$44:$K$1433,$EZ$6,'PO Tracker'!$L$44:$L$1433,'Capex breakup'!$B12),0)</f>
        <v>0</v>
      </c>
      <c r="FE12" s="605" t="str">
        <f t="shared" si="59"/>
        <v/>
      </c>
      <c r="FF12" s="118"/>
      <c r="FG12" s="318">
        <v>168000.00000000003</v>
      </c>
      <c r="FH12" s="151">
        <f t="shared" si="60"/>
        <v>147368.42105263163</v>
      </c>
      <c r="FI12" s="133">
        <f t="shared" si="61"/>
        <v>55.901836375324955</v>
      </c>
      <c r="FJ12" s="159"/>
      <c r="FK12" s="395">
        <f t="shared" si="62"/>
        <v>0</v>
      </c>
      <c r="FL12" s="159">
        <f t="shared" si="63"/>
        <v>0</v>
      </c>
      <c r="FM12" s="684"/>
      <c r="FN12" s="159"/>
      <c r="FO12" s="685"/>
      <c r="FP12" s="684"/>
      <c r="FQ12" s="159">
        <f t="shared" si="64"/>
        <v>0</v>
      </c>
      <c r="FR12" s="685">
        <f t="shared" si="65"/>
        <v>0</v>
      </c>
      <c r="FS12" s="662">
        <f>IFERROR(SUMIFS('PO Tracker'!$J$44:$J$1433,'PO Tracker'!$K$44:$K$1433,$FJ$6,'PO Tracker'!$L$44:$L$1433,'Capex breakup'!$B12),0)</f>
        <v>0</v>
      </c>
      <c r="FT12" s="736" t="str">
        <f t="shared" si="66"/>
        <v/>
      </c>
      <c r="FU12" s="709"/>
      <c r="FV12" s="151">
        <v>25960</v>
      </c>
      <c r="FW12" s="151">
        <f t="shared" si="67"/>
        <v>22000</v>
      </c>
      <c r="FX12" s="151">
        <f>FW12/FW2</f>
        <v>65.955150497661592</v>
      </c>
      <c r="FY12" s="159">
        <v>0</v>
      </c>
      <c r="FZ12" s="395">
        <f t="shared" si="68"/>
        <v>0</v>
      </c>
      <c r="GA12" s="395">
        <f t="shared" si="69"/>
        <v>0</v>
      </c>
      <c r="GB12" s="159"/>
      <c r="GC12" s="159">
        <f>IFERROR(SUMIFS('PO Tracker'!$J$44:$J$1433,'PO Tracker'!$K$44:$K$1433,$FY$6,'PO Tracker'!$L$44:$L$1433,'Capex breakup'!$B12),0)</f>
        <v>0</v>
      </c>
      <c r="GD12" s="605" t="str">
        <f t="shared" si="70"/>
        <v/>
      </c>
      <c r="GE12" s="118"/>
      <c r="GF12" s="151"/>
      <c r="GG12" s="151">
        <f t="shared" si="71"/>
        <v>0</v>
      </c>
      <c r="GH12" s="151">
        <f>GG12/GG2</f>
        <v>0</v>
      </c>
      <c r="GI12" s="159">
        <v>0</v>
      </c>
      <c r="GJ12" s="395">
        <f t="shared" si="72"/>
        <v>0</v>
      </c>
      <c r="GK12" s="395">
        <f t="shared" si="73"/>
        <v>0</v>
      </c>
      <c r="GL12" s="159"/>
      <c r="GM12" s="159">
        <f>IFERROR(SUMIFS('PO Tracker'!$J$44:$J$1433,'PO Tracker'!$K$44:$K$1433,$GI$6,'PO Tracker'!$L$44:$L$1433,'Capex breakup'!$B12),0)</f>
        <v>0</v>
      </c>
      <c r="GN12" s="605" t="str">
        <f t="shared" si="74"/>
        <v/>
      </c>
      <c r="GO12" s="118"/>
      <c r="GP12" s="151"/>
      <c r="GQ12" s="151">
        <f t="shared" si="75"/>
        <v>0</v>
      </c>
      <c r="GR12" s="151">
        <f>GQ12/GQ2</f>
        <v>0</v>
      </c>
      <c r="GS12" s="159"/>
      <c r="GT12" s="395">
        <v>0</v>
      </c>
      <c r="GU12" s="159">
        <v>0</v>
      </c>
      <c r="GV12" s="159">
        <f>IFERROR(SUMIFS('PO Tracker'!$J$44:$J$1433,'PO Tracker'!$K$44:$K$1433,$GS$6,'PO Tracker'!$L$44:$L$1433,'Capex breakup'!$B12),0)</f>
        <v>0</v>
      </c>
      <c r="GW12" s="605" t="str">
        <f t="shared" si="76"/>
        <v/>
      </c>
      <c r="GX12" s="118"/>
      <c r="GY12" s="151"/>
      <c r="GZ12" s="151"/>
      <c r="HA12" s="133"/>
      <c r="HB12" s="159">
        <f>55.901836375325*0</f>
        <v>0</v>
      </c>
      <c r="HC12" s="395">
        <f t="shared" si="77"/>
        <v>0</v>
      </c>
      <c r="HD12" s="159">
        <f t="shared" si="78"/>
        <v>0</v>
      </c>
      <c r="HE12" s="775"/>
      <c r="HF12" s="159">
        <f>IFERROR(SUMIFS('PO Tracker'!$J$44:$J$1433,'PO Tracker'!$K$44:$K$1433,$HB$6,'PO Tracker'!$L$44:$L$1433,'Capex breakup'!$B12),0)</f>
        <v>0</v>
      </c>
      <c r="HG12" s="605" t="str">
        <f t="shared" si="79"/>
        <v/>
      </c>
      <c r="HH12" s="118"/>
      <c r="HI12" s="151"/>
      <c r="HJ12" s="151"/>
      <c r="HK12" s="133"/>
      <c r="HL12" s="159">
        <v>55.901836375324955</v>
      </c>
      <c r="HM12" s="395">
        <f t="shared" si="80"/>
        <v>189844.98420773129</v>
      </c>
      <c r="HN12" s="159">
        <f t="shared" si="81"/>
        <v>224017.08136512293</v>
      </c>
      <c r="HO12" s="159">
        <f>IFERROR(SUMIFS('PO Tracker'!$J$44:$J$1433,'PO Tracker'!$K$44:$K$1433,$HL$6,'PO Tracker'!$L$44:$L$1433,'Capex breakup'!$B12),0)</f>
        <v>0</v>
      </c>
      <c r="HP12" s="605">
        <f t="shared" si="82"/>
        <v>0</v>
      </c>
      <c r="HQ12" s="118"/>
      <c r="HR12" s="364"/>
      <c r="HS12" s="364"/>
      <c r="HT12" s="364"/>
      <c r="HU12" s="364"/>
    </row>
    <row r="13" spans="1:229">
      <c r="A13" s="18">
        <v>5</v>
      </c>
      <c r="B13" s="19" t="s">
        <v>16</v>
      </c>
      <c r="C13" s="118"/>
      <c r="D13" s="151">
        <v>0</v>
      </c>
      <c r="E13" s="151">
        <f t="shared" si="0"/>
        <v>0</v>
      </c>
      <c r="F13" s="151">
        <f>E13/E2</f>
        <v>0</v>
      </c>
      <c r="G13" s="159">
        <f>+F13</f>
        <v>0</v>
      </c>
      <c r="H13" s="395">
        <f t="shared" si="1"/>
        <v>0</v>
      </c>
      <c r="I13" s="395">
        <f t="shared" si="2"/>
        <v>0</v>
      </c>
      <c r="J13" s="159"/>
      <c r="K13" s="159">
        <f>IFERROR(SUMIFS('PO Tracker'!$J$44:$J$1433,'PO Tracker'!$K$44:$K$1433,$G$6,'PO Tracker'!$L$44:$L$1433,'Capex breakup'!$B13),0)</f>
        <v>0</v>
      </c>
      <c r="L13" s="605" t="str">
        <f t="shared" si="3"/>
        <v/>
      </c>
      <c r="M13" s="118"/>
      <c r="N13" s="151">
        <v>0</v>
      </c>
      <c r="O13" s="151">
        <f t="shared" si="4"/>
        <v>0</v>
      </c>
      <c r="P13" s="151">
        <f>O13/O2</f>
        <v>0</v>
      </c>
      <c r="Q13" s="159">
        <f>+P13</f>
        <v>0</v>
      </c>
      <c r="R13" s="395">
        <f t="shared" si="5"/>
        <v>0</v>
      </c>
      <c r="S13" s="395">
        <f t="shared" si="6"/>
        <v>0</v>
      </c>
      <c r="T13" s="159"/>
      <c r="U13" s="159">
        <f>IFERROR(SUMIFS('PO Tracker'!$J$44:$J$1433,'PO Tracker'!$K$44:$K$1433,$Q$6,'PO Tracker'!$L$44:$L$1433,'Capex breakup'!$B13),0)</f>
        <v>0</v>
      </c>
      <c r="V13" s="605" t="str">
        <f t="shared" si="7"/>
        <v/>
      </c>
      <c r="W13" s="118"/>
      <c r="X13" s="151"/>
      <c r="Y13" s="151">
        <f t="shared" si="8"/>
        <v>0</v>
      </c>
      <c r="Z13" s="133"/>
      <c r="AA13" s="159">
        <f>+Z13</f>
        <v>0</v>
      </c>
      <c r="AB13" s="395">
        <v>0</v>
      </c>
      <c r="AC13" s="395">
        <f t="shared" si="9"/>
        <v>0</v>
      </c>
      <c r="AD13" s="159"/>
      <c r="AE13" s="159">
        <f>IFERROR(SUMIFS('PO Tracker'!$J$44:$J$1433,'PO Tracker'!$K$44:$K$1433,$AA$6,'PO Tracker'!$L$44:$L$1433,'Capex breakup'!$B13),0)</f>
        <v>0</v>
      </c>
      <c r="AF13" s="605" t="str">
        <f t="shared" si="10"/>
        <v/>
      </c>
      <c r="AG13" s="118"/>
      <c r="AH13" s="151">
        <v>0</v>
      </c>
      <c r="AI13" s="151">
        <f t="shared" si="11"/>
        <v>0</v>
      </c>
      <c r="AJ13" s="151">
        <f>AI13/AI2</f>
        <v>0</v>
      </c>
      <c r="AK13" s="159">
        <f>+AJ13</f>
        <v>0</v>
      </c>
      <c r="AL13" s="395">
        <f t="shared" si="12"/>
        <v>0</v>
      </c>
      <c r="AM13" s="395">
        <f t="shared" si="13"/>
        <v>0</v>
      </c>
      <c r="AN13" s="159"/>
      <c r="AO13" s="159">
        <f>IFERROR(SUMIFS('PO Tracker'!$J$44:$J$1433,'PO Tracker'!$K$44:$K$1433,$AK$6,'PO Tracker'!$L$44:$L$1433,'Capex breakup'!$B13),0)</f>
        <v>0</v>
      </c>
      <c r="AP13" s="605" t="str">
        <f t="shared" si="14"/>
        <v/>
      </c>
      <c r="AQ13" s="118"/>
      <c r="AR13" s="287"/>
      <c r="AS13" s="287">
        <f>AR13/118%</f>
        <v>0</v>
      </c>
      <c r="AT13" s="288">
        <f t="shared" si="15"/>
        <v>0</v>
      </c>
      <c r="AU13" s="159">
        <f>+AT13</f>
        <v>0</v>
      </c>
      <c r="AV13" s="395">
        <f t="shared" si="16"/>
        <v>0</v>
      </c>
      <c r="AW13" s="395">
        <f t="shared" si="17"/>
        <v>0</v>
      </c>
      <c r="AX13" s="159"/>
      <c r="AY13" s="159">
        <f>IFERROR(SUMIFS('PO Tracker'!$J$44:$J$1433,'PO Tracker'!$K$44:$K$1433,$AU$6,'PO Tracker'!$L$44:$L$1433,'Capex breakup'!$B13),0)</f>
        <v>0</v>
      </c>
      <c r="AZ13" s="605" t="str">
        <f t="shared" si="18"/>
        <v/>
      </c>
      <c r="BA13" s="118"/>
      <c r="BB13" s="151"/>
      <c r="BC13" s="151">
        <f t="shared" si="19"/>
        <v>0</v>
      </c>
      <c r="BD13" s="151">
        <f>BC13/BC2</f>
        <v>0</v>
      </c>
      <c r="BE13" s="159">
        <f>+BD13</f>
        <v>0</v>
      </c>
      <c r="BF13" s="395">
        <f t="shared" si="20"/>
        <v>0</v>
      </c>
      <c r="BG13" s="395">
        <f t="shared" si="21"/>
        <v>0</v>
      </c>
      <c r="BH13" s="159"/>
      <c r="BI13" s="159">
        <f>IFERROR(SUMIFS('PO Tracker'!$J$44:$J$1433,'PO Tracker'!$K$44:$K$1433,$BE$6,'PO Tracker'!$L$44:$L$1433,'Capex breakup'!$B13),0)</f>
        <v>0</v>
      </c>
      <c r="BJ13" s="605" t="str">
        <f t="shared" si="22"/>
        <v/>
      </c>
      <c r="BK13" s="118"/>
      <c r="BL13" s="151"/>
      <c r="BM13" s="151"/>
      <c r="BN13" s="151"/>
      <c r="BO13" s="159"/>
      <c r="BP13" s="395">
        <f t="shared" si="23"/>
        <v>0</v>
      </c>
      <c r="BQ13" s="395">
        <f t="shared" si="24"/>
        <v>0</v>
      </c>
      <c r="BR13" s="159"/>
      <c r="BS13" s="159">
        <f>IFERROR(SUMIFS('PO Tracker'!$J$44:$J$1433,'PO Tracker'!$K$44:$K$1433,$BO$6,'PO Tracker'!$L$44:$L$1433,'Capex breakup'!$B13),0)</f>
        <v>0</v>
      </c>
      <c r="BT13" s="605" t="str">
        <f t="shared" si="25"/>
        <v/>
      </c>
      <c r="BU13" s="118"/>
      <c r="BV13" s="151"/>
      <c r="BW13" s="151">
        <f t="shared" si="26"/>
        <v>0</v>
      </c>
      <c r="BX13" s="151">
        <f>BW13/BW2</f>
        <v>0</v>
      </c>
      <c r="BY13" s="159">
        <f>+BX13</f>
        <v>0</v>
      </c>
      <c r="BZ13" s="395">
        <f t="shared" si="27"/>
        <v>0</v>
      </c>
      <c r="CA13" s="395">
        <f t="shared" si="28"/>
        <v>0</v>
      </c>
      <c r="CB13" s="159"/>
      <c r="CC13" s="159">
        <f>IFERROR(SUMIFS('PO Tracker'!$J$44:$J$1433,'PO Tracker'!$K$44:$K$1433,$BY$6,'PO Tracker'!$L$44:$L$1433,'Capex breakup'!$B13),0)</f>
        <v>0</v>
      </c>
      <c r="CD13" s="605" t="str">
        <f t="shared" si="29"/>
        <v/>
      </c>
      <c r="CE13" s="118"/>
      <c r="CF13" s="151">
        <v>0</v>
      </c>
      <c r="CG13" s="151">
        <f t="shared" si="30"/>
        <v>0</v>
      </c>
      <c r="CH13" s="151">
        <f>CG13/CG2</f>
        <v>0</v>
      </c>
      <c r="CI13" s="159">
        <f>+CH13</f>
        <v>0</v>
      </c>
      <c r="CJ13" s="395">
        <f t="shared" si="31"/>
        <v>0</v>
      </c>
      <c r="CK13" s="395">
        <f t="shared" si="32"/>
        <v>0</v>
      </c>
      <c r="CL13" s="159"/>
      <c r="CM13" s="159">
        <f>IFERROR(SUMIFS('PO Tracker'!$J$44:$J$1433,'PO Tracker'!$K$44:$K$1433,$CI$6,'PO Tracker'!$L$44:$L$1433,'Capex breakup'!$B13),0)</f>
        <v>0</v>
      </c>
      <c r="CN13" s="605" t="str">
        <f t="shared" si="33"/>
        <v/>
      </c>
      <c r="CO13" s="118"/>
      <c r="CP13" s="151"/>
      <c r="CQ13" s="151">
        <f t="shared" si="34"/>
        <v>0</v>
      </c>
      <c r="CR13" s="151"/>
      <c r="CS13" s="159"/>
      <c r="CT13" s="395">
        <f t="shared" si="35"/>
        <v>0</v>
      </c>
      <c r="CU13" s="395">
        <f t="shared" si="36"/>
        <v>0</v>
      </c>
      <c r="CV13" s="159"/>
      <c r="CW13" s="159">
        <f>IFERROR(SUMIFS('PO Tracker'!$J$44:$J$1433,'PO Tracker'!$K$44:$K$1433,$CS$6,'PO Tracker'!$L$44:$L$1433,'Capex breakup'!$B13),0)</f>
        <v>0</v>
      </c>
      <c r="CX13" s="605" t="str">
        <f t="shared" si="37"/>
        <v/>
      </c>
      <c r="CY13" s="118"/>
      <c r="CZ13" s="151">
        <v>0</v>
      </c>
      <c r="DA13" s="151">
        <f t="shared" si="38"/>
        <v>0</v>
      </c>
      <c r="DB13" s="151">
        <f>DA13/DA2</f>
        <v>0</v>
      </c>
      <c r="DC13" s="159">
        <f>+DB13</f>
        <v>0</v>
      </c>
      <c r="DD13" s="395">
        <f t="shared" si="39"/>
        <v>0</v>
      </c>
      <c r="DE13" s="395">
        <f t="shared" si="40"/>
        <v>0</v>
      </c>
      <c r="DF13" s="159"/>
      <c r="DG13" s="159">
        <f>IFERROR(SUMIFS('PO Tracker'!$J$44:$J$1433,'PO Tracker'!$K$44:$K$1433,$DC$6,'PO Tracker'!$L$44:$L$1433,'Capex breakup'!$B13),0)</f>
        <v>0</v>
      </c>
      <c r="DH13" s="605" t="str">
        <f t="shared" si="41"/>
        <v/>
      </c>
      <c r="DI13" s="118"/>
      <c r="DJ13" s="151"/>
      <c r="DK13" s="151">
        <f t="shared" si="42"/>
        <v>0</v>
      </c>
      <c r="DL13" s="151">
        <f>DK13/DK2</f>
        <v>0</v>
      </c>
      <c r="DM13" s="159"/>
      <c r="DN13" s="395">
        <f t="shared" si="43"/>
        <v>0</v>
      </c>
      <c r="DO13" s="159">
        <f t="shared" si="44"/>
        <v>0</v>
      </c>
      <c r="DP13" s="159">
        <f>IFERROR(SUMIFS('PO Tracker'!$J$44:$J$1433,'PO Tracker'!$K$44:$K$1433,$DM$6,'PO Tracker'!$L$44:$L$1433,'Capex breakup'!$B13),0)</f>
        <v>0</v>
      </c>
      <c r="DQ13" s="605" t="str">
        <f t="shared" si="45"/>
        <v/>
      </c>
      <c r="DR13" s="118"/>
      <c r="DS13" s="151">
        <v>0</v>
      </c>
      <c r="DT13" s="151">
        <f t="shared" si="46"/>
        <v>0</v>
      </c>
      <c r="DU13" s="151">
        <f>DT13/DT2</f>
        <v>0</v>
      </c>
      <c r="DV13" s="159">
        <v>0</v>
      </c>
      <c r="DW13" s="395">
        <f t="shared" si="47"/>
        <v>0</v>
      </c>
      <c r="DX13" s="395">
        <f t="shared" si="48"/>
        <v>0</v>
      </c>
      <c r="DY13" s="159"/>
      <c r="DZ13" s="159">
        <f>IFERROR(SUMIFS('PO Tracker'!$J$44:$J$1433,'PO Tracker'!$K$44:$K$1433,$DV$6,'PO Tracker'!$L$44:$L$1433,'Capex breakup'!$B13),0)</f>
        <v>0</v>
      </c>
      <c r="EA13" s="605" t="str">
        <f t="shared" si="49"/>
        <v/>
      </c>
      <c r="EB13" s="118"/>
      <c r="EC13" s="151">
        <v>0</v>
      </c>
      <c r="ED13" s="151">
        <f t="shared" si="50"/>
        <v>0</v>
      </c>
      <c r="EE13" s="151">
        <f>ED13/ED2</f>
        <v>0</v>
      </c>
      <c r="EF13" s="159">
        <f>+EE13</f>
        <v>0</v>
      </c>
      <c r="EG13" s="395">
        <f t="shared" si="51"/>
        <v>0</v>
      </c>
      <c r="EH13" s="395">
        <f t="shared" si="52"/>
        <v>0</v>
      </c>
      <c r="EI13" s="159"/>
      <c r="EJ13" s="159">
        <f>IFERROR(SUMIFS('PO Tracker'!$J$44:$J$1433,'PO Tracker'!$K$44:$K$1433,$EF$6,'PO Tracker'!$L$44:$L$1433,'Capex breakup'!$B13),0)</f>
        <v>0</v>
      </c>
      <c r="EK13" s="605" t="str">
        <f t="shared" si="53"/>
        <v/>
      </c>
      <c r="EL13" s="118"/>
      <c r="EM13" s="151"/>
      <c r="EN13" s="151"/>
      <c r="EO13" s="151"/>
      <c r="EP13" s="159">
        <f>+EO13</f>
        <v>0</v>
      </c>
      <c r="EQ13" s="395">
        <f t="shared" si="54"/>
        <v>0</v>
      </c>
      <c r="ER13" s="395">
        <f t="shared" si="55"/>
        <v>0</v>
      </c>
      <c r="ES13" s="159"/>
      <c r="ET13" s="159">
        <f>IFERROR(SUMIFS('PO Tracker'!$J$44:$J$1433,'PO Tracker'!$K$44:$K$1433,$EP$6,'PO Tracker'!$L$44:$L$1433,'Capex breakup'!$B13),0)</f>
        <v>0</v>
      </c>
      <c r="EU13" s="605" t="str">
        <f t="shared" si="56"/>
        <v/>
      </c>
      <c r="EV13" s="118"/>
      <c r="EW13" s="151"/>
      <c r="EX13" s="151"/>
      <c r="EY13" s="151"/>
      <c r="EZ13" s="159">
        <f>+EY13</f>
        <v>0</v>
      </c>
      <c r="FA13" s="395">
        <f t="shared" si="57"/>
        <v>0</v>
      </c>
      <c r="FB13" s="395">
        <f t="shared" si="58"/>
        <v>0</v>
      </c>
      <c r="FC13" s="159"/>
      <c r="FD13" s="159">
        <f>IFERROR(SUMIFS('PO Tracker'!$J$44:$J$1433,'PO Tracker'!$K$44:$K$1433,$EZ$6,'PO Tracker'!$L$44:$L$1433,'Capex breakup'!$B13),0)</f>
        <v>0</v>
      </c>
      <c r="FE13" s="605" t="str">
        <f t="shared" si="59"/>
        <v/>
      </c>
      <c r="FF13" s="118"/>
      <c r="FG13" s="318"/>
      <c r="FH13" s="151">
        <f t="shared" si="60"/>
        <v>0</v>
      </c>
      <c r="FI13" s="133">
        <f t="shared" si="61"/>
        <v>0</v>
      </c>
      <c r="FJ13" s="159">
        <f t="shared" ref="FJ13:FJ17" si="83">+FI13</f>
        <v>0</v>
      </c>
      <c r="FK13" s="395">
        <f t="shared" si="62"/>
        <v>0</v>
      </c>
      <c r="FL13" s="159">
        <f t="shared" si="63"/>
        <v>0</v>
      </c>
      <c r="FM13" s="684"/>
      <c r="FN13" s="159"/>
      <c r="FO13" s="685"/>
      <c r="FP13" s="684"/>
      <c r="FQ13" s="159">
        <f t="shared" si="64"/>
        <v>0</v>
      </c>
      <c r="FR13" s="685">
        <f t="shared" si="65"/>
        <v>0</v>
      </c>
      <c r="FS13" s="662">
        <f>IFERROR(SUMIFS('PO Tracker'!$J$44:$J$1433,'PO Tracker'!$K$44:$K$1433,$FJ$6,'PO Tracker'!$L$44:$L$1433,'Capex breakup'!$B13),0)</f>
        <v>0</v>
      </c>
      <c r="FT13" s="736" t="str">
        <f t="shared" si="66"/>
        <v/>
      </c>
      <c r="FU13" s="709"/>
      <c r="FV13" s="151">
        <v>0</v>
      </c>
      <c r="FW13" s="151">
        <f t="shared" si="67"/>
        <v>0</v>
      </c>
      <c r="FX13" s="151">
        <f>FW13/FW2</f>
        <v>0</v>
      </c>
      <c r="FY13" s="159">
        <f>+FX13</f>
        <v>0</v>
      </c>
      <c r="FZ13" s="395">
        <f t="shared" si="68"/>
        <v>0</v>
      </c>
      <c r="GA13" s="395">
        <f t="shared" si="69"/>
        <v>0</v>
      </c>
      <c r="GB13" s="159"/>
      <c r="GC13" s="159">
        <f>IFERROR(SUMIFS('PO Tracker'!$J$44:$J$1433,'PO Tracker'!$K$44:$K$1433,$FY$6,'PO Tracker'!$L$44:$L$1433,'Capex breakup'!$B13),0)</f>
        <v>0</v>
      </c>
      <c r="GD13" s="605" t="str">
        <f t="shared" si="70"/>
        <v/>
      </c>
      <c r="GE13" s="118"/>
      <c r="GF13" s="151"/>
      <c r="GG13" s="151">
        <f t="shared" si="71"/>
        <v>0</v>
      </c>
      <c r="GH13" s="151">
        <f>GG13/GG2</f>
        <v>0</v>
      </c>
      <c r="GI13" s="159">
        <f>+GH13</f>
        <v>0</v>
      </c>
      <c r="GJ13" s="395">
        <f t="shared" si="72"/>
        <v>0</v>
      </c>
      <c r="GK13" s="395">
        <f t="shared" si="73"/>
        <v>0</v>
      </c>
      <c r="GL13" s="159"/>
      <c r="GM13" s="159">
        <f>IFERROR(SUMIFS('PO Tracker'!$J$44:$J$1433,'PO Tracker'!$K$44:$K$1433,$GI$6,'PO Tracker'!$L$44:$L$1433,'Capex breakup'!$B13),0)</f>
        <v>0</v>
      </c>
      <c r="GN13" s="605" t="str">
        <f t="shared" si="74"/>
        <v/>
      </c>
      <c r="GO13" s="118"/>
      <c r="GP13" s="151"/>
      <c r="GQ13" s="151">
        <f t="shared" si="75"/>
        <v>0</v>
      </c>
      <c r="GR13" s="151">
        <f>GQ13/GQ2</f>
        <v>0</v>
      </c>
      <c r="GS13" s="159"/>
      <c r="GT13" s="395">
        <v>0</v>
      </c>
      <c r="GU13" s="159">
        <v>0</v>
      </c>
      <c r="GV13" s="159">
        <f>IFERROR(SUMIFS('PO Tracker'!$J$44:$J$1433,'PO Tracker'!$K$44:$K$1433,$GS$6,'PO Tracker'!$L$44:$L$1433,'Capex breakup'!$B13),0)</f>
        <v>0</v>
      </c>
      <c r="GW13" s="605" t="str">
        <f t="shared" si="76"/>
        <v/>
      </c>
      <c r="GX13" s="118"/>
      <c r="GY13" s="151"/>
      <c r="GZ13" s="151"/>
      <c r="HA13" s="133"/>
      <c r="HB13" s="159">
        <v>0</v>
      </c>
      <c r="HC13" s="395">
        <f t="shared" si="77"/>
        <v>0</v>
      </c>
      <c r="HD13" s="159">
        <f t="shared" si="78"/>
        <v>0</v>
      </c>
      <c r="HE13" s="775"/>
      <c r="HF13" s="159">
        <f>IFERROR(SUMIFS('PO Tracker'!$J$44:$J$1433,'PO Tracker'!$K$44:$K$1433,$HB$6,'PO Tracker'!$L$44:$L$1433,'Capex breakup'!$B13),0)</f>
        <v>0</v>
      </c>
      <c r="HG13" s="605" t="str">
        <f t="shared" si="79"/>
        <v/>
      </c>
      <c r="HH13" s="118"/>
      <c r="HI13" s="151"/>
      <c r="HJ13" s="151"/>
      <c r="HK13" s="133"/>
      <c r="HL13" s="159">
        <v>0</v>
      </c>
      <c r="HM13" s="395">
        <f t="shared" si="80"/>
        <v>0</v>
      </c>
      <c r="HN13" s="159">
        <f t="shared" si="81"/>
        <v>0</v>
      </c>
      <c r="HO13" s="159">
        <f>IFERROR(SUMIFS('PO Tracker'!$J$44:$J$1433,'PO Tracker'!$K$44:$K$1433,$HL$6,'PO Tracker'!$L$44:$L$1433,'Capex breakup'!$B13),0)</f>
        <v>0</v>
      </c>
      <c r="HP13" s="605" t="str">
        <f t="shared" si="82"/>
        <v/>
      </c>
      <c r="HQ13" s="118"/>
      <c r="HR13" s="364"/>
      <c r="HS13" s="364"/>
      <c r="HT13" s="364"/>
      <c r="HU13" s="364"/>
    </row>
    <row r="14" spans="1:229">
      <c r="A14" s="18">
        <v>6</v>
      </c>
      <c r="B14" s="19" t="s">
        <v>17</v>
      </c>
      <c r="C14" s="118"/>
      <c r="D14" s="151">
        <v>0</v>
      </c>
      <c r="E14" s="151">
        <f t="shared" si="0"/>
        <v>0</v>
      </c>
      <c r="F14" s="151">
        <f>E14/E2</f>
        <v>0</v>
      </c>
      <c r="G14" s="159">
        <f>+F14</f>
        <v>0</v>
      </c>
      <c r="H14" s="395">
        <f t="shared" si="1"/>
        <v>0</v>
      </c>
      <c r="I14" s="395">
        <f t="shared" si="2"/>
        <v>0</v>
      </c>
      <c r="J14" s="159"/>
      <c r="K14" s="159">
        <f>IFERROR(SUMIFS('PO Tracker'!$J$44:$J$1433,'PO Tracker'!$K$44:$K$1433,$G$6,'PO Tracker'!$L$44:$L$1433,'Capex breakup'!$B14),0)</f>
        <v>0</v>
      </c>
      <c r="L14" s="605" t="str">
        <f t="shared" si="3"/>
        <v/>
      </c>
      <c r="M14" s="118"/>
      <c r="N14" s="151">
        <v>0</v>
      </c>
      <c r="O14" s="151">
        <f t="shared" si="4"/>
        <v>0</v>
      </c>
      <c r="P14" s="151">
        <f>O14/O2</f>
        <v>0</v>
      </c>
      <c r="Q14" s="159">
        <f>+P14</f>
        <v>0</v>
      </c>
      <c r="R14" s="395">
        <f t="shared" si="5"/>
        <v>0</v>
      </c>
      <c r="S14" s="395">
        <f t="shared" si="6"/>
        <v>0</v>
      </c>
      <c r="T14" s="159"/>
      <c r="U14" s="159">
        <f>IFERROR(SUMIFS('PO Tracker'!$J$44:$J$1433,'PO Tracker'!$K$44:$K$1433,$Q$6,'PO Tracker'!$L$44:$L$1433,'Capex breakup'!$B14),0)</f>
        <v>0</v>
      </c>
      <c r="V14" s="605" t="str">
        <f t="shared" si="7"/>
        <v/>
      </c>
      <c r="W14" s="118"/>
      <c r="X14" s="151"/>
      <c r="Y14" s="151">
        <f t="shared" si="8"/>
        <v>0</v>
      </c>
      <c r="Z14" s="133"/>
      <c r="AA14" s="159">
        <f>+Z14</f>
        <v>0</v>
      </c>
      <c r="AB14" s="395">
        <v>0</v>
      </c>
      <c r="AC14" s="395">
        <f t="shared" si="9"/>
        <v>0</v>
      </c>
      <c r="AD14" s="159"/>
      <c r="AE14" s="159">
        <f>IFERROR(SUMIFS('PO Tracker'!$J$44:$J$1433,'PO Tracker'!$K$44:$K$1433,$AA$6,'PO Tracker'!$L$44:$L$1433,'Capex breakup'!$B14),0)</f>
        <v>0</v>
      </c>
      <c r="AF14" s="605" t="str">
        <f t="shared" si="10"/>
        <v/>
      </c>
      <c r="AG14" s="118"/>
      <c r="AH14" s="151">
        <v>0</v>
      </c>
      <c r="AI14" s="151">
        <f t="shared" si="11"/>
        <v>0</v>
      </c>
      <c r="AJ14" s="151">
        <f>AI14/AI2</f>
        <v>0</v>
      </c>
      <c r="AK14" s="159">
        <f>+AJ14</f>
        <v>0</v>
      </c>
      <c r="AL14" s="395">
        <f t="shared" si="12"/>
        <v>0</v>
      </c>
      <c r="AM14" s="395">
        <f t="shared" si="13"/>
        <v>0</v>
      </c>
      <c r="AN14" s="159"/>
      <c r="AO14" s="159">
        <f>IFERROR(SUMIFS('PO Tracker'!$J$44:$J$1433,'PO Tracker'!$K$44:$K$1433,$AK$6,'PO Tracker'!$L$44:$L$1433,'Capex breakup'!$B14),0)</f>
        <v>0</v>
      </c>
      <c r="AP14" s="605" t="str">
        <f t="shared" si="14"/>
        <v/>
      </c>
      <c r="AQ14" s="118"/>
      <c r="AR14" s="287"/>
      <c r="AS14" s="287">
        <f>AR14/118%</f>
        <v>0</v>
      </c>
      <c r="AT14" s="288">
        <f t="shared" si="15"/>
        <v>0</v>
      </c>
      <c r="AU14" s="159">
        <f>+AT14</f>
        <v>0</v>
      </c>
      <c r="AV14" s="395">
        <f t="shared" si="16"/>
        <v>0</v>
      </c>
      <c r="AW14" s="395">
        <f t="shared" si="17"/>
        <v>0</v>
      </c>
      <c r="AX14" s="159"/>
      <c r="AY14" s="159">
        <f>IFERROR(SUMIFS('PO Tracker'!$J$44:$J$1433,'PO Tracker'!$K$44:$K$1433,$AU$6,'PO Tracker'!$L$44:$L$1433,'Capex breakup'!$B14),0)</f>
        <v>0</v>
      </c>
      <c r="AZ14" s="605" t="str">
        <f t="shared" si="18"/>
        <v/>
      </c>
      <c r="BA14" s="118"/>
      <c r="BB14" s="151"/>
      <c r="BC14" s="151">
        <f t="shared" si="19"/>
        <v>0</v>
      </c>
      <c r="BD14" s="151">
        <f>BC14/BC2</f>
        <v>0</v>
      </c>
      <c r="BE14" s="159">
        <f>+BD14</f>
        <v>0</v>
      </c>
      <c r="BF14" s="395">
        <f t="shared" si="20"/>
        <v>0</v>
      </c>
      <c r="BG14" s="395">
        <f t="shared" si="21"/>
        <v>0</v>
      </c>
      <c r="BH14" s="159"/>
      <c r="BI14" s="159">
        <f>IFERROR(SUMIFS('PO Tracker'!$J$44:$J$1433,'PO Tracker'!$K$44:$K$1433,$BE$6,'PO Tracker'!$L$44:$L$1433,'Capex breakup'!$B14),0)</f>
        <v>0</v>
      </c>
      <c r="BJ14" s="605" t="str">
        <f t="shared" si="22"/>
        <v/>
      </c>
      <c r="BK14" s="118"/>
      <c r="BL14" s="151"/>
      <c r="BM14" s="151"/>
      <c r="BN14" s="151"/>
      <c r="BO14" s="159"/>
      <c r="BP14" s="395">
        <f t="shared" si="23"/>
        <v>0</v>
      </c>
      <c r="BQ14" s="395">
        <f t="shared" si="24"/>
        <v>0</v>
      </c>
      <c r="BR14" s="159"/>
      <c r="BS14" s="159">
        <f>IFERROR(SUMIFS('PO Tracker'!$J$44:$J$1433,'PO Tracker'!$K$44:$K$1433,$BO$6,'PO Tracker'!$L$44:$L$1433,'Capex breakup'!$B14),0)</f>
        <v>0</v>
      </c>
      <c r="BT14" s="605" t="str">
        <f t="shared" si="25"/>
        <v/>
      </c>
      <c r="BU14" s="118"/>
      <c r="BV14" s="151"/>
      <c r="BW14" s="151">
        <f t="shared" si="26"/>
        <v>0</v>
      </c>
      <c r="BX14" s="151">
        <f>BW14/BW2</f>
        <v>0</v>
      </c>
      <c r="BY14" s="159">
        <f>+BX14</f>
        <v>0</v>
      </c>
      <c r="BZ14" s="395">
        <f t="shared" si="27"/>
        <v>0</v>
      </c>
      <c r="CA14" s="395">
        <f t="shared" si="28"/>
        <v>0</v>
      </c>
      <c r="CB14" s="159"/>
      <c r="CC14" s="159">
        <f>IFERROR(SUMIFS('PO Tracker'!$J$44:$J$1433,'PO Tracker'!$K$44:$K$1433,$BY$6,'PO Tracker'!$L$44:$L$1433,'Capex breakup'!$B14),0)</f>
        <v>0</v>
      </c>
      <c r="CD14" s="605" t="str">
        <f t="shared" si="29"/>
        <v/>
      </c>
      <c r="CE14" s="118"/>
      <c r="CF14" s="151">
        <v>0</v>
      </c>
      <c r="CG14" s="151">
        <f t="shared" si="30"/>
        <v>0</v>
      </c>
      <c r="CH14" s="151">
        <f>CG14/CG2</f>
        <v>0</v>
      </c>
      <c r="CI14" s="159">
        <f>+CH14</f>
        <v>0</v>
      </c>
      <c r="CJ14" s="395">
        <f t="shared" si="31"/>
        <v>0</v>
      </c>
      <c r="CK14" s="395">
        <f t="shared" si="32"/>
        <v>0</v>
      </c>
      <c r="CL14" s="159"/>
      <c r="CM14" s="159">
        <f>IFERROR(SUMIFS('PO Tracker'!$J$44:$J$1433,'PO Tracker'!$K$44:$K$1433,$CI$6,'PO Tracker'!$L$44:$L$1433,'Capex breakup'!$B14),0)</f>
        <v>0</v>
      </c>
      <c r="CN14" s="605" t="str">
        <f t="shared" si="33"/>
        <v/>
      </c>
      <c r="CO14" s="118"/>
      <c r="CP14" s="151"/>
      <c r="CQ14" s="151">
        <f t="shared" si="34"/>
        <v>0</v>
      </c>
      <c r="CR14" s="151"/>
      <c r="CS14" s="159"/>
      <c r="CT14" s="395">
        <f t="shared" si="35"/>
        <v>0</v>
      </c>
      <c r="CU14" s="395">
        <f t="shared" si="36"/>
        <v>0</v>
      </c>
      <c r="CV14" s="159"/>
      <c r="CW14" s="159">
        <f>IFERROR(SUMIFS('PO Tracker'!$J$44:$J$1433,'PO Tracker'!$K$44:$K$1433,$CS$6,'PO Tracker'!$L$44:$L$1433,'Capex breakup'!$B14),0)</f>
        <v>0</v>
      </c>
      <c r="CX14" s="605" t="str">
        <f t="shared" si="37"/>
        <v/>
      </c>
      <c r="CY14" s="118"/>
      <c r="CZ14" s="151">
        <v>0</v>
      </c>
      <c r="DA14" s="151">
        <f t="shared" si="38"/>
        <v>0</v>
      </c>
      <c r="DB14" s="151">
        <f>DA14/DA2</f>
        <v>0</v>
      </c>
      <c r="DC14" s="159">
        <f>+DB14</f>
        <v>0</v>
      </c>
      <c r="DD14" s="395">
        <f t="shared" si="39"/>
        <v>0</v>
      </c>
      <c r="DE14" s="395">
        <f t="shared" si="40"/>
        <v>0</v>
      </c>
      <c r="DF14" s="159"/>
      <c r="DG14" s="159">
        <f>IFERROR(SUMIFS('PO Tracker'!$J$44:$J$1433,'PO Tracker'!$K$44:$K$1433,$DC$6,'PO Tracker'!$L$44:$L$1433,'Capex breakup'!$B14),0)</f>
        <v>0</v>
      </c>
      <c r="DH14" s="605" t="str">
        <f t="shared" si="41"/>
        <v/>
      </c>
      <c r="DI14" s="118"/>
      <c r="DJ14" s="151"/>
      <c r="DK14" s="151">
        <f t="shared" si="42"/>
        <v>0</v>
      </c>
      <c r="DL14" s="151">
        <f>DK14/DK2</f>
        <v>0</v>
      </c>
      <c r="DM14" s="159">
        <f>+DL14</f>
        <v>0</v>
      </c>
      <c r="DN14" s="395">
        <f t="shared" si="43"/>
        <v>0</v>
      </c>
      <c r="DO14" s="159">
        <f t="shared" si="44"/>
        <v>0</v>
      </c>
      <c r="DP14" s="159">
        <f>IFERROR(SUMIFS('PO Tracker'!$J$44:$J$1433,'PO Tracker'!$K$44:$K$1433,$DM$6,'PO Tracker'!$L$44:$L$1433,'Capex breakup'!$B14),0)</f>
        <v>0</v>
      </c>
      <c r="DQ14" s="605" t="str">
        <f t="shared" si="45"/>
        <v/>
      </c>
      <c r="DR14" s="118"/>
      <c r="DS14" s="151">
        <v>0</v>
      </c>
      <c r="DT14" s="151">
        <f t="shared" si="46"/>
        <v>0</v>
      </c>
      <c r="DU14" s="151">
        <f>DT14/DT2</f>
        <v>0</v>
      </c>
      <c r="DV14" s="159">
        <v>0</v>
      </c>
      <c r="DW14" s="395">
        <f t="shared" si="47"/>
        <v>0</v>
      </c>
      <c r="DX14" s="395">
        <f t="shared" si="48"/>
        <v>0</v>
      </c>
      <c r="DY14" s="159"/>
      <c r="DZ14" s="159">
        <f>IFERROR(SUMIFS('PO Tracker'!$J$44:$J$1433,'PO Tracker'!$K$44:$K$1433,$DV$6,'PO Tracker'!$L$44:$L$1433,'Capex breakup'!$B14),0)</f>
        <v>0</v>
      </c>
      <c r="EA14" s="605" t="str">
        <f t="shared" si="49"/>
        <v/>
      </c>
      <c r="EB14" s="118"/>
      <c r="EC14" s="151">
        <v>0</v>
      </c>
      <c r="ED14" s="151">
        <f t="shared" si="50"/>
        <v>0</v>
      </c>
      <c r="EE14" s="151">
        <f>ED14/ED2</f>
        <v>0</v>
      </c>
      <c r="EF14" s="159">
        <f>+EE14</f>
        <v>0</v>
      </c>
      <c r="EG14" s="395">
        <f t="shared" si="51"/>
        <v>0</v>
      </c>
      <c r="EH14" s="395">
        <f t="shared" si="52"/>
        <v>0</v>
      </c>
      <c r="EI14" s="159"/>
      <c r="EJ14" s="159">
        <f>IFERROR(SUMIFS('PO Tracker'!$J$44:$J$1433,'PO Tracker'!$K$44:$K$1433,$EF$6,'PO Tracker'!$L$44:$L$1433,'Capex breakup'!$B14),0)</f>
        <v>0</v>
      </c>
      <c r="EK14" s="605" t="str">
        <f t="shared" si="53"/>
        <v/>
      </c>
      <c r="EL14" s="118"/>
      <c r="EM14" s="151"/>
      <c r="EN14" s="151"/>
      <c r="EO14" s="151"/>
      <c r="EP14" s="159">
        <f>+EO14</f>
        <v>0</v>
      </c>
      <c r="EQ14" s="395">
        <f t="shared" si="54"/>
        <v>0</v>
      </c>
      <c r="ER14" s="395">
        <f t="shared" si="55"/>
        <v>0</v>
      </c>
      <c r="ES14" s="159"/>
      <c r="ET14" s="159">
        <f>IFERROR(SUMIFS('PO Tracker'!$J$44:$J$1433,'PO Tracker'!$K$44:$K$1433,$EP$6,'PO Tracker'!$L$44:$L$1433,'Capex breakup'!$B14),0)</f>
        <v>0</v>
      </c>
      <c r="EU14" s="605" t="str">
        <f t="shared" si="56"/>
        <v/>
      </c>
      <c r="EV14" s="118"/>
      <c r="EW14" s="151"/>
      <c r="EX14" s="151"/>
      <c r="EY14" s="151"/>
      <c r="EZ14" s="159">
        <f>+EY14</f>
        <v>0</v>
      </c>
      <c r="FA14" s="395">
        <f t="shared" si="57"/>
        <v>0</v>
      </c>
      <c r="FB14" s="395">
        <f t="shared" si="58"/>
        <v>0</v>
      </c>
      <c r="FC14" s="159"/>
      <c r="FD14" s="159">
        <f>IFERROR(SUMIFS('PO Tracker'!$J$44:$J$1433,'PO Tracker'!$K$44:$K$1433,$EZ$6,'PO Tracker'!$L$44:$L$1433,'Capex breakup'!$B14),0)</f>
        <v>0</v>
      </c>
      <c r="FE14" s="605" t="str">
        <f t="shared" si="59"/>
        <v/>
      </c>
      <c r="FF14" s="118"/>
      <c r="FG14" s="318"/>
      <c r="FH14" s="151">
        <f t="shared" si="60"/>
        <v>0</v>
      </c>
      <c r="FI14" s="133">
        <f t="shared" si="61"/>
        <v>0</v>
      </c>
      <c r="FJ14" s="159">
        <f t="shared" si="83"/>
        <v>0</v>
      </c>
      <c r="FK14" s="395">
        <f t="shared" si="62"/>
        <v>0</v>
      </c>
      <c r="FL14" s="159">
        <f t="shared" si="63"/>
        <v>0</v>
      </c>
      <c r="FM14" s="684"/>
      <c r="FN14" s="159"/>
      <c r="FO14" s="685"/>
      <c r="FP14" s="684"/>
      <c r="FQ14" s="159">
        <f t="shared" si="64"/>
        <v>0</v>
      </c>
      <c r="FR14" s="685">
        <f t="shared" si="65"/>
        <v>0</v>
      </c>
      <c r="FS14" s="662">
        <f>IFERROR(SUMIFS('PO Tracker'!$J$44:$J$1433,'PO Tracker'!$K$44:$K$1433,$FJ$6,'PO Tracker'!$L$44:$L$1433,'Capex breakup'!$B14),0)</f>
        <v>0</v>
      </c>
      <c r="FT14" s="736" t="str">
        <f t="shared" si="66"/>
        <v/>
      </c>
      <c r="FU14" s="709"/>
      <c r="FV14" s="151">
        <v>0</v>
      </c>
      <c r="FW14" s="151">
        <f t="shared" si="67"/>
        <v>0</v>
      </c>
      <c r="FX14" s="151">
        <f>FW14/FW2</f>
        <v>0</v>
      </c>
      <c r="FY14" s="159">
        <f>+FX14</f>
        <v>0</v>
      </c>
      <c r="FZ14" s="395">
        <f t="shared" si="68"/>
        <v>0</v>
      </c>
      <c r="GA14" s="395">
        <f t="shared" si="69"/>
        <v>0</v>
      </c>
      <c r="GB14" s="159"/>
      <c r="GC14" s="159">
        <f>IFERROR(SUMIFS('PO Tracker'!$J$44:$J$1433,'PO Tracker'!$K$44:$K$1433,$FY$6,'PO Tracker'!$L$44:$L$1433,'Capex breakup'!$B14),0)</f>
        <v>0</v>
      </c>
      <c r="GD14" s="605" t="str">
        <f t="shared" si="70"/>
        <v/>
      </c>
      <c r="GE14" s="118"/>
      <c r="GF14" s="151"/>
      <c r="GG14" s="151">
        <f t="shared" si="71"/>
        <v>0</v>
      </c>
      <c r="GH14" s="151">
        <f>GG14/GG2</f>
        <v>0</v>
      </c>
      <c r="GI14" s="159">
        <f>+GH14</f>
        <v>0</v>
      </c>
      <c r="GJ14" s="395">
        <f t="shared" si="72"/>
        <v>0</v>
      </c>
      <c r="GK14" s="395">
        <f t="shared" si="73"/>
        <v>0</v>
      </c>
      <c r="GL14" s="159"/>
      <c r="GM14" s="159">
        <f>IFERROR(SUMIFS('PO Tracker'!$J$44:$J$1433,'PO Tracker'!$K$44:$K$1433,$GI$6,'PO Tracker'!$L$44:$L$1433,'Capex breakup'!$B14),0)</f>
        <v>0</v>
      </c>
      <c r="GN14" s="605" t="str">
        <f t="shared" si="74"/>
        <v/>
      </c>
      <c r="GO14" s="118"/>
      <c r="GP14" s="151"/>
      <c r="GQ14" s="151">
        <f t="shared" si="75"/>
        <v>0</v>
      </c>
      <c r="GR14" s="151">
        <f>GQ14/GQ2</f>
        <v>0</v>
      </c>
      <c r="GS14" s="159">
        <v>0</v>
      </c>
      <c r="GT14" s="395">
        <v>0</v>
      </c>
      <c r="GU14" s="159">
        <v>0</v>
      </c>
      <c r="GV14" s="159">
        <f>IFERROR(SUMIFS('PO Tracker'!$J$44:$J$1433,'PO Tracker'!$K$44:$K$1433,$GS$6,'PO Tracker'!$L$44:$L$1433,'Capex breakup'!$B14),0)</f>
        <v>0</v>
      </c>
      <c r="GW14" s="605" t="str">
        <f t="shared" si="76"/>
        <v/>
      </c>
      <c r="GX14" s="118"/>
      <c r="GY14" s="151"/>
      <c r="GZ14" s="151"/>
      <c r="HA14" s="133"/>
      <c r="HB14" s="159">
        <v>0</v>
      </c>
      <c r="HC14" s="395">
        <f t="shared" si="77"/>
        <v>0</v>
      </c>
      <c r="HD14" s="159">
        <f t="shared" si="78"/>
        <v>0</v>
      </c>
      <c r="HE14" s="775"/>
      <c r="HF14" s="159">
        <f>IFERROR(SUMIFS('PO Tracker'!$J$44:$J$1433,'PO Tracker'!$K$44:$K$1433,$HB$6,'PO Tracker'!$L$44:$L$1433,'Capex breakup'!$B14),0)</f>
        <v>0</v>
      </c>
      <c r="HG14" s="605" t="str">
        <f t="shared" si="79"/>
        <v/>
      </c>
      <c r="HH14" s="118"/>
      <c r="HI14" s="151"/>
      <c r="HJ14" s="151"/>
      <c r="HK14" s="133"/>
      <c r="HL14" s="159">
        <v>0</v>
      </c>
      <c r="HM14" s="395">
        <f t="shared" si="80"/>
        <v>0</v>
      </c>
      <c r="HN14" s="159">
        <f t="shared" si="81"/>
        <v>0</v>
      </c>
      <c r="HO14" s="159">
        <f>IFERROR(SUMIFS('PO Tracker'!$J$44:$J$1433,'PO Tracker'!$K$44:$K$1433,$HL$6,'PO Tracker'!$L$44:$L$1433,'Capex breakup'!$B14),0)</f>
        <v>0</v>
      </c>
      <c r="HP14" s="605" t="str">
        <f t="shared" si="82"/>
        <v/>
      </c>
      <c r="HQ14" s="118"/>
      <c r="HR14" s="364"/>
      <c r="HS14" s="364"/>
      <c r="HT14" s="364"/>
      <c r="HU14" s="364"/>
    </row>
    <row r="15" spans="1:229">
      <c r="A15" s="18">
        <v>7</v>
      </c>
      <c r="B15" s="19" t="s">
        <v>18</v>
      </c>
      <c r="C15" s="118"/>
      <c r="D15" s="151">
        <v>0</v>
      </c>
      <c r="E15" s="151">
        <f t="shared" si="0"/>
        <v>0</v>
      </c>
      <c r="F15" s="151">
        <f>E15/E2</f>
        <v>0</v>
      </c>
      <c r="G15" s="159">
        <f>+F15</f>
        <v>0</v>
      </c>
      <c r="H15" s="395">
        <f t="shared" si="1"/>
        <v>0</v>
      </c>
      <c r="I15" s="395">
        <f t="shared" si="2"/>
        <v>0</v>
      </c>
      <c r="J15" s="159"/>
      <c r="K15" s="159">
        <f>IFERROR(SUMIFS('PO Tracker'!$J$44:$J$1433,'PO Tracker'!$K$44:$K$1433,$G$6,'PO Tracker'!$L$44:$L$1433,'Capex breakup'!$B15),0)</f>
        <v>0</v>
      </c>
      <c r="L15" s="605" t="str">
        <f t="shared" si="3"/>
        <v/>
      </c>
      <c r="M15" s="118"/>
      <c r="N15" s="151">
        <v>0</v>
      </c>
      <c r="O15" s="151">
        <f t="shared" si="4"/>
        <v>0</v>
      </c>
      <c r="P15" s="151">
        <f>O15/O2</f>
        <v>0</v>
      </c>
      <c r="Q15" s="159">
        <f>+P15</f>
        <v>0</v>
      </c>
      <c r="R15" s="395">
        <f t="shared" si="5"/>
        <v>0</v>
      </c>
      <c r="S15" s="395">
        <f t="shared" si="6"/>
        <v>0</v>
      </c>
      <c r="T15" s="159"/>
      <c r="U15" s="159">
        <f>IFERROR(SUMIFS('PO Tracker'!$J$44:$J$1433,'PO Tracker'!$K$44:$K$1433,$Q$6,'PO Tracker'!$L$44:$L$1433,'Capex breakup'!$B15),0)</f>
        <v>0</v>
      </c>
      <c r="V15" s="605" t="str">
        <f t="shared" si="7"/>
        <v/>
      </c>
      <c r="W15" s="118"/>
      <c r="X15" s="151"/>
      <c r="Y15" s="151">
        <f t="shared" si="8"/>
        <v>0</v>
      </c>
      <c r="Z15" s="133"/>
      <c r="AA15" s="159">
        <f>+Z15</f>
        <v>0</v>
      </c>
      <c r="AB15" s="395">
        <v>0</v>
      </c>
      <c r="AC15" s="395">
        <f t="shared" si="9"/>
        <v>0</v>
      </c>
      <c r="AD15" s="159"/>
      <c r="AE15" s="159">
        <f>IFERROR(SUMIFS('PO Tracker'!$J$44:$J$1433,'PO Tracker'!$K$44:$K$1433,$AA$6,'PO Tracker'!$L$44:$L$1433,'Capex breakup'!$B15),0)</f>
        <v>0</v>
      </c>
      <c r="AF15" s="605" t="str">
        <f t="shared" si="10"/>
        <v/>
      </c>
      <c r="AG15" s="118"/>
      <c r="AH15" s="151">
        <v>0</v>
      </c>
      <c r="AI15" s="151">
        <f t="shared" si="11"/>
        <v>0</v>
      </c>
      <c r="AJ15" s="151">
        <f>AI15/AI2</f>
        <v>0</v>
      </c>
      <c r="AK15" s="159">
        <f>+AJ15</f>
        <v>0</v>
      </c>
      <c r="AL15" s="395">
        <f t="shared" si="12"/>
        <v>0</v>
      </c>
      <c r="AM15" s="395">
        <f t="shared" si="13"/>
        <v>0</v>
      </c>
      <c r="AN15" s="159"/>
      <c r="AO15" s="159">
        <f>IFERROR(SUMIFS('PO Tracker'!$J$44:$J$1433,'PO Tracker'!$K$44:$K$1433,$AK$6,'PO Tracker'!$L$44:$L$1433,'Capex breakup'!$B15),0)</f>
        <v>0</v>
      </c>
      <c r="AP15" s="605" t="str">
        <f t="shared" si="14"/>
        <v/>
      </c>
      <c r="AQ15" s="118"/>
      <c r="AR15" s="287"/>
      <c r="AS15" s="287">
        <f>AR15/118%</f>
        <v>0</v>
      </c>
      <c r="AT15" s="288">
        <f t="shared" si="15"/>
        <v>0</v>
      </c>
      <c r="AU15" s="159">
        <f>+AT15</f>
        <v>0</v>
      </c>
      <c r="AV15" s="395">
        <f t="shared" si="16"/>
        <v>0</v>
      </c>
      <c r="AW15" s="395">
        <f t="shared" si="17"/>
        <v>0</v>
      </c>
      <c r="AX15" s="159"/>
      <c r="AY15" s="159">
        <f>IFERROR(SUMIFS('PO Tracker'!$J$44:$J$1433,'PO Tracker'!$K$44:$K$1433,$AU$6,'PO Tracker'!$L$44:$L$1433,'Capex breakup'!$B15),0)</f>
        <v>0</v>
      </c>
      <c r="AZ15" s="605" t="str">
        <f t="shared" si="18"/>
        <v/>
      </c>
      <c r="BA15" s="118"/>
      <c r="BB15" s="151"/>
      <c r="BC15" s="151">
        <f t="shared" si="19"/>
        <v>0</v>
      </c>
      <c r="BD15" s="151">
        <f>BC15/BC2</f>
        <v>0</v>
      </c>
      <c r="BE15" s="159">
        <f>+BD15</f>
        <v>0</v>
      </c>
      <c r="BF15" s="395">
        <f t="shared" si="20"/>
        <v>0</v>
      </c>
      <c r="BG15" s="395">
        <f t="shared" si="21"/>
        <v>0</v>
      </c>
      <c r="BH15" s="159"/>
      <c r="BI15" s="159">
        <f>IFERROR(SUMIFS('PO Tracker'!$J$44:$J$1433,'PO Tracker'!$K$44:$K$1433,$BE$6,'PO Tracker'!$L$44:$L$1433,'Capex breakup'!$B15),0)</f>
        <v>0</v>
      </c>
      <c r="BJ15" s="605" t="str">
        <f t="shared" si="22"/>
        <v/>
      </c>
      <c r="BK15" s="118"/>
      <c r="BL15" s="151"/>
      <c r="BM15" s="151"/>
      <c r="BN15" s="151"/>
      <c r="BO15" s="159"/>
      <c r="BP15" s="395">
        <f t="shared" si="23"/>
        <v>0</v>
      </c>
      <c r="BQ15" s="395">
        <f t="shared" si="24"/>
        <v>0</v>
      </c>
      <c r="BR15" s="159"/>
      <c r="BS15" s="159">
        <f>IFERROR(SUMIFS('PO Tracker'!$J$44:$J$1433,'PO Tracker'!$K$44:$K$1433,$BO$6,'PO Tracker'!$L$44:$L$1433,'Capex breakup'!$B15),0)</f>
        <v>0</v>
      </c>
      <c r="BT15" s="605" t="str">
        <f t="shared" si="25"/>
        <v/>
      </c>
      <c r="BU15" s="118"/>
      <c r="BV15" s="151"/>
      <c r="BW15" s="151">
        <f t="shared" si="26"/>
        <v>0</v>
      </c>
      <c r="BX15" s="151">
        <f>BW15/BW2</f>
        <v>0</v>
      </c>
      <c r="BY15" s="159">
        <f>+BX15</f>
        <v>0</v>
      </c>
      <c r="BZ15" s="395">
        <f t="shared" si="27"/>
        <v>0</v>
      </c>
      <c r="CA15" s="395">
        <f t="shared" si="28"/>
        <v>0</v>
      </c>
      <c r="CB15" s="159"/>
      <c r="CC15" s="159">
        <f>IFERROR(SUMIFS('PO Tracker'!$J$44:$J$1433,'PO Tracker'!$K$44:$K$1433,$BY$6,'PO Tracker'!$L$44:$L$1433,'Capex breakup'!$B15),0)</f>
        <v>0</v>
      </c>
      <c r="CD15" s="605" t="str">
        <f t="shared" si="29"/>
        <v/>
      </c>
      <c r="CE15" s="118"/>
      <c r="CF15" s="151">
        <v>0</v>
      </c>
      <c r="CG15" s="151">
        <f t="shared" si="30"/>
        <v>0</v>
      </c>
      <c r="CH15" s="151">
        <f>CG15/CG2</f>
        <v>0</v>
      </c>
      <c r="CI15" s="159">
        <f>+CH15</f>
        <v>0</v>
      </c>
      <c r="CJ15" s="395">
        <f t="shared" si="31"/>
        <v>0</v>
      </c>
      <c r="CK15" s="395">
        <f t="shared" si="32"/>
        <v>0</v>
      </c>
      <c r="CL15" s="159"/>
      <c r="CM15" s="159">
        <f>IFERROR(SUMIFS('PO Tracker'!$J$44:$J$1433,'PO Tracker'!$K$44:$K$1433,$CI$6,'PO Tracker'!$L$44:$L$1433,'Capex breakup'!$B15),0)</f>
        <v>0</v>
      </c>
      <c r="CN15" s="605" t="str">
        <f t="shared" si="33"/>
        <v/>
      </c>
      <c r="CO15" s="118"/>
      <c r="CP15" s="151"/>
      <c r="CQ15" s="151">
        <f t="shared" si="34"/>
        <v>0</v>
      </c>
      <c r="CR15" s="151"/>
      <c r="CS15" s="159"/>
      <c r="CT15" s="395">
        <f t="shared" si="35"/>
        <v>0</v>
      </c>
      <c r="CU15" s="395">
        <f t="shared" si="36"/>
        <v>0</v>
      </c>
      <c r="CV15" s="159"/>
      <c r="CW15" s="159">
        <f>IFERROR(SUMIFS('PO Tracker'!$J$44:$J$1433,'PO Tracker'!$K$44:$K$1433,$CS$6,'PO Tracker'!$L$44:$L$1433,'Capex breakup'!$B15),0)</f>
        <v>0</v>
      </c>
      <c r="CX15" s="605" t="str">
        <f t="shared" si="37"/>
        <v/>
      </c>
      <c r="CY15" s="118"/>
      <c r="CZ15" s="151">
        <v>0</v>
      </c>
      <c r="DA15" s="151">
        <f t="shared" si="38"/>
        <v>0</v>
      </c>
      <c r="DB15" s="151">
        <f>DA15/DA2</f>
        <v>0</v>
      </c>
      <c r="DC15" s="159">
        <f>+DB15</f>
        <v>0</v>
      </c>
      <c r="DD15" s="395">
        <f t="shared" si="39"/>
        <v>0</v>
      </c>
      <c r="DE15" s="395">
        <f t="shared" si="40"/>
        <v>0</v>
      </c>
      <c r="DF15" s="159"/>
      <c r="DG15" s="159">
        <f>IFERROR(SUMIFS('PO Tracker'!$J$44:$J$1433,'PO Tracker'!$K$44:$K$1433,$DC$6,'PO Tracker'!$L$44:$L$1433,'Capex breakup'!$B15),0)</f>
        <v>0</v>
      </c>
      <c r="DH15" s="605" t="str">
        <f t="shared" si="41"/>
        <v/>
      </c>
      <c r="DI15" s="118"/>
      <c r="DJ15" s="151"/>
      <c r="DK15" s="151">
        <f t="shared" si="42"/>
        <v>0</v>
      </c>
      <c r="DL15" s="151">
        <f>DK15/DK2</f>
        <v>0</v>
      </c>
      <c r="DM15" s="159">
        <f>+DL15</f>
        <v>0</v>
      </c>
      <c r="DN15" s="395">
        <f t="shared" si="43"/>
        <v>0</v>
      </c>
      <c r="DO15" s="159">
        <f t="shared" si="44"/>
        <v>0</v>
      </c>
      <c r="DP15" s="159">
        <f>IFERROR(SUMIFS('PO Tracker'!$J$44:$J$1433,'PO Tracker'!$K$44:$K$1433,$DM$6,'PO Tracker'!$L$44:$L$1433,'Capex breakup'!$B15),0)</f>
        <v>0</v>
      </c>
      <c r="DQ15" s="605" t="str">
        <f t="shared" si="45"/>
        <v/>
      </c>
      <c r="DR15" s="118"/>
      <c r="DS15" s="151">
        <v>0</v>
      </c>
      <c r="DT15" s="151">
        <f t="shared" si="46"/>
        <v>0</v>
      </c>
      <c r="DU15" s="151">
        <f>DT15/DT2</f>
        <v>0</v>
      </c>
      <c r="DV15" s="159">
        <v>0</v>
      </c>
      <c r="DW15" s="395">
        <f t="shared" si="47"/>
        <v>0</v>
      </c>
      <c r="DX15" s="395">
        <f t="shared" si="48"/>
        <v>0</v>
      </c>
      <c r="DY15" s="159"/>
      <c r="DZ15" s="159">
        <f>IFERROR(SUMIFS('PO Tracker'!$J$44:$J$1433,'PO Tracker'!$K$44:$K$1433,$DV$6,'PO Tracker'!$L$44:$L$1433,'Capex breakup'!$B15),0)</f>
        <v>0</v>
      </c>
      <c r="EA15" s="605" t="str">
        <f t="shared" si="49"/>
        <v/>
      </c>
      <c r="EB15" s="118"/>
      <c r="EC15" s="151">
        <v>0</v>
      </c>
      <c r="ED15" s="151">
        <f t="shared" si="50"/>
        <v>0</v>
      </c>
      <c r="EE15" s="151">
        <f>ED15/ED2</f>
        <v>0</v>
      </c>
      <c r="EF15" s="159">
        <f>+EE15</f>
        <v>0</v>
      </c>
      <c r="EG15" s="395">
        <f t="shared" si="51"/>
        <v>0</v>
      </c>
      <c r="EH15" s="395">
        <f t="shared" si="52"/>
        <v>0</v>
      </c>
      <c r="EI15" s="159"/>
      <c r="EJ15" s="159">
        <f>IFERROR(SUMIFS('PO Tracker'!$J$44:$J$1433,'PO Tracker'!$K$44:$K$1433,$EF$6,'PO Tracker'!$L$44:$L$1433,'Capex breakup'!$B15),0)</f>
        <v>0</v>
      </c>
      <c r="EK15" s="605" t="str">
        <f t="shared" si="53"/>
        <v/>
      </c>
      <c r="EL15" s="118"/>
      <c r="EM15" s="151"/>
      <c r="EN15" s="151"/>
      <c r="EO15" s="151"/>
      <c r="EP15" s="159">
        <f>+EO15</f>
        <v>0</v>
      </c>
      <c r="EQ15" s="395">
        <f t="shared" si="54"/>
        <v>0</v>
      </c>
      <c r="ER15" s="395">
        <f t="shared" si="55"/>
        <v>0</v>
      </c>
      <c r="ES15" s="159"/>
      <c r="ET15" s="159">
        <f>IFERROR(SUMIFS('PO Tracker'!$J$44:$J$1433,'PO Tracker'!$K$44:$K$1433,$EP$6,'PO Tracker'!$L$44:$L$1433,'Capex breakup'!$B15),0)</f>
        <v>0</v>
      </c>
      <c r="EU15" s="605" t="str">
        <f t="shared" si="56"/>
        <v/>
      </c>
      <c r="EV15" s="118"/>
      <c r="EW15" s="151"/>
      <c r="EX15" s="151"/>
      <c r="EY15" s="151"/>
      <c r="EZ15" s="159">
        <f>+EY15</f>
        <v>0</v>
      </c>
      <c r="FA15" s="395">
        <f t="shared" si="57"/>
        <v>0</v>
      </c>
      <c r="FB15" s="395">
        <f t="shared" si="58"/>
        <v>0</v>
      </c>
      <c r="FC15" s="159"/>
      <c r="FD15" s="159">
        <f>IFERROR(SUMIFS('PO Tracker'!$J$44:$J$1433,'PO Tracker'!$K$44:$K$1433,$EZ$6,'PO Tracker'!$L$44:$L$1433,'Capex breakup'!$B15),0)</f>
        <v>0</v>
      </c>
      <c r="FE15" s="605" t="str">
        <f t="shared" si="59"/>
        <v/>
      </c>
      <c r="FF15" s="118"/>
      <c r="FG15" s="318"/>
      <c r="FH15" s="151">
        <f t="shared" si="60"/>
        <v>0</v>
      </c>
      <c r="FI15" s="133">
        <f t="shared" si="61"/>
        <v>0</v>
      </c>
      <c r="FJ15" s="159">
        <f t="shared" si="83"/>
        <v>0</v>
      </c>
      <c r="FK15" s="395">
        <f t="shared" si="62"/>
        <v>0</v>
      </c>
      <c r="FL15" s="159">
        <f t="shared" si="63"/>
        <v>0</v>
      </c>
      <c r="FM15" s="684"/>
      <c r="FN15" s="159"/>
      <c r="FO15" s="685"/>
      <c r="FP15" s="684"/>
      <c r="FQ15" s="159">
        <f t="shared" si="64"/>
        <v>0</v>
      </c>
      <c r="FR15" s="685">
        <f t="shared" si="65"/>
        <v>0</v>
      </c>
      <c r="FS15" s="662">
        <f>IFERROR(SUMIFS('PO Tracker'!$J$44:$J$1433,'PO Tracker'!$K$44:$K$1433,$FJ$6,'PO Tracker'!$L$44:$L$1433,'Capex breakup'!$B15),0)</f>
        <v>0</v>
      </c>
      <c r="FT15" s="736" t="str">
        <f t="shared" si="66"/>
        <v/>
      </c>
      <c r="FU15" s="709"/>
      <c r="FV15" s="151">
        <v>0</v>
      </c>
      <c r="FW15" s="151">
        <f t="shared" si="67"/>
        <v>0</v>
      </c>
      <c r="FX15" s="151">
        <f>FW15/FW2</f>
        <v>0</v>
      </c>
      <c r="FY15" s="159">
        <f>+FX15</f>
        <v>0</v>
      </c>
      <c r="FZ15" s="395">
        <f t="shared" si="68"/>
        <v>0</v>
      </c>
      <c r="GA15" s="395">
        <f t="shared" si="69"/>
        <v>0</v>
      </c>
      <c r="GB15" s="159"/>
      <c r="GC15" s="159">
        <f>IFERROR(SUMIFS('PO Tracker'!$J$44:$J$1433,'PO Tracker'!$K$44:$K$1433,$FY$6,'PO Tracker'!$L$44:$L$1433,'Capex breakup'!$B15),0)</f>
        <v>0</v>
      </c>
      <c r="GD15" s="605" t="str">
        <f t="shared" si="70"/>
        <v/>
      </c>
      <c r="GE15" s="118"/>
      <c r="GF15" s="151"/>
      <c r="GG15" s="151">
        <f t="shared" si="71"/>
        <v>0</v>
      </c>
      <c r="GH15" s="151">
        <f>GG15/GG2</f>
        <v>0</v>
      </c>
      <c r="GI15" s="159">
        <f>+GH15</f>
        <v>0</v>
      </c>
      <c r="GJ15" s="395">
        <f t="shared" si="72"/>
        <v>0</v>
      </c>
      <c r="GK15" s="395">
        <f t="shared" si="73"/>
        <v>0</v>
      </c>
      <c r="GL15" s="159"/>
      <c r="GM15" s="159">
        <f>IFERROR(SUMIFS('PO Tracker'!$J$44:$J$1433,'PO Tracker'!$K$44:$K$1433,$GI$6,'PO Tracker'!$L$44:$L$1433,'Capex breakup'!$B15),0)</f>
        <v>0</v>
      </c>
      <c r="GN15" s="605" t="str">
        <f t="shared" si="74"/>
        <v/>
      </c>
      <c r="GO15" s="118"/>
      <c r="GP15" s="151"/>
      <c r="GQ15" s="151">
        <f t="shared" si="75"/>
        <v>0</v>
      </c>
      <c r="GR15" s="151">
        <f>GQ15/GQ2</f>
        <v>0</v>
      </c>
      <c r="GS15" s="159">
        <v>0</v>
      </c>
      <c r="GT15" s="395">
        <v>0</v>
      </c>
      <c r="GU15" s="159">
        <v>0</v>
      </c>
      <c r="GV15" s="159">
        <f>IFERROR(SUMIFS('PO Tracker'!$J$44:$J$1433,'PO Tracker'!$K$44:$K$1433,$GS$6,'PO Tracker'!$L$44:$L$1433,'Capex breakup'!$B15),0)</f>
        <v>0</v>
      </c>
      <c r="GW15" s="605" t="str">
        <f t="shared" si="76"/>
        <v/>
      </c>
      <c r="GX15" s="118"/>
      <c r="GY15" s="151"/>
      <c r="GZ15" s="151"/>
      <c r="HA15" s="133"/>
      <c r="HB15" s="159">
        <v>0</v>
      </c>
      <c r="HC15" s="395">
        <f t="shared" si="77"/>
        <v>0</v>
      </c>
      <c r="HD15" s="159">
        <f t="shared" si="78"/>
        <v>0</v>
      </c>
      <c r="HE15" s="775"/>
      <c r="HF15" s="159">
        <f>IFERROR(SUMIFS('PO Tracker'!$J$44:$J$1433,'PO Tracker'!$K$44:$K$1433,$HB$6,'PO Tracker'!$L$44:$L$1433,'Capex breakup'!$B15),0)</f>
        <v>0</v>
      </c>
      <c r="HG15" s="605" t="str">
        <f t="shared" si="79"/>
        <v/>
      </c>
      <c r="HH15" s="118"/>
      <c r="HI15" s="151"/>
      <c r="HJ15" s="151"/>
      <c r="HK15" s="133"/>
      <c r="HL15" s="159">
        <v>0</v>
      </c>
      <c r="HM15" s="395">
        <f t="shared" si="80"/>
        <v>0</v>
      </c>
      <c r="HN15" s="159">
        <f t="shared" si="81"/>
        <v>0</v>
      </c>
      <c r="HO15" s="159">
        <f>IFERROR(SUMIFS('PO Tracker'!$J$44:$J$1433,'PO Tracker'!$K$44:$K$1433,$HL$6,'PO Tracker'!$L$44:$L$1433,'Capex breakup'!$B15),0)</f>
        <v>0</v>
      </c>
      <c r="HP15" s="605" t="str">
        <f t="shared" si="82"/>
        <v/>
      </c>
      <c r="HQ15" s="118"/>
      <c r="HR15" s="364"/>
      <c r="HS15" s="364"/>
      <c r="HT15" s="364"/>
      <c r="HU15" s="364"/>
    </row>
    <row r="16" spans="1:229">
      <c r="A16" s="18">
        <v>8</v>
      </c>
      <c r="B16" s="19" t="s">
        <v>19</v>
      </c>
      <c r="C16" s="118"/>
      <c r="D16" s="151">
        <v>0</v>
      </c>
      <c r="E16" s="151">
        <f t="shared" si="0"/>
        <v>0</v>
      </c>
      <c r="F16" s="151">
        <f>E16/E2</f>
        <v>0</v>
      </c>
      <c r="G16" s="159">
        <f>+F16</f>
        <v>0</v>
      </c>
      <c r="H16" s="395">
        <f t="shared" si="1"/>
        <v>0</v>
      </c>
      <c r="I16" s="395">
        <f t="shared" si="2"/>
        <v>0</v>
      </c>
      <c r="J16" s="159"/>
      <c r="K16" s="159">
        <f>IFERROR(SUMIFS('PO Tracker'!$J$44:$J$1433,'PO Tracker'!$K$44:$K$1433,$G$6,'PO Tracker'!$L$44:$L$1433,'Capex breakup'!$B16),0)</f>
        <v>0</v>
      </c>
      <c r="L16" s="605" t="str">
        <f t="shared" si="3"/>
        <v/>
      </c>
      <c r="M16" s="118"/>
      <c r="N16" s="151">
        <v>0</v>
      </c>
      <c r="O16" s="151">
        <f t="shared" si="4"/>
        <v>0</v>
      </c>
      <c r="P16" s="151">
        <f>O16/O2</f>
        <v>0</v>
      </c>
      <c r="Q16" s="159">
        <f>+P16</f>
        <v>0</v>
      </c>
      <c r="R16" s="395">
        <f t="shared" si="5"/>
        <v>0</v>
      </c>
      <c r="S16" s="395">
        <f t="shared" si="6"/>
        <v>0</v>
      </c>
      <c r="T16" s="159"/>
      <c r="U16" s="159">
        <f>IFERROR(SUMIFS('PO Tracker'!$J$44:$J$1433,'PO Tracker'!$K$44:$K$1433,$Q$6,'PO Tracker'!$L$44:$L$1433,'Capex breakup'!$B16),0)</f>
        <v>0</v>
      </c>
      <c r="V16" s="605" t="str">
        <f t="shared" si="7"/>
        <v/>
      </c>
      <c r="W16" s="118"/>
      <c r="X16" s="151"/>
      <c r="Y16" s="151">
        <f t="shared" si="8"/>
        <v>0</v>
      </c>
      <c r="Z16" s="133"/>
      <c r="AA16" s="159">
        <f>+Z16</f>
        <v>0</v>
      </c>
      <c r="AB16" s="395">
        <v>0</v>
      </c>
      <c r="AC16" s="395">
        <f t="shared" si="9"/>
        <v>0</v>
      </c>
      <c r="AD16" s="159"/>
      <c r="AE16" s="159">
        <f>IFERROR(SUMIFS('PO Tracker'!$J$44:$J$1433,'PO Tracker'!$K$44:$K$1433,$AA$6,'PO Tracker'!$L$44:$L$1433,'Capex breakup'!$B16),0)</f>
        <v>0</v>
      </c>
      <c r="AF16" s="605" t="str">
        <f t="shared" si="10"/>
        <v/>
      </c>
      <c r="AG16" s="118"/>
      <c r="AH16" s="151">
        <v>0</v>
      </c>
      <c r="AI16" s="151">
        <f t="shared" si="11"/>
        <v>0</v>
      </c>
      <c r="AJ16" s="151">
        <f>AI16/AI2</f>
        <v>0</v>
      </c>
      <c r="AK16" s="159">
        <f>+AJ16</f>
        <v>0</v>
      </c>
      <c r="AL16" s="395">
        <f t="shared" si="12"/>
        <v>0</v>
      </c>
      <c r="AM16" s="395">
        <f t="shared" si="13"/>
        <v>0</v>
      </c>
      <c r="AN16" s="159"/>
      <c r="AO16" s="159">
        <f>IFERROR(SUMIFS('PO Tracker'!$J$44:$J$1433,'PO Tracker'!$K$44:$K$1433,$AK$6,'PO Tracker'!$L$44:$L$1433,'Capex breakup'!$B16),0)</f>
        <v>0</v>
      </c>
      <c r="AP16" s="605" t="str">
        <f t="shared" si="14"/>
        <v/>
      </c>
      <c r="AQ16" s="118"/>
      <c r="AR16" s="287"/>
      <c r="AS16" s="287">
        <f>AR16/118%</f>
        <v>0</v>
      </c>
      <c r="AT16" s="288">
        <f t="shared" si="15"/>
        <v>0</v>
      </c>
      <c r="AU16" s="159">
        <f>+AT16</f>
        <v>0</v>
      </c>
      <c r="AV16" s="395">
        <f t="shared" si="16"/>
        <v>0</v>
      </c>
      <c r="AW16" s="395">
        <f t="shared" si="17"/>
        <v>0</v>
      </c>
      <c r="AX16" s="159"/>
      <c r="AY16" s="159">
        <f>IFERROR(SUMIFS('PO Tracker'!$J$44:$J$1433,'PO Tracker'!$K$44:$K$1433,$AU$6,'PO Tracker'!$L$44:$L$1433,'Capex breakup'!$B16),0)</f>
        <v>0</v>
      </c>
      <c r="AZ16" s="605" t="str">
        <f t="shared" si="18"/>
        <v/>
      </c>
      <c r="BA16" s="118"/>
      <c r="BB16" s="151"/>
      <c r="BC16" s="151">
        <f t="shared" si="19"/>
        <v>0</v>
      </c>
      <c r="BD16" s="151">
        <f>BC16/BC2</f>
        <v>0</v>
      </c>
      <c r="BE16" s="159">
        <f>+BD16</f>
        <v>0</v>
      </c>
      <c r="BF16" s="395">
        <f t="shared" si="20"/>
        <v>0</v>
      </c>
      <c r="BG16" s="395">
        <f t="shared" si="21"/>
        <v>0</v>
      </c>
      <c r="BH16" s="159"/>
      <c r="BI16" s="159">
        <f>IFERROR(SUMIFS('PO Tracker'!$J$44:$J$1433,'PO Tracker'!$K$44:$K$1433,$BE$6,'PO Tracker'!$L$44:$L$1433,'Capex breakup'!$B16),0)</f>
        <v>0</v>
      </c>
      <c r="BJ16" s="605" t="str">
        <f t="shared" si="22"/>
        <v/>
      </c>
      <c r="BK16" s="118"/>
      <c r="BL16" s="151"/>
      <c r="BM16" s="151"/>
      <c r="BN16" s="151"/>
      <c r="BO16" s="159"/>
      <c r="BP16" s="395">
        <f t="shared" si="23"/>
        <v>0</v>
      </c>
      <c r="BQ16" s="395">
        <f t="shared" si="24"/>
        <v>0</v>
      </c>
      <c r="BR16" s="159"/>
      <c r="BS16" s="159">
        <f>IFERROR(SUMIFS('PO Tracker'!$J$44:$J$1433,'PO Tracker'!$K$44:$K$1433,$BO$6,'PO Tracker'!$L$44:$L$1433,'Capex breakup'!$B16),0)</f>
        <v>0</v>
      </c>
      <c r="BT16" s="605" t="str">
        <f t="shared" si="25"/>
        <v/>
      </c>
      <c r="BU16" s="118"/>
      <c r="BV16" s="151"/>
      <c r="BW16" s="151">
        <f t="shared" si="26"/>
        <v>0</v>
      </c>
      <c r="BX16" s="151">
        <f>BW16/BW2</f>
        <v>0</v>
      </c>
      <c r="BY16" s="159">
        <f>+BX16</f>
        <v>0</v>
      </c>
      <c r="BZ16" s="395">
        <f t="shared" si="27"/>
        <v>0</v>
      </c>
      <c r="CA16" s="395">
        <f t="shared" si="28"/>
        <v>0</v>
      </c>
      <c r="CB16" s="159"/>
      <c r="CC16" s="159">
        <f>IFERROR(SUMIFS('PO Tracker'!$J$44:$J$1433,'PO Tracker'!$K$44:$K$1433,$BY$6,'PO Tracker'!$L$44:$L$1433,'Capex breakup'!$B16),0)</f>
        <v>0</v>
      </c>
      <c r="CD16" s="605" t="str">
        <f t="shared" si="29"/>
        <v/>
      </c>
      <c r="CE16" s="118"/>
      <c r="CF16" s="151">
        <v>0</v>
      </c>
      <c r="CG16" s="151">
        <f t="shared" si="30"/>
        <v>0</v>
      </c>
      <c r="CH16" s="151">
        <f>CG16/CG2</f>
        <v>0</v>
      </c>
      <c r="CI16" s="159">
        <f>+CH16</f>
        <v>0</v>
      </c>
      <c r="CJ16" s="395">
        <f t="shared" si="31"/>
        <v>0</v>
      </c>
      <c r="CK16" s="395">
        <f t="shared" si="32"/>
        <v>0</v>
      </c>
      <c r="CL16" s="159"/>
      <c r="CM16" s="159">
        <f>IFERROR(SUMIFS('PO Tracker'!$J$44:$J$1433,'PO Tracker'!$K$44:$K$1433,$CI$6,'PO Tracker'!$L$44:$L$1433,'Capex breakup'!$B16),0)</f>
        <v>0</v>
      </c>
      <c r="CN16" s="605" t="str">
        <f t="shared" si="33"/>
        <v/>
      </c>
      <c r="CO16" s="118"/>
      <c r="CP16" s="151"/>
      <c r="CQ16" s="151">
        <f t="shared" si="34"/>
        <v>0</v>
      </c>
      <c r="CR16" s="151"/>
      <c r="CS16" s="159"/>
      <c r="CT16" s="395">
        <f t="shared" si="35"/>
        <v>0</v>
      </c>
      <c r="CU16" s="395">
        <f t="shared" si="36"/>
        <v>0</v>
      </c>
      <c r="CV16" s="159"/>
      <c r="CW16" s="159">
        <f>IFERROR(SUMIFS('PO Tracker'!$J$44:$J$1433,'PO Tracker'!$K$44:$K$1433,$CS$6,'PO Tracker'!$L$44:$L$1433,'Capex breakup'!$B16),0)</f>
        <v>0</v>
      </c>
      <c r="CX16" s="605" t="str">
        <f t="shared" si="37"/>
        <v/>
      </c>
      <c r="CY16" s="118"/>
      <c r="CZ16" s="151">
        <v>0</v>
      </c>
      <c r="DA16" s="151">
        <f t="shared" si="38"/>
        <v>0</v>
      </c>
      <c r="DB16" s="151">
        <f>DA16/DA2</f>
        <v>0</v>
      </c>
      <c r="DC16" s="159">
        <f>+DB16</f>
        <v>0</v>
      </c>
      <c r="DD16" s="395">
        <f t="shared" si="39"/>
        <v>0</v>
      </c>
      <c r="DE16" s="395">
        <f t="shared" si="40"/>
        <v>0</v>
      </c>
      <c r="DF16" s="159"/>
      <c r="DG16" s="159">
        <f>IFERROR(SUMIFS('PO Tracker'!$J$44:$J$1433,'PO Tracker'!$K$44:$K$1433,$DC$6,'PO Tracker'!$L$44:$L$1433,'Capex breakup'!$B16),0)</f>
        <v>0</v>
      </c>
      <c r="DH16" s="605" t="str">
        <f t="shared" si="41"/>
        <v/>
      </c>
      <c r="DI16" s="118"/>
      <c r="DJ16" s="151"/>
      <c r="DK16" s="151">
        <f t="shared" si="42"/>
        <v>0</v>
      </c>
      <c r="DL16" s="151">
        <f>DK16/DK2</f>
        <v>0</v>
      </c>
      <c r="DM16" s="159">
        <f>+DL16</f>
        <v>0</v>
      </c>
      <c r="DN16" s="395">
        <f t="shared" si="43"/>
        <v>0</v>
      </c>
      <c r="DO16" s="159">
        <f t="shared" si="44"/>
        <v>0</v>
      </c>
      <c r="DP16" s="159">
        <f>IFERROR(SUMIFS('PO Tracker'!$J$44:$J$1433,'PO Tracker'!$K$44:$K$1433,$DM$6,'PO Tracker'!$L$44:$L$1433,'Capex breakup'!$B16),0)</f>
        <v>0</v>
      </c>
      <c r="DQ16" s="605" t="str">
        <f t="shared" si="45"/>
        <v/>
      </c>
      <c r="DR16" s="118"/>
      <c r="DS16" s="151">
        <v>0</v>
      </c>
      <c r="DT16" s="151">
        <f t="shared" si="46"/>
        <v>0</v>
      </c>
      <c r="DU16" s="151">
        <f>DT16/DT2</f>
        <v>0</v>
      </c>
      <c r="DV16" s="159">
        <v>0</v>
      </c>
      <c r="DW16" s="395">
        <f t="shared" si="47"/>
        <v>0</v>
      </c>
      <c r="DX16" s="395">
        <f t="shared" si="48"/>
        <v>0</v>
      </c>
      <c r="DY16" s="159"/>
      <c r="DZ16" s="159">
        <f>IFERROR(SUMIFS('PO Tracker'!$J$44:$J$1433,'PO Tracker'!$K$44:$K$1433,$DV$6,'PO Tracker'!$L$44:$L$1433,'Capex breakup'!$B16),0)</f>
        <v>0</v>
      </c>
      <c r="EA16" s="605" t="str">
        <f t="shared" si="49"/>
        <v/>
      </c>
      <c r="EB16" s="118"/>
      <c r="EC16" s="151">
        <v>0</v>
      </c>
      <c r="ED16" s="151">
        <f t="shared" si="50"/>
        <v>0</v>
      </c>
      <c r="EE16" s="151">
        <f>ED16/ED2</f>
        <v>0</v>
      </c>
      <c r="EF16" s="159">
        <f>+EE16</f>
        <v>0</v>
      </c>
      <c r="EG16" s="395">
        <f t="shared" si="51"/>
        <v>0</v>
      </c>
      <c r="EH16" s="395">
        <f t="shared" si="52"/>
        <v>0</v>
      </c>
      <c r="EI16" s="159"/>
      <c r="EJ16" s="159">
        <f>IFERROR(SUMIFS('PO Tracker'!$J$44:$J$1433,'PO Tracker'!$K$44:$K$1433,$EF$6,'PO Tracker'!$L$44:$L$1433,'Capex breakup'!$B16),0)</f>
        <v>0</v>
      </c>
      <c r="EK16" s="605" t="str">
        <f t="shared" si="53"/>
        <v/>
      </c>
      <c r="EL16" s="118"/>
      <c r="EM16" s="151"/>
      <c r="EN16" s="151"/>
      <c r="EO16" s="151"/>
      <c r="EP16" s="159">
        <f>+EO16</f>
        <v>0</v>
      </c>
      <c r="EQ16" s="395">
        <f t="shared" si="54"/>
        <v>0</v>
      </c>
      <c r="ER16" s="395">
        <f t="shared" si="55"/>
        <v>0</v>
      </c>
      <c r="ES16" s="159"/>
      <c r="ET16" s="159">
        <f>IFERROR(SUMIFS('PO Tracker'!$J$44:$J$1433,'PO Tracker'!$K$44:$K$1433,$EP$6,'PO Tracker'!$L$44:$L$1433,'Capex breakup'!$B16),0)</f>
        <v>0</v>
      </c>
      <c r="EU16" s="605" t="str">
        <f t="shared" si="56"/>
        <v/>
      </c>
      <c r="EV16" s="118"/>
      <c r="EW16" s="151"/>
      <c r="EX16" s="151"/>
      <c r="EY16" s="151"/>
      <c r="EZ16" s="159">
        <f>+EY16</f>
        <v>0</v>
      </c>
      <c r="FA16" s="395">
        <f t="shared" si="57"/>
        <v>0</v>
      </c>
      <c r="FB16" s="395">
        <f t="shared" si="58"/>
        <v>0</v>
      </c>
      <c r="FC16" s="159"/>
      <c r="FD16" s="159">
        <f>IFERROR(SUMIFS('PO Tracker'!$J$44:$J$1433,'PO Tracker'!$K$44:$K$1433,$EZ$6,'PO Tracker'!$L$44:$L$1433,'Capex breakup'!$B16),0)</f>
        <v>0</v>
      </c>
      <c r="FE16" s="605" t="str">
        <f t="shared" si="59"/>
        <v/>
      </c>
      <c r="FF16" s="118"/>
      <c r="FG16" s="318"/>
      <c r="FH16" s="151">
        <f t="shared" si="60"/>
        <v>0</v>
      </c>
      <c r="FI16" s="133">
        <f t="shared" si="61"/>
        <v>0</v>
      </c>
      <c r="FJ16" s="159">
        <f t="shared" si="83"/>
        <v>0</v>
      </c>
      <c r="FK16" s="395">
        <f t="shared" si="62"/>
        <v>0</v>
      </c>
      <c r="FL16" s="159">
        <f t="shared" si="63"/>
        <v>0</v>
      </c>
      <c r="FM16" s="684"/>
      <c r="FN16" s="159"/>
      <c r="FO16" s="685"/>
      <c r="FP16" s="684"/>
      <c r="FQ16" s="159">
        <f t="shared" si="64"/>
        <v>0</v>
      </c>
      <c r="FR16" s="685">
        <f t="shared" si="65"/>
        <v>0</v>
      </c>
      <c r="FS16" s="662">
        <f>IFERROR(SUMIFS('PO Tracker'!$J$44:$J$1433,'PO Tracker'!$K$44:$K$1433,$FJ$6,'PO Tracker'!$L$44:$L$1433,'Capex breakup'!$B16),0)</f>
        <v>0</v>
      </c>
      <c r="FT16" s="736" t="str">
        <f t="shared" si="66"/>
        <v/>
      </c>
      <c r="FU16" s="709"/>
      <c r="FV16" s="151">
        <v>0</v>
      </c>
      <c r="FW16" s="151">
        <f t="shared" si="67"/>
        <v>0</v>
      </c>
      <c r="FX16" s="151">
        <f>FW16/FW2</f>
        <v>0</v>
      </c>
      <c r="FY16" s="159">
        <f>+FX16</f>
        <v>0</v>
      </c>
      <c r="FZ16" s="395">
        <f t="shared" si="68"/>
        <v>0</v>
      </c>
      <c r="GA16" s="395">
        <f t="shared" si="69"/>
        <v>0</v>
      </c>
      <c r="GB16" s="159"/>
      <c r="GC16" s="159">
        <f>IFERROR(SUMIFS('PO Tracker'!$J$44:$J$1433,'PO Tracker'!$K$44:$K$1433,$FY$6,'PO Tracker'!$L$44:$L$1433,'Capex breakup'!$B16),0)</f>
        <v>0</v>
      </c>
      <c r="GD16" s="605" t="str">
        <f t="shared" si="70"/>
        <v/>
      </c>
      <c r="GE16" s="118"/>
      <c r="GF16" s="151"/>
      <c r="GG16" s="151">
        <f t="shared" si="71"/>
        <v>0</v>
      </c>
      <c r="GH16" s="151">
        <f>GG16/GG2</f>
        <v>0</v>
      </c>
      <c r="GI16" s="159">
        <f>+GH16</f>
        <v>0</v>
      </c>
      <c r="GJ16" s="395">
        <f t="shared" si="72"/>
        <v>0</v>
      </c>
      <c r="GK16" s="395">
        <f t="shared" si="73"/>
        <v>0</v>
      </c>
      <c r="GL16" s="159"/>
      <c r="GM16" s="159">
        <f>IFERROR(SUMIFS('PO Tracker'!$J$44:$J$1433,'PO Tracker'!$K$44:$K$1433,$GI$6,'PO Tracker'!$L$44:$L$1433,'Capex breakup'!$B16),0)</f>
        <v>0</v>
      </c>
      <c r="GN16" s="605" t="str">
        <f t="shared" si="74"/>
        <v/>
      </c>
      <c r="GO16" s="118"/>
      <c r="GP16" s="151"/>
      <c r="GQ16" s="151">
        <f t="shared" si="75"/>
        <v>0</v>
      </c>
      <c r="GR16" s="151">
        <f>GQ16/GQ2</f>
        <v>0</v>
      </c>
      <c r="GS16" s="159">
        <v>0</v>
      </c>
      <c r="GT16" s="395">
        <v>0</v>
      </c>
      <c r="GU16" s="159">
        <v>0</v>
      </c>
      <c r="GV16" s="159">
        <f>IFERROR(SUMIFS('PO Tracker'!$J$44:$J$1433,'PO Tracker'!$K$44:$K$1433,$GS$6,'PO Tracker'!$L$44:$L$1433,'Capex breakup'!$B16),0)</f>
        <v>0</v>
      </c>
      <c r="GW16" s="605" t="str">
        <f t="shared" si="76"/>
        <v/>
      </c>
      <c r="GX16" s="118"/>
      <c r="GY16" s="151"/>
      <c r="GZ16" s="151"/>
      <c r="HA16" s="133"/>
      <c r="HB16" s="159">
        <v>0</v>
      </c>
      <c r="HC16" s="395">
        <f t="shared" si="77"/>
        <v>0</v>
      </c>
      <c r="HD16" s="159">
        <f t="shared" si="78"/>
        <v>0</v>
      </c>
      <c r="HE16" s="775"/>
      <c r="HF16" s="159">
        <f>IFERROR(SUMIFS('PO Tracker'!$J$44:$J$1433,'PO Tracker'!$K$44:$K$1433,$HB$6,'PO Tracker'!$L$44:$L$1433,'Capex breakup'!$B16),0)</f>
        <v>0</v>
      </c>
      <c r="HG16" s="605" t="str">
        <f t="shared" si="79"/>
        <v/>
      </c>
      <c r="HH16" s="118"/>
      <c r="HI16" s="151"/>
      <c r="HJ16" s="151"/>
      <c r="HK16" s="133"/>
      <c r="HL16" s="159">
        <v>0</v>
      </c>
      <c r="HM16" s="395">
        <f t="shared" si="80"/>
        <v>0</v>
      </c>
      <c r="HN16" s="159">
        <f t="shared" si="81"/>
        <v>0</v>
      </c>
      <c r="HO16" s="159">
        <f>IFERROR(SUMIFS('PO Tracker'!$J$44:$J$1433,'PO Tracker'!$K$44:$K$1433,$HL$6,'PO Tracker'!$L$44:$L$1433,'Capex breakup'!$B16),0)</f>
        <v>0</v>
      </c>
      <c r="HP16" s="605" t="str">
        <f t="shared" si="82"/>
        <v/>
      </c>
      <c r="HQ16" s="118"/>
      <c r="HR16" s="364"/>
      <c r="HS16" s="364"/>
      <c r="HT16" s="364"/>
      <c r="HU16" s="364"/>
    </row>
    <row r="17" spans="1:229">
      <c r="A17" s="18">
        <v>9</v>
      </c>
      <c r="B17" s="19" t="s">
        <v>20</v>
      </c>
      <c r="C17" s="118"/>
      <c r="D17" s="151">
        <v>0</v>
      </c>
      <c r="E17" s="151">
        <f t="shared" si="0"/>
        <v>0</v>
      </c>
      <c r="F17" s="151">
        <f>E17/E2</f>
        <v>0</v>
      </c>
      <c r="G17" s="159">
        <f>+F17</f>
        <v>0</v>
      </c>
      <c r="H17" s="395">
        <f t="shared" si="1"/>
        <v>0</v>
      </c>
      <c r="I17" s="395">
        <f t="shared" si="2"/>
        <v>0</v>
      </c>
      <c r="J17" s="159"/>
      <c r="K17" s="159">
        <f>IFERROR(SUMIFS('PO Tracker'!$J$44:$J$1433,'PO Tracker'!$K$44:$K$1433,$G$6,'PO Tracker'!$L$44:$L$1433,'Capex breakup'!$B17),0)</f>
        <v>0</v>
      </c>
      <c r="L17" s="605" t="str">
        <f t="shared" si="3"/>
        <v/>
      </c>
      <c r="M17" s="118"/>
      <c r="N17" s="151">
        <v>0</v>
      </c>
      <c r="O17" s="151">
        <f t="shared" si="4"/>
        <v>0</v>
      </c>
      <c r="P17" s="151">
        <f>O17/O2</f>
        <v>0</v>
      </c>
      <c r="Q17" s="159">
        <f>+P17</f>
        <v>0</v>
      </c>
      <c r="R17" s="395">
        <f t="shared" si="5"/>
        <v>0</v>
      </c>
      <c r="S17" s="395">
        <f t="shared" si="6"/>
        <v>0</v>
      </c>
      <c r="T17" s="159"/>
      <c r="U17" s="159">
        <f>IFERROR(SUMIFS('PO Tracker'!$J$44:$J$1433,'PO Tracker'!$K$44:$K$1433,$Q$6,'PO Tracker'!$L$44:$L$1433,'Capex breakup'!$B17),0)</f>
        <v>0</v>
      </c>
      <c r="V17" s="605" t="str">
        <f t="shared" si="7"/>
        <v/>
      </c>
      <c r="W17" s="118"/>
      <c r="X17" s="151"/>
      <c r="Y17" s="151">
        <f t="shared" si="8"/>
        <v>0</v>
      </c>
      <c r="Z17" s="133"/>
      <c r="AA17" s="159">
        <f>+Z17</f>
        <v>0</v>
      </c>
      <c r="AB17" s="395">
        <v>0</v>
      </c>
      <c r="AC17" s="395">
        <f t="shared" si="9"/>
        <v>0</v>
      </c>
      <c r="AD17" s="159"/>
      <c r="AE17" s="159">
        <f>IFERROR(SUMIFS('PO Tracker'!$J$44:$J$1433,'PO Tracker'!$K$44:$K$1433,$AA$6,'PO Tracker'!$L$44:$L$1433,'Capex breakup'!$B17),0)</f>
        <v>0</v>
      </c>
      <c r="AF17" s="605" t="str">
        <f t="shared" si="10"/>
        <v/>
      </c>
      <c r="AG17" s="118"/>
      <c r="AH17" s="151">
        <v>0</v>
      </c>
      <c r="AI17" s="151">
        <f t="shared" si="11"/>
        <v>0</v>
      </c>
      <c r="AJ17" s="151">
        <f>AI17/AI2</f>
        <v>0</v>
      </c>
      <c r="AK17" s="159">
        <f>+AJ17</f>
        <v>0</v>
      </c>
      <c r="AL17" s="395">
        <f t="shared" si="12"/>
        <v>0</v>
      </c>
      <c r="AM17" s="395">
        <f t="shared" si="13"/>
        <v>0</v>
      </c>
      <c r="AN17" s="159"/>
      <c r="AO17" s="159">
        <f>IFERROR(SUMIFS('PO Tracker'!$J$44:$J$1433,'PO Tracker'!$K$44:$K$1433,$AK$6,'PO Tracker'!$L$44:$L$1433,'Capex breakup'!$B17),0)</f>
        <v>0</v>
      </c>
      <c r="AP17" s="605" t="str">
        <f t="shared" si="14"/>
        <v/>
      </c>
      <c r="AQ17" s="118"/>
      <c r="AR17" s="287">
        <v>8850</v>
      </c>
      <c r="AS17" s="287">
        <f>AR17/118%</f>
        <v>7500</v>
      </c>
      <c r="AT17" s="288">
        <f t="shared" si="15"/>
        <v>6.9012477455924035</v>
      </c>
      <c r="AU17" s="159">
        <v>0</v>
      </c>
      <c r="AV17" s="395">
        <f t="shared" si="16"/>
        <v>0</v>
      </c>
      <c r="AW17" s="395">
        <f t="shared" si="17"/>
        <v>0</v>
      </c>
      <c r="AX17" s="159"/>
      <c r="AY17" s="159">
        <f>IFERROR(SUMIFS('PO Tracker'!$J$44:$J$1433,'PO Tracker'!$K$44:$K$1433,$AU$6,'PO Tracker'!$L$44:$L$1433,'Capex breakup'!$B17),0)</f>
        <v>0</v>
      </c>
      <c r="AZ17" s="605" t="str">
        <f t="shared" si="18"/>
        <v/>
      </c>
      <c r="BA17" s="118"/>
      <c r="BB17" s="151">
        <v>8850</v>
      </c>
      <c r="BC17" s="151">
        <f t="shared" si="19"/>
        <v>7500</v>
      </c>
      <c r="BD17" s="151">
        <f>BC17/BC2</f>
        <v>12.017690039738495</v>
      </c>
      <c r="BE17" s="159">
        <v>0</v>
      </c>
      <c r="BF17" s="395">
        <f t="shared" si="20"/>
        <v>0</v>
      </c>
      <c r="BG17" s="395">
        <f t="shared" si="21"/>
        <v>0</v>
      </c>
      <c r="BH17" s="159"/>
      <c r="BI17" s="159">
        <f>IFERROR(SUMIFS('PO Tracker'!$J$44:$J$1433,'PO Tracker'!$K$44:$K$1433,$BE$6,'PO Tracker'!$L$44:$L$1433,'Capex breakup'!$B17),0)</f>
        <v>0</v>
      </c>
      <c r="BJ17" s="605" t="str">
        <f t="shared" si="22"/>
        <v/>
      </c>
      <c r="BK17" s="118"/>
      <c r="BL17" s="151"/>
      <c r="BM17" s="151"/>
      <c r="BN17" s="151"/>
      <c r="BO17" s="159"/>
      <c r="BP17" s="395">
        <f t="shared" si="23"/>
        <v>0</v>
      </c>
      <c r="BQ17" s="395">
        <f t="shared" si="24"/>
        <v>0</v>
      </c>
      <c r="BR17" s="159"/>
      <c r="BS17" s="159">
        <f>IFERROR(SUMIFS('PO Tracker'!$J$44:$J$1433,'PO Tracker'!$K$44:$K$1433,$BO$6,'PO Tracker'!$L$44:$L$1433,'Capex breakup'!$B17),0)</f>
        <v>0</v>
      </c>
      <c r="BT17" s="605" t="str">
        <f t="shared" si="25"/>
        <v/>
      </c>
      <c r="BU17" s="118"/>
      <c r="BV17" s="151">
        <v>8850</v>
      </c>
      <c r="BW17" s="151">
        <f t="shared" si="26"/>
        <v>7500</v>
      </c>
      <c r="BX17" s="151">
        <f>BW17/BW2</f>
        <v>7.6608784473953015</v>
      </c>
      <c r="BY17" s="159">
        <v>0</v>
      </c>
      <c r="BZ17" s="395">
        <f t="shared" si="27"/>
        <v>0</v>
      </c>
      <c r="CA17" s="395">
        <f t="shared" si="28"/>
        <v>0</v>
      </c>
      <c r="CB17" s="159"/>
      <c r="CC17" s="159">
        <f>IFERROR(SUMIFS('PO Tracker'!$J$44:$J$1433,'PO Tracker'!$K$44:$K$1433,$BY$6,'PO Tracker'!$L$44:$L$1433,'Capex breakup'!$B17),0)</f>
        <v>0</v>
      </c>
      <c r="CD17" s="605" t="str">
        <f t="shared" si="29"/>
        <v/>
      </c>
      <c r="CE17" s="118"/>
      <c r="CF17" s="151"/>
      <c r="CG17" s="151">
        <f t="shared" si="30"/>
        <v>0</v>
      </c>
      <c r="CH17" s="151">
        <f>CG17/CG2</f>
        <v>0</v>
      </c>
      <c r="CI17" s="159">
        <v>0</v>
      </c>
      <c r="CJ17" s="395">
        <f t="shared" si="31"/>
        <v>0</v>
      </c>
      <c r="CK17" s="395">
        <f t="shared" si="32"/>
        <v>0</v>
      </c>
      <c r="CL17" s="159"/>
      <c r="CM17" s="159">
        <f>IFERROR(SUMIFS('PO Tracker'!$J$44:$J$1433,'PO Tracker'!$K$44:$K$1433,$CI$6,'PO Tracker'!$L$44:$L$1433,'Capex breakup'!$B17),0)</f>
        <v>0</v>
      </c>
      <c r="CN17" s="605" t="str">
        <f t="shared" si="33"/>
        <v/>
      </c>
      <c r="CO17" s="118"/>
      <c r="CP17" s="151"/>
      <c r="CQ17" s="151">
        <f t="shared" si="34"/>
        <v>0</v>
      </c>
      <c r="CR17" s="151"/>
      <c r="CS17" s="159"/>
      <c r="CT17" s="395">
        <f t="shared" si="35"/>
        <v>0</v>
      </c>
      <c r="CU17" s="395">
        <f t="shared" si="36"/>
        <v>0</v>
      </c>
      <c r="CV17" s="159"/>
      <c r="CW17" s="159">
        <f>IFERROR(SUMIFS('PO Tracker'!$J$44:$J$1433,'PO Tracker'!$K$44:$K$1433,$CS$6,'PO Tracker'!$L$44:$L$1433,'Capex breakup'!$B17),0)</f>
        <v>0</v>
      </c>
      <c r="CX17" s="605" t="str">
        <f t="shared" si="37"/>
        <v/>
      </c>
      <c r="CY17" s="118"/>
      <c r="CZ17" s="151"/>
      <c r="DA17" s="151">
        <f t="shared" si="38"/>
        <v>0</v>
      </c>
      <c r="DB17" s="151">
        <f>DA17/DA2</f>
        <v>0</v>
      </c>
      <c r="DC17" s="159">
        <v>0</v>
      </c>
      <c r="DD17" s="395">
        <f t="shared" si="39"/>
        <v>0</v>
      </c>
      <c r="DE17" s="395">
        <f t="shared" si="40"/>
        <v>0</v>
      </c>
      <c r="DF17" s="159"/>
      <c r="DG17" s="159">
        <f>IFERROR(SUMIFS('PO Tracker'!$J$44:$J$1433,'PO Tracker'!$K$44:$K$1433,$DC$6,'PO Tracker'!$L$44:$L$1433,'Capex breakup'!$B17),0)</f>
        <v>0</v>
      </c>
      <c r="DH17" s="605" t="str">
        <f t="shared" si="41"/>
        <v/>
      </c>
      <c r="DI17" s="118"/>
      <c r="DJ17" s="151"/>
      <c r="DK17" s="151">
        <f t="shared" si="42"/>
        <v>0</v>
      </c>
      <c r="DL17" s="151">
        <f>DK17/DK2</f>
        <v>0</v>
      </c>
      <c r="DM17" s="159">
        <f>+DL17</f>
        <v>0</v>
      </c>
      <c r="DN17" s="395">
        <f t="shared" si="43"/>
        <v>0</v>
      </c>
      <c r="DO17" s="159">
        <f t="shared" si="44"/>
        <v>0</v>
      </c>
      <c r="DP17" s="159">
        <f>IFERROR(SUMIFS('PO Tracker'!$J$44:$J$1433,'PO Tracker'!$K$44:$K$1433,$DM$6,'PO Tracker'!$L$44:$L$1433,'Capex breakup'!$B17),0)</f>
        <v>0</v>
      </c>
      <c r="DQ17" s="605" t="str">
        <f t="shared" si="45"/>
        <v/>
      </c>
      <c r="DR17" s="118"/>
      <c r="DS17" s="151"/>
      <c r="DT17" s="151">
        <f t="shared" si="46"/>
        <v>0</v>
      </c>
      <c r="DU17" s="151">
        <f>DT17/DT2</f>
        <v>0</v>
      </c>
      <c r="DV17" s="159">
        <v>0</v>
      </c>
      <c r="DW17" s="395">
        <f t="shared" si="47"/>
        <v>0</v>
      </c>
      <c r="DX17" s="395">
        <f t="shared" si="48"/>
        <v>0</v>
      </c>
      <c r="DY17" s="159"/>
      <c r="DZ17" s="159">
        <f>IFERROR(SUMIFS('PO Tracker'!$J$44:$J$1433,'PO Tracker'!$K$44:$K$1433,$DV$6,'PO Tracker'!$L$44:$L$1433,'Capex breakup'!$B17),0)</f>
        <v>0</v>
      </c>
      <c r="EA17" s="605" t="str">
        <f t="shared" si="49"/>
        <v/>
      </c>
      <c r="EB17" s="118"/>
      <c r="EC17" s="151"/>
      <c r="ED17" s="151">
        <f t="shared" si="50"/>
        <v>0</v>
      </c>
      <c r="EE17" s="151">
        <f>ED17/ED2</f>
        <v>0</v>
      </c>
      <c r="EF17" s="159">
        <v>0</v>
      </c>
      <c r="EG17" s="395">
        <f t="shared" si="51"/>
        <v>0</v>
      </c>
      <c r="EH17" s="395">
        <f t="shared" si="52"/>
        <v>0</v>
      </c>
      <c r="EI17" s="159"/>
      <c r="EJ17" s="159">
        <f>IFERROR(SUMIFS('PO Tracker'!$J$44:$J$1433,'PO Tracker'!$K$44:$K$1433,$EF$6,'PO Tracker'!$L$44:$L$1433,'Capex breakup'!$B17),0)</f>
        <v>0</v>
      </c>
      <c r="EK17" s="605" t="str">
        <f t="shared" si="53"/>
        <v/>
      </c>
      <c r="EL17" s="118"/>
      <c r="EM17" s="151"/>
      <c r="EN17" s="151"/>
      <c r="EO17" s="151"/>
      <c r="EP17" s="159">
        <f>+EO17</f>
        <v>0</v>
      </c>
      <c r="EQ17" s="395">
        <f t="shared" si="54"/>
        <v>0</v>
      </c>
      <c r="ER17" s="395">
        <f t="shared" si="55"/>
        <v>0</v>
      </c>
      <c r="ES17" s="159"/>
      <c r="ET17" s="159">
        <f>IFERROR(SUMIFS('PO Tracker'!$J$44:$J$1433,'PO Tracker'!$K$44:$K$1433,$EP$6,'PO Tracker'!$L$44:$L$1433,'Capex breakup'!$B17),0)</f>
        <v>0</v>
      </c>
      <c r="EU17" s="605" t="str">
        <f t="shared" si="56"/>
        <v/>
      </c>
      <c r="EV17" s="118"/>
      <c r="EW17" s="151"/>
      <c r="EX17" s="151"/>
      <c r="EY17" s="151"/>
      <c r="EZ17" s="159">
        <f>+EY17</f>
        <v>0</v>
      </c>
      <c r="FA17" s="395">
        <f t="shared" si="57"/>
        <v>0</v>
      </c>
      <c r="FB17" s="395">
        <f t="shared" si="58"/>
        <v>0</v>
      </c>
      <c r="FC17" s="159"/>
      <c r="FD17" s="159">
        <f>IFERROR(SUMIFS('PO Tracker'!$J$44:$J$1433,'PO Tracker'!$K$44:$K$1433,$EZ$6,'PO Tracker'!$L$44:$L$1433,'Capex breakup'!$B17),0)</f>
        <v>0</v>
      </c>
      <c r="FE17" s="605" t="str">
        <f t="shared" si="59"/>
        <v/>
      </c>
      <c r="FF17" s="118"/>
      <c r="FG17" s="318"/>
      <c r="FH17" s="151">
        <f t="shared" si="60"/>
        <v>0</v>
      </c>
      <c r="FI17" s="133">
        <f t="shared" si="61"/>
        <v>0</v>
      </c>
      <c r="FJ17" s="159">
        <f t="shared" si="83"/>
        <v>0</v>
      </c>
      <c r="FK17" s="395">
        <f t="shared" si="62"/>
        <v>0</v>
      </c>
      <c r="FL17" s="159">
        <f t="shared" si="63"/>
        <v>0</v>
      </c>
      <c r="FM17" s="684"/>
      <c r="FN17" s="159"/>
      <c r="FO17" s="685"/>
      <c r="FP17" s="684"/>
      <c r="FQ17" s="159">
        <f t="shared" si="64"/>
        <v>0</v>
      </c>
      <c r="FR17" s="685">
        <f t="shared" si="65"/>
        <v>0</v>
      </c>
      <c r="FS17" s="662">
        <f>IFERROR(SUMIFS('PO Tracker'!$J$44:$J$1433,'PO Tracker'!$K$44:$K$1433,$FJ$6,'PO Tracker'!$L$44:$L$1433,'Capex breakup'!$B17),0)</f>
        <v>0</v>
      </c>
      <c r="FT17" s="736" t="str">
        <f t="shared" si="66"/>
        <v/>
      </c>
      <c r="FU17" s="709"/>
      <c r="FV17" s="151"/>
      <c r="FW17" s="151">
        <f t="shared" si="67"/>
        <v>0</v>
      </c>
      <c r="FX17" s="151">
        <f>FW17/FW2</f>
        <v>0</v>
      </c>
      <c r="FY17" s="159">
        <v>0</v>
      </c>
      <c r="FZ17" s="395">
        <f t="shared" si="68"/>
        <v>0</v>
      </c>
      <c r="GA17" s="395">
        <f t="shared" si="69"/>
        <v>0</v>
      </c>
      <c r="GB17" s="159"/>
      <c r="GC17" s="159">
        <f>IFERROR(SUMIFS('PO Tracker'!$J$44:$J$1433,'PO Tracker'!$K$44:$K$1433,$FY$6,'PO Tracker'!$L$44:$L$1433,'Capex breakup'!$B17),0)</f>
        <v>0</v>
      </c>
      <c r="GD17" s="605" t="str">
        <f t="shared" si="70"/>
        <v/>
      </c>
      <c r="GE17" s="118"/>
      <c r="GF17" s="151"/>
      <c r="GG17" s="151">
        <f t="shared" si="71"/>
        <v>0</v>
      </c>
      <c r="GH17" s="151">
        <f>GG17/GG2</f>
        <v>0</v>
      </c>
      <c r="GI17" s="159">
        <v>0</v>
      </c>
      <c r="GJ17" s="395">
        <f t="shared" si="72"/>
        <v>0</v>
      </c>
      <c r="GK17" s="395">
        <f t="shared" si="73"/>
        <v>0</v>
      </c>
      <c r="GL17" s="159"/>
      <c r="GM17" s="159">
        <f>IFERROR(SUMIFS('PO Tracker'!$J$44:$J$1433,'PO Tracker'!$K$44:$K$1433,$GI$6,'PO Tracker'!$L$44:$L$1433,'Capex breakup'!$B17),0)</f>
        <v>0</v>
      </c>
      <c r="GN17" s="605" t="str">
        <f t="shared" si="74"/>
        <v/>
      </c>
      <c r="GO17" s="118"/>
      <c r="GP17" s="151"/>
      <c r="GQ17" s="151">
        <f t="shared" si="75"/>
        <v>0</v>
      </c>
      <c r="GR17" s="151">
        <f>GQ17/GQ2</f>
        <v>0</v>
      </c>
      <c r="GS17" s="159">
        <v>0</v>
      </c>
      <c r="GT17" s="395">
        <v>0</v>
      </c>
      <c r="GU17" s="159">
        <v>0</v>
      </c>
      <c r="GV17" s="159">
        <f>IFERROR(SUMIFS('PO Tracker'!$J$44:$J$1433,'PO Tracker'!$K$44:$K$1433,$GS$6,'PO Tracker'!$L$44:$L$1433,'Capex breakup'!$B17),0)</f>
        <v>0</v>
      </c>
      <c r="GW17" s="605" t="str">
        <f t="shared" si="76"/>
        <v/>
      </c>
      <c r="GX17" s="118"/>
      <c r="GY17" s="151"/>
      <c r="GZ17" s="151"/>
      <c r="HA17" s="133"/>
      <c r="HB17" s="159">
        <v>0</v>
      </c>
      <c r="HC17" s="395">
        <f t="shared" si="77"/>
        <v>0</v>
      </c>
      <c r="HD17" s="159">
        <f t="shared" si="78"/>
        <v>0</v>
      </c>
      <c r="HE17" s="775"/>
      <c r="HF17" s="159">
        <f>IFERROR(SUMIFS('PO Tracker'!$J$44:$J$1433,'PO Tracker'!$K$44:$K$1433,$HB$6,'PO Tracker'!$L$44:$L$1433,'Capex breakup'!$B17),0)</f>
        <v>0</v>
      </c>
      <c r="HG17" s="605" t="str">
        <f t="shared" si="79"/>
        <v/>
      </c>
      <c r="HH17" s="118"/>
      <c r="HI17" s="151"/>
      <c r="HJ17" s="151"/>
      <c r="HK17" s="133"/>
      <c r="HL17" s="159">
        <v>0</v>
      </c>
      <c r="HM17" s="395">
        <f t="shared" si="80"/>
        <v>0</v>
      </c>
      <c r="HN17" s="159">
        <f t="shared" si="81"/>
        <v>0</v>
      </c>
      <c r="HO17" s="159">
        <f>IFERROR(SUMIFS('PO Tracker'!$J$44:$J$1433,'PO Tracker'!$K$44:$K$1433,$HL$6,'PO Tracker'!$L$44:$L$1433,'Capex breakup'!$B17),0)</f>
        <v>0</v>
      </c>
      <c r="HP17" s="605" t="str">
        <f t="shared" si="82"/>
        <v/>
      </c>
      <c r="HQ17" s="118"/>
      <c r="HR17" s="364"/>
      <c r="HS17" s="364"/>
      <c r="HT17" s="364"/>
      <c r="HU17" s="364"/>
    </row>
    <row r="18" spans="1:229" s="26" customFormat="1" ht="15">
      <c r="A18" s="334"/>
      <c r="B18" s="23" t="s">
        <v>21</v>
      </c>
      <c r="C18" s="119"/>
      <c r="D18" s="152">
        <f>SUM(D9:D17)</f>
        <v>932602.38</v>
      </c>
      <c r="E18" s="152">
        <f>SUM(E9:E17)</f>
        <v>790341</v>
      </c>
      <c r="F18" s="152"/>
      <c r="G18" s="75"/>
      <c r="H18" s="396">
        <f>SUM(H9:H17)</f>
        <v>177733.5534</v>
      </c>
      <c r="I18" s="396">
        <f>SUM(I9:I17)</f>
        <v>209725.59301199997</v>
      </c>
      <c r="J18" s="76"/>
      <c r="K18" s="396">
        <f>SUM(K9:K17)</f>
        <v>155873.28</v>
      </c>
      <c r="L18" s="605">
        <f t="shared" si="3"/>
        <v>0.74322488620204463</v>
      </c>
      <c r="M18" s="119"/>
      <c r="N18" s="152">
        <f>SUM(N9:N17)</f>
        <v>932602.38</v>
      </c>
      <c r="O18" s="152">
        <f>SUM(O9:O17)</f>
        <v>790341</v>
      </c>
      <c r="P18" s="152"/>
      <c r="Q18" s="75"/>
      <c r="R18" s="396">
        <f>SUM(R9:R17)</f>
        <v>360837.80460000003</v>
      </c>
      <c r="S18" s="396">
        <f>SUM(S9:S17)</f>
        <v>425788.609428</v>
      </c>
      <c r="T18" s="76"/>
      <c r="U18" s="396">
        <f>SUM(U9:U17)</f>
        <v>421193.92</v>
      </c>
      <c r="V18" s="605">
        <f t="shared" si="7"/>
        <v>0.98920898932883039</v>
      </c>
      <c r="W18" s="119"/>
      <c r="X18" s="152">
        <f>SUM(X9:X17)</f>
        <v>2666534.08</v>
      </c>
      <c r="Y18" s="152">
        <f>SUM(Y9:Y17)</f>
        <v>2339064.9824561407</v>
      </c>
      <c r="Z18" s="152"/>
      <c r="AA18" s="75"/>
      <c r="AB18" s="396">
        <f>SUM(AB9:AB17)</f>
        <v>1351756.575</v>
      </c>
      <c r="AC18" s="396">
        <f>SUM(AC9:AC17)</f>
        <v>1595072.7584999998</v>
      </c>
      <c r="AD18" s="76"/>
      <c r="AE18" s="396">
        <f>SUM(AE9:AE17)</f>
        <v>1577866.5</v>
      </c>
      <c r="AF18" s="605">
        <f t="shared" si="10"/>
        <v>0.98921286918837459</v>
      </c>
      <c r="AG18" s="119"/>
      <c r="AH18" s="152">
        <f>SUM(AH9:AH17)</f>
        <v>932602.38</v>
      </c>
      <c r="AI18" s="152">
        <f>SUM(AI9:AI17)</f>
        <v>790341</v>
      </c>
      <c r="AJ18" s="152"/>
      <c r="AK18" s="75"/>
      <c r="AL18" s="396">
        <f>SUM(AL9:AL17)</f>
        <v>202578.47999999998</v>
      </c>
      <c r="AM18" s="396">
        <f>SUM(AM9:AM17)</f>
        <v>239042.60639999996</v>
      </c>
      <c r="AN18" s="76"/>
      <c r="AO18" s="396">
        <f>SUM(AO9:AO17)</f>
        <v>165200</v>
      </c>
      <c r="AP18" s="605">
        <f t="shared" si="14"/>
        <v>0.69109018884927964</v>
      </c>
      <c r="AQ18" s="119"/>
      <c r="AR18" s="289">
        <f>SUM(AR9:AR17)</f>
        <v>362850</v>
      </c>
      <c r="AS18" s="289">
        <f>SUM(AS9:AS17)</f>
        <v>307500</v>
      </c>
      <c r="AT18" s="289"/>
      <c r="AU18" s="75"/>
      <c r="AV18" s="396">
        <f>SUM(AV9:AV17)</f>
        <v>377358.92999999993</v>
      </c>
      <c r="AW18" s="396">
        <f>SUM(AW9:AW17)</f>
        <v>445283.53739999991</v>
      </c>
      <c r="AX18" s="76"/>
      <c r="AY18" s="396">
        <f>SUM(AY9:AY17)</f>
        <v>383594.4</v>
      </c>
      <c r="AZ18" s="605">
        <f t="shared" si="18"/>
        <v>0.86146099682866939</v>
      </c>
      <c r="BA18" s="119"/>
      <c r="BB18" s="152">
        <f>SUM(BB9:BB17)</f>
        <v>156350</v>
      </c>
      <c r="BC18" s="152">
        <f>SUM(BC9:BC17)</f>
        <v>132500</v>
      </c>
      <c r="BD18" s="152"/>
      <c r="BE18" s="75"/>
      <c r="BF18" s="396">
        <f>SUM(BF9:BF17)</f>
        <v>295402.91039999994</v>
      </c>
      <c r="BG18" s="396">
        <f>SUM(BG9:BG17)</f>
        <v>348575.43427199993</v>
      </c>
      <c r="BH18" s="76"/>
      <c r="BI18" s="396">
        <f>SUM(BI9:BI17)</f>
        <v>0</v>
      </c>
      <c r="BJ18" s="605">
        <f t="shared" si="22"/>
        <v>0</v>
      </c>
      <c r="BK18" s="119"/>
      <c r="BL18" s="152"/>
      <c r="BM18" s="152"/>
      <c r="BN18" s="152"/>
      <c r="BO18" s="75"/>
      <c r="BP18" s="396">
        <f>SUM(BP9:BP17)</f>
        <v>171535.10399999996</v>
      </c>
      <c r="BQ18" s="396">
        <f>SUM(BQ9:BQ17)</f>
        <v>202411.42271999994</v>
      </c>
      <c r="BR18" s="76"/>
      <c r="BS18" s="396">
        <f>SUM(BS9:BS17)</f>
        <v>0</v>
      </c>
      <c r="BT18" s="605">
        <f t="shared" si="25"/>
        <v>0</v>
      </c>
      <c r="BU18" s="119"/>
      <c r="BV18" s="152">
        <f>SUM(BV9:BV17)</f>
        <v>126850</v>
      </c>
      <c r="BW18" s="152">
        <f>SUM(BW9:BW17)</f>
        <v>107500</v>
      </c>
      <c r="BX18" s="152"/>
      <c r="BY18" s="75"/>
      <c r="BZ18" s="396">
        <f>SUM(BZ9:BZ17)</f>
        <v>186540.11999999997</v>
      </c>
      <c r="CA18" s="396">
        <f>SUM(CA9:CA17)</f>
        <v>220117.34159999996</v>
      </c>
      <c r="CB18" s="76"/>
      <c r="CC18" s="396">
        <f>SUM(CC9:CC17)</f>
        <v>132512.82</v>
      </c>
      <c r="CD18" s="605">
        <f t="shared" si="29"/>
        <v>0.60200990542945954</v>
      </c>
      <c r="CE18" s="119"/>
      <c r="CF18" s="152">
        <f>SUM(CF9:CF17)</f>
        <v>141600</v>
      </c>
      <c r="CG18" s="152">
        <f>SUM(CG9:CG17)</f>
        <v>120000</v>
      </c>
      <c r="CH18" s="152"/>
      <c r="CI18" s="75"/>
      <c r="CJ18" s="396">
        <f>SUM(CJ9:CJ17)</f>
        <v>213127.19999999998</v>
      </c>
      <c r="CK18" s="396">
        <f>SUM(CK9:CK17)</f>
        <v>251490.09599999996</v>
      </c>
      <c r="CL18" s="76"/>
      <c r="CM18" s="396">
        <f>SUM(CM9:CM17)</f>
        <v>0</v>
      </c>
      <c r="CN18" s="605">
        <f t="shared" si="33"/>
        <v>0</v>
      </c>
      <c r="CO18" s="119"/>
      <c r="CP18" s="152">
        <f>SUM(CP9:CP17)</f>
        <v>0</v>
      </c>
      <c r="CQ18" s="152">
        <f>SUM(CQ9:CQ17)</f>
        <v>0</v>
      </c>
      <c r="CR18" s="152"/>
      <c r="CS18" s="75"/>
      <c r="CT18" s="396">
        <f>SUM(CT9:CT17)</f>
        <v>0</v>
      </c>
      <c r="CU18" s="396">
        <f>SUM(CU9:CU17)</f>
        <v>0</v>
      </c>
      <c r="CV18" s="76"/>
      <c r="CW18" s="396">
        <f>SUM(CW9:CW17)</f>
        <v>0</v>
      </c>
      <c r="CX18" s="605" t="str">
        <f t="shared" si="37"/>
        <v/>
      </c>
      <c r="CY18" s="119"/>
      <c r="CZ18" s="152">
        <f>SUM(CZ9:CZ17)</f>
        <v>141600</v>
      </c>
      <c r="DA18" s="152">
        <f>SUM(DA9:DA17)</f>
        <v>120000</v>
      </c>
      <c r="DB18" s="152"/>
      <c r="DC18" s="75"/>
      <c r="DD18" s="396">
        <f>SUM(DD9:DD17)</f>
        <v>0</v>
      </c>
      <c r="DE18" s="396">
        <f>SUM(DE9:DE17)</f>
        <v>0</v>
      </c>
      <c r="DF18" s="76"/>
      <c r="DG18" s="396">
        <f>SUM(DG9:DG17)</f>
        <v>236000</v>
      </c>
      <c r="DH18" s="605" t="str">
        <f t="shared" si="41"/>
        <v/>
      </c>
      <c r="DI18" s="119"/>
      <c r="DJ18" s="152">
        <f>SUM(DJ9:DJ17)</f>
        <v>0</v>
      </c>
      <c r="DK18" s="152">
        <f>SUM(DK9:DK17)</f>
        <v>0</v>
      </c>
      <c r="DL18" s="152"/>
      <c r="DM18" s="75"/>
      <c r="DN18" s="396">
        <f>SUM(DN9:DN17)</f>
        <v>0</v>
      </c>
      <c r="DO18" s="76">
        <f>SUM(DO9:DO17)</f>
        <v>0</v>
      </c>
      <c r="DP18" s="396">
        <f>SUM(DP9:DP17)</f>
        <v>0</v>
      </c>
      <c r="DQ18" s="605" t="str">
        <f t="shared" si="45"/>
        <v/>
      </c>
      <c r="DR18" s="119"/>
      <c r="DS18" s="152">
        <f>SUM(DS9:DS17)</f>
        <v>141600</v>
      </c>
      <c r="DT18" s="152">
        <f>SUM(DT9:DT17)</f>
        <v>120000</v>
      </c>
      <c r="DU18" s="152"/>
      <c r="DV18" s="75"/>
      <c r="DW18" s="396">
        <f>SUM(DW9:DW17)</f>
        <v>169044.31439999997</v>
      </c>
      <c r="DX18" s="396">
        <f>SUM(DX9:DX17)</f>
        <v>199472.29099199997</v>
      </c>
      <c r="DY18" s="76"/>
      <c r="DZ18" s="396">
        <f>SUM(DZ9:DZ17)</f>
        <v>372640.45999999996</v>
      </c>
      <c r="EA18" s="605">
        <f t="shared" si="49"/>
        <v>1.8681314489687446</v>
      </c>
      <c r="EB18" s="119"/>
      <c r="EC18" s="152">
        <f>SUM(EC9:EC17)</f>
        <v>141600</v>
      </c>
      <c r="ED18" s="152">
        <f>SUM(ED9:ED17)</f>
        <v>120000</v>
      </c>
      <c r="EE18" s="152"/>
      <c r="EF18" s="75"/>
      <c r="EG18" s="396">
        <f>SUM(EG9:EG17)</f>
        <v>0</v>
      </c>
      <c r="EH18" s="396">
        <f>SUM(EH9:EH17)</f>
        <v>0</v>
      </c>
      <c r="EI18" s="76"/>
      <c r="EJ18" s="396">
        <f>SUM(EJ9:EJ17)</f>
        <v>0</v>
      </c>
      <c r="EK18" s="605" t="str">
        <f t="shared" si="53"/>
        <v/>
      </c>
      <c r="EL18" s="119"/>
      <c r="EM18" s="152">
        <f>SUM(EM9:EM17)</f>
        <v>0</v>
      </c>
      <c r="EN18" s="152">
        <f>SUM(EN9:EN17)</f>
        <v>0</v>
      </c>
      <c r="EO18" s="152"/>
      <c r="EP18" s="75"/>
      <c r="EQ18" s="396">
        <f>SUM(EQ9:EQ17)</f>
        <v>142340.98319999999</v>
      </c>
      <c r="ER18" s="396">
        <f>SUM(ER9:ER17)</f>
        <v>167962.36017599999</v>
      </c>
      <c r="ES18" s="76"/>
      <c r="ET18" s="396">
        <f>SUM(ET9:ET17)</f>
        <v>136640.46</v>
      </c>
      <c r="EU18" s="605">
        <f t="shared" si="56"/>
        <v>0.81351833742286528</v>
      </c>
      <c r="EV18" s="119"/>
      <c r="EW18" s="152">
        <f>SUM(EW9:EW17)</f>
        <v>0</v>
      </c>
      <c r="EX18" s="152">
        <f>SUM(EX9:EX17)</f>
        <v>0</v>
      </c>
      <c r="EY18" s="152"/>
      <c r="EZ18" s="75"/>
      <c r="FA18" s="396">
        <f>SUM(FA9:FA17)</f>
        <v>256161.67199999996</v>
      </c>
      <c r="FB18" s="396">
        <f>SUM(FB9:FB17)</f>
        <v>302270.77295999991</v>
      </c>
      <c r="FC18" s="76"/>
      <c r="FD18" s="396">
        <f>SUM(FD9:FD17)</f>
        <v>259290.84</v>
      </c>
      <c r="FE18" s="605">
        <f t="shared" si="59"/>
        <v>0.85780982878656431</v>
      </c>
      <c r="FF18" s="123"/>
      <c r="FG18" s="737">
        <f>SUM(FG9:FG17)</f>
        <v>2666534.08</v>
      </c>
      <c r="FH18" s="152">
        <f>SUM(FH9:FH17)</f>
        <v>2339064.9824561407</v>
      </c>
      <c r="FI18" s="152"/>
      <c r="FJ18" s="75"/>
      <c r="FK18" s="396">
        <f>SUM(FK9:FK17)</f>
        <v>400000</v>
      </c>
      <c r="FL18" s="656">
        <f>SUM(FL9:FL17)</f>
        <v>472000</v>
      </c>
      <c r="FM18" s="686"/>
      <c r="FN18" s="396">
        <f>SUM(FN9:FN17)</f>
        <v>400000</v>
      </c>
      <c r="FO18" s="687">
        <f>SUM(FO9:FO17)</f>
        <v>472000</v>
      </c>
      <c r="FP18" s="686"/>
      <c r="FQ18" s="396">
        <f>SUM(FQ9:FQ17)</f>
        <v>0</v>
      </c>
      <c r="FR18" s="687">
        <f>SUM(FR9:FR17)</f>
        <v>0</v>
      </c>
      <c r="FS18" s="665">
        <f>SUM(FS9:FS17)</f>
        <v>448400</v>
      </c>
      <c r="FT18" s="736" t="str">
        <f t="shared" si="66"/>
        <v/>
      </c>
      <c r="FU18" s="710"/>
      <c r="FV18" s="152">
        <f>SUM(FV9:FV17)</f>
        <v>141600</v>
      </c>
      <c r="FW18" s="152">
        <f>SUM(FW9:FW17)</f>
        <v>120000</v>
      </c>
      <c r="FX18" s="152"/>
      <c r="FY18" s="75"/>
      <c r="FZ18" s="396">
        <f>SUM(FZ9:FZ17)</f>
        <v>200339.568</v>
      </c>
      <c r="GA18" s="396">
        <f>SUM(GA9:GA17)</f>
        <v>236400.69024</v>
      </c>
      <c r="GB18" s="76"/>
      <c r="GC18" s="396">
        <f>SUM(GC9:GC17)</f>
        <v>236000</v>
      </c>
      <c r="GD18" s="605">
        <f t="shared" si="70"/>
        <v>0.99830503777466473</v>
      </c>
      <c r="GE18" s="119"/>
      <c r="GF18" s="152">
        <f>SUM(GF9:GF17)</f>
        <v>0</v>
      </c>
      <c r="GG18" s="152">
        <f>SUM(GG9:GG17)</f>
        <v>0</v>
      </c>
      <c r="GH18" s="152"/>
      <c r="GI18" s="75"/>
      <c r="GJ18" s="396">
        <f>SUM(GJ9:GJ17)</f>
        <v>0</v>
      </c>
      <c r="GK18" s="396">
        <f>SUM(GK9:GK17)</f>
        <v>0</v>
      </c>
      <c r="GL18" s="76"/>
      <c r="GM18" s="396">
        <f>SUM(GM9:GM17)</f>
        <v>429684.02</v>
      </c>
      <c r="GN18" s="605" t="str">
        <f t="shared" si="74"/>
        <v/>
      </c>
      <c r="GO18" s="119"/>
      <c r="GP18" s="152">
        <f>SUM(GP9:GP17)</f>
        <v>0</v>
      </c>
      <c r="GQ18" s="152">
        <f>SUM(GQ9:GQ17)</f>
        <v>0</v>
      </c>
      <c r="GR18" s="152"/>
      <c r="GS18" s="75"/>
      <c r="GT18" s="396">
        <v>0</v>
      </c>
      <c r="GU18" s="76">
        <v>0</v>
      </c>
      <c r="GV18" s="396">
        <f>SUM(GV9:GV17)</f>
        <v>0</v>
      </c>
      <c r="GW18" s="605" t="str">
        <f t="shared" si="76"/>
        <v/>
      </c>
      <c r="GX18" s="119"/>
      <c r="GY18" s="152">
        <f>SUM(GY9:GY17)</f>
        <v>0</v>
      </c>
      <c r="GZ18" s="152">
        <f>SUM(GZ9:GZ17)</f>
        <v>0</v>
      </c>
      <c r="HA18" s="152"/>
      <c r="HB18" s="75"/>
      <c r="HC18" s="396">
        <f>SUM(HC9:HC17)</f>
        <v>0</v>
      </c>
      <c r="HD18" s="76">
        <f>SUM(HD9:HD17)</f>
        <v>0</v>
      </c>
      <c r="HE18" s="776"/>
      <c r="HF18" s="396">
        <f>SUM(HF9:HF17)</f>
        <v>0</v>
      </c>
      <c r="HG18" s="605" t="str">
        <f t="shared" si="79"/>
        <v/>
      </c>
      <c r="HH18" s="119"/>
      <c r="HI18" s="152">
        <f>SUM(HI9:HI17)</f>
        <v>0</v>
      </c>
      <c r="HJ18" s="152">
        <f>SUM(HJ9:HJ17)</f>
        <v>0</v>
      </c>
      <c r="HK18" s="152"/>
      <c r="HL18" s="75"/>
      <c r="HM18" s="396">
        <f>SUM(HM9:HM17)</f>
        <v>2872718.1642077314</v>
      </c>
      <c r="HN18" s="76">
        <f>SUM(HN9:HN17)</f>
        <v>3389807.4337651227</v>
      </c>
      <c r="HO18" s="396">
        <f>SUM(HO9:HO17)</f>
        <v>362248.2</v>
      </c>
      <c r="HP18" s="605">
        <f t="shared" si="82"/>
        <v>0.12609945678395662</v>
      </c>
      <c r="HQ18" s="119"/>
      <c r="HR18" s="23"/>
      <c r="HS18" s="23"/>
      <c r="HT18" s="23"/>
      <c r="HU18" s="23"/>
    </row>
    <row r="19" spans="1:229" ht="15">
      <c r="A19" s="334"/>
      <c r="B19" s="23"/>
      <c r="C19" s="118"/>
      <c r="D19" s="161"/>
      <c r="E19" s="161"/>
      <c r="F19" s="161"/>
      <c r="G19" s="74"/>
      <c r="H19" s="395"/>
      <c r="I19" s="395"/>
      <c r="J19" s="159"/>
      <c r="K19" s="159"/>
      <c r="L19" s="159"/>
      <c r="M19" s="118"/>
      <c r="N19" s="161"/>
      <c r="O19" s="161"/>
      <c r="P19" s="161"/>
      <c r="Q19" s="74"/>
      <c r="R19" s="395"/>
      <c r="S19" s="395"/>
      <c r="T19" s="159"/>
      <c r="U19" s="159"/>
      <c r="V19" s="605"/>
      <c r="W19" s="118"/>
      <c r="X19" s="161"/>
      <c r="Y19" s="161"/>
      <c r="Z19" s="161"/>
      <c r="AA19" s="74"/>
      <c r="AB19" s="395"/>
      <c r="AC19" s="395"/>
      <c r="AD19" s="159"/>
      <c r="AE19" s="159"/>
      <c r="AF19" s="605"/>
      <c r="AG19" s="118"/>
      <c r="AH19" s="161"/>
      <c r="AI19" s="161"/>
      <c r="AJ19" s="161"/>
      <c r="AK19" s="74"/>
      <c r="AL19" s="395"/>
      <c r="AM19" s="395"/>
      <c r="AN19" s="159"/>
      <c r="AO19" s="159"/>
      <c r="AP19" s="605"/>
      <c r="AQ19" s="118"/>
      <c r="AR19" s="289"/>
      <c r="AS19" s="289"/>
      <c r="AT19" s="289"/>
      <c r="AU19" s="74"/>
      <c r="AV19" s="395"/>
      <c r="AW19" s="395"/>
      <c r="AX19" s="159"/>
      <c r="AY19" s="159"/>
      <c r="AZ19" s="605"/>
      <c r="BA19" s="118"/>
      <c r="BB19" s="161"/>
      <c r="BC19" s="161"/>
      <c r="BD19" s="161"/>
      <c r="BE19" s="74"/>
      <c r="BF19" s="395"/>
      <c r="BG19" s="395"/>
      <c r="BH19" s="159"/>
      <c r="BI19" s="159"/>
      <c r="BJ19" s="605"/>
      <c r="BK19" s="118"/>
      <c r="BL19" s="161"/>
      <c r="BM19" s="161"/>
      <c r="BN19" s="161"/>
      <c r="BO19" s="74"/>
      <c r="BP19" s="395"/>
      <c r="BQ19" s="395"/>
      <c r="BR19" s="159"/>
      <c r="BS19" s="159"/>
      <c r="BT19" s="605"/>
      <c r="BU19" s="118"/>
      <c r="BV19" s="161"/>
      <c r="BW19" s="161"/>
      <c r="BX19" s="161"/>
      <c r="BY19" s="74"/>
      <c r="BZ19" s="395"/>
      <c r="CA19" s="395"/>
      <c r="CB19" s="159"/>
      <c r="CC19" s="159"/>
      <c r="CD19" s="605"/>
      <c r="CE19" s="118"/>
      <c r="CF19" s="161"/>
      <c r="CG19" s="161"/>
      <c r="CH19" s="161"/>
      <c r="CI19" s="74"/>
      <c r="CJ19" s="395"/>
      <c r="CK19" s="395"/>
      <c r="CL19" s="159"/>
      <c r="CM19" s="159"/>
      <c r="CN19" s="605"/>
      <c r="CO19" s="118"/>
      <c r="CP19" s="161"/>
      <c r="CQ19" s="161"/>
      <c r="CR19" s="161"/>
      <c r="CS19" s="74"/>
      <c r="CT19" s="395"/>
      <c r="CU19" s="395"/>
      <c r="CV19" s="159"/>
      <c r="CW19" s="159"/>
      <c r="CX19" s="605"/>
      <c r="CY19" s="118"/>
      <c r="CZ19" s="161"/>
      <c r="DA19" s="161"/>
      <c r="DB19" s="161"/>
      <c r="DC19" s="74"/>
      <c r="DD19" s="395"/>
      <c r="DE19" s="395"/>
      <c r="DF19" s="159"/>
      <c r="DG19" s="159"/>
      <c r="DH19" s="605"/>
      <c r="DI19" s="118"/>
      <c r="DJ19" s="161"/>
      <c r="DK19" s="161"/>
      <c r="DL19" s="161"/>
      <c r="DM19" s="74"/>
      <c r="DN19" s="395"/>
      <c r="DO19" s="159"/>
      <c r="DP19" s="159"/>
      <c r="DQ19" s="605"/>
      <c r="DR19" s="118"/>
      <c r="DS19" s="161"/>
      <c r="DT19" s="161"/>
      <c r="DU19" s="161"/>
      <c r="DV19" s="74"/>
      <c r="DW19" s="395"/>
      <c r="DX19" s="395"/>
      <c r="DY19" s="159"/>
      <c r="DZ19" s="159"/>
      <c r="EA19" s="605"/>
      <c r="EB19" s="118"/>
      <c r="EC19" s="161"/>
      <c r="ED19" s="161"/>
      <c r="EE19" s="161"/>
      <c r="EF19" s="74"/>
      <c r="EG19" s="395"/>
      <c r="EH19" s="395"/>
      <c r="EI19" s="159"/>
      <c r="EJ19" s="159"/>
      <c r="EK19" s="605"/>
      <c r="EL19" s="118"/>
      <c r="EM19" s="161"/>
      <c r="EN19" s="161"/>
      <c r="EO19" s="161"/>
      <c r="EP19" s="74"/>
      <c r="EQ19" s="395"/>
      <c r="ER19" s="395"/>
      <c r="ES19" s="159"/>
      <c r="ET19" s="159"/>
      <c r="EU19" s="605"/>
      <c r="EV19" s="118"/>
      <c r="EW19" s="161"/>
      <c r="EX19" s="161"/>
      <c r="EY19" s="161"/>
      <c r="EZ19" s="74"/>
      <c r="FA19" s="395"/>
      <c r="FB19" s="395"/>
      <c r="FC19" s="159"/>
      <c r="FD19" s="159"/>
      <c r="FE19" s="605"/>
      <c r="FF19" s="118"/>
      <c r="FG19" s="321"/>
      <c r="FH19" s="161"/>
      <c r="FI19" s="161"/>
      <c r="FJ19" s="74"/>
      <c r="FK19" s="395"/>
      <c r="FL19" s="159"/>
      <c r="FM19" s="684"/>
      <c r="FN19" s="159"/>
      <c r="FO19" s="685"/>
      <c r="FP19" s="684"/>
      <c r="FQ19" s="159"/>
      <c r="FR19" s="685"/>
      <c r="FS19" s="662"/>
      <c r="FT19" s="736"/>
      <c r="FU19" s="709"/>
      <c r="FV19" s="161"/>
      <c r="FW19" s="161"/>
      <c r="FX19" s="161"/>
      <c r="FY19" s="74"/>
      <c r="FZ19" s="395"/>
      <c r="GA19" s="395"/>
      <c r="GB19" s="159"/>
      <c r="GC19" s="159"/>
      <c r="GD19" s="605"/>
      <c r="GE19" s="118"/>
      <c r="GF19" s="161"/>
      <c r="GG19" s="161"/>
      <c r="GH19" s="161"/>
      <c r="GI19" s="74"/>
      <c r="GJ19" s="395"/>
      <c r="GK19" s="395"/>
      <c r="GL19" s="159"/>
      <c r="GM19" s="159"/>
      <c r="GN19" s="605"/>
      <c r="GO19" s="118"/>
      <c r="GP19" s="161"/>
      <c r="GQ19" s="161"/>
      <c r="GR19" s="161"/>
      <c r="GS19" s="74"/>
      <c r="GT19" s="395"/>
      <c r="GU19" s="159"/>
      <c r="GV19" s="159"/>
      <c r="GW19" s="605"/>
      <c r="GX19" s="118"/>
      <c r="GY19" s="161"/>
      <c r="GZ19" s="161"/>
      <c r="HA19" s="161"/>
      <c r="HB19" s="74"/>
      <c r="HC19" s="395"/>
      <c r="HD19" s="159"/>
      <c r="HE19" s="159"/>
      <c r="HF19" s="159"/>
      <c r="HG19" s="605"/>
      <c r="HH19" s="118"/>
      <c r="HI19" s="161"/>
      <c r="HJ19" s="161"/>
      <c r="HK19" s="161"/>
      <c r="HL19" s="74"/>
      <c r="HM19" s="395"/>
      <c r="HN19" s="159"/>
      <c r="HO19" s="159"/>
      <c r="HP19" s="605"/>
      <c r="HQ19" s="118"/>
      <c r="HR19" s="149"/>
      <c r="HS19" s="149"/>
      <c r="HT19" s="149"/>
      <c r="HU19" s="149"/>
    </row>
    <row r="20" spans="1:229" ht="15">
      <c r="A20" s="13" t="s">
        <v>22</v>
      </c>
      <c r="B20" s="14" t="s">
        <v>23</v>
      </c>
      <c r="C20" s="120"/>
      <c r="D20" s="150"/>
      <c r="E20" s="150"/>
      <c r="F20" s="153"/>
      <c r="G20" s="27"/>
      <c r="H20" s="397"/>
      <c r="I20" s="397"/>
      <c r="J20" s="27"/>
      <c r="K20" s="27"/>
      <c r="L20" s="27"/>
      <c r="M20" s="120"/>
      <c r="N20" s="150"/>
      <c r="O20" s="150"/>
      <c r="P20" s="153"/>
      <c r="Q20" s="27"/>
      <c r="R20" s="397"/>
      <c r="S20" s="397"/>
      <c r="T20" s="27"/>
      <c r="U20" s="27"/>
      <c r="V20" s="620"/>
      <c r="W20" s="120"/>
      <c r="X20" s="150"/>
      <c r="Y20" s="150"/>
      <c r="Z20" s="150"/>
      <c r="AA20" s="27"/>
      <c r="AB20" s="397"/>
      <c r="AC20" s="397"/>
      <c r="AD20" s="27"/>
      <c r="AE20" s="27"/>
      <c r="AF20" s="620"/>
      <c r="AG20" s="120"/>
      <c r="AH20" s="150"/>
      <c r="AI20" s="150"/>
      <c r="AJ20" s="153"/>
      <c r="AK20" s="27"/>
      <c r="AL20" s="397"/>
      <c r="AM20" s="397"/>
      <c r="AN20" s="27"/>
      <c r="AO20" s="27"/>
      <c r="AP20" s="620"/>
      <c r="AQ20" s="120"/>
      <c r="AR20" s="286"/>
      <c r="AS20" s="286"/>
      <c r="AT20" s="286"/>
      <c r="AU20" s="27"/>
      <c r="AV20" s="397"/>
      <c r="AW20" s="397"/>
      <c r="AX20" s="27"/>
      <c r="AY20" s="27"/>
      <c r="AZ20" s="620"/>
      <c r="BA20" s="120"/>
      <c r="BB20" s="150"/>
      <c r="BC20" s="150"/>
      <c r="BD20" s="153"/>
      <c r="BE20" s="27"/>
      <c r="BF20" s="397"/>
      <c r="BG20" s="397"/>
      <c r="BH20" s="27"/>
      <c r="BI20" s="27"/>
      <c r="BJ20" s="620"/>
      <c r="BK20" s="120"/>
      <c r="BL20" s="150"/>
      <c r="BM20" s="150"/>
      <c r="BN20" s="153"/>
      <c r="BO20" s="27"/>
      <c r="BP20" s="397"/>
      <c r="BQ20" s="397"/>
      <c r="BR20" s="27"/>
      <c r="BS20" s="27"/>
      <c r="BT20" s="620"/>
      <c r="BU20" s="120"/>
      <c r="BV20" s="150"/>
      <c r="BW20" s="150"/>
      <c r="BX20" s="153"/>
      <c r="BY20" s="27"/>
      <c r="BZ20" s="397"/>
      <c r="CA20" s="397"/>
      <c r="CB20" s="27"/>
      <c r="CC20" s="27"/>
      <c r="CD20" s="620"/>
      <c r="CE20" s="120"/>
      <c r="CF20" s="150"/>
      <c r="CG20" s="150"/>
      <c r="CH20" s="153"/>
      <c r="CI20" s="27"/>
      <c r="CJ20" s="397"/>
      <c r="CK20" s="397"/>
      <c r="CL20" s="27"/>
      <c r="CM20" s="27"/>
      <c r="CN20" s="620"/>
      <c r="CO20" s="120"/>
      <c r="CP20" s="150"/>
      <c r="CQ20" s="150"/>
      <c r="CR20" s="153"/>
      <c r="CS20" s="27"/>
      <c r="CT20" s="397"/>
      <c r="CU20" s="397"/>
      <c r="CV20" s="27"/>
      <c r="CW20" s="27"/>
      <c r="CX20" s="620"/>
      <c r="CY20" s="120"/>
      <c r="CZ20" s="150"/>
      <c r="DA20" s="150"/>
      <c r="DB20" s="153"/>
      <c r="DC20" s="27"/>
      <c r="DD20" s="397"/>
      <c r="DE20" s="397"/>
      <c r="DF20" s="27"/>
      <c r="DG20" s="27"/>
      <c r="DH20" s="620"/>
      <c r="DI20" s="120"/>
      <c r="DJ20" s="150"/>
      <c r="DK20" s="150"/>
      <c r="DL20" s="153"/>
      <c r="DM20" s="27"/>
      <c r="DN20" s="397"/>
      <c r="DO20" s="27"/>
      <c r="DP20" s="27"/>
      <c r="DQ20" s="620"/>
      <c r="DR20" s="120"/>
      <c r="DS20" s="150"/>
      <c r="DT20" s="150"/>
      <c r="DU20" s="153"/>
      <c r="DV20" s="27"/>
      <c r="DW20" s="397"/>
      <c r="DX20" s="397"/>
      <c r="DY20" s="27"/>
      <c r="DZ20" s="27"/>
      <c r="EA20" s="620"/>
      <c r="EB20" s="120"/>
      <c r="EC20" s="150"/>
      <c r="ED20" s="150"/>
      <c r="EE20" s="153"/>
      <c r="EF20" s="27"/>
      <c r="EG20" s="397"/>
      <c r="EH20" s="397"/>
      <c r="EI20" s="27"/>
      <c r="EJ20" s="27"/>
      <c r="EK20" s="620"/>
      <c r="EL20" s="120"/>
      <c r="EM20" s="150"/>
      <c r="EN20" s="150"/>
      <c r="EO20" s="153"/>
      <c r="EP20" s="27"/>
      <c r="EQ20" s="397"/>
      <c r="ER20" s="397"/>
      <c r="ES20" s="27"/>
      <c r="ET20" s="27"/>
      <c r="EU20" s="620"/>
      <c r="EV20" s="120"/>
      <c r="EW20" s="150"/>
      <c r="EX20" s="150"/>
      <c r="EY20" s="153"/>
      <c r="EZ20" s="27"/>
      <c r="FA20" s="397"/>
      <c r="FB20" s="397"/>
      <c r="FC20" s="27"/>
      <c r="FD20" s="27"/>
      <c r="FE20" s="620"/>
      <c r="FF20" s="120"/>
      <c r="FG20" s="316"/>
      <c r="FH20" s="150"/>
      <c r="FI20" s="150"/>
      <c r="FJ20" s="27"/>
      <c r="FK20" s="397"/>
      <c r="FL20" s="27"/>
      <c r="FM20" s="688"/>
      <c r="FN20" s="27"/>
      <c r="FO20" s="29"/>
      <c r="FP20" s="688"/>
      <c r="FQ20" s="27"/>
      <c r="FR20" s="29"/>
      <c r="FS20" s="663"/>
      <c r="FT20" s="738"/>
      <c r="FU20" s="711"/>
      <c r="FV20" s="150"/>
      <c r="FW20" s="150"/>
      <c r="FX20" s="153"/>
      <c r="FY20" s="27"/>
      <c r="FZ20" s="397"/>
      <c r="GA20" s="397"/>
      <c r="GB20" s="27"/>
      <c r="GC20" s="27"/>
      <c r="GD20" s="620"/>
      <c r="GE20" s="120"/>
      <c r="GF20" s="150"/>
      <c r="GG20" s="150"/>
      <c r="GH20" s="153"/>
      <c r="GI20" s="27"/>
      <c r="GJ20" s="397"/>
      <c r="GK20" s="397"/>
      <c r="GL20" s="27"/>
      <c r="GM20" s="27"/>
      <c r="GN20" s="620"/>
      <c r="GO20" s="120"/>
      <c r="GP20" s="150"/>
      <c r="GQ20" s="150"/>
      <c r="GR20" s="153"/>
      <c r="GS20" s="27"/>
      <c r="GT20" s="397"/>
      <c r="GU20" s="27"/>
      <c r="GV20" s="27"/>
      <c r="GW20" s="620"/>
      <c r="GX20" s="120"/>
      <c r="GY20" s="150"/>
      <c r="GZ20" s="150"/>
      <c r="HA20" s="150"/>
      <c r="HB20" s="27"/>
      <c r="HC20" s="397"/>
      <c r="HD20" s="27"/>
      <c r="HE20" s="27"/>
      <c r="HF20" s="27"/>
      <c r="HG20" s="620"/>
      <c r="HH20" s="120"/>
      <c r="HI20" s="150"/>
      <c r="HJ20" s="150"/>
      <c r="HK20" s="150"/>
      <c r="HL20" s="27"/>
      <c r="HM20" s="397"/>
      <c r="HN20" s="27"/>
      <c r="HO20" s="27"/>
      <c r="HP20" s="620"/>
      <c r="HQ20" s="120"/>
      <c r="HR20" s="150"/>
      <c r="HS20" s="150"/>
      <c r="HT20" s="150"/>
      <c r="HU20" s="150"/>
    </row>
    <row r="21" spans="1:229">
      <c r="A21" s="18">
        <v>1</v>
      </c>
      <c r="B21" s="19" t="s">
        <v>24</v>
      </c>
      <c r="C21" s="118"/>
      <c r="D21" s="151">
        <v>0</v>
      </c>
      <c r="E21" s="151">
        <f t="shared" ref="E21:E26" si="84">D21/118%</f>
        <v>0</v>
      </c>
      <c r="F21" s="151">
        <f>E21/E2</f>
        <v>0</v>
      </c>
      <c r="G21" s="159">
        <v>200</v>
      </c>
      <c r="H21" s="395">
        <f t="shared" ref="H21:H26" si="85">G21*H$2</f>
        <v>87769.656000000003</v>
      </c>
      <c r="I21" s="395">
        <f t="shared" ref="I21:I26" si="86">H21*118%</f>
        <v>103568.19408</v>
      </c>
      <c r="J21" s="159"/>
      <c r="K21" s="159">
        <f>IFERROR(SUMIFS('PO Tracker'!$J$44:$J$1433,'PO Tracker'!$K$44:$K$1433,$G$6,'PO Tracker'!$L$44:$L$1433,'Capex breakup'!$B21),0)</f>
        <v>0</v>
      </c>
      <c r="L21" s="605">
        <f t="shared" ref="L21:L27" si="87">IFERROR(K21/I21,"")</f>
        <v>0</v>
      </c>
      <c r="M21" s="118"/>
      <c r="N21" s="151">
        <v>0</v>
      </c>
      <c r="O21" s="151">
        <f t="shared" ref="O21:O26" si="88">N21/118%</f>
        <v>0</v>
      </c>
      <c r="P21" s="151">
        <f>O21/O2</f>
        <v>0</v>
      </c>
      <c r="Q21" s="159">
        <v>200</v>
      </c>
      <c r="R21" s="395">
        <f t="shared" ref="R21:R26" si="89">Q21*R$2</f>
        <v>203288.90400000001</v>
      </c>
      <c r="S21" s="395">
        <f t="shared" ref="S21:S26" si="90">R21*118%</f>
        <v>239880.90672</v>
      </c>
      <c r="T21" s="159"/>
      <c r="U21" s="159">
        <f>IFERROR(SUMIFS('PO Tracker'!$J$44:$J$1433,'PO Tracker'!$K$44:$K$1433,$Q$6,'PO Tracker'!$L$44:$L$1433,'Capex breakup'!$B21),0)</f>
        <v>0</v>
      </c>
      <c r="V21" s="605">
        <f t="shared" ref="V21:V27" si="91">IFERROR(U21/S21,"")</f>
        <v>0</v>
      </c>
      <c r="W21" s="118"/>
      <c r="X21" s="151"/>
      <c r="Y21" s="151">
        <f>X21/114%</f>
        <v>0</v>
      </c>
      <c r="Z21" s="133"/>
      <c r="AA21" s="159">
        <v>220</v>
      </c>
      <c r="AB21" s="395">
        <f>AA21*$AB$2</f>
        <v>412045.92</v>
      </c>
      <c r="AC21" s="395">
        <f t="shared" ref="AC21:AC26" si="92">AB21*118%</f>
        <v>486214.18559999997</v>
      </c>
      <c r="AD21" s="159"/>
      <c r="AE21" s="159">
        <f>IFERROR(SUMIFS('PO Tracker'!$J$44:$J$1433,'PO Tracker'!$K$44:$K$1433,$AA$6,'PO Tracker'!$L$44:$L$1433,'Capex breakup'!$B21),0)</f>
        <v>114991</v>
      </c>
      <c r="AF21" s="605">
        <f t="shared" ref="AF21:AF27" si="93">IFERROR(AE21/AC21,"")</f>
        <v>0.23650276648777399</v>
      </c>
      <c r="AG21" s="118"/>
      <c r="AH21" s="151">
        <v>0</v>
      </c>
      <c r="AI21" s="151">
        <f t="shared" ref="AI21:AI26" si="94">AH21/118%</f>
        <v>0</v>
      </c>
      <c r="AJ21" s="151">
        <f>AI21/AI2</f>
        <v>0</v>
      </c>
      <c r="AK21" s="159">
        <v>500</v>
      </c>
      <c r="AL21" s="395">
        <f t="shared" ref="AL21:AL26" si="95">AK21*AL$2</f>
        <v>202578.47999999998</v>
      </c>
      <c r="AM21" s="395">
        <f t="shared" ref="AM21:AM26" si="96">AL21*118%</f>
        <v>239042.60639999996</v>
      </c>
      <c r="AN21" s="159"/>
      <c r="AO21" s="159">
        <f>IFERROR(SUMIFS('PO Tracker'!$J$44:$J$1433,'PO Tracker'!$K$44:$K$1433,$AK$6,'PO Tracker'!$L$44:$L$1433,'Capex breakup'!$B21),0)</f>
        <v>67211.018199999991</v>
      </c>
      <c r="AP21" s="605">
        <f t="shared" ref="AP21:AP27" si="97">IFERROR(AO21/AM21,"")</f>
        <v>0.28116752579049858</v>
      </c>
      <c r="AQ21" s="118"/>
      <c r="AR21" s="287"/>
      <c r="AS21" s="287">
        <f>AR21/118%</f>
        <v>0</v>
      </c>
      <c r="AT21" s="288">
        <f>AS21/AS$2</f>
        <v>0</v>
      </c>
      <c r="AU21" s="159">
        <v>200</v>
      </c>
      <c r="AV21" s="395">
        <f t="shared" ref="AV21:AV26" si="98">AU21*AV$2</f>
        <v>203977.8</v>
      </c>
      <c r="AW21" s="395">
        <f t="shared" ref="AW21:AW26" si="99">AV21*118%</f>
        <v>240693.80399999997</v>
      </c>
      <c r="AX21" s="159"/>
      <c r="AY21" s="159">
        <f>IFERROR(SUMIFS('PO Tracker'!$J$44:$J$1433,'PO Tracker'!$K$44:$K$1433,$AU$6,'PO Tracker'!$L$44:$L$1433,'Capex breakup'!$B21),0)</f>
        <v>44197.053399999997</v>
      </c>
      <c r="AZ21" s="605">
        <f t="shared" ref="AZ21:AZ27" si="100">IFERROR(AY21/AW21,"")</f>
        <v>0.18362356099536323</v>
      </c>
      <c r="BA21" s="118"/>
      <c r="BB21" s="151"/>
      <c r="BC21" s="151">
        <f t="shared" ref="BC21:BC26" si="101">BB21/118%</f>
        <v>0</v>
      </c>
      <c r="BD21" s="151">
        <f>BC21/BC2</f>
        <v>0</v>
      </c>
      <c r="BE21" s="159">
        <v>200</v>
      </c>
      <c r="BF21" s="395">
        <f t="shared" ref="BF21:BF26" si="102">BE21*BF$2</f>
        <v>155475.21599999999</v>
      </c>
      <c r="BG21" s="395">
        <f t="shared" ref="BG21:BG26" si="103">BF21*118%</f>
        <v>183460.75487999996</v>
      </c>
      <c r="BH21" s="159"/>
      <c r="BI21" s="159">
        <f>IFERROR(SUMIFS('PO Tracker'!$J$44:$J$1433,'PO Tracker'!$K$44:$K$1433,$BE$6,'PO Tracker'!$L$44:$L$1433,'Capex breakup'!$B21),0)</f>
        <v>57643.200599999996</v>
      </c>
      <c r="BJ21" s="605">
        <f t="shared" ref="BJ21:BJ27" si="104">IFERROR(BI21/BG21,"")</f>
        <v>0.31419908109341366</v>
      </c>
      <c r="BK21" s="118"/>
      <c r="BL21" s="151"/>
      <c r="BM21" s="151"/>
      <c r="BN21" s="151"/>
      <c r="BO21" s="159">
        <v>300</v>
      </c>
      <c r="BP21" s="395">
        <f t="shared" ref="BP21:BP26" si="105">BO21*BP$2</f>
        <v>171535.10399999996</v>
      </c>
      <c r="BQ21" s="395">
        <f t="shared" ref="BQ21:BQ26" si="106">BP21*118%</f>
        <v>202411.42271999994</v>
      </c>
      <c r="BR21" s="159"/>
      <c r="BS21" s="159">
        <f>IFERROR(SUMIFS('PO Tracker'!$J$44:$J$1433,'PO Tracker'!$K$44:$K$1433,$BO$6,'PO Tracker'!$L$44:$L$1433,'Capex breakup'!$B21),0)</f>
        <v>0</v>
      </c>
      <c r="BT21" s="605">
        <f t="shared" ref="BT21:BT27" si="107">IFERROR(BS21/BQ21,"")</f>
        <v>0</v>
      </c>
      <c r="BU21" s="118"/>
      <c r="BV21" s="151"/>
      <c r="BW21" s="151">
        <f t="shared" ref="BW21:BW26" si="108">BV21/118%</f>
        <v>0</v>
      </c>
      <c r="BX21" s="151">
        <f>BW21/BW2</f>
        <v>0</v>
      </c>
      <c r="BY21" s="159">
        <v>150</v>
      </c>
      <c r="BZ21" s="395">
        <f t="shared" ref="BZ21:BZ26" si="109">BY21*BZ$2</f>
        <v>55962.035999999993</v>
      </c>
      <c r="CA21" s="395">
        <f t="shared" ref="CA21:CA26" si="110">BZ21*118%</f>
        <v>66035.202479999993</v>
      </c>
      <c r="CB21" s="159"/>
      <c r="CC21" s="159">
        <f>IFERROR(SUMIFS('PO Tracker'!$J$44:$J$1433,'PO Tracker'!$K$44:$K$1433,$BY$6,'PO Tracker'!$L$44:$L$1433,'Capex breakup'!$B21),0)</f>
        <v>43567.074999999997</v>
      </c>
      <c r="CD21" s="605">
        <f t="shared" ref="CD21:CD27" si="111">IFERROR(CC21/CA21,"")</f>
        <v>0.65975530268412685</v>
      </c>
      <c r="CE21" s="118"/>
      <c r="CF21" s="151"/>
      <c r="CG21" s="151">
        <f t="shared" ref="CG21:CG26" si="112">CF21/118%</f>
        <v>0</v>
      </c>
      <c r="CH21" s="151">
        <f>CG21/CG2</f>
        <v>0</v>
      </c>
      <c r="CI21" s="159">
        <v>600</v>
      </c>
      <c r="CJ21" s="395">
        <f t="shared" ref="CJ21:CJ26" si="113">CI21*CJ$2</f>
        <v>116251.19999999998</v>
      </c>
      <c r="CK21" s="395">
        <f t="shared" ref="CK21:CK26" si="114">CJ21*118%</f>
        <v>137176.41599999997</v>
      </c>
      <c r="CL21" s="159"/>
      <c r="CM21" s="159">
        <f>IFERROR(SUMIFS('PO Tracker'!$J$44:$J$1433,'PO Tracker'!$K$44:$K$1433,$CI$6,'PO Tracker'!$L$44:$L$1433,'Capex breakup'!$B21),0)</f>
        <v>0</v>
      </c>
      <c r="CN21" s="605">
        <f t="shared" ref="CN21:CN27" si="115">IFERROR(CM21/CK21,"")</f>
        <v>0</v>
      </c>
      <c r="CO21" s="118"/>
      <c r="CP21" s="151"/>
      <c r="CQ21" s="151">
        <f t="shared" ref="CQ21:CQ26" si="116">CP21/118%</f>
        <v>0</v>
      </c>
      <c r="CR21" s="151"/>
      <c r="CS21" s="159"/>
      <c r="CT21" s="395">
        <f t="shared" ref="CT21:CT26" si="117">CS21*CT$2</f>
        <v>0</v>
      </c>
      <c r="CU21" s="395">
        <f t="shared" ref="CU21:CU26" si="118">CT21*118%</f>
        <v>0</v>
      </c>
      <c r="CV21" s="159"/>
      <c r="CW21" s="159">
        <f>IFERROR(SUMIFS('PO Tracker'!$J$44:$J$1433,'PO Tracker'!$K$44:$K$1433,$CS$6,'PO Tracker'!$L$44:$L$1433,'Capex breakup'!$B21),0)</f>
        <v>0</v>
      </c>
      <c r="CX21" s="605" t="str">
        <f t="shared" ref="CX21:CX27" si="119">IFERROR(CW21/CU21,"")</f>
        <v/>
      </c>
      <c r="CY21" s="118"/>
      <c r="CZ21" s="151"/>
      <c r="DA21" s="151">
        <f t="shared" ref="DA21:DA26" si="120">CZ21/118%</f>
        <v>0</v>
      </c>
      <c r="DB21" s="151">
        <f>DA21/DA2</f>
        <v>0</v>
      </c>
      <c r="DC21" s="159">
        <v>500</v>
      </c>
      <c r="DD21" s="395">
        <f t="shared" ref="DD21:DD26" si="121">DC21*DD$2</f>
        <v>107639.99999999999</v>
      </c>
      <c r="DE21" s="395">
        <f t="shared" ref="DE21:DE26" si="122">DD21*118%</f>
        <v>127015.19999999998</v>
      </c>
      <c r="DF21" s="159"/>
      <c r="DG21" s="159">
        <f>IFERROR(SUMIFS('PO Tracker'!$J$44:$J$1433,'PO Tracker'!$K$44:$K$1433,$DC$6,'PO Tracker'!$L$44:$L$1433,'Capex breakup'!$B21),0)</f>
        <v>106145.72</v>
      </c>
      <c r="DH21" s="605">
        <f t="shared" ref="DH21:DH27" si="123">IFERROR(DG21/DE21,"")</f>
        <v>0.83569305091044233</v>
      </c>
      <c r="DI21" s="118"/>
      <c r="DJ21" s="151"/>
      <c r="DK21" s="151">
        <f t="shared" ref="DK21:DK26" si="124">DJ21/118%</f>
        <v>0</v>
      </c>
      <c r="DL21" s="151">
        <f>DK21/DK2</f>
        <v>0</v>
      </c>
      <c r="DM21" s="159"/>
      <c r="DN21" s="395">
        <f t="shared" ref="DN21:DN26" si="125">GT21</f>
        <v>0</v>
      </c>
      <c r="DO21" s="159">
        <f t="shared" ref="DO21:DO26" si="126">DN21*118%</f>
        <v>0</v>
      </c>
      <c r="DP21" s="159">
        <f>IFERROR(SUMIFS('PO Tracker'!$J$44:$J$1433,'PO Tracker'!$K$44:$K$1433,$DM$6,'PO Tracker'!$L$44:$L$1433,'Capex breakup'!$B21),0)</f>
        <v>0</v>
      </c>
      <c r="DQ21" s="605" t="str">
        <f t="shared" ref="DQ21:DQ27" si="127">IFERROR(DP21/DN21,"")</f>
        <v/>
      </c>
      <c r="DR21" s="118"/>
      <c r="DS21" s="151"/>
      <c r="DT21" s="151">
        <f t="shared" ref="DT21:DT26" si="128">DS21/118%</f>
        <v>0</v>
      </c>
      <c r="DU21" s="151">
        <f>DT21/DT2</f>
        <v>0</v>
      </c>
      <c r="DV21" s="159">
        <v>83.459637561779232</v>
      </c>
      <c r="DW21" s="395">
        <f>DV21*$DW$2</f>
        <v>109060.84799999997</v>
      </c>
      <c r="DX21" s="395">
        <f t="shared" ref="DX21:DX26" si="129">DW21*118%</f>
        <v>128691.80063999996</v>
      </c>
      <c r="DY21" s="159"/>
      <c r="DZ21" s="159">
        <f>IFERROR(SUMIFS('PO Tracker'!$J$44:$J$1433,'PO Tracker'!$K$44:$K$1433,$DV$6,'PO Tracker'!$L$44:$L$1433,'Capex breakup'!$B21),0)</f>
        <v>119144.6</v>
      </c>
      <c r="EA21" s="605">
        <f t="shared" ref="EA21:EA27" si="130">IFERROR(DZ21/DX21,"")</f>
        <v>0.9258134504877501</v>
      </c>
      <c r="EB21" s="118"/>
      <c r="EC21" s="151"/>
      <c r="ED21" s="151">
        <f t="shared" ref="ED21:ED26" si="131">EC21/118%</f>
        <v>0</v>
      </c>
      <c r="EE21" s="151">
        <f>ED21/ED2</f>
        <v>0</v>
      </c>
      <c r="EF21" s="159">
        <v>350</v>
      </c>
      <c r="EG21" s="395">
        <f t="shared" ref="EG21:EG26" si="132">EF21*EG$2</f>
        <v>134646.87599999999</v>
      </c>
      <c r="EH21" s="395">
        <f t="shared" ref="EH21:EH26" si="133">EG21*118%</f>
        <v>158883.31367999999</v>
      </c>
      <c r="EI21" s="159"/>
      <c r="EJ21" s="159">
        <f>IFERROR(SUMIFS('PO Tracker'!$J$44:$J$1433,'PO Tracker'!$K$44:$K$1433,$EF$6,'PO Tracker'!$L$44:$L$1433,'Capex breakup'!$B21),0)</f>
        <v>92876.62</v>
      </c>
      <c r="EK21" s="605">
        <f t="shared" ref="EK21:EK27" si="134">IFERROR(EJ21/EH21,"")</f>
        <v>0.58455867925223903</v>
      </c>
      <c r="EL21" s="118"/>
      <c r="EM21" s="151"/>
      <c r="EN21" s="151"/>
      <c r="EO21" s="151"/>
      <c r="EP21" s="159">
        <v>200</v>
      </c>
      <c r="EQ21" s="395">
        <f t="shared" ref="EQ21:EQ26" si="135">EP21*EQ$2</f>
        <v>76941.072</v>
      </c>
      <c r="ER21" s="395">
        <f t="shared" ref="ER21:ER26" si="136">EQ21*118%</f>
        <v>90790.464959999998</v>
      </c>
      <c r="ES21" s="159"/>
      <c r="ET21" s="159">
        <f>IFERROR(SUMIFS('PO Tracker'!$J$44:$J$1433,'PO Tracker'!$K$44:$K$1433,$EP$6,'PO Tracker'!$L$44:$L$1433,'Capex breakup'!$B21),0)</f>
        <v>0</v>
      </c>
      <c r="EU21" s="605">
        <f t="shared" ref="EU21:EU27" si="137">IFERROR(ET21/ER21,"")</f>
        <v>0</v>
      </c>
      <c r="EV21" s="118"/>
      <c r="EW21" s="151"/>
      <c r="EX21" s="151"/>
      <c r="EY21" s="151"/>
      <c r="EZ21" s="159">
        <v>120</v>
      </c>
      <c r="FA21" s="395">
        <f t="shared" ref="FA21:FA26" si="138">EZ21*FA$2</f>
        <v>153697.00319999998</v>
      </c>
      <c r="FB21" s="395">
        <f t="shared" ref="FB21:FB26" si="139">FA21*118%</f>
        <v>181362.46377599996</v>
      </c>
      <c r="FC21" s="159"/>
      <c r="FD21" s="159">
        <f>IFERROR(SUMIFS('PO Tracker'!$J$44:$J$1433,'PO Tracker'!$K$44:$K$1433,$EZ$6,'PO Tracker'!$L$44:$L$1433,'Capex breakup'!$B21),0)</f>
        <v>619264</v>
      </c>
      <c r="FE21" s="605">
        <f t="shared" ref="FE21:FE27" si="140">IFERROR(FD21/FB21,"")</f>
        <v>3.4145102967108478</v>
      </c>
      <c r="FF21" s="118"/>
      <c r="FG21" s="318"/>
      <c r="FH21" s="151">
        <f>FG21/114%</f>
        <v>0</v>
      </c>
      <c r="FI21" s="133">
        <f t="shared" ref="FI21:FI26" si="141">FH21/$FH$2</f>
        <v>0</v>
      </c>
      <c r="FJ21" s="159">
        <v>100</v>
      </c>
      <c r="FK21" s="395">
        <f t="shared" ref="FK21:FK26" si="142">FJ21*FK$2</f>
        <v>262071.10800000001</v>
      </c>
      <c r="FL21" s="159">
        <f t="shared" ref="FL21:FL26" si="143">FK21*118%</f>
        <v>309243.90743999998</v>
      </c>
      <c r="FM21" s="684"/>
      <c r="FN21" s="159">
        <f>FK21</f>
        <v>262071.10800000001</v>
      </c>
      <c r="FO21" s="685">
        <f>FN21*1.18</f>
        <v>309243.90743999998</v>
      </c>
      <c r="FP21" s="684"/>
      <c r="FQ21" s="159">
        <f t="shared" ref="FQ21:FQ26" si="144">FK21-FN21</f>
        <v>0</v>
      </c>
      <c r="FR21" s="685">
        <f t="shared" ref="FR21:FR26" si="145">FQ21*1.18</f>
        <v>0</v>
      </c>
      <c r="FS21" s="662">
        <f>IFERROR(SUMIFS('PO Tracker'!$J$44:$J$1433,'PO Tracker'!$K$44:$K$1433,$FJ$6,'PO Tracker'!$L$44:$L$1433,'Capex breakup'!$B21),0)</f>
        <v>90522.46</v>
      </c>
      <c r="FT21" s="736" t="str">
        <f t="shared" ref="FT21:FT27" si="146">IFERROR(FS21/FQ21,"")</f>
        <v/>
      </c>
      <c r="FU21" s="709"/>
      <c r="FV21" s="151"/>
      <c r="FW21" s="151">
        <f t="shared" ref="FW21:FW26" si="147">FV21/118%</f>
        <v>0</v>
      </c>
      <c r="FX21" s="151">
        <f>FW21/FW2</f>
        <v>0</v>
      </c>
      <c r="FY21" s="159">
        <v>300</v>
      </c>
      <c r="FZ21" s="395">
        <f t="shared" ref="FZ21:FZ26" si="148">FY21*FZ$2</f>
        <v>66779.856</v>
      </c>
      <c r="GA21" s="395">
        <f t="shared" ref="GA21:GA26" si="149">FZ21*118%</f>
        <v>78800.230079999994</v>
      </c>
      <c r="GB21" s="159"/>
      <c r="GC21" s="159">
        <f>IFERROR(SUMIFS('PO Tracker'!$J$44:$J$1433,'PO Tracker'!$K$44:$K$1433,$FY$6,'PO Tracker'!$L$44:$L$1433,'Capex breakup'!$B21),0)</f>
        <v>50280.307399999998</v>
      </c>
      <c r="GD21" s="605">
        <f t="shared" ref="GD21:GD27" si="150">IFERROR(GC21/GA21,"")</f>
        <v>0.63807310396117056</v>
      </c>
      <c r="GE21" s="118"/>
      <c r="GF21" s="151"/>
      <c r="GG21" s="151">
        <f t="shared" ref="GG21:GG26" si="151">GF21/118%</f>
        <v>0</v>
      </c>
      <c r="GH21" s="151">
        <f>GG21/GG2</f>
        <v>0</v>
      </c>
      <c r="GI21" s="159">
        <v>300</v>
      </c>
      <c r="GJ21" s="395">
        <f t="shared" ref="GJ21:GJ26" si="152">GI21*GJ$2</f>
        <v>45208.800000000003</v>
      </c>
      <c r="GK21" s="395">
        <f t="shared" ref="GK21:GK26" si="153">GJ21*118%</f>
        <v>53346.383999999998</v>
      </c>
      <c r="GL21" s="159"/>
      <c r="GM21" s="159">
        <f>IFERROR(SUMIFS('PO Tracker'!$J$44:$J$1433,'PO Tracker'!$K$44:$K$1433,$GI$6,'PO Tracker'!$L$44:$L$1433,'Capex breakup'!$B21),0)</f>
        <v>136941.96179999999</v>
      </c>
      <c r="GN21" s="605">
        <f t="shared" ref="GN21:GN27" si="154">IFERROR(GM21/GK21,"")</f>
        <v>2.5670336306205872</v>
      </c>
      <c r="GO21" s="118"/>
      <c r="GP21" s="151"/>
      <c r="GQ21" s="151">
        <f t="shared" ref="GQ21:GQ26" si="155">GP21/118%</f>
        <v>0</v>
      </c>
      <c r="GR21" s="151">
        <f>GQ21/GQ2</f>
        <v>0</v>
      </c>
      <c r="GS21" s="159"/>
      <c r="GT21" s="395">
        <v>0</v>
      </c>
      <c r="GU21" s="159">
        <v>0</v>
      </c>
      <c r="GV21" s="159">
        <f>IFERROR(SUMIFS('PO Tracker'!$J$44:$J$1433,'PO Tracker'!$K$44:$K$1433,$GS$6,'PO Tracker'!$L$44:$L$1433,'Capex breakup'!$B21),0)</f>
        <v>0</v>
      </c>
      <c r="GW21" s="605" t="str">
        <f t="shared" ref="GW21:GW27" si="156">IFERROR(GV21/GT21,"")</f>
        <v/>
      </c>
      <c r="GX21" s="118"/>
      <c r="GY21" s="151"/>
      <c r="GZ21" s="151">
        <f>GY21/114%</f>
        <v>0</v>
      </c>
      <c r="HA21" s="133"/>
      <c r="HB21" s="159">
        <v>100</v>
      </c>
      <c r="HC21" s="395">
        <f t="shared" ref="HC21:HC26" si="157">HB21*HC$2</f>
        <v>333856.22400000005</v>
      </c>
      <c r="HD21" s="159">
        <f t="shared" ref="HD21:HD26" si="158">HC21*118%</f>
        <v>393950.34432000003</v>
      </c>
      <c r="HE21" s="159"/>
      <c r="HF21" s="159">
        <f>IFERROR(SUMIFS('PO Tracker'!$J$44:$J$1433,'PO Tracker'!$K$44:$K$1433,$HB$6,'PO Tracker'!$L$44:$L$1433,'Capex breakup'!$B21),0)</f>
        <v>127964.746</v>
      </c>
      <c r="HG21" s="605">
        <f t="shared" ref="HG21:HG27" si="159">IFERROR(HF21/HD21,"")</f>
        <v>0.3248245568128153</v>
      </c>
      <c r="HH21" s="118"/>
      <c r="HI21" s="151"/>
      <c r="HJ21" s="151">
        <f>HI21/114%</f>
        <v>0</v>
      </c>
      <c r="HK21" s="133"/>
      <c r="HL21" s="159">
        <v>70</v>
      </c>
      <c r="HM21" s="395">
        <f t="shared" ref="HM21:HM26" si="160">HL21*HM$2</f>
        <v>237722.94</v>
      </c>
      <c r="HN21" s="159">
        <f t="shared" ref="HN21:HN26" si="161">HM21*118%</f>
        <v>280513.06919999997</v>
      </c>
      <c r="HO21" s="159">
        <f>IFERROR(SUMIFS('PO Tracker'!$J$44:$J$1433,'PO Tracker'!$K$44:$K$1433,$HL$6,'PO Tracker'!$L$44:$L$1433,'Capex breakup'!$B21),0)</f>
        <v>84259.858800000002</v>
      </c>
      <c r="HP21" s="605">
        <f t="shared" ref="HP21:HP27" si="162">IFERROR(HO21/HM21,"")</f>
        <v>0.35444563658854294</v>
      </c>
      <c r="HQ21" s="118"/>
      <c r="HR21" s="364"/>
      <c r="HS21" s="364"/>
      <c r="HT21" s="364"/>
      <c r="HU21" s="364"/>
    </row>
    <row r="22" spans="1:229">
      <c r="A22" s="18">
        <v>2</v>
      </c>
      <c r="B22" s="19" t="s">
        <v>25</v>
      </c>
      <c r="C22" s="118"/>
      <c r="D22" s="151">
        <v>0</v>
      </c>
      <c r="E22" s="151">
        <f t="shared" si="84"/>
        <v>0</v>
      </c>
      <c r="F22" s="151">
        <f>E22/E2</f>
        <v>0</v>
      </c>
      <c r="G22" s="159"/>
      <c r="H22" s="395">
        <f t="shared" si="85"/>
        <v>0</v>
      </c>
      <c r="I22" s="395">
        <f t="shared" si="86"/>
        <v>0</v>
      </c>
      <c r="J22" s="159"/>
      <c r="K22" s="159">
        <f>IFERROR(SUMIFS('PO Tracker'!$J$44:$J$1433,'PO Tracker'!$K$44:$K$1433,$G$6,'PO Tracker'!$L$44:$L$1433,'Capex breakup'!$B22),0)</f>
        <v>0</v>
      </c>
      <c r="L22" s="605" t="str">
        <f t="shared" si="87"/>
        <v/>
      </c>
      <c r="M22" s="118"/>
      <c r="N22" s="151">
        <v>0</v>
      </c>
      <c r="O22" s="151">
        <f t="shared" si="88"/>
        <v>0</v>
      </c>
      <c r="P22" s="151">
        <f>O22/O2</f>
        <v>0</v>
      </c>
      <c r="Q22" s="159">
        <v>0</v>
      </c>
      <c r="R22" s="395">
        <f t="shared" si="89"/>
        <v>0</v>
      </c>
      <c r="S22" s="395">
        <f t="shared" si="90"/>
        <v>0</v>
      </c>
      <c r="T22" s="159"/>
      <c r="U22" s="159">
        <f>IFERROR(SUMIFS('PO Tracker'!$J$44:$J$1433,'PO Tracker'!$K$44:$K$1433,$Q$6,'PO Tracker'!$L$44:$L$1433,'Capex breakup'!$B22),0)</f>
        <v>0</v>
      </c>
      <c r="V22" s="605" t="str">
        <f t="shared" si="91"/>
        <v/>
      </c>
      <c r="W22" s="118"/>
      <c r="X22" s="151"/>
      <c r="Y22" s="151">
        <f>X22/114%</f>
        <v>0</v>
      </c>
      <c r="Z22" s="133"/>
      <c r="AA22" s="159">
        <v>0</v>
      </c>
      <c r="AB22" s="395">
        <v>0</v>
      </c>
      <c r="AC22" s="395">
        <f t="shared" si="92"/>
        <v>0</v>
      </c>
      <c r="AD22" s="159"/>
      <c r="AE22" s="159">
        <f>IFERROR(SUMIFS('PO Tracker'!$J$44:$J$1433,'PO Tracker'!$K$44:$K$1433,$AA$6,'PO Tracker'!$L$44:$L$1433,'Capex breakup'!$B22),0)</f>
        <v>0</v>
      </c>
      <c r="AF22" s="605" t="str">
        <f t="shared" si="93"/>
        <v/>
      </c>
      <c r="AG22" s="118"/>
      <c r="AH22" s="151">
        <v>0</v>
      </c>
      <c r="AI22" s="151">
        <f t="shared" si="94"/>
        <v>0</v>
      </c>
      <c r="AJ22" s="151">
        <f>AI22/AI2</f>
        <v>0</v>
      </c>
      <c r="AK22" s="159">
        <v>0</v>
      </c>
      <c r="AL22" s="395">
        <f t="shared" si="95"/>
        <v>0</v>
      </c>
      <c r="AM22" s="395">
        <f t="shared" si="96"/>
        <v>0</v>
      </c>
      <c r="AN22" s="159"/>
      <c r="AO22" s="159">
        <f>IFERROR(SUMIFS('PO Tracker'!$J$44:$J$1433,'PO Tracker'!$K$44:$K$1433,$AK$6,'PO Tracker'!$L$44:$L$1433,'Capex breakup'!$B22),0)</f>
        <v>0</v>
      </c>
      <c r="AP22" s="605" t="str">
        <f t="shared" si="97"/>
        <v/>
      </c>
      <c r="AQ22" s="118"/>
      <c r="AR22" s="287"/>
      <c r="AS22" s="287">
        <f>AR22/118%</f>
        <v>0</v>
      </c>
      <c r="AT22" s="288">
        <f>AS22/AS$2</f>
        <v>0</v>
      </c>
      <c r="AU22" s="159">
        <v>200</v>
      </c>
      <c r="AV22" s="395">
        <f t="shared" si="98"/>
        <v>203977.8</v>
      </c>
      <c r="AW22" s="395">
        <f t="shared" si="99"/>
        <v>240693.80399999997</v>
      </c>
      <c r="AX22" s="159"/>
      <c r="AY22" s="159">
        <f>IFERROR(SUMIFS('PO Tracker'!$J$44:$J$1433,'PO Tracker'!$K$44:$K$1433,$AU$6,'PO Tracker'!$L$44:$L$1433,'Capex breakup'!$B22),0)</f>
        <v>0</v>
      </c>
      <c r="AZ22" s="605">
        <f t="shared" si="100"/>
        <v>0</v>
      </c>
      <c r="BA22" s="118"/>
      <c r="BB22" s="151"/>
      <c r="BC22" s="151">
        <f t="shared" si="101"/>
        <v>0</v>
      </c>
      <c r="BD22" s="151">
        <f>BC22/BC2</f>
        <v>0</v>
      </c>
      <c r="BE22" s="159">
        <v>0</v>
      </c>
      <c r="BF22" s="395">
        <f t="shared" si="102"/>
        <v>0</v>
      </c>
      <c r="BG22" s="395">
        <f t="shared" si="103"/>
        <v>0</v>
      </c>
      <c r="BH22" s="159"/>
      <c r="BI22" s="159">
        <f>IFERROR(SUMIFS('PO Tracker'!$J$44:$J$1433,'PO Tracker'!$K$44:$K$1433,$BE$6,'PO Tracker'!$L$44:$L$1433,'Capex breakup'!$B22),0)</f>
        <v>0</v>
      </c>
      <c r="BJ22" s="605" t="str">
        <f t="shared" si="104"/>
        <v/>
      </c>
      <c r="BK22" s="118"/>
      <c r="BL22" s="151"/>
      <c r="BM22" s="151"/>
      <c r="BN22" s="151"/>
      <c r="BO22" s="159">
        <v>0</v>
      </c>
      <c r="BP22" s="395">
        <f t="shared" si="105"/>
        <v>0</v>
      </c>
      <c r="BQ22" s="395">
        <f t="shared" si="106"/>
        <v>0</v>
      </c>
      <c r="BR22" s="159"/>
      <c r="BS22" s="159">
        <f>IFERROR(SUMIFS('PO Tracker'!$J$44:$J$1433,'PO Tracker'!$K$44:$K$1433,$BO$6,'PO Tracker'!$L$44:$L$1433,'Capex breakup'!$B22),0)</f>
        <v>0</v>
      </c>
      <c r="BT22" s="605" t="str">
        <f t="shared" si="107"/>
        <v/>
      </c>
      <c r="BU22" s="118"/>
      <c r="BV22" s="151"/>
      <c r="BW22" s="151">
        <f t="shared" si="108"/>
        <v>0</v>
      </c>
      <c r="BX22" s="151">
        <f>BW22/BW2</f>
        <v>0</v>
      </c>
      <c r="BY22" s="159">
        <v>0</v>
      </c>
      <c r="BZ22" s="395">
        <f t="shared" si="109"/>
        <v>0</v>
      </c>
      <c r="CA22" s="395">
        <f t="shared" si="110"/>
        <v>0</v>
      </c>
      <c r="CB22" s="159"/>
      <c r="CC22" s="159">
        <f>IFERROR(SUMIFS('PO Tracker'!$J$44:$J$1433,'PO Tracker'!$K$44:$K$1433,$BY$6,'PO Tracker'!$L$44:$L$1433,'Capex breakup'!$B22),0)</f>
        <v>0</v>
      </c>
      <c r="CD22" s="605" t="str">
        <f t="shared" si="111"/>
        <v/>
      </c>
      <c r="CE22" s="118"/>
      <c r="CF22" s="151">
        <v>63622.06</v>
      </c>
      <c r="CG22" s="151">
        <f t="shared" si="112"/>
        <v>53917</v>
      </c>
      <c r="CH22" s="151">
        <f>CG22/CG2</f>
        <v>161.64108406283728</v>
      </c>
      <c r="CI22" s="159">
        <v>0</v>
      </c>
      <c r="CJ22" s="395">
        <f t="shared" si="113"/>
        <v>0</v>
      </c>
      <c r="CK22" s="395">
        <f t="shared" si="114"/>
        <v>0</v>
      </c>
      <c r="CL22" s="159"/>
      <c r="CM22" s="159">
        <f>IFERROR(SUMIFS('PO Tracker'!$J$44:$J$1433,'PO Tracker'!$K$44:$K$1433,$CI$6,'PO Tracker'!$L$44:$L$1433,'Capex breakup'!$B22),0)</f>
        <v>0</v>
      </c>
      <c r="CN22" s="605" t="str">
        <f t="shared" si="115"/>
        <v/>
      </c>
      <c r="CO22" s="118"/>
      <c r="CP22" s="151"/>
      <c r="CQ22" s="151">
        <f t="shared" si="116"/>
        <v>0</v>
      </c>
      <c r="CR22" s="151"/>
      <c r="CS22" s="159"/>
      <c r="CT22" s="395">
        <f t="shared" si="117"/>
        <v>0</v>
      </c>
      <c r="CU22" s="395">
        <f t="shared" si="118"/>
        <v>0</v>
      </c>
      <c r="CV22" s="159"/>
      <c r="CW22" s="159">
        <f>IFERROR(SUMIFS('PO Tracker'!$J$44:$J$1433,'PO Tracker'!$K$44:$K$1433,$CS$6,'PO Tracker'!$L$44:$L$1433,'Capex breakup'!$B22),0)</f>
        <v>0</v>
      </c>
      <c r="CX22" s="605" t="str">
        <f t="shared" si="119"/>
        <v/>
      </c>
      <c r="CY22" s="118"/>
      <c r="CZ22" s="151">
        <v>63622.06</v>
      </c>
      <c r="DA22" s="151">
        <f t="shared" si="120"/>
        <v>53917</v>
      </c>
      <c r="DB22" s="151">
        <f>DA22/DA2</f>
        <v>161.64108406283728</v>
      </c>
      <c r="DC22" s="159">
        <v>0</v>
      </c>
      <c r="DD22" s="395">
        <f t="shared" si="121"/>
        <v>0</v>
      </c>
      <c r="DE22" s="395">
        <f t="shared" si="122"/>
        <v>0</v>
      </c>
      <c r="DF22" s="159"/>
      <c r="DG22" s="159">
        <f>IFERROR(SUMIFS('PO Tracker'!$J$44:$J$1433,'PO Tracker'!$K$44:$K$1433,$DC$6,'PO Tracker'!$L$44:$L$1433,'Capex breakup'!$B22),0)</f>
        <v>0</v>
      </c>
      <c r="DH22" s="605" t="str">
        <f t="shared" si="123"/>
        <v/>
      </c>
      <c r="DI22" s="118"/>
      <c r="DJ22" s="151"/>
      <c r="DK22" s="151">
        <f t="shared" si="124"/>
        <v>0</v>
      </c>
      <c r="DL22" s="151">
        <f>DK22/DK2</f>
        <v>0</v>
      </c>
      <c r="DM22" s="159">
        <f>+DL22</f>
        <v>0</v>
      </c>
      <c r="DN22" s="395">
        <f t="shared" si="125"/>
        <v>0</v>
      </c>
      <c r="DO22" s="159">
        <f t="shared" si="126"/>
        <v>0</v>
      </c>
      <c r="DP22" s="159">
        <f>IFERROR(SUMIFS('PO Tracker'!$J$44:$J$1433,'PO Tracker'!$K$44:$K$1433,$DM$6,'PO Tracker'!$L$44:$L$1433,'Capex breakup'!$B22),0)</f>
        <v>0</v>
      </c>
      <c r="DQ22" s="605" t="str">
        <f t="shared" si="127"/>
        <v/>
      </c>
      <c r="DR22" s="118"/>
      <c r="DS22" s="151">
        <v>63622.06</v>
      </c>
      <c r="DT22" s="151">
        <f t="shared" si="128"/>
        <v>53917</v>
      </c>
      <c r="DU22" s="151">
        <f>DT22/DT2</f>
        <v>161.64108406283728</v>
      </c>
      <c r="DV22" s="159"/>
      <c r="DW22" s="395">
        <v>0</v>
      </c>
      <c r="DX22" s="395">
        <f t="shared" si="129"/>
        <v>0</v>
      </c>
      <c r="DY22" s="159"/>
      <c r="DZ22" s="159">
        <f>IFERROR(SUMIFS('PO Tracker'!$J$44:$J$1433,'PO Tracker'!$K$44:$K$1433,$DV$6,'PO Tracker'!$L$44:$L$1433,'Capex breakup'!$B22),0)</f>
        <v>0</v>
      </c>
      <c r="EA22" s="605" t="str">
        <f t="shared" si="130"/>
        <v/>
      </c>
      <c r="EB22" s="118"/>
      <c r="EC22" s="151">
        <v>63622.06</v>
      </c>
      <c r="ED22" s="151">
        <f t="shared" si="131"/>
        <v>53917</v>
      </c>
      <c r="EE22" s="151">
        <f>ED22/ED2</f>
        <v>161.64108406283728</v>
      </c>
      <c r="EF22" s="159">
        <v>0</v>
      </c>
      <c r="EG22" s="395">
        <f t="shared" si="132"/>
        <v>0</v>
      </c>
      <c r="EH22" s="395">
        <f t="shared" si="133"/>
        <v>0</v>
      </c>
      <c r="EI22" s="159"/>
      <c r="EJ22" s="159">
        <f>IFERROR(SUMIFS('PO Tracker'!$J$44:$J$1433,'PO Tracker'!$K$44:$K$1433,$EF$6,'PO Tracker'!$L$44:$L$1433,'Capex breakup'!$B22),0)</f>
        <v>0</v>
      </c>
      <c r="EK22" s="605" t="str">
        <f t="shared" si="134"/>
        <v/>
      </c>
      <c r="EL22" s="118"/>
      <c r="EM22" s="151"/>
      <c r="EN22" s="151"/>
      <c r="EO22" s="151"/>
      <c r="EP22" s="159">
        <v>0</v>
      </c>
      <c r="EQ22" s="395">
        <f t="shared" si="135"/>
        <v>0</v>
      </c>
      <c r="ER22" s="395">
        <f t="shared" si="136"/>
        <v>0</v>
      </c>
      <c r="ES22" s="159"/>
      <c r="ET22" s="159">
        <f>IFERROR(SUMIFS('PO Tracker'!$J$44:$J$1433,'PO Tracker'!$K$44:$K$1433,$EP$6,'PO Tracker'!$L$44:$L$1433,'Capex breakup'!$B22),0)</f>
        <v>0</v>
      </c>
      <c r="EU22" s="605" t="str">
        <f t="shared" si="137"/>
        <v/>
      </c>
      <c r="EV22" s="118"/>
      <c r="EW22" s="151"/>
      <c r="EX22" s="151"/>
      <c r="EY22" s="151"/>
      <c r="EZ22" s="159">
        <v>0</v>
      </c>
      <c r="FA22" s="395">
        <f t="shared" si="138"/>
        <v>0</v>
      </c>
      <c r="FB22" s="395">
        <f t="shared" si="139"/>
        <v>0</v>
      </c>
      <c r="FC22" s="159"/>
      <c r="FD22" s="159">
        <f>IFERROR(SUMIFS('PO Tracker'!$J$44:$J$1433,'PO Tracker'!$K$44:$K$1433,$EZ$6,'PO Tracker'!$L$44:$L$1433,'Capex breakup'!$B22),0)</f>
        <v>0</v>
      </c>
      <c r="FE22" s="605" t="str">
        <f t="shared" si="140"/>
        <v/>
      </c>
      <c r="FF22" s="118"/>
      <c r="FG22" s="318"/>
      <c r="FH22" s="151">
        <f>FG22/114%</f>
        <v>0</v>
      </c>
      <c r="FI22" s="133">
        <f t="shared" si="141"/>
        <v>0</v>
      </c>
      <c r="FJ22" s="159">
        <f>+FI22</f>
        <v>0</v>
      </c>
      <c r="FK22" s="395">
        <f t="shared" si="142"/>
        <v>0</v>
      </c>
      <c r="FL22" s="159">
        <f t="shared" si="143"/>
        <v>0</v>
      </c>
      <c r="FM22" s="684"/>
      <c r="FN22" s="159"/>
      <c r="FO22" s="685"/>
      <c r="FP22" s="684"/>
      <c r="FQ22" s="159">
        <f t="shared" si="144"/>
        <v>0</v>
      </c>
      <c r="FR22" s="685">
        <f t="shared" si="145"/>
        <v>0</v>
      </c>
      <c r="FS22" s="662">
        <f>IFERROR(SUMIFS('PO Tracker'!$J$44:$J$1433,'PO Tracker'!$K$44:$K$1433,$FJ$6,'PO Tracker'!$L$44:$L$1433,'Capex breakup'!$B22),0)</f>
        <v>0</v>
      </c>
      <c r="FT22" s="736" t="str">
        <f t="shared" si="146"/>
        <v/>
      </c>
      <c r="FU22" s="709"/>
      <c r="FV22" s="151">
        <v>63622.06</v>
      </c>
      <c r="FW22" s="151">
        <f t="shared" si="147"/>
        <v>53917</v>
      </c>
      <c r="FX22" s="151">
        <f>FW22/FW2</f>
        <v>161.64108406283728</v>
      </c>
      <c r="FY22" s="159">
        <v>0</v>
      </c>
      <c r="FZ22" s="395">
        <f t="shared" si="148"/>
        <v>0</v>
      </c>
      <c r="GA22" s="395">
        <f t="shared" si="149"/>
        <v>0</v>
      </c>
      <c r="GB22" s="159"/>
      <c r="GC22" s="159">
        <f>IFERROR(SUMIFS('PO Tracker'!$J$44:$J$1433,'PO Tracker'!$K$44:$K$1433,$FY$6,'PO Tracker'!$L$44:$L$1433,'Capex breakup'!$B22),0)</f>
        <v>0</v>
      </c>
      <c r="GD22" s="605" t="str">
        <f t="shared" si="150"/>
        <v/>
      </c>
      <c r="GE22" s="118"/>
      <c r="GF22" s="151"/>
      <c r="GG22" s="151">
        <f t="shared" si="151"/>
        <v>0</v>
      </c>
      <c r="GH22" s="151">
        <f>GG22/GG2</f>
        <v>0</v>
      </c>
      <c r="GI22" s="159"/>
      <c r="GJ22" s="395">
        <f t="shared" si="152"/>
        <v>0</v>
      </c>
      <c r="GK22" s="395">
        <f t="shared" si="153"/>
        <v>0</v>
      </c>
      <c r="GL22" s="159"/>
      <c r="GM22" s="159">
        <f>IFERROR(SUMIFS('PO Tracker'!$J$44:$J$1433,'PO Tracker'!$K$44:$K$1433,$GI$6,'PO Tracker'!$L$44:$L$1433,'Capex breakup'!$B22),0)</f>
        <v>0</v>
      </c>
      <c r="GN22" s="605" t="str">
        <f t="shared" si="154"/>
        <v/>
      </c>
      <c r="GO22" s="118"/>
      <c r="GP22" s="151"/>
      <c r="GQ22" s="151">
        <f t="shared" si="155"/>
        <v>0</v>
      </c>
      <c r="GR22" s="151">
        <f>GQ22/GQ2</f>
        <v>0</v>
      </c>
      <c r="GS22" s="159">
        <v>0</v>
      </c>
      <c r="GT22" s="395">
        <v>0</v>
      </c>
      <c r="GU22" s="159">
        <v>0</v>
      </c>
      <c r="GV22" s="159">
        <f>IFERROR(SUMIFS('PO Tracker'!$J$44:$J$1433,'PO Tracker'!$K$44:$K$1433,$GS$6,'PO Tracker'!$L$44:$L$1433,'Capex breakup'!$B22),0)</f>
        <v>0</v>
      </c>
      <c r="GW22" s="605" t="str">
        <f t="shared" si="156"/>
        <v/>
      </c>
      <c r="GX22" s="118"/>
      <c r="GY22" s="151"/>
      <c r="GZ22" s="151">
        <f>GY22/114%</f>
        <v>0</v>
      </c>
      <c r="HA22" s="133"/>
      <c r="HB22" s="159">
        <f>+HA22</f>
        <v>0</v>
      </c>
      <c r="HC22" s="395">
        <f t="shared" si="157"/>
        <v>0</v>
      </c>
      <c r="HD22" s="159">
        <f t="shared" si="158"/>
        <v>0</v>
      </c>
      <c r="HE22" s="159"/>
      <c r="HF22" s="159">
        <f>IFERROR(SUMIFS('PO Tracker'!$J$44:$J$1433,'PO Tracker'!$K$44:$K$1433,$HB$6,'PO Tracker'!$L$44:$L$1433,'Capex breakup'!$B22),0)</f>
        <v>0</v>
      </c>
      <c r="HG22" s="605" t="str">
        <f t="shared" si="159"/>
        <v/>
      </c>
      <c r="HH22" s="118"/>
      <c r="HI22" s="151"/>
      <c r="HJ22" s="151">
        <f>HI22/114%</f>
        <v>0</v>
      </c>
      <c r="HK22" s="133"/>
      <c r="HL22" s="159">
        <f>+HK22</f>
        <v>0</v>
      </c>
      <c r="HM22" s="395">
        <f t="shared" si="160"/>
        <v>0</v>
      </c>
      <c r="HN22" s="159">
        <f t="shared" si="161"/>
        <v>0</v>
      </c>
      <c r="HO22" s="159">
        <f>IFERROR(SUMIFS('PO Tracker'!$J$44:$J$1433,'PO Tracker'!$K$44:$K$1433,$HL$6,'PO Tracker'!$L$44:$L$1433,'Capex breakup'!$B22),0)</f>
        <v>0</v>
      </c>
      <c r="HP22" s="605" t="str">
        <f t="shared" si="162"/>
        <v/>
      </c>
      <c r="HQ22" s="118"/>
      <c r="HR22" s="364"/>
      <c r="HS22" s="364"/>
      <c r="HT22" s="364"/>
      <c r="HU22" s="364"/>
    </row>
    <row r="23" spans="1:229">
      <c r="A23" s="18">
        <v>3</v>
      </c>
      <c r="B23" s="19" t="s">
        <v>26</v>
      </c>
      <c r="C23" s="118"/>
      <c r="D23" s="151">
        <v>0</v>
      </c>
      <c r="E23" s="151">
        <f t="shared" si="84"/>
        <v>0</v>
      </c>
      <c r="F23" s="151">
        <f>E23/E2</f>
        <v>0</v>
      </c>
      <c r="G23" s="159">
        <f>+F23</f>
        <v>0</v>
      </c>
      <c r="H23" s="395">
        <f t="shared" si="85"/>
        <v>0</v>
      </c>
      <c r="I23" s="395">
        <f t="shared" si="86"/>
        <v>0</v>
      </c>
      <c r="J23" s="159"/>
      <c r="K23" s="159">
        <f>IFERROR(SUMIFS('PO Tracker'!$J$44:$J$1433,'PO Tracker'!$K$44:$K$1433,$G$6,'PO Tracker'!$L$44:$L$1433,'Capex breakup'!$B23),0)</f>
        <v>0</v>
      </c>
      <c r="L23" s="605" t="str">
        <f t="shared" si="87"/>
        <v/>
      </c>
      <c r="M23" s="118"/>
      <c r="N23" s="151">
        <v>0</v>
      </c>
      <c r="O23" s="151">
        <f t="shared" si="88"/>
        <v>0</v>
      </c>
      <c r="P23" s="151">
        <f>O23/O2</f>
        <v>0</v>
      </c>
      <c r="Q23" s="159">
        <f>+P23</f>
        <v>0</v>
      </c>
      <c r="R23" s="395">
        <f t="shared" si="89"/>
        <v>0</v>
      </c>
      <c r="S23" s="395">
        <f t="shared" si="90"/>
        <v>0</v>
      </c>
      <c r="T23" s="159"/>
      <c r="U23" s="159">
        <f>IFERROR(SUMIFS('PO Tracker'!$J$44:$J$1433,'PO Tracker'!$K$44:$K$1433,$Q$6,'PO Tracker'!$L$44:$L$1433,'Capex breakup'!$B23),0)</f>
        <v>101262.88</v>
      </c>
      <c r="V23" s="605" t="str">
        <f t="shared" si="91"/>
        <v/>
      </c>
      <c r="W23" s="118"/>
      <c r="X23" s="151"/>
      <c r="Y23" s="151">
        <f>X23/114%</f>
        <v>0</v>
      </c>
      <c r="Z23" s="133"/>
      <c r="AA23" s="159">
        <v>200</v>
      </c>
      <c r="AB23" s="395">
        <f>AA23*$AB$2</f>
        <v>374587.2</v>
      </c>
      <c r="AC23" s="395">
        <f t="shared" si="92"/>
        <v>442012.89600000001</v>
      </c>
      <c r="AD23" s="159"/>
      <c r="AE23" s="159">
        <f>IFERROR(SUMIFS('PO Tracker'!$J$44:$J$1433,'PO Tracker'!$K$44:$K$1433,$AA$6,'PO Tracker'!$L$44:$L$1433,'Capex breakup'!$B23),0)</f>
        <v>354279.66</v>
      </c>
      <c r="AF23" s="605">
        <f t="shared" si="93"/>
        <v>0.80151430694908954</v>
      </c>
      <c r="AG23" s="118"/>
      <c r="AH23" s="151">
        <v>0</v>
      </c>
      <c r="AI23" s="151">
        <f t="shared" si="94"/>
        <v>0</v>
      </c>
      <c r="AJ23" s="151">
        <f>AI23/AI2</f>
        <v>0</v>
      </c>
      <c r="AK23" s="159">
        <v>610</v>
      </c>
      <c r="AL23" s="395">
        <f t="shared" si="95"/>
        <v>247145.74559999999</v>
      </c>
      <c r="AM23" s="395">
        <f t="shared" si="96"/>
        <v>291631.97980799997</v>
      </c>
      <c r="AN23" s="159"/>
      <c r="AO23" s="159">
        <f>IFERROR(SUMIFS('PO Tracker'!$J$44:$J$1433,'PO Tracker'!$K$44:$K$1433,$AK$6,'PO Tracker'!$L$44:$L$1433,'Capex breakup'!$B23),0)</f>
        <v>287043.26</v>
      </c>
      <c r="AP23" s="605">
        <f t="shared" si="97"/>
        <v>0.98426537511070966</v>
      </c>
      <c r="AQ23" s="118"/>
      <c r="AR23" s="287"/>
      <c r="AS23" s="287">
        <f>AR23/118%</f>
        <v>0</v>
      </c>
      <c r="AT23" s="288">
        <f>AS23/AS$2</f>
        <v>0</v>
      </c>
      <c r="AU23" s="159">
        <f>+AT23</f>
        <v>0</v>
      </c>
      <c r="AV23" s="395">
        <f t="shared" si="98"/>
        <v>0</v>
      </c>
      <c r="AW23" s="395">
        <f t="shared" si="99"/>
        <v>0</v>
      </c>
      <c r="AX23" s="159"/>
      <c r="AY23" s="159">
        <f>IFERROR(SUMIFS('PO Tracker'!$J$44:$J$1433,'PO Tracker'!$K$44:$K$1433,$AU$6,'PO Tracker'!$L$44:$L$1433,'Capex breakup'!$B23),0)</f>
        <v>0</v>
      </c>
      <c r="AZ23" s="605" t="str">
        <f t="shared" si="100"/>
        <v/>
      </c>
      <c r="BA23" s="118"/>
      <c r="BB23" s="151"/>
      <c r="BC23" s="151">
        <f t="shared" si="101"/>
        <v>0</v>
      </c>
      <c r="BD23" s="151">
        <f>BC23/BC2</f>
        <v>0</v>
      </c>
      <c r="BE23" s="159">
        <v>400</v>
      </c>
      <c r="BF23" s="395">
        <f t="shared" si="102"/>
        <v>310950.43199999997</v>
      </c>
      <c r="BG23" s="395">
        <f t="shared" si="103"/>
        <v>366921.50975999993</v>
      </c>
      <c r="BH23" s="159"/>
      <c r="BI23" s="159">
        <f>IFERROR(SUMIFS('PO Tracker'!$J$44:$J$1433,'PO Tracker'!$K$44:$K$1433,$BE$6,'PO Tracker'!$L$44:$L$1433,'Capex breakup'!$B23),0)</f>
        <v>301484.09999999998</v>
      </c>
      <c r="BJ23" s="605">
        <f t="shared" si="104"/>
        <v>0.8216582892542823</v>
      </c>
      <c r="BK23" s="118"/>
      <c r="BL23" s="151"/>
      <c r="BM23" s="151"/>
      <c r="BN23" s="151"/>
      <c r="BO23" s="159">
        <f>+BN23</f>
        <v>0</v>
      </c>
      <c r="BP23" s="395">
        <f t="shared" si="105"/>
        <v>0</v>
      </c>
      <c r="BQ23" s="395">
        <f t="shared" si="106"/>
        <v>0</v>
      </c>
      <c r="BR23" s="159"/>
      <c r="BS23" s="159">
        <f>IFERROR(SUMIFS('PO Tracker'!$J$44:$J$1433,'PO Tracker'!$K$44:$K$1433,$BO$6,'PO Tracker'!$L$44:$L$1433,'Capex breakup'!$B23),0)</f>
        <v>0</v>
      </c>
      <c r="BT23" s="605" t="str">
        <f t="shared" si="107"/>
        <v/>
      </c>
      <c r="BU23" s="118"/>
      <c r="BV23" s="151"/>
      <c r="BW23" s="151">
        <f t="shared" si="108"/>
        <v>0</v>
      </c>
      <c r="BX23" s="151">
        <f>BW23/BW2</f>
        <v>0</v>
      </c>
      <c r="BY23" s="159">
        <v>300</v>
      </c>
      <c r="BZ23" s="395">
        <f t="shared" si="109"/>
        <v>111924.07199999999</v>
      </c>
      <c r="CA23" s="395">
        <f t="shared" si="110"/>
        <v>132070.40495999999</v>
      </c>
      <c r="CB23" s="159"/>
      <c r="CC23" s="159">
        <f>IFERROR(SUMIFS('PO Tracker'!$J$44:$J$1433,'PO Tracker'!$K$44:$K$1433,$BY$6,'PO Tracker'!$L$44:$L$1433,'Capex breakup'!$B23),0)</f>
        <v>106572.88</v>
      </c>
      <c r="CD23" s="605">
        <f t="shared" si="111"/>
        <v>0.80693990475971977</v>
      </c>
      <c r="CE23" s="118"/>
      <c r="CF23" s="151"/>
      <c r="CG23" s="151">
        <f t="shared" si="112"/>
        <v>0</v>
      </c>
      <c r="CH23" s="151">
        <f>CG23/CG2</f>
        <v>0</v>
      </c>
      <c r="CI23" s="159">
        <f>+CH23</f>
        <v>0</v>
      </c>
      <c r="CJ23" s="395">
        <f t="shared" si="113"/>
        <v>0</v>
      </c>
      <c r="CK23" s="395">
        <f t="shared" si="114"/>
        <v>0</v>
      </c>
      <c r="CL23" s="159"/>
      <c r="CM23" s="159">
        <f>IFERROR(SUMIFS('PO Tracker'!$J$44:$J$1433,'PO Tracker'!$K$44:$K$1433,$CI$6,'PO Tracker'!$L$44:$L$1433,'Capex breakup'!$B23),0)</f>
        <v>38890.44</v>
      </c>
      <c r="CN23" s="605" t="str">
        <f t="shared" si="115"/>
        <v/>
      </c>
      <c r="CO23" s="118"/>
      <c r="CP23" s="151"/>
      <c r="CQ23" s="151">
        <f t="shared" si="116"/>
        <v>0</v>
      </c>
      <c r="CR23" s="151"/>
      <c r="CS23" s="159"/>
      <c r="CT23" s="395">
        <f t="shared" si="117"/>
        <v>0</v>
      </c>
      <c r="CU23" s="395">
        <f t="shared" si="118"/>
        <v>0</v>
      </c>
      <c r="CV23" s="159"/>
      <c r="CW23" s="159">
        <f>IFERROR(SUMIFS('PO Tracker'!$J$44:$J$1433,'PO Tracker'!$K$44:$K$1433,$CS$6,'PO Tracker'!$L$44:$L$1433,'Capex breakup'!$B23),0)</f>
        <v>0</v>
      </c>
      <c r="CX23" s="605" t="str">
        <f t="shared" si="119"/>
        <v/>
      </c>
      <c r="CY23" s="118"/>
      <c r="CZ23" s="151"/>
      <c r="DA23" s="151">
        <f t="shared" si="120"/>
        <v>0</v>
      </c>
      <c r="DB23" s="151">
        <f>DA23/DA2</f>
        <v>0</v>
      </c>
      <c r="DC23" s="159">
        <f>+DB23</f>
        <v>0</v>
      </c>
      <c r="DD23" s="395">
        <f t="shared" si="121"/>
        <v>0</v>
      </c>
      <c r="DE23" s="395">
        <f t="shared" si="122"/>
        <v>0</v>
      </c>
      <c r="DF23" s="159"/>
      <c r="DG23" s="159">
        <f>IFERROR(SUMIFS('PO Tracker'!$J$44:$J$1433,'PO Tracker'!$K$44:$K$1433,$DC$6,'PO Tracker'!$L$44:$L$1433,'Capex breakup'!$B23),0)</f>
        <v>0</v>
      </c>
      <c r="DH23" s="605" t="str">
        <f t="shared" si="123"/>
        <v/>
      </c>
      <c r="DI23" s="118"/>
      <c r="DJ23" s="151"/>
      <c r="DK23" s="151">
        <f t="shared" si="124"/>
        <v>0</v>
      </c>
      <c r="DL23" s="151">
        <f>DK23/DK2</f>
        <v>0</v>
      </c>
      <c r="DM23" s="159">
        <f>+DL23</f>
        <v>0</v>
      </c>
      <c r="DN23" s="395">
        <f t="shared" si="125"/>
        <v>0</v>
      </c>
      <c r="DO23" s="159">
        <f t="shared" si="126"/>
        <v>0</v>
      </c>
      <c r="DP23" s="159">
        <f>IFERROR(SUMIFS('PO Tracker'!$J$44:$J$1433,'PO Tracker'!$K$44:$K$1433,$DM$6,'PO Tracker'!$L$44:$L$1433,'Capex breakup'!$B23),0)</f>
        <v>0</v>
      </c>
      <c r="DQ23" s="605" t="str">
        <f t="shared" si="127"/>
        <v/>
      </c>
      <c r="DR23" s="118"/>
      <c r="DS23" s="151"/>
      <c r="DT23" s="151">
        <f t="shared" si="128"/>
        <v>0</v>
      </c>
      <c r="DU23" s="151">
        <f>DT23/DT2</f>
        <v>0</v>
      </c>
      <c r="DV23" s="159">
        <v>700</v>
      </c>
      <c r="DW23" s="395">
        <f>DV23*$DW$2</f>
        <v>914724.71999999986</v>
      </c>
      <c r="DX23" s="395">
        <f t="shared" si="129"/>
        <v>1079375.1695999997</v>
      </c>
      <c r="DY23" s="159"/>
      <c r="DZ23" s="159">
        <f>IFERROR(SUMIFS('PO Tracker'!$J$44:$J$1433,'PO Tracker'!$K$44:$K$1433,$DV$6,'PO Tracker'!$L$44:$L$1433,'Capex breakup'!$B23),0)</f>
        <v>240782.53999999998</v>
      </c>
      <c r="EA23" s="605">
        <f t="shared" si="130"/>
        <v>0.2230758560892506</v>
      </c>
      <c r="EB23" s="118"/>
      <c r="EC23" s="151"/>
      <c r="ED23" s="151">
        <f t="shared" si="131"/>
        <v>0</v>
      </c>
      <c r="EE23" s="151">
        <f>ED23/ED2</f>
        <v>0</v>
      </c>
      <c r="EF23" s="159">
        <f>+EE23</f>
        <v>0</v>
      </c>
      <c r="EG23" s="395">
        <f t="shared" si="132"/>
        <v>0</v>
      </c>
      <c r="EH23" s="395">
        <f t="shared" si="133"/>
        <v>0</v>
      </c>
      <c r="EI23" s="159"/>
      <c r="EJ23" s="159">
        <f>IFERROR(SUMIFS('PO Tracker'!$J$44:$J$1433,'PO Tracker'!$K$44:$K$1433,$EF$6,'PO Tracker'!$L$44:$L$1433,'Capex breakup'!$B23),0)</f>
        <v>0</v>
      </c>
      <c r="EK23" s="605" t="str">
        <f t="shared" si="134"/>
        <v/>
      </c>
      <c r="EL23" s="118"/>
      <c r="EM23" s="151"/>
      <c r="EN23" s="151"/>
      <c r="EO23" s="151"/>
      <c r="EP23" s="159">
        <v>550</v>
      </c>
      <c r="EQ23" s="395">
        <f t="shared" si="135"/>
        <v>211587.948</v>
      </c>
      <c r="ER23" s="395">
        <f t="shared" si="136"/>
        <v>249673.77864</v>
      </c>
      <c r="ES23" s="159"/>
      <c r="ET23" s="159">
        <f>IFERROR(SUMIFS('PO Tracker'!$J$44:$J$1433,'PO Tracker'!$K$44:$K$1433,$EP$6,'PO Tracker'!$L$44:$L$1433,'Capex breakup'!$B23),0)</f>
        <v>294961.06</v>
      </c>
      <c r="EU23" s="605">
        <f t="shared" si="137"/>
        <v>1.1813858131465975</v>
      </c>
      <c r="EV23" s="118"/>
      <c r="EW23" s="151"/>
      <c r="EX23" s="151"/>
      <c r="EY23" s="151"/>
      <c r="EZ23" s="159">
        <v>850</v>
      </c>
      <c r="FA23" s="395">
        <f t="shared" si="138"/>
        <v>1088687.1059999999</v>
      </c>
      <c r="FB23" s="395">
        <f t="shared" si="139"/>
        <v>1284650.7850799998</v>
      </c>
      <c r="FC23" s="159"/>
      <c r="FD23" s="159">
        <f>IFERROR(SUMIFS('PO Tracker'!$J$44:$J$1433,'PO Tracker'!$K$44:$K$1433,$EZ$6,'PO Tracker'!$L$44:$L$1433,'Capex breakup'!$B23),0)</f>
        <v>1252088.56</v>
      </c>
      <c r="FE23" s="605">
        <f t="shared" si="140"/>
        <v>0.97465285861482431</v>
      </c>
      <c r="FF23" s="118"/>
      <c r="FG23" s="318"/>
      <c r="FH23" s="151">
        <f>FG23/114%</f>
        <v>0</v>
      </c>
      <c r="FI23" s="133">
        <f t="shared" si="141"/>
        <v>0</v>
      </c>
      <c r="FJ23" s="159">
        <f>+FI23</f>
        <v>0</v>
      </c>
      <c r="FK23" s="395">
        <f t="shared" si="142"/>
        <v>0</v>
      </c>
      <c r="FL23" s="159">
        <f t="shared" si="143"/>
        <v>0</v>
      </c>
      <c r="FM23" s="684"/>
      <c r="FN23" s="159"/>
      <c r="FO23" s="685"/>
      <c r="FP23" s="684"/>
      <c r="FQ23" s="159">
        <f t="shared" si="144"/>
        <v>0</v>
      </c>
      <c r="FR23" s="685">
        <f t="shared" si="145"/>
        <v>0</v>
      </c>
      <c r="FS23" s="662">
        <f>IFERROR(SUMIFS('PO Tracker'!$J$44:$J$1433,'PO Tracker'!$K$44:$K$1433,$FJ$6,'PO Tracker'!$L$44:$L$1433,'Capex breakup'!$B23),0)</f>
        <v>0</v>
      </c>
      <c r="FT23" s="736" t="str">
        <f t="shared" si="146"/>
        <v/>
      </c>
      <c r="FU23" s="709"/>
      <c r="FV23" s="151"/>
      <c r="FW23" s="151">
        <f t="shared" si="147"/>
        <v>0</v>
      </c>
      <c r="FX23" s="151">
        <f>FW23/FW2</f>
        <v>0</v>
      </c>
      <c r="FY23" s="159">
        <v>300</v>
      </c>
      <c r="FZ23" s="395">
        <f t="shared" si="148"/>
        <v>66779.856</v>
      </c>
      <c r="GA23" s="395">
        <f t="shared" si="149"/>
        <v>78800.230079999994</v>
      </c>
      <c r="GB23" s="159"/>
      <c r="GC23" s="159">
        <f>IFERROR(SUMIFS('PO Tracker'!$J$44:$J$1433,'PO Tracker'!$K$44:$K$1433,$FY$6,'PO Tracker'!$L$44:$L$1433,'Capex breakup'!$B23),0)</f>
        <v>61388.32</v>
      </c>
      <c r="GD23" s="605">
        <f t="shared" si="150"/>
        <v>0.77903731927783737</v>
      </c>
      <c r="GE23" s="118"/>
      <c r="GF23" s="151"/>
      <c r="GG23" s="151">
        <f t="shared" si="151"/>
        <v>0</v>
      </c>
      <c r="GH23" s="151">
        <f>GG23/GG2</f>
        <v>0</v>
      </c>
      <c r="GI23" s="159">
        <v>1500</v>
      </c>
      <c r="GJ23" s="395">
        <f t="shared" si="152"/>
        <v>226044</v>
      </c>
      <c r="GK23" s="395">
        <f t="shared" si="153"/>
        <v>266731.92</v>
      </c>
      <c r="GL23" s="159"/>
      <c r="GM23" s="159">
        <f>IFERROR(SUMIFS('PO Tracker'!$J$44:$J$1433,'PO Tracker'!$K$44:$K$1433,$GI$6,'PO Tracker'!$L$44:$L$1433,'Capex breakup'!$B23),0)</f>
        <v>1045654.64</v>
      </c>
      <c r="GN23" s="605">
        <f t="shared" si="154"/>
        <v>3.9202456158977901</v>
      </c>
      <c r="GO23" s="118"/>
      <c r="GP23" s="151"/>
      <c r="GQ23" s="151">
        <f t="shared" si="155"/>
        <v>0</v>
      </c>
      <c r="GR23" s="151">
        <f>GQ23/GQ2</f>
        <v>0</v>
      </c>
      <c r="GS23" s="159">
        <v>0</v>
      </c>
      <c r="GT23" s="395">
        <v>0</v>
      </c>
      <c r="GU23" s="159">
        <v>0</v>
      </c>
      <c r="GV23" s="159">
        <f>IFERROR(SUMIFS('PO Tracker'!$J$44:$J$1433,'PO Tracker'!$K$44:$K$1433,$GS$6,'PO Tracker'!$L$44:$L$1433,'Capex breakup'!$B23),0)</f>
        <v>0</v>
      </c>
      <c r="GW23" s="605" t="str">
        <f t="shared" si="156"/>
        <v/>
      </c>
      <c r="GX23" s="118"/>
      <c r="GY23" s="151"/>
      <c r="GZ23" s="151">
        <f>GY23/114%</f>
        <v>0</v>
      </c>
      <c r="HA23" s="133"/>
      <c r="HB23" s="159">
        <v>150</v>
      </c>
      <c r="HC23" s="395">
        <f t="shared" si="157"/>
        <v>500784.33600000001</v>
      </c>
      <c r="HD23" s="159">
        <f t="shared" si="158"/>
        <v>590925.51647999999</v>
      </c>
      <c r="HE23" s="159"/>
      <c r="HF23" s="159">
        <f>IFERROR(SUMIFS('PO Tracker'!$J$44:$J$1433,'PO Tracker'!$K$44:$K$1433,$HB$6,'PO Tracker'!$L$44:$L$1433,'Capex breakup'!$B23),0)</f>
        <v>442077.56</v>
      </c>
      <c r="HG23" s="605">
        <f t="shared" si="159"/>
        <v>0.74811046006838366</v>
      </c>
      <c r="HH23" s="118"/>
      <c r="HI23" s="151"/>
      <c r="HJ23" s="151">
        <f>HI23/114%</f>
        <v>0</v>
      </c>
      <c r="HK23" s="133"/>
      <c r="HL23" s="159">
        <v>300</v>
      </c>
      <c r="HM23" s="395">
        <f t="shared" si="160"/>
        <v>1018812.6</v>
      </c>
      <c r="HN23" s="159">
        <f t="shared" si="161"/>
        <v>1202198.868</v>
      </c>
      <c r="HO23" s="159">
        <f>IFERROR(SUMIFS('PO Tracker'!$J$44:$J$1433,'PO Tracker'!$K$44:$K$1433,$HL$6,'PO Tracker'!$L$44:$L$1433,'Capex breakup'!$B23),0)</f>
        <v>446665.4</v>
      </c>
      <c r="HP23" s="605">
        <f t="shared" si="162"/>
        <v>0.43841762459553407</v>
      </c>
      <c r="HQ23" s="118"/>
      <c r="HR23" s="364"/>
      <c r="HS23" s="364"/>
      <c r="HT23" s="364"/>
      <c r="HU23" s="364"/>
    </row>
    <row r="24" spans="1:229">
      <c r="A24" s="18">
        <v>4</v>
      </c>
      <c r="B24" s="19" t="s">
        <v>596</v>
      </c>
      <c r="C24" s="118"/>
      <c r="D24" s="151">
        <v>2860022.6999999993</v>
      </c>
      <c r="E24" s="151">
        <f t="shared" si="84"/>
        <v>2423748.0508474573</v>
      </c>
      <c r="F24" s="151">
        <f>E24/E2</f>
        <v>9793.7128287031574</v>
      </c>
      <c r="G24" s="159">
        <v>4700</v>
      </c>
      <c r="H24" s="395">
        <f t="shared" si="85"/>
        <v>2062586.916</v>
      </c>
      <c r="I24" s="395">
        <f t="shared" si="86"/>
        <v>2433852.5608799998</v>
      </c>
      <c r="J24" s="159"/>
      <c r="K24" s="159">
        <f>IFERROR(SUMIFS('PO Tracker'!$J$44:$J$1433,'PO Tracker'!$K$44:$K$1433,$G$6,'PO Tracker'!$L$44:$L$1433,'Capex breakup'!$B24),0)</f>
        <v>1731018.7</v>
      </c>
      <c r="L24" s="605">
        <f t="shared" si="87"/>
        <v>0.71122578574526363</v>
      </c>
      <c r="M24" s="118"/>
      <c r="N24" s="151">
        <v>2860022.6999999993</v>
      </c>
      <c r="O24" s="151">
        <f t="shared" si="88"/>
        <v>2423748.0508474573</v>
      </c>
      <c r="P24" s="151">
        <f>O24/O2</f>
        <v>9793.7128287031574</v>
      </c>
      <c r="Q24" s="159">
        <v>4300</v>
      </c>
      <c r="R24" s="395">
        <f t="shared" si="89"/>
        <v>4370711.4359999998</v>
      </c>
      <c r="S24" s="395">
        <f t="shared" si="90"/>
        <v>5157439.4944799999</v>
      </c>
      <c r="T24" s="159"/>
      <c r="U24" s="159">
        <f>IFERROR(SUMIFS('PO Tracker'!$J$44:$J$1433,'PO Tracker'!$K$44:$K$1433,$Q$6,'PO Tracker'!$L$44:$L$1433,'Capex breakup'!$B24),0)</f>
        <v>5529261.7000000002</v>
      </c>
      <c r="V24" s="605">
        <f t="shared" si="91"/>
        <v>1.0720943417596971</v>
      </c>
      <c r="W24" s="118"/>
      <c r="X24" s="151">
        <v>15780854.2752</v>
      </c>
      <c r="Y24" s="270">
        <f>X24/112%</f>
        <v>14090048.459999999</v>
      </c>
      <c r="Z24" s="133">
        <f>Y24/$Y$2</f>
        <v>5344.8328882482365</v>
      </c>
      <c r="AA24" s="159">
        <v>4000</v>
      </c>
      <c r="AB24" s="395">
        <f>AA24*$AB$2</f>
        <v>7491744</v>
      </c>
      <c r="AC24" s="395">
        <f t="shared" si="92"/>
        <v>8840257.9199999999</v>
      </c>
      <c r="AD24" s="159"/>
      <c r="AE24" s="159">
        <f>IFERROR(SUMIFS('PO Tracker'!$J$44:$J$1433,'PO Tracker'!$K$44:$K$1433,$AA$6,'PO Tracker'!$L$44:$L$1433,'Capex breakup'!$B24),0)</f>
        <v>7735444.3812000006</v>
      </c>
      <c r="AF24" s="605">
        <f t="shared" si="93"/>
        <v>0.87502473923294766</v>
      </c>
      <c r="AG24" s="118"/>
      <c r="AH24" s="151">
        <v>2860022.6999999993</v>
      </c>
      <c r="AI24" s="151">
        <f t="shared" si="94"/>
        <v>2423748.0508474573</v>
      </c>
      <c r="AJ24" s="151">
        <f>AI24/AI2</f>
        <v>9793.7128287031574</v>
      </c>
      <c r="AK24" s="159">
        <v>8500</v>
      </c>
      <c r="AL24" s="395">
        <f t="shared" si="95"/>
        <v>3443834.1599999997</v>
      </c>
      <c r="AM24" s="395">
        <f t="shared" si="96"/>
        <v>4063724.3087999993</v>
      </c>
      <c r="AN24" s="159"/>
      <c r="AO24" s="159">
        <f>IFERROR(SUMIFS('PO Tracker'!$J$44:$J$1433,'PO Tracker'!$K$44:$K$1433,$AK$6,'PO Tracker'!$L$44:$L$1433,'Capex breakup'!$B24),0)</f>
        <v>3709798.46</v>
      </c>
      <c r="AP24" s="605">
        <f t="shared" si="97"/>
        <v>0.91290603842549733</v>
      </c>
      <c r="AQ24" s="118"/>
      <c r="AR24" s="287">
        <v>4873031.84</v>
      </c>
      <c r="AS24" s="287">
        <f>AR24/118%</f>
        <v>4129688</v>
      </c>
      <c r="AT24" s="288">
        <f>AS24/AS$2</f>
        <v>3800</v>
      </c>
      <c r="AU24" s="159">
        <v>5400</v>
      </c>
      <c r="AV24" s="395">
        <f t="shared" si="98"/>
        <v>5507400.5999999996</v>
      </c>
      <c r="AW24" s="395">
        <f t="shared" si="99"/>
        <v>6498732.7079999996</v>
      </c>
      <c r="AX24" s="159"/>
      <c r="AY24" s="159">
        <f>IFERROR(SUMIFS('PO Tracker'!$J$44:$J$1433,'PO Tracker'!$K$44:$K$1433,$AU$6,'PO Tracker'!$L$44:$L$1433,'Capex breakup'!$B24),0)</f>
        <v>0</v>
      </c>
      <c r="AZ24" s="605">
        <f t="shared" si="100"/>
        <v>0</v>
      </c>
      <c r="BA24" s="118"/>
      <c r="BB24" s="151">
        <v>2724733.28</v>
      </c>
      <c r="BC24" s="151">
        <f t="shared" si="101"/>
        <v>2309096</v>
      </c>
      <c r="BD24" s="151">
        <f>BC24/BC2</f>
        <v>3699.9999999999995</v>
      </c>
      <c r="BE24" s="159">
        <v>2300</v>
      </c>
      <c r="BF24" s="395">
        <f t="shared" si="102"/>
        <v>1787964.9839999997</v>
      </c>
      <c r="BG24" s="395">
        <f t="shared" si="103"/>
        <v>2109798.6811199994</v>
      </c>
      <c r="BH24" s="159"/>
      <c r="BI24" s="159">
        <f>IFERROR(SUMIFS('PO Tracker'!$J$44:$J$1433,'PO Tracker'!$K$44:$K$1433,$BE$6,'PO Tracker'!$L$44:$L$1433,'Capex breakup'!$B24),0)</f>
        <v>1633043.3</v>
      </c>
      <c r="BJ24" s="605">
        <f t="shared" si="104"/>
        <v>0.77402802201634191</v>
      </c>
      <c r="BK24" s="118"/>
      <c r="BL24" s="151"/>
      <c r="BM24" s="151"/>
      <c r="BN24" s="151"/>
      <c r="BO24" s="159">
        <v>1200</v>
      </c>
      <c r="BP24" s="395">
        <f t="shared" si="105"/>
        <v>686140.41599999985</v>
      </c>
      <c r="BQ24" s="395">
        <f t="shared" si="106"/>
        <v>809645.69087999978</v>
      </c>
      <c r="BR24" s="159"/>
      <c r="BS24" s="159">
        <f>IFERROR(SUMIFS('PO Tracker'!$J$44:$J$1433,'PO Tracker'!$K$44:$K$1433,$BO$6,'PO Tracker'!$L$44:$L$1433,'Capex breakup'!$B24),0)</f>
        <v>0</v>
      </c>
      <c r="BT24" s="605">
        <f t="shared" si="107"/>
        <v>0</v>
      </c>
      <c r="BU24" s="118"/>
      <c r="BV24" s="151">
        <v>361858.8</v>
      </c>
      <c r="BW24" s="151">
        <f t="shared" si="108"/>
        <v>306660</v>
      </c>
      <c r="BX24" s="151">
        <f>BW24/BW2</f>
        <v>313.23799795709908</v>
      </c>
      <c r="BY24" s="159">
        <v>2800</v>
      </c>
      <c r="BZ24" s="395">
        <f t="shared" si="109"/>
        <v>1044624.6719999999</v>
      </c>
      <c r="CA24" s="395">
        <f t="shared" si="110"/>
        <v>1232657.1129599998</v>
      </c>
      <c r="CB24" s="159"/>
      <c r="CC24" s="159">
        <f>IFERROR(SUMIFS('PO Tracker'!$J$44:$J$1433,'PO Tracker'!$K$44:$K$1433,$BY$6,'PO Tracker'!$L$44:$L$1433,'Capex breakup'!$B24),0)</f>
        <v>650281.7159999999</v>
      </c>
      <c r="CD24" s="605">
        <f t="shared" si="111"/>
        <v>0.5275446911902919</v>
      </c>
      <c r="CE24" s="118"/>
      <c r="CF24" s="151">
        <f>1807354.08+300000</f>
        <v>2107354.08</v>
      </c>
      <c r="CG24" s="151">
        <f t="shared" si="112"/>
        <v>1785893.2881355933</v>
      </c>
      <c r="CH24" s="151">
        <f>CG24/CG2</f>
        <v>5354.0391178066711</v>
      </c>
      <c r="CI24" s="159">
        <v>7000</v>
      </c>
      <c r="CJ24" s="395">
        <f t="shared" si="113"/>
        <v>1356263.9999999998</v>
      </c>
      <c r="CK24" s="395">
        <f t="shared" si="114"/>
        <v>1600391.5199999996</v>
      </c>
      <c r="CL24" s="159"/>
      <c r="CM24" s="159">
        <f>IFERROR(SUMIFS('PO Tracker'!$J$44:$J$1433,'PO Tracker'!$K$44:$K$1433,$CI$6,'PO Tracker'!$L$44:$L$1433,'Capex breakup'!$B24),0)</f>
        <v>0</v>
      </c>
      <c r="CN24" s="605">
        <f t="shared" si="115"/>
        <v>0</v>
      </c>
      <c r="CO24" s="118"/>
      <c r="CP24" s="151"/>
      <c r="CQ24" s="151">
        <f t="shared" si="116"/>
        <v>0</v>
      </c>
      <c r="CR24" s="151"/>
      <c r="CS24" s="159">
        <v>500</v>
      </c>
      <c r="CT24" s="395">
        <f t="shared" si="117"/>
        <v>91494</v>
      </c>
      <c r="CU24" s="395">
        <f t="shared" si="118"/>
        <v>107962.92</v>
      </c>
      <c r="CV24" s="159"/>
      <c r="CW24" s="159">
        <f>IFERROR(SUMIFS('PO Tracker'!$J$44:$J$1433,'PO Tracker'!$K$44:$K$1433,$CS$6,'PO Tracker'!$L$44:$L$1433,'Capex breakup'!$B24),0)</f>
        <v>0</v>
      </c>
      <c r="CX24" s="605">
        <f t="shared" si="119"/>
        <v>0</v>
      </c>
      <c r="CY24" s="118"/>
      <c r="CZ24" s="151">
        <f>1807354.08+300000</f>
        <v>2107354.08</v>
      </c>
      <c r="DA24" s="151">
        <f t="shared" si="120"/>
        <v>1785893.2881355933</v>
      </c>
      <c r="DB24" s="151">
        <f>DA24/DA2</f>
        <v>5354.0391178066711</v>
      </c>
      <c r="DC24" s="159">
        <v>5000</v>
      </c>
      <c r="DD24" s="395">
        <f t="shared" si="121"/>
        <v>1076399.9999999998</v>
      </c>
      <c r="DE24" s="395">
        <f t="shared" si="122"/>
        <v>1270151.9999999998</v>
      </c>
      <c r="DF24" s="159"/>
      <c r="DG24" s="159">
        <f>IFERROR(SUMIFS('PO Tracker'!$J$44:$J$1433,'PO Tracker'!$K$44:$K$1433,$DC$6,'PO Tracker'!$L$44:$L$1433,'Capex breakup'!$B24),0)</f>
        <v>1181170.56</v>
      </c>
      <c r="DH24" s="605">
        <f t="shared" si="123"/>
        <v>0.92994425863991104</v>
      </c>
      <c r="DI24" s="118"/>
      <c r="DJ24" s="151">
        <v>1416000</v>
      </c>
      <c r="DK24" s="151">
        <f t="shared" si="124"/>
        <v>1200000</v>
      </c>
      <c r="DL24" s="151">
        <f>DK24/DK2</f>
        <v>12000</v>
      </c>
      <c r="DM24" s="159">
        <v>2600</v>
      </c>
      <c r="DN24" s="395">
        <f>$DN$2*DM24</f>
        <v>125938.79999999999</v>
      </c>
      <c r="DO24" s="159">
        <f t="shared" si="126"/>
        <v>148607.78399999999</v>
      </c>
      <c r="DP24" s="159">
        <f>IFERROR(SUMIFS('PO Tracker'!$J$44:$J$1433,'PO Tracker'!$K$44:$K$1433,$DM$6,'PO Tracker'!$L$44:$L$1433,'Capex breakup'!$B24),0)</f>
        <v>142562.88</v>
      </c>
      <c r="DQ24" s="605">
        <f>IFERROR(DP24/DO24,"")</f>
        <v>0.95932309979132735</v>
      </c>
      <c r="DR24" s="118"/>
      <c r="DS24" s="151">
        <f>1807354.08+300000</f>
        <v>2107354.08</v>
      </c>
      <c r="DT24" s="151">
        <f t="shared" si="128"/>
        <v>1785893.2881355933</v>
      </c>
      <c r="DU24" s="151">
        <f>DT24/DT2</f>
        <v>5354.0391178066711</v>
      </c>
      <c r="DV24" s="159">
        <v>2000</v>
      </c>
      <c r="DW24" s="395">
        <f>DV24*$DW$2</f>
        <v>2613499.1999999997</v>
      </c>
      <c r="DX24" s="395">
        <f t="shared" si="129"/>
        <v>3083929.0559999994</v>
      </c>
      <c r="DY24" s="159"/>
      <c r="DZ24" s="159">
        <f>IFERROR(SUMIFS('PO Tracker'!$J$44:$J$1433,'PO Tracker'!$K$44:$K$1433,$DV$6,'PO Tracker'!$L$44:$L$1433,'Capex breakup'!$B24),0)</f>
        <v>422634.7</v>
      </c>
      <c r="EA24" s="605">
        <f t="shared" si="130"/>
        <v>0.13704423555974307</v>
      </c>
      <c r="EB24" s="118"/>
      <c r="EC24" s="151">
        <f>1807354.08+300000</f>
        <v>2107354.08</v>
      </c>
      <c r="ED24" s="151">
        <f t="shared" si="131"/>
        <v>1785893.2881355933</v>
      </c>
      <c r="EE24" s="151">
        <f>ED24/ED2</f>
        <v>5354.0391178066711</v>
      </c>
      <c r="EF24" s="159">
        <v>4000</v>
      </c>
      <c r="EG24" s="395">
        <f t="shared" si="132"/>
        <v>1538821.44</v>
      </c>
      <c r="EH24" s="395">
        <f t="shared" si="133"/>
        <v>1815809.2991999998</v>
      </c>
      <c r="EI24" s="159"/>
      <c r="EJ24" s="159">
        <f>IFERROR(SUMIFS('PO Tracker'!$J$44:$J$1433,'PO Tracker'!$K$44:$K$1433,$EF$6,'PO Tracker'!$L$44:$L$1433,'Capex breakup'!$B24),0)</f>
        <v>1244012.6399999999</v>
      </c>
      <c r="EK24" s="605">
        <f t="shared" si="134"/>
        <v>0.68510093022878604</v>
      </c>
      <c r="EL24" s="118"/>
      <c r="EM24" s="151"/>
      <c r="EN24" s="151"/>
      <c r="EO24" s="151"/>
      <c r="EP24" s="159">
        <v>5300</v>
      </c>
      <c r="EQ24" s="395">
        <f t="shared" si="135"/>
        <v>2038938.4079999998</v>
      </c>
      <c r="ER24" s="395">
        <f t="shared" si="136"/>
        <v>2405947.3214399996</v>
      </c>
      <c r="ES24" s="159"/>
      <c r="ET24" s="159">
        <f>IFERROR(SUMIFS('PO Tracker'!$J$44:$J$1433,'PO Tracker'!$K$44:$K$1433,$EP$6,'PO Tracker'!$L$44:$L$1433,'Capex breakup'!$B24),0)</f>
        <v>1847184.2011999998</v>
      </c>
      <c r="EU24" s="605">
        <f t="shared" si="137"/>
        <v>0.76775754179623068</v>
      </c>
      <c r="EV24" s="118"/>
      <c r="EW24" s="151"/>
      <c r="EX24" s="151"/>
      <c r="EY24" s="151"/>
      <c r="EZ24" s="159">
        <v>2400</v>
      </c>
      <c r="FA24" s="395">
        <f t="shared" si="138"/>
        <v>3073940.0639999993</v>
      </c>
      <c r="FB24" s="395">
        <f t="shared" si="139"/>
        <v>3627249.2755199992</v>
      </c>
      <c r="FC24" s="159"/>
      <c r="FD24" s="159">
        <f>IFERROR(SUMIFS('PO Tracker'!$J$44:$J$1433,'PO Tracker'!$K$44:$K$1433,$EZ$6,'PO Tracker'!$L$44:$L$1433,'Capex breakup'!$B24),0)</f>
        <v>3339186.8211999997</v>
      </c>
      <c r="FE24" s="605">
        <f t="shared" si="140"/>
        <v>0.92058377231912103</v>
      </c>
      <c r="FF24" s="118"/>
      <c r="FG24" s="318">
        <v>15780854.2752</v>
      </c>
      <c r="FH24" s="270">
        <f>FG24/112%</f>
        <v>14090048.459999999</v>
      </c>
      <c r="FI24" s="133">
        <f t="shared" si="141"/>
        <v>5344.8328882482365</v>
      </c>
      <c r="FJ24" s="159">
        <v>4000</v>
      </c>
      <c r="FK24" s="395">
        <f t="shared" si="142"/>
        <v>10482844.32</v>
      </c>
      <c r="FL24" s="159">
        <f t="shared" si="143"/>
        <v>12369756.297599999</v>
      </c>
      <c r="FM24" s="684"/>
      <c r="FN24" s="614">
        <v>3000000</v>
      </c>
      <c r="FO24" s="685">
        <f>FN24*1.18</f>
        <v>3540000</v>
      </c>
      <c r="FP24" s="684"/>
      <c r="FQ24" s="159">
        <f t="shared" si="144"/>
        <v>7482844.3200000003</v>
      </c>
      <c r="FR24" s="685">
        <f t="shared" si="145"/>
        <v>8829756.2975999992</v>
      </c>
      <c r="FS24" s="662">
        <f>IFERROR(SUMIFS('PO Tracker'!$J$44:$J$1433,'PO Tracker'!$K$44:$K$1433,$FJ$6,'PO Tracker'!$L$44:$L$1433,'Capex breakup'!$B24),0)</f>
        <v>0</v>
      </c>
      <c r="FT24" s="736">
        <f t="shared" si="146"/>
        <v>0</v>
      </c>
      <c r="FU24" s="709"/>
      <c r="FV24" s="151">
        <f>1807354.08+300000</f>
        <v>2107354.08</v>
      </c>
      <c r="FW24" s="151">
        <f t="shared" si="147"/>
        <v>1785893.2881355933</v>
      </c>
      <c r="FX24" s="151">
        <f>FW24/FW2</f>
        <v>5354.0391178066711</v>
      </c>
      <c r="FY24" s="159">
        <v>5500</v>
      </c>
      <c r="FZ24" s="395">
        <f t="shared" si="148"/>
        <v>1224297.3599999999</v>
      </c>
      <c r="GA24" s="395">
        <f t="shared" si="149"/>
        <v>1444670.8847999999</v>
      </c>
      <c r="GB24" s="159"/>
      <c r="GC24" s="159">
        <f>IFERROR(SUMIFS('PO Tracker'!$J$44:$J$1433,'PO Tracker'!$K$44:$K$1433,$FY$6,'PO Tracker'!$L$44:$L$1433,'Capex breakup'!$B24),0)</f>
        <v>1126263.98</v>
      </c>
      <c r="GD24" s="605">
        <f t="shared" si="150"/>
        <v>0.77959900199409071</v>
      </c>
      <c r="GE24" s="118"/>
      <c r="GF24" s="151">
        <v>1416000</v>
      </c>
      <c r="GG24" s="151">
        <f t="shared" si="151"/>
        <v>1200000</v>
      </c>
      <c r="GH24" s="151">
        <f>GG24/GG2</f>
        <v>12000</v>
      </c>
      <c r="GI24" s="159">
        <v>9000</v>
      </c>
      <c r="GJ24" s="395">
        <f t="shared" si="152"/>
        <v>1356264</v>
      </c>
      <c r="GK24" s="395">
        <f t="shared" si="153"/>
        <v>1600391.52</v>
      </c>
      <c r="GL24" s="159"/>
      <c r="GM24" s="159">
        <f>IFERROR(SUMIFS('PO Tracker'!$J$44:$J$1433,'PO Tracker'!$K$44:$K$1433,$GI$6,'PO Tracker'!$L$44:$L$1433,'Capex breakup'!$B24),0)</f>
        <v>1982010.6</v>
      </c>
      <c r="GN24" s="605">
        <f t="shared" si="154"/>
        <v>1.2384535754100972</v>
      </c>
      <c r="GO24" s="118"/>
      <c r="GP24" s="151">
        <v>1416000</v>
      </c>
      <c r="GQ24" s="151">
        <f t="shared" si="155"/>
        <v>1200000</v>
      </c>
      <c r="GR24" s="151">
        <f>GQ24/GQ2</f>
        <v>12000</v>
      </c>
      <c r="GS24" s="159">
        <v>1250</v>
      </c>
      <c r="GT24" s="395">
        <f>GS24*$GT$2</f>
        <v>121094.99999999999</v>
      </c>
      <c r="GU24" s="159">
        <f>GT24*1.18</f>
        <v>142892.09999999998</v>
      </c>
      <c r="GV24" s="159">
        <f>IFERROR(SUMIFS('PO Tracker'!$J$44:$J$1433,'PO Tracker'!$K$44:$K$1433,$GS$6,'PO Tracker'!$L$44:$L$1433,'Capex breakup'!$B24),0)</f>
        <v>142562.88</v>
      </c>
      <c r="GW24" s="605">
        <f>IFERROR(GV24/GU24,"")</f>
        <v>0.9976960237829805</v>
      </c>
      <c r="GX24" s="118"/>
      <c r="GY24" s="151"/>
      <c r="GZ24" s="270"/>
      <c r="HA24" s="133"/>
      <c r="HB24" s="159">
        <v>7000</v>
      </c>
      <c r="HC24" s="395">
        <f t="shared" si="157"/>
        <v>23369935.68</v>
      </c>
      <c r="HD24" s="159">
        <f t="shared" si="158"/>
        <v>27576524.102399997</v>
      </c>
      <c r="HE24" s="159"/>
      <c r="HF24" s="159">
        <f>IFERROR(SUMIFS('PO Tracker'!$J$44:$J$1433,'PO Tracker'!$K$44:$K$1433,$HB$6,'PO Tracker'!$L$44:$L$1433,'Capex breakup'!$B24),0)</f>
        <v>22977690.420000002</v>
      </c>
      <c r="HG24" s="605">
        <f t="shared" si="159"/>
        <v>0.83323374384229387</v>
      </c>
      <c r="HH24" s="118"/>
      <c r="HI24" s="151"/>
      <c r="HJ24" s="270"/>
      <c r="HK24" s="133"/>
      <c r="HL24" s="159">
        <v>5000</v>
      </c>
      <c r="HM24" s="395">
        <f t="shared" si="160"/>
        <v>16980210</v>
      </c>
      <c r="HN24" s="159">
        <f t="shared" si="161"/>
        <v>20036647.800000001</v>
      </c>
      <c r="HO24" s="159">
        <f>IFERROR(SUMIFS('PO Tracker'!$J$44:$J$1433,'PO Tracker'!$K$44:$K$1433,$HL$6,'PO Tracker'!$L$44:$L$1433,'Capex breakup'!$B24),0)</f>
        <v>0</v>
      </c>
      <c r="HP24" s="605">
        <f t="shared" si="162"/>
        <v>0</v>
      </c>
      <c r="HQ24" s="118"/>
      <c r="HR24" s="364"/>
      <c r="HS24" s="364"/>
      <c r="HT24" s="364"/>
      <c r="HU24" s="364"/>
    </row>
    <row r="25" spans="1:229">
      <c r="A25" s="18">
        <v>5</v>
      </c>
      <c r="B25" s="19" t="s">
        <v>208</v>
      </c>
      <c r="C25" s="118"/>
      <c r="D25" s="151">
        <v>0</v>
      </c>
      <c r="E25" s="151">
        <f t="shared" si="84"/>
        <v>0</v>
      </c>
      <c r="F25" s="151">
        <f>E25/E2</f>
        <v>0</v>
      </c>
      <c r="G25" s="159">
        <f>+F25</f>
        <v>0</v>
      </c>
      <c r="H25" s="395">
        <f t="shared" si="85"/>
        <v>0</v>
      </c>
      <c r="I25" s="395">
        <f t="shared" si="86"/>
        <v>0</v>
      </c>
      <c r="J25" s="159"/>
      <c r="K25" s="159">
        <f>IFERROR(SUMIFS('PO Tracker'!$J$44:$J$1433,'PO Tracker'!$K$44:$K$1433,$G$6,'PO Tracker'!$L$44:$L$1433,'Capex breakup'!$B25),0)</f>
        <v>0</v>
      </c>
      <c r="L25" s="605" t="str">
        <f t="shared" si="87"/>
        <v/>
      </c>
      <c r="M25" s="118"/>
      <c r="N25" s="151">
        <v>0</v>
      </c>
      <c r="O25" s="151">
        <f t="shared" si="88"/>
        <v>0</v>
      </c>
      <c r="P25" s="151">
        <f>O25/O2</f>
        <v>0</v>
      </c>
      <c r="Q25" s="159">
        <f>+P25</f>
        <v>0</v>
      </c>
      <c r="R25" s="395">
        <f t="shared" si="89"/>
        <v>0</v>
      </c>
      <c r="S25" s="395">
        <f t="shared" si="90"/>
        <v>0</v>
      </c>
      <c r="T25" s="159"/>
      <c r="U25" s="159">
        <f>IFERROR(SUMIFS('PO Tracker'!$J$44:$J$1433,'PO Tracker'!$K$44:$K$1433,$Q$6,'PO Tracker'!$L$44:$L$1433,'Capex breakup'!$B25),0)</f>
        <v>0</v>
      </c>
      <c r="V25" s="605" t="str">
        <f t="shared" si="91"/>
        <v/>
      </c>
      <c r="W25" s="118"/>
      <c r="X25" s="151"/>
      <c r="Y25" s="151">
        <f>X25/114%</f>
        <v>0</v>
      </c>
      <c r="Z25" s="133">
        <f>Y25/$Y$2</f>
        <v>0</v>
      </c>
      <c r="AA25" s="159">
        <f>+Z25</f>
        <v>0</v>
      </c>
      <c r="AB25" s="395">
        <v>0</v>
      </c>
      <c r="AC25" s="395">
        <f t="shared" si="92"/>
        <v>0</v>
      </c>
      <c r="AD25" s="159"/>
      <c r="AE25" s="159">
        <f>IFERROR(SUMIFS('PO Tracker'!$J$44:$J$1433,'PO Tracker'!$K$44:$K$1433,$AA$6,'PO Tracker'!$L$44:$L$1433,'Capex breakup'!$B25),0)</f>
        <v>0</v>
      </c>
      <c r="AF25" s="605" t="str">
        <f t="shared" si="93"/>
        <v/>
      </c>
      <c r="AG25" s="118"/>
      <c r="AH25" s="151">
        <v>0</v>
      </c>
      <c r="AI25" s="151">
        <f t="shared" si="94"/>
        <v>0</v>
      </c>
      <c r="AJ25" s="151">
        <f>AI25/AI2</f>
        <v>0</v>
      </c>
      <c r="AK25" s="159">
        <f>+AJ25</f>
        <v>0</v>
      </c>
      <c r="AL25" s="395">
        <f t="shared" si="95"/>
        <v>0</v>
      </c>
      <c r="AM25" s="395">
        <f t="shared" si="96"/>
        <v>0</v>
      </c>
      <c r="AN25" s="159"/>
      <c r="AO25" s="159">
        <f>IFERROR(SUMIFS('PO Tracker'!$J$44:$J$1433,'PO Tracker'!$K$44:$K$1433,$AK$6,'PO Tracker'!$L$44:$L$1433,'Capex breakup'!$B25),0)</f>
        <v>0</v>
      </c>
      <c r="AP25" s="605" t="str">
        <f t="shared" si="97"/>
        <v/>
      </c>
      <c r="AQ25" s="118"/>
      <c r="AR25" s="287">
        <v>472000</v>
      </c>
      <c r="AS25" s="287">
        <f>AR25/118%</f>
        <v>400000</v>
      </c>
      <c r="AT25" s="288">
        <f>AS25/AS$2</f>
        <v>368.06654643159482</v>
      </c>
      <c r="AU25" s="159"/>
      <c r="AV25" s="395">
        <f t="shared" si="98"/>
        <v>0</v>
      </c>
      <c r="AW25" s="395">
        <f t="shared" si="99"/>
        <v>0</v>
      </c>
      <c r="AX25" s="159"/>
      <c r="AY25" s="159">
        <f>IFERROR(SUMIFS('PO Tracker'!$J$44:$J$1433,'PO Tracker'!$K$44:$K$1433,$AU$6,'PO Tracker'!$L$44:$L$1433,'Capex breakup'!$B25),0)</f>
        <v>0</v>
      </c>
      <c r="AZ25" s="605" t="str">
        <f t="shared" si="100"/>
        <v/>
      </c>
      <c r="BA25" s="118"/>
      <c r="BB25" s="151"/>
      <c r="BC25" s="151">
        <f t="shared" si="101"/>
        <v>0</v>
      </c>
      <c r="BD25" s="151">
        <f>BC25/BC2</f>
        <v>0</v>
      </c>
      <c r="BE25" s="159"/>
      <c r="BF25" s="395">
        <f t="shared" si="102"/>
        <v>0</v>
      </c>
      <c r="BG25" s="395">
        <f t="shared" si="103"/>
        <v>0</v>
      </c>
      <c r="BH25" s="159"/>
      <c r="BI25" s="159">
        <f>IFERROR(SUMIFS('PO Tracker'!$J$44:$J$1433,'PO Tracker'!$K$44:$K$1433,$BE$6,'PO Tracker'!$L$44:$L$1433,'Capex breakup'!$B25),0)</f>
        <v>0</v>
      </c>
      <c r="BJ25" s="605" t="str">
        <f t="shared" si="104"/>
        <v/>
      </c>
      <c r="BK25" s="118"/>
      <c r="BL25" s="151"/>
      <c r="BM25" s="151"/>
      <c r="BN25" s="151"/>
      <c r="BO25" s="159"/>
      <c r="BP25" s="395">
        <f t="shared" si="105"/>
        <v>0</v>
      </c>
      <c r="BQ25" s="395">
        <f t="shared" si="106"/>
        <v>0</v>
      </c>
      <c r="BR25" s="159"/>
      <c r="BS25" s="159">
        <f>IFERROR(SUMIFS('PO Tracker'!$J$44:$J$1433,'PO Tracker'!$K$44:$K$1433,$BO$6,'PO Tracker'!$L$44:$L$1433,'Capex breakup'!$B25),0)</f>
        <v>0</v>
      </c>
      <c r="BT25" s="605" t="str">
        <f t="shared" si="107"/>
        <v/>
      </c>
      <c r="BU25" s="118"/>
      <c r="BV25" s="151">
        <v>647536.79999999993</v>
      </c>
      <c r="BW25" s="151">
        <f t="shared" si="108"/>
        <v>548760</v>
      </c>
      <c r="BX25" s="151">
        <f>BW25/BW2</f>
        <v>560.53115423901943</v>
      </c>
      <c r="BY25" s="159"/>
      <c r="BZ25" s="395">
        <f t="shared" si="109"/>
        <v>0</v>
      </c>
      <c r="CA25" s="395">
        <f t="shared" si="110"/>
        <v>0</v>
      </c>
      <c r="CB25" s="159"/>
      <c r="CC25" s="159">
        <f>IFERROR(SUMIFS('PO Tracker'!$J$44:$J$1433,'PO Tracker'!$K$44:$K$1433,$BY$6,'PO Tracker'!$L$44:$L$1433,'Capex breakup'!$B25),0)</f>
        <v>0</v>
      </c>
      <c r="CD25" s="605" t="str">
        <f t="shared" si="111"/>
        <v/>
      </c>
      <c r="CE25" s="118"/>
      <c r="CF25" s="151"/>
      <c r="CG25" s="151">
        <f t="shared" si="112"/>
        <v>0</v>
      </c>
      <c r="CH25" s="151">
        <f>CG25/CG2</f>
        <v>0</v>
      </c>
      <c r="CI25" s="159"/>
      <c r="CJ25" s="395">
        <f t="shared" si="113"/>
        <v>0</v>
      </c>
      <c r="CK25" s="395">
        <f t="shared" si="114"/>
        <v>0</v>
      </c>
      <c r="CL25" s="159"/>
      <c r="CM25" s="159">
        <f>IFERROR(SUMIFS('PO Tracker'!$J$44:$J$1433,'PO Tracker'!$K$44:$K$1433,$CI$6,'PO Tracker'!$L$44:$L$1433,'Capex breakup'!$B25),0)</f>
        <v>0</v>
      </c>
      <c r="CN25" s="605" t="str">
        <f t="shared" si="115"/>
        <v/>
      </c>
      <c r="CO25" s="118"/>
      <c r="CP25" s="151"/>
      <c r="CQ25" s="151">
        <f t="shared" si="116"/>
        <v>0</v>
      </c>
      <c r="CR25" s="151"/>
      <c r="CS25" s="159"/>
      <c r="CT25" s="395">
        <f t="shared" si="117"/>
        <v>0</v>
      </c>
      <c r="CU25" s="395">
        <f t="shared" si="118"/>
        <v>0</v>
      </c>
      <c r="CV25" s="159"/>
      <c r="CW25" s="159">
        <f>IFERROR(SUMIFS('PO Tracker'!$J$44:$J$1433,'PO Tracker'!$K$44:$K$1433,$CS$6,'PO Tracker'!$L$44:$L$1433,'Capex breakup'!$B25),0)</f>
        <v>0</v>
      </c>
      <c r="CX25" s="605" t="str">
        <f t="shared" si="119"/>
        <v/>
      </c>
      <c r="CY25" s="118"/>
      <c r="CZ25" s="151"/>
      <c r="DA25" s="151">
        <f t="shared" si="120"/>
        <v>0</v>
      </c>
      <c r="DB25" s="151">
        <f>DA25/DA2</f>
        <v>0</v>
      </c>
      <c r="DC25" s="159"/>
      <c r="DD25" s="395">
        <f t="shared" si="121"/>
        <v>0</v>
      </c>
      <c r="DE25" s="395">
        <f t="shared" si="122"/>
        <v>0</v>
      </c>
      <c r="DF25" s="159"/>
      <c r="DG25" s="159">
        <f>IFERROR(SUMIFS('PO Tracker'!$J$44:$J$1433,'PO Tracker'!$K$44:$K$1433,$DC$6,'PO Tracker'!$L$44:$L$1433,'Capex breakup'!$B25),0)</f>
        <v>0</v>
      </c>
      <c r="DH25" s="605" t="str">
        <f t="shared" si="123"/>
        <v/>
      </c>
      <c r="DI25" s="118"/>
      <c r="DJ25" s="151"/>
      <c r="DK25" s="151">
        <f t="shared" si="124"/>
        <v>0</v>
      </c>
      <c r="DL25" s="151">
        <f>DK25/DK2</f>
        <v>0</v>
      </c>
      <c r="DM25" s="159">
        <f>+DL25</f>
        <v>0</v>
      </c>
      <c r="DN25" s="395">
        <f t="shared" si="125"/>
        <v>0</v>
      </c>
      <c r="DO25" s="159">
        <f t="shared" si="126"/>
        <v>0</v>
      </c>
      <c r="DP25" s="159">
        <f>IFERROR(SUMIFS('PO Tracker'!$J$44:$J$1433,'PO Tracker'!$K$44:$K$1433,$DM$6,'PO Tracker'!$L$44:$L$1433,'Capex breakup'!$B25),0)</f>
        <v>0</v>
      </c>
      <c r="DQ25" s="605" t="str">
        <f t="shared" si="127"/>
        <v/>
      </c>
      <c r="DR25" s="118"/>
      <c r="DS25" s="151"/>
      <c r="DT25" s="151">
        <f t="shared" si="128"/>
        <v>0</v>
      </c>
      <c r="DU25" s="151">
        <f>DT25/DT2</f>
        <v>0</v>
      </c>
      <c r="DV25" s="159"/>
      <c r="DW25" s="395">
        <v>0</v>
      </c>
      <c r="DX25" s="395">
        <f t="shared" si="129"/>
        <v>0</v>
      </c>
      <c r="DY25" s="159"/>
      <c r="DZ25" s="159">
        <f>IFERROR(SUMIFS('PO Tracker'!$J$44:$J$1433,'PO Tracker'!$K$44:$K$1433,$DV$6,'PO Tracker'!$L$44:$L$1433,'Capex breakup'!$B25),0)</f>
        <v>0</v>
      </c>
      <c r="EA25" s="605" t="str">
        <f t="shared" si="130"/>
        <v/>
      </c>
      <c r="EB25" s="118"/>
      <c r="EC25" s="151"/>
      <c r="ED25" s="151">
        <f t="shared" si="131"/>
        <v>0</v>
      </c>
      <c r="EE25" s="151">
        <f>ED25/ED2</f>
        <v>0</v>
      </c>
      <c r="EF25" s="159"/>
      <c r="EG25" s="395">
        <f t="shared" si="132"/>
        <v>0</v>
      </c>
      <c r="EH25" s="395">
        <f t="shared" si="133"/>
        <v>0</v>
      </c>
      <c r="EI25" s="159"/>
      <c r="EJ25" s="159">
        <f>IFERROR(SUMIFS('PO Tracker'!$J$44:$J$1433,'PO Tracker'!$K$44:$K$1433,$EF$6,'PO Tracker'!$L$44:$L$1433,'Capex breakup'!$B25),0)</f>
        <v>0</v>
      </c>
      <c r="EK25" s="605" t="str">
        <f t="shared" si="134"/>
        <v/>
      </c>
      <c r="EL25" s="118"/>
      <c r="EM25" s="151"/>
      <c r="EN25" s="151"/>
      <c r="EO25" s="151"/>
      <c r="EP25" s="159">
        <f>+EO25</f>
        <v>0</v>
      </c>
      <c r="EQ25" s="395">
        <f t="shared" si="135"/>
        <v>0</v>
      </c>
      <c r="ER25" s="395">
        <f t="shared" si="136"/>
        <v>0</v>
      </c>
      <c r="ES25" s="159"/>
      <c r="ET25" s="159">
        <f>IFERROR(SUMIFS('PO Tracker'!$J$44:$J$1433,'PO Tracker'!$K$44:$K$1433,$EP$6,'PO Tracker'!$L$44:$L$1433,'Capex breakup'!$B25),0)</f>
        <v>0</v>
      </c>
      <c r="EU25" s="605" t="str">
        <f t="shared" si="137"/>
        <v/>
      </c>
      <c r="EV25" s="118"/>
      <c r="EW25" s="151"/>
      <c r="EX25" s="151"/>
      <c r="EY25" s="151"/>
      <c r="EZ25" s="159">
        <f>+EY25</f>
        <v>0</v>
      </c>
      <c r="FA25" s="395">
        <f t="shared" si="138"/>
        <v>0</v>
      </c>
      <c r="FB25" s="395">
        <f t="shared" si="139"/>
        <v>0</v>
      </c>
      <c r="FC25" s="159"/>
      <c r="FD25" s="159">
        <f>IFERROR(SUMIFS('PO Tracker'!$J$44:$J$1433,'PO Tracker'!$K$44:$K$1433,$EZ$6,'PO Tracker'!$L$44:$L$1433,'Capex breakup'!$B25),0)</f>
        <v>0</v>
      </c>
      <c r="FE25" s="605" t="str">
        <f t="shared" si="140"/>
        <v/>
      </c>
      <c r="FF25" s="118"/>
      <c r="FG25" s="318"/>
      <c r="FH25" s="151">
        <f>FG25/114%</f>
        <v>0</v>
      </c>
      <c r="FI25" s="133">
        <f t="shared" si="141"/>
        <v>0</v>
      </c>
      <c r="FJ25" s="159">
        <f>+FI25</f>
        <v>0</v>
      </c>
      <c r="FK25" s="395">
        <f t="shared" si="142"/>
        <v>0</v>
      </c>
      <c r="FL25" s="159">
        <f t="shared" si="143"/>
        <v>0</v>
      </c>
      <c r="FM25" s="684"/>
      <c r="FN25" s="159"/>
      <c r="FO25" s="685"/>
      <c r="FP25" s="684"/>
      <c r="FQ25" s="159">
        <f t="shared" si="144"/>
        <v>0</v>
      </c>
      <c r="FR25" s="685">
        <f t="shared" si="145"/>
        <v>0</v>
      </c>
      <c r="FS25" s="662">
        <f>IFERROR(SUMIFS('PO Tracker'!$J$44:$J$1433,'PO Tracker'!$K$44:$K$1433,$FJ$6,'PO Tracker'!$L$44:$L$1433,'Capex breakup'!$B25),0)</f>
        <v>0</v>
      </c>
      <c r="FT25" s="736" t="str">
        <f t="shared" si="146"/>
        <v/>
      </c>
      <c r="FU25" s="709"/>
      <c r="FV25" s="151"/>
      <c r="FW25" s="151">
        <f t="shared" si="147"/>
        <v>0</v>
      </c>
      <c r="FX25" s="151">
        <f>FW25/FW2</f>
        <v>0</v>
      </c>
      <c r="FY25" s="159"/>
      <c r="FZ25" s="395">
        <f t="shared" si="148"/>
        <v>0</v>
      </c>
      <c r="GA25" s="395">
        <f t="shared" si="149"/>
        <v>0</v>
      </c>
      <c r="GB25" s="159"/>
      <c r="GC25" s="159">
        <f>IFERROR(SUMIFS('PO Tracker'!$J$44:$J$1433,'PO Tracker'!$K$44:$K$1433,$FY$6,'PO Tracker'!$L$44:$L$1433,'Capex breakup'!$B25),0)</f>
        <v>0</v>
      </c>
      <c r="GD25" s="605" t="str">
        <f t="shared" si="150"/>
        <v/>
      </c>
      <c r="GE25" s="118"/>
      <c r="GF25" s="151"/>
      <c r="GG25" s="151">
        <f t="shared" si="151"/>
        <v>0</v>
      </c>
      <c r="GH25" s="151">
        <f>GG25/GG2</f>
        <v>0</v>
      </c>
      <c r="GI25" s="159"/>
      <c r="GJ25" s="395">
        <f t="shared" si="152"/>
        <v>0</v>
      </c>
      <c r="GK25" s="395">
        <f t="shared" si="153"/>
        <v>0</v>
      </c>
      <c r="GL25" s="159"/>
      <c r="GM25" s="159">
        <f>IFERROR(SUMIFS('PO Tracker'!$J$44:$J$1433,'PO Tracker'!$K$44:$K$1433,$GI$6,'PO Tracker'!$L$44:$L$1433,'Capex breakup'!$B25),0)</f>
        <v>0</v>
      </c>
      <c r="GN25" s="605" t="str">
        <f t="shared" si="154"/>
        <v/>
      </c>
      <c r="GO25" s="118"/>
      <c r="GP25" s="151"/>
      <c r="GQ25" s="151">
        <f t="shared" si="155"/>
        <v>0</v>
      </c>
      <c r="GR25" s="151">
        <f>GQ25/GQ2</f>
        <v>0</v>
      </c>
      <c r="GS25" s="159">
        <v>0</v>
      </c>
      <c r="GT25" s="395">
        <v>0</v>
      </c>
      <c r="GU25" s="159">
        <v>0</v>
      </c>
      <c r="GV25" s="159">
        <f>IFERROR(SUMIFS('PO Tracker'!$J$44:$J$1433,'PO Tracker'!$K$44:$K$1433,$GS$6,'PO Tracker'!$L$44:$L$1433,'Capex breakup'!$B25),0)</f>
        <v>0</v>
      </c>
      <c r="GW25" s="605" t="str">
        <f t="shared" si="156"/>
        <v/>
      </c>
      <c r="GX25" s="118"/>
      <c r="GY25" s="151"/>
      <c r="GZ25" s="151">
        <f>GY25/114%</f>
        <v>0</v>
      </c>
      <c r="HA25" s="133"/>
      <c r="HB25" s="159">
        <f>+HA25</f>
        <v>0</v>
      </c>
      <c r="HC25" s="395">
        <f t="shared" si="157"/>
        <v>0</v>
      </c>
      <c r="HD25" s="159">
        <f t="shared" si="158"/>
        <v>0</v>
      </c>
      <c r="HE25" s="159"/>
      <c r="HF25" s="159">
        <f>IFERROR(SUMIFS('PO Tracker'!$J$44:$J$1433,'PO Tracker'!$K$44:$K$1433,$HB$6,'PO Tracker'!$L$44:$L$1433,'Capex breakup'!$B25),0)</f>
        <v>0</v>
      </c>
      <c r="HG25" s="605" t="str">
        <f t="shared" si="159"/>
        <v/>
      </c>
      <c r="HH25" s="118"/>
      <c r="HI25" s="151"/>
      <c r="HJ25" s="151">
        <f>HI25/114%</f>
        <v>0</v>
      </c>
      <c r="HK25" s="133"/>
      <c r="HL25" s="159">
        <f>+HK25</f>
        <v>0</v>
      </c>
      <c r="HM25" s="395">
        <f t="shared" si="160"/>
        <v>0</v>
      </c>
      <c r="HN25" s="159">
        <f t="shared" si="161"/>
        <v>0</v>
      </c>
      <c r="HO25" s="159">
        <f>IFERROR(SUMIFS('PO Tracker'!$J$44:$J$1433,'PO Tracker'!$K$44:$K$1433,$HL$6,'PO Tracker'!$L$44:$L$1433,'Capex breakup'!$B25),0)</f>
        <v>0</v>
      </c>
      <c r="HP25" s="605" t="str">
        <f t="shared" si="162"/>
        <v/>
      </c>
      <c r="HQ25" s="118"/>
      <c r="HR25" s="364"/>
      <c r="HS25" s="364"/>
      <c r="HT25" s="364"/>
      <c r="HU25" s="364"/>
    </row>
    <row r="26" spans="1:229">
      <c r="A26" s="18">
        <v>6</v>
      </c>
      <c r="B26" s="19" t="s">
        <v>27</v>
      </c>
      <c r="C26" s="118"/>
      <c r="D26" s="151"/>
      <c r="E26" s="151">
        <f t="shared" si="84"/>
        <v>0</v>
      </c>
      <c r="F26" s="151">
        <f>E26/E2</f>
        <v>0</v>
      </c>
      <c r="G26" s="159">
        <f>+F26</f>
        <v>0</v>
      </c>
      <c r="H26" s="395">
        <f t="shared" si="85"/>
        <v>0</v>
      </c>
      <c r="I26" s="395">
        <f t="shared" si="86"/>
        <v>0</v>
      </c>
      <c r="J26" s="159"/>
      <c r="K26" s="159">
        <f>IFERROR(SUMIFS('PO Tracker'!$J$44:$J$1433,'PO Tracker'!$K$44:$K$1433,$G$6,'PO Tracker'!$L$44:$L$1433,'Capex breakup'!$B26),0)</f>
        <v>0</v>
      </c>
      <c r="L26" s="605" t="str">
        <f t="shared" si="87"/>
        <v/>
      </c>
      <c r="M26" s="118"/>
      <c r="N26" s="151"/>
      <c r="O26" s="151">
        <f t="shared" si="88"/>
        <v>0</v>
      </c>
      <c r="P26" s="151">
        <f>O26/O2</f>
        <v>0</v>
      </c>
      <c r="Q26" s="159">
        <f>+P26</f>
        <v>0</v>
      </c>
      <c r="R26" s="395">
        <f t="shared" si="89"/>
        <v>0</v>
      </c>
      <c r="S26" s="395">
        <f t="shared" si="90"/>
        <v>0</v>
      </c>
      <c r="T26" s="159"/>
      <c r="U26" s="159">
        <f>IFERROR(SUMIFS('PO Tracker'!$J$44:$J$1433,'PO Tracker'!$K$44:$K$1433,$Q$6,'PO Tracker'!$L$44:$L$1433,'Capex breakup'!$B26),0)</f>
        <v>0</v>
      </c>
      <c r="V26" s="605" t="str">
        <f t="shared" si="91"/>
        <v/>
      </c>
      <c r="W26" s="118"/>
      <c r="X26" s="151"/>
      <c r="Y26" s="151">
        <f>X26/114%</f>
        <v>0</v>
      </c>
      <c r="Z26" s="133">
        <f>Y26/$Y$2</f>
        <v>0</v>
      </c>
      <c r="AA26" s="159">
        <f>+Z26</f>
        <v>0</v>
      </c>
      <c r="AB26" s="395">
        <v>0</v>
      </c>
      <c r="AC26" s="395">
        <f t="shared" si="92"/>
        <v>0</v>
      </c>
      <c r="AD26" s="159"/>
      <c r="AE26" s="159">
        <f>IFERROR(SUMIFS('PO Tracker'!$J$44:$J$1433,'PO Tracker'!$K$44:$K$1433,$AA$6,'PO Tracker'!$L$44:$L$1433,'Capex breakup'!$B26),0)</f>
        <v>0</v>
      </c>
      <c r="AF26" s="605" t="str">
        <f t="shared" si="93"/>
        <v/>
      </c>
      <c r="AG26" s="118"/>
      <c r="AH26" s="151"/>
      <c r="AI26" s="151">
        <f t="shared" si="94"/>
        <v>0</v>
      </c>
      <c r="AJ26" s="151">
        <f>AI26/AI2</f>
        <v>0</v>
      </c>
      <c r="AK26" s="159">
        <f>+AJ26</f>
        <v>0</v>
      </c>
      <c r="AL26" s="395">
        <f t="shared" si="95"/>
        <v>0</v>
      </c>
      <c r="AM26" s="395">
        <f t="shared" si="96"/>
        <v>0</v>
      </c>
      <c r="AN26" s="159"/>
      <c r="AO26" s="159">
        <f>IFERROR(SUMIFS('PO Tracker'!$J$44:$J$1433,'PO Tracker'!$K$44:$K$1433,$AK$6,'PO Tracker'!$L$44:$L$1433,'Capex breakup'!$B26),0)</f>
        <v>0</v>
      </c>
      <c r="AP26" s="605" t="str">
        <f t="shared" si="97"/>
        <v/>
      </c>
      <c r="AQ26" s="118"/>
      <c r="AR26" s="287"/>
      <c r="AS26" s="287"/>
      <c r="AT26" s="288"/>
      <c r="AU26" s="159">
        <f>+AT26</f>
        <v>0</v>
      </c>
      <c r="AV26" s="395">
        <f t="shared" si="98"/>
        <v>0</v>
      </c>
      <c r="AW26" s="395">
        <f t="shared" si="99"/>
        <v>0</v>
      </c>
      <c r="AX26" s="159"/>
      <c r="AY26" s="159">
        <f>IFERROR(SUMIFS('PO Tracker'!$J$44:$J$1433,'PO Tracker'!$K$44:$K$1433,$AU$6,'PO Tracker'!$L$44:$L$1433,'Capex breakup'!$B26),0)</f>
        <v>0</v>
      </c>
      <c r="AZ26" s="605" t="str">
        <f t="shared" si="100"/>
        <v/>
      </c>
      <c r="BA26" s="118"/>
      <c r="BB26" s="151">
        <v>295000</v>
      </c>
      <c r="BC26" s="151">
        <f t="shared" si="101"/>
        <v>250000</v>
      </c>
      <c r="BD26" s="151">
        <f>BC26/BC2</f>
        <v>400.58966799128314</v>
      </c>
      <c r="BE26" s="159"/>
      <c r="BF26" s="395">
        <f t="shared" si="102"/>
        <v>0</v>
      </c>
      <c r="BG26" s="395">
        <f t="shared" si="103"/>
        <v>0</v>
      </c>
      <c r="BH26" s="159"/>
      <c r="BI26" s="159">
        <f>IFERROR(SUMIFS('PO Tracker'!$J$44:$J$1433,'PO Tracker'!$K$44:$K$1433,$BE$6,'PO Tracker'!$L$44:$L$1433,'Capex breakup'!$B26),0)</f>
        <v>0</v>
      </c>
      <c r="BJ26" s="605" t="str">
        <f t="shared" si="104"/>
        <v/>
      </c>
      <c r="BK26" s="118"/>
      <c r="BL26" s="151"/>
      <c r="BM26" s="151"/>
      <c r="BN26" s="151"/>
      <c r="BO26" s="159"/>
      <c r="BP26" s="395">
        <f t="shared" si="105"/>
        <v>0</v>
      </c>
      <c r="BQ26" s="395">
        <f t="shared" si="106"/>
        <v>0</v>
      </c>
      <c r="BR26" s="159"/>
      <c r="BS26" s="159">
        <f>IFERROR(SUMIFS('PO Tracker'!$J$44:$J$1433,'PO Tracker'!$K$44:$K$1433,$BO$6,'PO Tracker'!$L$44:$L$1433,'Capex breakup'!$B26),0)</f>
        <v>0</v>
      </c>
      <c r="BT26" s="605" t="str">
        <f t="shared" si="107"/>
        <v/>
      </c>
      <c r="BU26" s="118"/>
      <c r="BV26" s="151">
        <v>118000</v>
      </c>
      <c r="BW26" s="151">
        <f t="shared" si="108"/>
        <v>100000</v>
      </c>
      <c r="BX26" s="151">
        <f>BW26/BW2</f>
        <v>102.14504596527068</v>
      </c>
      <c r="BY26" s="159"/>
      <c r="BZ26" s="395">
        <f t="shared" si="109"/>
        <v>0</v>
      </c>
      <c r="CA26" s="395">
        <f t="shared" si="110"/>
        <v>0</v>
      </c>
      <c r="CB26" s="159"/>
      <c r="CC26" s="159">
        <f>IFERROR(SUMIFS('PO Tracker'!$J$44:$J$1433,'PO Tracker'!$K$44:$K$1433,$BY$6,'PO Tracker'!$L$44:$L$1433,'Capex breakup'!$B26),0)</f>
        <v>0</v>
      </c>
      <c r="CD26" s="605" t="str">
        <f t="shared" si="111"/>
        <v/>
      </c>
      <c r="CE26" s="118"/>
      <c r="CF26" s="151"/>
      <c r="CG26" s="151">
        <f t="shared" si="112"/>
        <v>0</v>
      </c>
      <c r="CH26" s="151">
        <f>CG26/CG2</f>
        <v>0</v>
      </c>
      <c r="CI26" s="159"/>
      <c r="CJ26" s="395">
        <f t="shared" si="113"/>
        <v>0</v>
      </c>
      <c r="CK26" s="395">
        <f t="shared" si="114"/>
        <v>0</v>
      </c>
      <c r="CL26" s="159"/>
      <c r="CM26" s="159">
        <f>IFERROR(SUMIFS('PO Tracker'!$J$44:$J$1433,'PO Tracker'!$K$44:$K$1433,$CI$6,'PO Tracker'!$L$44:$L$1433,'Capex breakup'!$B26),0)</f>
        <v>0</v>
      </c>
      <c r="CN26" s="605" t="str">
        <f t="shared" si="115"/>
        <v/>
      </c>
      <c r="CO26" s="118"/>
      <c r="CP26" s="151"/>
      <c r="CQ26" s="151">
        <f t="shared" si="116"/>
        <v>0</v>
      </c>
      <c r="CR26" s="151"/>
      <c r="CS26" s="159"/>
      <c r="CT26" s="395">
        <f t="shared" si="117"/>
        <v>0</v>
      </c>
      <c r="CU26" s="395">
        <f t="shared" si="118"/>
        <v>0</v>
      </c>
      <c r="CV26" s="159"/>
      <c r="CW26" s="159">
        <f>IFERROR(SUMIFS('PO Tracker'!$J$44:$J$1433,'PO Tracker'!$K$44:$K$1433,$CS$6,'PO Tracker'!$L$44:$L$1433,'Capex breakup'!$B26),0)</f>
        <v>0</v>
      </c>
      <c r="CX26" s="605" t="str">
        <f t="shared" si="119"/>
        <v/>
      </c>
      <c r="CY26" s="118"/>
      <c r="CZ26" s="151"/>
      <c r="DA26" s="151">
        <f t="shared" si="120"/>
        <v>0</v>
      </c>
      <c r="DB26" s="151">
        <f>DA26/DA2</f>
        <v>0</v>
      </c>
      <c r="DC26" s="159"/>
      <c r="DD26" s="395">
        <f t="shared" si="121"/>
        <v>0</v>
      </c>
      <c r="DE26" s="395">
        <f t="shared" si="122"/>
        <v>0</v>
      </c>
      <c r="DF26" s="159"/>
      <c r="DG26" s="159">
        <f>IFERROR(SUMIFS('PO Tracker'!$J$44:$J$1433,'PO Tracker'!$K$44:$K$1433,$DC$6,'PO Tracker'!$L$44:$L$1433,'Capex breakup'!$B26),0)</f>
        <v>0</v>
      </c>
      <c r="DH26" s="605" t="str">
        <f t="shared" si="123"/>
        <v/>
      </c>
      <c r="DI26" s="118"/>
      <c r="DJ26" s="151"/>
      <c r="DK26" s="151">
        <f t="shared" si="124"/>
        <v>0</v>
      </c>
      <c r="DL26" s="151">
        <f>DK26/DK2</f>
        <v>0</v>
      </c>
      <c r="DM26" s="159">
        <f>+DL26</f>
        <v>0</v>
      </c>
      <c r="DN26" s="395">
        <f t="shared" si="125"/>
        <v>67813.2</v>
      </c>
      <c r="DO26" s="159">
        <f t="shared" si="126"/>
        <v>80019.575999999986</v>
      </c>
      <c r="DP26" s="159">
        <f>IFERROR(SUMIFS('PO Tracker'!$J$44:$J$1433,'PO Tracker'!$K$44:$K$1433,$DM$6,'PO Tracker'!$L$44:$L$1433,'Capex breakup'!$B26),0)</f>
        <v>76823.899999999994</v>
      </c>
      <c r="DQ26" s="605">
        <f>IFERROR(DP26/DO26,"")</f>
        <v>0.96006382238266308</v>
      </c>
      <c r="DR26" s="118"/>
      <c r="DS26" s="151"/>
      <c r="DT26" s="151">
        <f t="shared" si="128"/>
        <v>0</v>
      </c>
      <c r="DU26" s="151">
        <f>DT26/DT2</f>
        <v>0</v>
      </c>
      <c r="DV26" s="159"/>
      <c r="DW26" s="395">
        <v>0</v>
      </c>
      <c r="DX26" s="395">
        <f t="shared" si="129"/>
        <v>0</v>
      </c>
      <c r="DY26" s="159"/>
      <c r="DZ26" s="159">
        <f>IFERROR(SUMIFS('PO Tracker'!$J$44:$J$1433,'PO Tracker'!$K$44:$K$1433,$DV$6,'PO Tracker'!$L$44:$L$1433,'Capex breakup'!$B26),0)</f>
        <v>0</v>
      </c>
      <c r="EA26" s="605" t="str">
        <f t="shared" si="130"/>
        <v/>
      </c>
      <c r="EB26" s="118"/>
      <c r="EC26" s="151"/>
      <c r="ED26" s="151">
        <f t="shared" si="131"/>
        <v>0</v>
      </c>
      <c r="EE26" s="151">
        <f>ED26/ED2</f>
        <v>0</v>
      </c>
      <c r="EF26" s="159"/>
      <c r="EG26" s="395">
        <f t="shared" si="132"/>
        <v>0</v>
      </c>
      <c r="EH26" s="395">
        <f t="shared" si="133"/>
        <v>0</v>
      </c>
      <c r="EI26" s="159"/>
      <c r="EJ26" s="159">
        <f>IFERROR(SUMIFS('PO Tracker'!$J$44:$J$1433,'PO Tracker'!$K$44:$K$1433,$EF$6,'PO Tracker'!$L$44:$L$1433,'Capex breakup'!$B26),0)</f>
        <v>0</v>
      </c>
      <c r="EK26" s="605" t="str">
        <f t="shared" si="134"/>
        <v/>
      </c>
      <c r="EL26" s="118"/>
      <c r="EM26" s="151"/>
      <c r="EN26" s="151"/>
      <c r="EO26" s="151"/>
      <c r="EP26" s="159">
        <v>1200</v>
      </c>
      <c r="EQ26" s="395">
        <f t="shared" si="135"/>
        <v>461646.43199999997</v>
      </c>
      <c r="ER26" s="395">
        <f t="shared" si="136"/>
        <v>544742.78975999996</v>
      </c>
      <c r="ES26" s="159"/>
      <c r="ET26" s="159">
        <f>IFERROR(SUMIFS('PO Tracker'!$J$44:$J$1433,'PO Tracker'!$K$44:$K$1433,$EP$6,'PO Tracker'!$L$44:$L$1433,'Capex breakup'!$B26),0)</f>
        <v>503359.68</v>
      </c>
      <c r="EU26" s="605">
        <f t="shared" si="137"/>
        <v>0.92403183568848646</v>
      </c>
      <c r="EV26" s="118"/>
      <c r="EW26" s="151"/>
      <c r="EX26" s="151"/>
      <c r="EY26" s="151"/>
      <c r="EZ26" s="159">
        <f>+EY26</f>
        <v>0</v>
      </c>
      <c r="FA26" s="395">
        <f t="shared" si="138"/>
        <v>0</v>
      </c>
      <c r="FB26" s="395">
        <f t="shared" si="139"/>
        <v>0</v>
      </c>
      <c r="FC26" s="159"/>
      <c r="FD26" s="159">
        <f>IFERROR(SUMIFS('PO Tracker'!$J$44:$J$1433,'PO Tracker'!$K$44:$K$1433,$EZ$6,'PO Tracker'!$L$44:$L$1433,'Capex breakup'!$B26),0)</f>
        <v>0</v>
      </c>
      <c r="FE26" s="605" t="str">
        <f t="shared" si="140"/>
        <v/>
      </c>
      <c r="FF26" s="118"/>
      <c r="FG26" s="318"/>
      <c r="FH26" s="151">
        <f>FG26/114%</f>
        <v>0</v>
      </c>
      <c r="FI26" s="133">
        <f t="shared" si="141"/>
        <v>0</v>
      </c>
      <c r="FJ26" s="159">
        <f>+FI26</f>
        <v>0</v>
      </c>
      <c r="FK26" s="395">
        <f t="shared" si="142"/>
        <v>0</v>
      </c>
      <c r="FL26" s="159">
        <f t="shared" si="143"/>
        <v>0</v>
      </c>
      <c r="FM26" s="684"/>
      <c r="FN26" s="159"/>
      <c r="FO26" s="685"/>
      <c r="FP26" s="684"/>
      <c r="FQ26" s="159">
        <f t="shared" si="144"/>
        <v>0</v>
      </c>
      <c r="FR26" s="685">
        <f t="shared" si="145"/>
        <v>0</v>
      </c>
      <c r="FS26" s="662">
        <f>IFERROR(SUMIFS('PO Tracker'!$J$44:$J$1433,'PO Tracker'!$K$44:$K$1433,$FJ$6,'PO Tracker'!$L$44:$L$1433,'Capex breakup'!$B26),0)</f>
        <v>0</v>
      </c>
      <c r="FT26" s="736" t="str">
        <f t="shared" si="146"/>
        <v/>
      </c>
      <c r="FU26" s="709"/>
      <c r="FV26" s="151"/>
      <c r="FW26" s="151">
        <f t="shared" si="147"/>
        <v>0</v>
      </c>
      <c r="FX26" s="151">
        <f>FW26/FW2</f>
        <v>0</v>
      </c>
      <c r="FY26" s="159"/>
      <c r="FZ26" s="395">
        <f t="shared" si="148"/>
        <v>0</v>
      </c>
      <c r="GA26" s="395">
        <f t="shared" si="149"/>
        <v>0</v>
      </c>
      <c r="GB26" s="159"/>
      <c r="GC26" s="159">
        <f>IFERROR(SUMIFS('PO Tracker'!$J$44:$J$1433,'PO Tracker'!$K$44:$K$1433,$FY$6,'PO Tracker'!$L$44:$L$1433,'Capex breakup'!$B26),0)</f>
        <v>0</v>
      </c>
      <c r="GD26" s="605" t="str">
        <f t="shared" si="150"/>
        <v/>
      </c>
      <c r="GE26" s="118"/>
      <c r="GF26" s="151"/>
      <c r="GG26" s="151">
        <f t="shared" si="151"/>
        <v>0</v>
      </c>
      <c r="GH26" s="151">
        <f>GG26/GG2</f>
        <v>0</v>
      </c>
      <c r="GI26" s="159"/>
      <c r="GJ26" s="395">
        <f t="shared" si="152"/>
        <v>0</v>
      </c>
      <c r="GK26" s="395">
        <f t="shared" si="153"/>
        <v>0</v>
      </c>
      <c r="GL26" s="159"/>
      <c r="GM26" s="159">
        <f>IFERROR(SUMIFS('PO Tracker'!$J$44:$J$1433,'PO Tracker'!$K$44:$K$1433,$GI$6,'PO Tracker'!$L$44:$L$1433,'Capex breakup'!$B26),0)</f>
        <v>0</v>
      </c>
      <c r="GN26" s="605" t="str">
        <f t="shared" si="154"/>
        <v/>
      </c>
      <c r="GO26" s="118"/>
      <c r="GP26" s="151"/>
      <c r="GQ26" s="151">
        <f t="shared" si="155"/>
        <v>0</v>
      </c>
      <c r="GR26" s="151">
        <f>GQ26/GQ2</f>
        <v>0</v>
      </c>
      <c r="GS26" s="159">
        <v>700</v>
      </c>
      <c r="GT26" s="395">
        <f>GS26*$GT$2</f>
        <v>67813.2</v>
      </c>
      <c r="GU26" s="159">
        <f>GT26*1.18</f>
        <v>80019.575999999986</v>
      </c>
      <c r="GV26" s="159">
        <f>IFERROR(SUMIFS('PO Tracker'!$J$44:$J$1433,'PO Tracker'!$K$44:$K$1433,$GS$6,'PO Tracker'!$L$44:$L$1433,'Capex breakup'!$B26),0)</f>
        <v>76823.899999999994</v>
      </c>
      <c r="GW26" s="605">
        <f>IFERROR(GV26/GU26,"")</f>
        <v>0.96006382238266308</v>
      </c>
      <c r="GX26" s="118"/>
      <c r="GY26" s="151"/>
      <c r="GZ26" s="151">
        <f>GY26/114%</f>
        <v>0</v>
      </c>
      <c r="HA26" s="133"/>
      <c r="HB26" s="159">
        <f>+HA26</f>
        <v>0</v>
      </c>
      <c r="HC26" s="395">
        <f t="shared" si="157"/>
        <v>0</v>
      </c>
      <c r="HD26" s="159">
        <f t="shared" si="158"/>
        <v>0</v>
      </c>
      <c r="HE26" s="159"/>
      <c r="HF26" s="159">
        <f>IFERROR(SUMIFS('PO Tracker'!$J$44:$J$1433,'PO Tracker'!$K$44:$K$1433,$HB$6,'PO Tracker'!$L$44:$L$1433,'Capex breakup'!$B26),0)</f>
        <v>0</v>
      </c>
      <c r="HG26" s="605" t="str">
        <f t="shared" si="159"/>
        <v/>
      </c>
      <c r="HH26" s="118"/>
      <c r="HI26" s="151"/>
      <c r="HJ26" s="151">
        <f>HI26/114%</f>
        <v>0</v>
      </c>
      <c r="HK26" s="133"/>
      <c r="HL26" s="159">
        <v>100</v>
      </c>
      <c r="HM26" s="395">
        <f t="shared" si="160"/>
        <v>339604.2</v>
      </c>
      <c r="HN26" s="159">
        <f t="shared" si="161"/>
        <v>400732.95600000001</v>
      </c>
      <c r="HO26" s="159">
        <f>IFERROR(SUMIFS('PO Tracker'!$J$44:$J$1433,'PO Tracker'!$K$44:$K$1433,$HL$6,'PO Tracker'!$L$44:$L$1433,'Capex breakup'!$B26),0)</f>
        <v>0</v>
      </c>
      <c r="HP26" s="605">
        <f t="shared" si="162"/>
        <v>0</v>
      </c>
      <c r="HQ26" s="118"/>
      <c r="HR26" s="364"/>
      <c r="HS26" s="364"/>
      <c r="HT26" s="364"/>
      <c r="HU26" s="364"/>
    </row>
    <row r="27" spans="1:229" s="26" customFormat="1" ht="15">
      <c r="A27" s="334"/>
      <c r="B27" s="23" t="s">
        <v>28</v>
      </c>
      <c r="C27" s="121"/>
      <c r="D27" s="154">
        <f>SUM(D21:D26)</f>
        <v>2860022.6999999993</v>
      </c>
      <c r="E27" s="154">
        <f>SUM(E21:E26)</f>
        <v>2423748.0508474573</v>
      </c>
      <c r="F27" s="152"/>
      <c r="G27" s="77"/>
      <c r="H27" s="396">
        <f>SUM(H21:H26)</f>
        <v>2150356.5720000002</v>
      </c>
      <c r="I27" s="396">
        <f>SUM(I21:I26)</f>
        <v>2537420.7549599996</v>
      </c>
      <c r="J27" s="78"/>
      <c r="K27" s="396">
        <f>SUM(K21:K26)</f>
        <v>1731018.7</v>
      </c>
      <c r="L27" s="605">
        <f t="shared" si="87"/>
        <v>0.6821961618372937</v>
      </c>
      <c r="M27" s="121"/>
      <c r="N27" s="154">
        <f>SUM(N21:N26)</f>
        <v>2860022.6999999993</v>
      </c>
      <c r="O27" s="154">
        <f>SUM(O21:O26)</f>
        <v>2423748.0508474573</v>
      </c>
      <c r="P27" s="152"/>
      <c r="Q27" s="77"/>
      <c r="R27" s="396">
        <f>SUM(R21:R26)</f>
        <v>4574000.34</v>
      </c>
      <c r="S27" s="396">
        <f>SUM(S21:S26)</f>
        <v>5397320.4012000002</v>
      </c>
      <c r="T27" s="78"/>
      <c r="U27" s="396">
        <f>SUM(U21:U26)</f>
        <v>5630524.5800000001</v>
      </c>
      <c r="V27" s="605">
        <f t="shared" si="91"/>
        <v>1.0432073994992312</v>
      </c>
      <c r="W27" s="121"/>
      <c r="X27" s="154">
        <f>SUM(X21:X26)</f>
        <v>15780854.2752</v>
      </c>
      <c r="Y27" s="154">
        <f>SUM(Y21:Y26)</f>
        <v>14090048.459999999</v>
      </c>
      <c r="Z27" s="152"/>
      <c r="AA27" s="77"/>
      <c r="AB27" s="396">
        <f>SUM(AB21:AB26)</f>
        <v>8278377.1200000001</v>
      </c>
      <c r="AC27" s="396">
        <f>SUM(AC21:AC26)</f>
        <v>9768485.0015999991</v>
      </c>
      <c r="AD27" s="78"/>
      <c r="AE27" s="396">
        <f>SUM(AE21:AE26)</f>
        <v>8204715.0412000008</v>
      </c>
      <c r="AF27" s="605">
        <f t="shared" si="93"/>
        <v>0.83991683867622613</v>
      </c>
      <c r="AG27" s="121"/>
      <c r="AH27" s="154">
        <f>SUM(AH21:AH26)</f>
        <v>2860022.6999999993</v>
      </c>
      <c r="AI27" s="154">
        <f>SUM(AI21:AI26)</f>
        <v>2423748.0508474573</v>
      </c>
      <c r="AJ27" s="152"/>
      <c r="AK27" s="77"/>
      <c r="AL27" s="396">
        <f>SUM(AL21:AL26)</f>
        <v>3893558.3855999997</v>
      </c>
      <c r="AM27" s="396">
        <f>SUM(AM21:AM26)</f>
        <v>4594398.8950079996</v>
      </c>
      <c r="AN27" s="78"/>
      <c r="AO27" s="396">
        <f>SUM(AO21:AO26)</f>
        <v>4064052.7382</v>
      </c>
      <c r="AP27" s="605">
        <f t="shared" si="97"/>
        <v>0.88456680211545358</v>
      </c>
      <c r="AQ27" s="121"/>
      <c r="AR27" s="290">
        <f>SUM(AR21:AR26)</f>
        <v>5345031.84</v>
      </c>
      <c r="AS27" s="290">
        <f>SUM(AS21:AS26)</f>
        <v>4529688</v>
      </c>
      <c r="AT27" s="289"/>
      <c r="AU27" s="77"/>
      <c r="AV27" s="396">
        <f>SUM(AV21:AV26)</f>
        <v>5915356.1999999993</v>
      </c>
      <c r="AW27" s="396">
        <f>SUM(AW21:AW26)</f>
        <v>6980120.3159999996</v>
      </c>
      <c r="AX27" s="78"/>
      <c r="AY27" s="396">
        <f>SUM(AY21:AY26)</f>
        <v>44197.053399999997</v>
      </c>
      <c r="AZ27" s="605">
        <f t="shared" si="100"/>
        <v>6.3318469308745939E-3</v>
      </c>
      <c r="BA27" s="121"/>
      <c r="BB27" s="154">
        <f>SUM(BB21:BB26)</f>
        <v>3019733.28</v>
      </c>
      <c r="BC27" s="154">
        <f>SUM(BC21:BC26)</f>
        <v>2559096</v>
      </c>
      <c r="BD27" s="152"/>
      <c r="BE27" s="77"/>
      <c r="BF27" s="396">
        <f>SUM(BF21:BF26)</f>
        <v>2254390.6319999998</v>
      </c>
      <c r="BG27" s="396">
        <f>SUM(BG21:BG26)</f>
        <v>2660180.9457599996</v>
      </c>
      <c r="BH27" s="78"/>
      <c r="BI27" s="396">
        <f>SUM(BI21:BI26)</f>
        <v>1992170.6006</v>
      </c>
      <c r="BJ27" s="605">
        <f t="shared" si="104"/>
        <v>0.74888537329585581</v>
      </c>
      <c r="BK27" s="121"/>
      <c r="BL27" s="154"/>
      <c r="BM27" s="154"/>
      <c r="BN27" s="152"/>
      <c r="BO27" s="77"/>
      <c r="BP27" s="396">
        <f>SUM(BP21:BP26)</f>
        <v>857675.51999999979</v>
      </c>
      <c r="BQ27" s="396">
        <f>SUM(BQ21:BQ26)</f>
        <v>1012057.1135999997</v>
      </c>
      <c r="BR27" s="78"/>
      <c r="BS27" s="396">
        <f>SUM(BS21:BS26)</f>
        <v>0</v>
      </c>
      <c r="BT27" s="605">
        <f t="shared" si="107"/>
        <v>0</v>
      </c>
      <c r="BU27" s="121"/>
      <c r="BV27" s="154">
        <f>SUM(BV21:BV26)</f>
        <v>1127395.5999999999</v>
      </c>
      <c r="BW27" s="154">
        <f>SUM(BW21:BW26)</f>
        <v>955420</v>
      </c>
      <c r="BX27" s="152"/>
      <c r="BY27" s="77"/>
      <c r="BZ27" s="396">
        <f>SUM(BZ21:BZ26)</f>
        <v>1212510.7799999998</v>
      </c>
      <c r="CA27" s="396">
        <f>SUM(CA21:CA26)</f>
        <v>1430762.7203999998</v>
      </c>
      <c r="CB27" s="78"/>
      <c r="CC27" s="396">
        <f>SUM(CC21:CC26)</f>
        <v>800421.67099999986</v>
      </c>
      <c r="CD27" s="605">
        <f t="shared" si="111"/>
        <v>0.55943704681949302</v>
      </c>
      <c r="CE27" s="121"/>
      <c r="CF27" s="154">
        <f>SUM(CF21:CF26)</f>
        <v>2170976.14</v>
      </c>
      <c r="CG27" s="154">
        <f>SUM(CG21:CG26)</f>
        <v>1839810.2881355933</v>
      </c>
      <c r="CH27" s="152"/>
      <c r="CI27" s="77"/>
      <c r="CJ27" s="396">
        <f>SUM(CJ21:CJ26)</f>
        <v>1472515.1999999997</v>
      </c>
      <c r="CK27" s="396">
        <f>SUM(CK21:CK26)</f>
        <v>1737567.9359999995</v>
      </c>
      <c r="CL27" s="78"/>
      <c r="CM27" s="396">
        <f>SUM(CM21:CM26)</f>
        <v>38890.44</v>
      </c>
      <c r="CN27" s="605">
        <f t="shared" si="115"/>
        <v>2.238211191300437E-2</v>
      </c>
      <c r="CO27" s="121"/>
      <c r="CP27" s="154">
        <f>SUM(CP21:CP26)</f>
        <v>0</v>
      </c>
      <c r="CQ27" s="154">
        <f>SUM(CQ21:CQ26)</f>
        <v>0</v>
      </c>
      <c r="CR27" s="152"/>
      <c r="CS27" s="77"/>
      <c r="CT27" s="396">
        <f>SUM(CT21:CT26)</f>
        <v>91494</v>
      </c>
      <c r="CU27" s="396">
        <f>SUM(CU21:CU26)</f>
        <v>107962.92</v>
      </c>
      <c r="CV27" s="78"/>
      <c r="CW27" s="396">
        <f>SUM(CW21:CW26)</f>
        <v>0</v>
      </c>
      <c r="CX27" s="605">
        <f t="shared" si="119"/>
        <v>0</v>
      </c>
      <c r="CY27" s="121"/>
      <c r="CZ27" s="154">
        <f>SUM(CZ21:CZ26)</f>
        <v>2170976.14</v>
      </c>
      <c r="DA27" s="154">
        <f>SUM(DA21:DA26)</f>
        <v>1839810.2881355933</v>
      </c>
      <c r="DB27" s="152"/>
      <c r="DC27" s="77"/>
      <c r="DD27" s="396">
        <f>SUM(DD21:DD26)</f>
        <v>1184039.9999999998</v>
      </c>
      <c r="DE27" s="396">
        <f>SUM(DE21:DE26)</f>
        <v>1397167.1999999997</v>
      </c>
      <c r="DF27" s="78"/>
      <c r="DG27" s="396">
        <f>SUM(DG21:DG26)</f>
        <v>1287316.28</v>
      </c>
      <c r="DH27" s="605">
        <f t="shared" si="123"/>
        <v>0.92137596702814117</v>
      </c>
      <c r="DI27" s="121"/>
      <c r="DJ27" s="154">
        <f>SUM(DJ21:DJ26)</f>
        <v>1416000</v>
      </c>
      <c r="DK27" s="154">
        <f>SUM(DK21:DK26)</f>
        <v>1200000</v>
      </c>
      <c r="DL27" s="152"/>
      <c r="DM27" s="77"/>
      <c r="DN27" s="396">
        <f>SUM(DN21:DN26)</f>
        <v>193752</v>
      </c>
      <c r="DO27" s="78">
        <f>SUM(DO21:DO26)</f>
        <v>228627.36</v>
      </c>
      <c r="DP27" s="396">
        <f>SUM(DP21:DP26)</f>
        <v>219386.78</v>
      </c>
      <c r="DQ27" s="605">
        <f t="shared" si="127"/>
        <v>1.1323071761839878</v>
      </c>
      <c r="DR27" s="121"/>
      <c r="DS27" s="154">
        <f>SUM(DS21:DS26)</f>
        <v>2170976.14</v>
      </c>
      <c r="DT27" s="154">
        <f>SUM(DT21:DT26)</f>
        <v>1839810.2881355933</v>
      </c>
      <c r="DU27" s="152"/>
      <c r="DV27" s="77"/>
      <c r="DW27" s="396">
        <f>SUM(DW21:DW26)</f>
        <v>3637284.7679999997</v>
      </c>
      <c r="DX27" s="396">
        <f>SUM(DX21:DX26)</f>
        <v>4291996.0262399986</v>
      </c>
      <c r="DY27" s="78"/>
      <c r="DZ27" s="396">
        <f>SUM(DZ21:DZ26)</f>
        <v>782561.84000000008</v>
      </c>
      <c r="EA27" s="605">
        <f t="shared" si="130"/>
        <v>0.18233051363879363</v>
      </c>
      <c r="EB27" s="121"/>
      <c r="EC27" s="154">
        <f>SUM(EC21:EC26)</f>
        <v>2170976.14</v>
      </c>
      <c r="ED27" s="154">
        <f>SUM(ED21:ED26)</f>
        <v>1839810.2881355933</v>
      </c>
      <c r="EE27" s="152"/>
      <c r="EF27" s="77"/>
      <c r="EG27" s="396">
        <f>SUM(EG21:EG26)</f>
        <v>1673468.3159999999</v>
      </c>
      <c r="EH27" s="396">
        <f>SUM(EH21:EH26)</f>
        <v>1974692.6128799997</v>
      </c>
      <c r="EI27" s="78"/>
      <c r="EJ27" s="396">
        <f>SUM(EJ21:EJ26)</f>
        <v>1336889.2599999998</v>
      </c>
      <c r="EK27" s="605">
        <f t="shared" si="134"/>
        <v>0.67701132382837415</v>
      </c>
      <c r="EL27" s="121"/>
      <c r="EM27" s="154">
        <f>SUM(EM21:EM26)</f>
        <v>0</v>
      </c>
      <c r="EN27" s="154">
        <f>SUM(EN21:EN26)</f>
        <v>0</v>
      </c>
      <c r="EO27" s="152"/>
      <c r="EP27" s="77"/>
      <c r="EQ27" s="396">
        <f>SUM(EQ21:EQ26)</f>
        <v>2789113.86</v>
      </c>
      <c r="ER27" s="396">
        <f>SUM(ER21:ER26)</f>
        <v>3291154.3547999999</v>
      </c>
      <c r="ES27" s="78"/>
      <c r="ET27" s="396">
        <f>SUM(ET21:ET26)</f>
        <v>2645504.9411999998</v>
      </c>
      <c r="EU27" s="605">
        <f t="shared" si="137"/>
        <v>0.80382280987266685</v>
      </c>
      <c r="EV27" s="121"/>
      <c r="EW27" s="154">
        <f>SUM(EW21:EW26)</f>
        <v>0</v>
      </c>
      <c r="EX27" s="154">
        <f>SUM(EX21:EX26)</f>
        <v>0</v>
      </c>
      <c r="EY27" s="152"/>
      <c r="EZ27" s="77"/>
      <c r="FA27" s="396">
        <f>SUM(FA21:FA26)</f>
        <v>4316324.1731999991</v>
      </c>
      <c r="FB27" s="396">
        <f>SUM(FB21:FB26)</f>
        <v>5093262.5243759993</v>
      </c>
      <c r="FC27" s="78"/>
      <c r="FD27" s="396">
        <f>SUM(FD21:FD26)</f>
        <v>5210539.3811999997</v>
      </c>
      <c r="FE27" s="605">
        <f t="shared" si="140"/>
        <v>1.02302588100706</v>
      </c>
      <c r="FF27" s="122"/>
      <c r="FG27" s="739">
        <f>SUM(FG21:FG26)</f>
        <v>15780854.2752</v>
      </c>
      <c r="FH27" s="154">
        <f>SUM(FH21:FH26)</f>
        <v>14090048.459999999</v>
      </c>
      <c r="FI27" s="152"/>
      <c r="FJ27" s="77"/>
      <c r="FK27" s="396">
        <f>SUM(FK21:FK26)</f>
        <v>10744915.427999999</v>
      </c>
      <c r="FL27" s="106">
        <f>SUM(FL21:FL26)</f>
        <v>12679000.205039999</v>
      </c>
      <c r="FM27" s="689"/>
      <c r="FN27" s="78">
        <f>SUM(FN21:FN26)</f>
        <v>3262071.108</v>
      </c>
      <c r="FO27" s="690">
        <f>SUM(FO21:FO26)</f>
        <v>3849243.9074400002</v>
      </c>
      <c r="FP27" s="689"/>
      <c r="FQ27" s="78">
        <f>SUM(FQ21:FQ26)</f>
        <v>7482844.3200000003</v>
      </c>
      <c r="FR27" s="690">
        <f>SUM(FR21:FR26)</f>
        <v>8829756.2975999992</v>
      </c>
      <c r="FS27" s="665">
        <f>SUM(FS21:FS26)</f>
        <v>90522.46</v>
      </c>
      <c r="FT27" s="736">
        <f t="shared" si="146"/>
        <v>1.2097333063318361E-2</v>
      </c>
      <c r="FU27" s="712"/>
      <c r="FV27" s="154">
        <f>SUM(FV21:FV26)</f>
        <v>2170976.14</v>
      </c>
      <c r="FW27" s="154">
        <f>SUM(FW21:FW26)</f>
        <v>1839810.2881355933</v>
      </c>
      <c r="FX27" s="152"/>
      <c r="FY27" s="77"/>
      <c r="FZ27" s="396">
        <f>SUM(FZ21:FZ26)</f>
        <v>1357857.0719999999</v>
      </c>
      <c r="GA27" s="396">
        <f>SUM(GA21:GA26)</f>
        <v>1602271.3449599999</v>
      </c>
      <c r="GB27" s="78"/>
      <c r="GC27" s="396">
        <f>SUM(GC21:GC26)</f>
        <v>1237932.6074000001</v>
      </c>
      <c r="GD27" s="605">
        <f t="shared" si="150"/>
        <v>0.77261108818675439</v>
      </c>
      <c r="GE27" s="121"/>
      <c r="GF27" s="154">
        <f>SUM(GF21:GF26)</f>
        <v>1416000</v>
      </c>
      <c r="GG27" s="154">
        <f>SUM(GG21:GG26)</f>
        <v>1200000</v>
      </c>
      <c r="GH27" s="152"/>
      <c r="GI27" s="77"/>
      <c r="GJ27" s="396">
        <f>SUM(GJ21:GJ26)</f>
        <v>1627516.8</v>
      </c>
      <c r="GK27" s="396">
        <f>SUM(GK21:GK26)</f>
        <v>1920469.824</v>
      </c>
      <c r="GL27" s="78"/>
      <c r="GM27" s="396">
        <f>SUM(GM21:GM26)</f>
        <v>3164607.2017999999</v>
      </c>
      <c r="GN27" s="605">
        <f t="shared" si="154"/>
        <v>1.6478296936781236</v>
      </c>
      <c r="GO27" s="121"/>
      <c r="GP27" s="154">
        <f>SUM(GP21:GP26)</f>
        <v>1416000</v>
      </c>
      <c r="GQ27" s="154">
        <f>SUM(GQ21:GQ26)</f>
        <v>1200000</v>
      </c>
      <c r="GR27" s="152"/>
      <c r="GS27" s="77"/>
      <c r="GT27" s="396">
        <f t="shared" ref="GT27:GV27" si="163">SUM(GT21:GT26)</f>
        <v>188908.19999999998</v>
      </c>
      <c r="GU27" s="396">
        <f t="shared" si="163"/>
        <v>222911.67599999998</v>
      </c>
      <c r="GV27" s="396">
        <f t="shared" si="163"/>
        <v>219386.78</v>
      </c>
      <c r="GW27" s="605">
        <f t="shared" si="156"/>
        <v>1.1613406935220389</v>
      </c>
      <c r="GX27" s="121"/>
      <c r="GY27" s="154">
        <f>SUM(GY21:GY26)</f>
        <v>0</v>
      </c>
      <c r="GZ27" s="154">
        <f>SUM(GZ21:GZ26)</f>
        <v>0</v>
      </c>
      <c r="HA27" s="152"/>
      <c r="HB27" s="77"/>
      <c r="HC27" s="396">
        <f>SUM(HC21:HC26)</f>
        <v>24204576.239999998</v>
      </c>
      <c r="HD27" s="78">
        <f>SUM(HD21:HD26)</f>
        <v>28561399.963199999</v>
      </c>
      <c r="HE27" s="78"/>
      <c r="HF27" s="396">
        <f>SUM(HF21:HF26)</f>
        <v>23547732.726000004</v>
      </c>
      <c r="HG27" s="605">
        <f t="shared" si="159"/>
        <v>0.82446003194311668</v>
      </c>
      <c r="HH27" s="121"/>
      <c r="HI27" s="154">
        <f>SUM(HI21:HI26)</f>
        <v>0</v>
      </c>
      <c r="HJ27" s="154">
        <f>SUM(HJ21:HJ26)</f>
        <v>0</v>
      </c>
      <c r="HK27" s="152"/>
      <c r="HL27" s="77"/>
      <c r="HM27" s="396">
        <f>SUM(HM21:HM26)</f>
        <v>18576349.739999998</v>
      </c>
      <c r="HN27" s="78">
        <f>SUM(HN21:HN26)</f>
        <v>21920092.6932</v>
      </c>
      <c r="HO27" s="396">
        <f>SUM(HO21:HO26)</f>
        <v>530925.25880000007</v>
      </c>
      <c r="HP27" s="605">
        <f t="shared" si="162"/>
        <v>2.858070967821906E-2</v>
      </c>
      <c r="HQ27" s="121"/>
      <c r="HR27" s="23"/>
      <c r="HS27" s="23"/>
      <c r="HT27" s="23"/>
      <c r="HU27" s="23"/>
    </row>
    <row r="28" spans="1:229" ht="15">
      <c r="A28" s="18"/>
      <c r="B28" s="23"/>
      <c r="C28" s="122"/>
      <c r="D28" s="161"/>
      <c r="E28" s="161"/>
      <c r="F28" s="161"/>
      <c r="G28" s="106"/>
      <c r="H28" s="390"/>
      <c r="I28" s="390"/>
      <c r="J28" s="106"/>
      <c r="K28" s="106"/>
      <c r="L28" s="106"/>
      <c r="M28" s="122"/>
      <c r="N28" s="161"/>
      <c r="O28" s="161"/>
      <c r="P28" s="161"/>
      <c r="Q28" s="106"/>
      <c r="R28" s="390"/>
      <c r="S28" s="390"/>
      <c r="T28" s="106"/>
      <c r="U28" s="106"/>
      <c r="V28" s="604"/>
      <c r="W28" s="122"/>
      <c r="X28" s="161"/>
      <c r="Y28" s="161"/>
      <c r="Z28" s="161"/>
      <c r="AA28" s="106"/>
      <c r="AB28" s="390"/>
      <c r="AC28" s="390"/>
      <c r="AD28" s="106"/>
      <c r="AE28" s="106"/>
      <c r="AF28" s="604"/>
      <c r="AG28" s="122"/>
      <c r="AH28" s="161"/>
      <c r="AI28" s="161"/>
      <c r="AJ28" s="161"/>
      <c r="AK28" s="106"/>
      <c r="AL28" s="390"/>
      <c r="AM28" s="390"/>
      <c r="AN28" s="106"/>
      <c r="AO28" s="106"/>
      <c r="AP28" s="604"/>
      <c r="AQ28" s="122"/>
      <c r="AR28" s="289"/>
      <c r="AS28" s="289"/>
      <c r="AT28" s="289"/>
      <c r="AU28" s="106"/>
      <c r="AV28" s="390"/>
      <c r="AW28" s="390"/>
      <c r="AX28" s="106"/>
      <c r="AY28" s="106"/>
      <c r="AZ28" s="604"/>
      <c r="BA28" s="122"/>
      <c r="BB28" s="161"/>
      <c r="BC28" s="161"/>
      <c r="BD28" s="161"/>
      <c r="BE28" s="106"/>
      <c r="BF28" s="390"/>
      <c r="BG28" s="390"/>
      <c r="BH28" s="106"/>
      <c r="BI28" s="106"/>
      <c r="BJ28" s="604"/>
      <c r="BK28" s="122"/>
      <c r="BL28" s="161"/>
      <c r="BM28" s="161"/>
      <c r="BN28" s="161"/>
      <c r="BO28" s="106"/>
      <c r="BP28" s="390"/>
      <c r="BQ28" s="390"/>
      <c r="BR28" s="106"/>
      <c r="BS28" s="106"/>
      <c r="BT28" s="604"/>
      <c r="BU28" s="122"/>
      <c r="BV28" s="161"/>
      <c r="BW28" s="161"/>
      <c r="BX28" s="161"/>
      <c r="BY28" s="106"/>
      <c r="BZ28" s="390"/>
      <c r="CA28" s="390"/>
      <c r="CB28" s="106"/>
      <c r="CC28" s="106"/>
      <c r="CD28" s="604"/>
      <c r="CE28" s="122"/>
      <c r="CF28" s="161"/>
      <c r="CG28" s="161"/>
      <c r="CH28" s="161"/>
      <c r="CI28" s="106"/>
      <c r="CJ28" s="390"/>
      <c r="CK28" s="390"/>
      <c r="CL28" s="106"/>
      <c r="CM28" s="106"/>
      <c r="CN28" s="604"/>
      <c r="CO28" s="122"/>
      <c r="CP28" s="161"/>
      <c r="CQ28" s="161"/>
      <c r="CR28" s="161"/>
      <c r="CS28" s="106"/>
      <c r="CT28" s="390"/>
      <c r="CU28" s="390"/>
      <c r="CV28" s="106"/>
      <c r="CW28" s="106"/>
      <c r="CX28" s="604"/>
      <c r="CY28" s="122"/>
      <c r="CZ28" s="161"/>
      <c r="DA28" s="161"/>
      <c r="DB28" s="161"/>
      <c r="DC28" s="106"/>
      <c r="DD28" s="390"/>
      <c r="DE28" s="390"/>
      <c r="DF28" s="106"/>
      <c r="DG28" s="106"/>
      <c r="DH28" s="604"/>
      <c r="DI28" s="122"/>
      <c r="DJ28" s="161"/>
      <c r="DK28" s="161"/>
      <c r="DL28" s="161"/>
      <c r="DM28" s="106"/>
      <c r="DN28" s="390"/>
      <c r="DO28" s="106"/>
      <c r="DP28" s="106"/>
      <c r="DQ28" s="604"/>
      <c r="DR28" s="122"/>
      <c r="DS28" s="161"/>
      <c r="DT28" s="161"/>
      <c r="DU28" s="161"/>
      <c r="DV28" s="106"/>
      <c r="DW28" s="390"/>
      <c r="DX28" s="390"/>
      <c r="DY28" s="106"/>
      <c r="DZ28" s="106"/>
      <c r="EA28" s="604"/>
      <c r="EB28" s="122"/>
      <c r="EC28" s="161"/>
      <c r="ED28" s="161"/>
      <c r="EE28" s="161"/>
      <c r="EF28" s="106"/>
      <c r="EG28" s="390"/>
      <c r="EH28" s="390"/>
      <c r="EI28" s="106"/>
      <c r="EJ28" s="106"/>
      <c r="EK28" s="604"/>
      <c r="EL28" s="122"/>
      <c r="EM28" s="161"/>
      <c r="EN28" s="161"/>
      <c r="EO28" s="161"/>
      <c r="EP28" s="106"/>
      <c r="EQ28" s="390"/>
      <c r="ER28" s="390"/>
      <c r="ES28" s="106"/>
      <c r="ET28" s="106"/>
      <c r="EU28" s="604"/>
      <c r="EV28" s="122"/>
      <c r="EW28" s="161"/>
      <c r="EX28" s="161"/>
      <c r="EY28" s="161"/>
      <c r="EZ28" s="106"/>
      <c r="FA28" s="390"/>
      <c r="FB28" s="390"/>
      <c r="FC28" s="106"/>
      <c r="FD28" s="106"/>
      <c r="FE28" s="604"/>
      <c r="FF28" s="122"/>
      <c r="FG28" s="321"/>
      <c r="FH28" s="161"/>
      <c r="FI28" s="161"/>
      <c r="FJ28" s="106"/>
      <c r="FK28" s="390"/>
      <c r="FL28" s="106"/>
      <c r="FM28" s="691"/>
      <c r="FN28" s="106"/>
      <c r="FO28" s="690"/>
      <c r="FP28" s="691"/>
      <c r="FQ28" s="106"/>
      <c r="FR28" s="690"/>
      <c r="FS28" s="664"/>
      <c r="FT28" s="740"/>
      <c r="FU28" s="713"/>
      <c r="FV28" s="161"/>
      <c r="FW28" s="161"/>
      <c r="FX28" s="161"/>
      <c r="FY28" s="106"/>
      <c r="FZ28" s="390"/>
      <c r="GA28" s="390"/>
      <c r="GB28" s="106"/>
      <c r="GC28" s="106"/>
      <c r="GD28" s="604"/>
      <c r="GE28" s="122"/>
      <c r="GF28" s="161"/>
      <c r="GG28" s="161"/>
      <c r="GH28" s="161"/>
      <c r="GI28" s="106"/>
      <c r="GJ28" s="390"/>
      <c r="GK28" s="390"/>
      <c r="GL28" s="106"/>
      <c r="GM28" s="106"/>
      <c r="GN28" s="604"/>
      <c r="GO28" s="122"/>
      <c r="GP28" s="161"/>
      <c r="GQ28" s="161"/>
      <c r="GR28" s="161"/>
      <c r="GS28" s="106"/>
      <c r="GT28" s="390"/>
      <c r="GU28" s="106"/>
      <c r="GV28" s="106"/>
      <c r="GW28" s="604"/>
      <c r="GX28" s="122"/>
      <c r="GY28" s="161"/>
      <c r="GZ28" s="161"/>
      <c r="HA28" s="161"/>
      <c r="HB28" s="106"/>
      <c r="HC28" s="390"/>
      <c r="HD28" s="106"/>
      <c r="HE28" s="106"/>
      <c r="HF28" s="106"/>
      <c r="HG28" s="604"/>
      <c r="HH28" s="122"/>
      <c r="HI28" s="161"/>
      <c r="HJ28" s="161"/>
      <c r="HK28" s="161"/>
      <c r="HL28" s="106"/>
      <c r="HM28" s="390"/>
      <c r="HN28" s="106"/>
      <c r="HO28" s="106"/>
      <c r="HP28" s="604"/>
      <c r="HQ28" s="122"/>
      <c r="HR28" s="149"/>
      <c r="HS28" s="149"/>
      <c r="HT28" s="149"/>
      <c r="HU28" s="149"/>
    </row>
    <row r="29" spans="1:229" ht="15">
      <c r="A29" s="13" t="s">
        <v>29</v>
      </c>
      <c r="B29" s="14" t="s">
        <v>30</v>
      </c>
      <c r="C29" s="120"/>
      <c r="D29" s="150"/>
      <c r="E29" s="150"/>
      <c r="F29" s="153"/>
      <c r="G29" s="27"/>
      <c r="H29" s="397"/>
      <c r="I29" s="397"/>
      <c r="J29" s="27"/>
      <c r="K29" s="27"/>
      <c r="L29" s="27"/>
      <c r="M29" s="120"/>
      <c r="N29" s="150"/>
      <c r="O29" s="150"/>
      <c r="P29" s="153"/>
      <c r="Q29" s="27"/>
      <c r="R29" s="397"/>
      <c r="S29" s="397"/>
      <c r="T29" s="27"/>
      <c r="U29" s="27"/>
      <c r="V29" s="620"/>
      <c r="W29" s="120"/>
      <c r="X29" s="150"/>
      <c r="Y29" s="150"/>
      <c r="Z29" s="150"/>
      <c r="AA29" s="27"/>
      <c r="AB29" s="397"/>
      <c r="AC29" s="397"/>
      <c r="AD29" s="27"/>
      <c r="AE29" s="27"/>
      <c r="AF29" s="620"/>
      <c r="AG29" s="120"/>
      <c r="AH29" s="150"/>
      <c r="AI29" s="150"/>
      <c r="AJ29" s="153"/>
      <c r="AK29" s="27"/>
      <c r="AL29" s="397"/>
      <c r="AM29" s="397"/>
      <c r="AN29" s="27"/>
      <c r="AO29" s="27"/>
      <c r="AP29" s="620"/>
      <c r="AQ29" s="120"/>
      <c r="AR29" s="286"/>
      <c r="AS29" s="286"/>
      <c r="AT29" s="286"/>
      <c r="AU29" s="27"/>
      <c r="AV29" s="397"/>
      <c r="AW29" s="397"/>
      <c r="AX29" s="27"/>
      <c r="AY29" s="27"/>
      <c r="AZ29" s="620"/>
      <c r="BA29" s="120"/>
      <c r="BB29" s="150"/>
      <c r="BC29" s="150"/>
      <c r="BD29" s="153"/>
      <c r="BE29" s="27"/>
      <c r="BF29" s="397"/>
      <c r="BG29" s="397"/>
      <c r="BH29" s="27"/>
      <c r="BI29" s="27"/>
      <c r="BJ29" s="620"/>
      <c r="BK29" s="120"/>
      <c r="BL29" s="150"/>
      <c r="BM29" s="150"/>
      <c r="BN29" s="153"/>
      <c r="BO29" s="27"/>
      <c r="BP29" s="397"/>
      <c r="BQ29" s="397"/>
      <c r="BR29" s="27"/>
      <c r="BS29" s="27"/>
      <c r="BT29" s="620"/>
      <c r="BU29" s="120"/>
      <c r="BV29" s="150"/>
      <c r="BW29" s="150"/>
      <c r="BX29" s="153"/>
      <c r="BY29" s="27"/>
      <c r="BZ29" s="397"/>
      <c r="CA29" s="397"/>
      <c r="CB29" s="27"/>
      <c r="CC29" s="27"/>
      <c r="CD29" s="620"/>
      <c r="CE29" s="120"/>
      <c r="CF29" s="150"/>
      <c r="CG29" s="150"/>
      <c r="CH29" s="153"/>
      <c r="CI29" s="27"/>
      <c r="CJ29" s="397"/>
      <c r="CK29" s="397"/>
      <c r="CL29" s="27"/>
      <c r="CM29" s="27"/>
      <c r="CN29" s="620"/>
      <c r="CO29" s="120"/>
      <c r="CP29" s="150"/>
      <c r="CQ29" s="150"/>
      <c r="CR29" s="153"/>
      <c r="CS29" s="27"/>
      <c r="CT29" s="397"/>
      <c r="CU29" s="397"/>
      <c r="CV29" s="27"/>
      <c r="CW29" s="27"/>
      <c r="CX29" s="620"/>
      <c r="CY29" s="120"/>
      <c r="CZ29" s="150"/>
      <c r="DA29" s="150"/>
      <c r="DB29" s="153"/>
      <c r="DC29" s="27"/>
      <c r="DD29" s="397"/>
      <c r="DE29" s="397"/>
      <c r="DF29" s="27"/>
      <c r="DG29" s="27"/>
      <c r="DH29" s="620"/>
      <c r="DI29" s="120"/>
      <c r="DJ29" s="150"/>
      <c r="DK29" s="150"/>
      <c r="DL29" s="153"/>
      <c r="DM29" s="27"/>
      <c r="DN29" s="397"/>
      <c r="DO29" s="27"/>
      <c r="DP29" s="27"/>
      <c r="DQ29" s="620"/>
      <c r="DR29" s="120"/>
      <c r="DS29" s="150"/>
      <c r="DT29" s="150"/>
      <c r="DU29" s="153"/>
      <c r="DV29" s="27"/>
      <c r="DW29" s="397"/>
      <c r="DX29" s="397"/>
      <c r="DY29" s="27"/>
      <c r="DZ29" s="27"/>
      <c r="EA29" s="620"/>
      <c r="EB29" s="120"/>
      <c r="EC29" s="150"/>
      <c r="ED29" s="150"/>
      <c r="EE29" s="153"/>
      <c r="EF29" s="27"/>
      <c r="EG29" s="397"/>
      <c r="EH29" s="397"/>
      <c r="EI29" s="27"/>
      <c r="EJ29" s="27"/>
      <c r="EK29" s="620"/>
      <c r="EL29" s="120"/>
      <c r="EM29" s="150"/>
      <c r="EN29" s="150"/>
      <c r="EO29" s="153"/>
      <c r="EP29" s="27"/>
      <c r="EQ29" s="397"/>
      <c r="ER29" s="397"/>
      <c r="ES29" s="27"/>
      <c r="ET29" s="27"/>
      <c r="EU29" s="620"/>
      <c r="EV29" s="120"/>
      <c r="EW29" s="150"/>
      <c r="EX29" s="150"/>
      <c r="EY29" s="153"/>
      <c r="EZ29" s="27"/>
      <c r="FA29" s="397"/>
      <c r="FB29" s="397"/>
      <c r="FC29" s="27"/>
      <c r="FD29" s="27"/>
      <c r="FE29" s="620"/>
      <c r="FF29" s="120"/>
      <c r="FG29" s="316"/>
      <c r="FH29" s="150"/>
      <c r="FI29" s="150"/>
      <c r="FJ29" s="27"/>
      <c r="FK29" s="397"/>
      <c r="FL29" s="27"/>
      <c r="FM29" s="688"/>
      <c r="FN29" s="27"/>
      <c r="FO29" s="29"/>
      <c r="FP29" s="688"/>
      <c r="FQ29" s="27"/>
      <c r="FR29" s="29"/>
      <c r="FS29" s="663"/>
      <c r="FT29" s="738"/>
      <c r="FU29" s="711"/>
      <c r="FV29" s="150"/>
      <c r="FW29" s="150"/>
      <c r="FX29" s="153"/>
      <c r="FY29" s="27"/>
      <c r="FZ29" s="397"/>
      <c r="GA29" s="397"/>
      <c r="GB29" s="27"/>
      <c r="GC29" s="27"/>
      <c r="GD29" s="620"/>
      <c r="GE29" s="120"/>
      <c r="GF29" s="150"/>
      <c r="GG29" s="150"/>
      <c r="GH29" s="153"/>
      <c r="GI29" s="27"/>
      <c r="GJ29" s="397"/>
      <c r="GK29" s="397"/>
      <c r="GL29" s="27"/>
      <c r="GM29" s="27"/>
      <c r="GN29" s="620"/>
      <c r="GO29" s="120"/>
      <c r="GP29" s="150"/>
      <c r="GQ29" s="150"/>
      <c r="GR29" s="153"/>
      <c r="GS29" s="27"/>
      <c r="GT29" s="397"/>
      <c r="GU29" s="27"/>
      <c r="GV29" s="27"/>
      <c r="GW29" s="620"/>
      <c r="GX29" s="120"/>
      <c r="GY29" s="150"/>
      <c r="GZ29" s="150"/>
      <c r="HA29" s="150"/>
      <c r="HB29" s="27"/>
      <c r="HC29" s="397"/>
      <c r="HD29" s="27"/>
      <c r="HE29" s="27"/>
      <c r="HF29" s="27"/>
      <c r="HG29" s="620"/>
      <c r="HH29" s="120"/>
      <c r="HI29" s="150"/>
      <c r="HJ29" s="150"/>
      <c r="HK29" s="150"/>
      <c r="HL29" s="27"/>
      <c r="HM29" s="397"/>
      <c r="HN29" s="27"/>
      <c r="HO29" s="27"/>
      <c r="HP29" s="620"/>
      <c r="HQ29" s="120"/>
      <c r="HR29" s="150"/>
      <c r="HS29" s="150"/>
      <c r="HT29" s="150"/>
      <c r="HU29" s="150"/>
    </row>
    <row r="30" spans="1:229">
      <c r="A30" s="18">
        <v>1</v>
      </c>
      <c r="B30" s="19" t="s">
        <v>31</v>
      </c>
      <c r="C30" s="118"/>
      <c r="D30" s="151">
        <v>0</v>
      </c>
      <c r="E30" s="151">
        <f t="shared" ref="E30:E42" si="164">D30/118%</f>
        <v>0</v>
      </c>
      <c r="F30" s="151">
        <f>E30/E2</f>
        <v>0</v>
      </c>
      <c r="G30" s="159">
        <v>200</v>
      </c>
      <c r="H30" s="395">
        <f t="shared" ref="H30:H42" si="165">G30*H$2</f>
        <v>87769.656000000003</v>
      </c>
      <c r="I30" s="395">
        <f t="shared" ref="I30:I42" si="166">H30*118%</f>
        <v>103568.19408</v>
      </c>
      <c r="J30" s="159"/>
      <c r="K30" s="159">
        <f>IFERROR(SUMIFS('PO Tracker'!$J$44:$J$1433,'PO Tracker'!$K$44:$K$1433,$G$6,'PO Tracker'!$L$44:$L$1433,'Capex breakup'!$B30),0)</f>
        <v>139299</v>
      </c>
      <c r="L30" s="605">
        <f t="shared" ref="L30:L43" si="167">IFERROR(K30/I30,"")</f>
        <v>1.3449978657772113</v>
      </c>
      <c r="M30" s="118"/>
      <c r="N30" s="151">
        <v>0</v>
      </c>
      <c r="O30" s="151">
        <f t="shared" ref="O30:O42" si="168">N30/118%</f>
        <v>0</v>
      </c>
      <c r="P30" s="151">
        <f>O30/O2</f>
        <v>0</v>
      </c>
      <c r="Q30" s="159">
        <v>80</v>
      </c>
      <c r="R30" s="395">
        <f t="shared" ref="R30:R42" si="169">Q30*R$2</f>
        <v>81315.561600000001</v>
      </c>
      <c r="S30" s="395">
        <f t="shared" ref="S30:S42" si="170">R30*118%</f>
        <v>95952.362687999994</v>
      </c>
      <c r="T30" s="159"/>
      <c r="U30" s="159">
        <f>IFERROR(SUMIFS('PO Tracker'!$J$44:$J$1433,'PO Tracker'!$K$44:$K$1433,$Q$6,'PO Tracker'!$L$44:$L$1433,'Capex breakup'!$B30),0)</f>
        <v>0</v>
      </c>
      <c r="V30" s="605">
        <f t="shared" ref="V30:V43" si="171">IFERROR(U30/S30,"")</f>
        <v>0</v>
      </c>
      <c r="W30" s="118"/>
      <c r="X30" s="151">
        <v>196000.00000000003</v>
      </c>
      <c r="Y30" s="151">
        <f t="shared" ref="Y30:Y42" si="172">X30/112%</f>
        <v>175000</v>
      </c>
      <c r="Z30" s="133">
        <f t="shared" ref="Z30:Z42" si="173">Y30/$Y$2</f>
        <v>66.383430695698365</v>
      </c>
      <c r="AA30" s="159">
        <v>90</v>
      </c>
      <c r="AB30" s="395">
        <f>AA30*$AB$2</f>
        <v>168564.24</v>
      </c>
      <c r="AC30" s="395">
        <f t="shared" ref="AC30:AC42" si="174">AB30*118%</f>
        <v>198905.80319999997</v>
      </c>
      <c r="AD30" s="159"/>
      <c r="AE30" s="159">
        <f>IFERROR(SUMIFS('PO Tracker'!$J$44:$J$1433,'PO Tracker'!$K$44:$K$1433,$AA$6,'PO Tracker'!$L$44:$L$1433,'Capex breakup'!$B30),0)</f>
        <v>183448.7</v>
      </c>
      <c r="AF30" s="605">
        <f t="shared" ref="AF30:AF43" si="175">IFERROR(AE30/AC30,"")</f>
        <v>0.92228933016872405</v>
      </c>
      <c r="AG30" s="118"/>
      <c r="AH30" s="151">
        <v>0</v>
      </c>
      <c r="AI30" s="151">
        <f t="shared" ref="AI30:AI42" si="176">AH30/118%</f>
        <v>0</v>
      </c>
      <c r="AJ30" s="151">
        <f>AI30/AI2</f>
        <v>0</v>
      </c>
      <c r="AK30" s="159">
        <v>400</v>
      </c>
      <c r="AL30" s="395">
        <f t="shared" ref="AL30:AL42" si="177">AK30*AL$2</f>
        <v>162062.78399999999</v>
      </c>
      <c r="AM30" s="395">
        <f t="shared" ref="AM30:AM42" si="178">AL30*118%</f>
        <v>191234.08511999997</v>
      </c>
      <c r="AN30" s="159"/>
      <c r="AO30" s="159">
        <f>IFERROR(SUMIFS('PO Tracker'!$J$44:$J$1433,'PO Tracker'!$K$44:$K$1433,$AK$6,'PO Tracker'!$L$44:$L$1433,'Capex breakup'!$B30),0)</f>
        <v>186204</v>
      </c>
      <c r="AP30" s="605">
        <f t="shared" ref="AP30:AP43" si="179">IFERROR(AO30/AM30,"")</f>
        <v>0.97369671250371725</v>
      </c>
      <c r="AQ30" s="118"/>
      <c r="AR30" s="287">
        <v>346241.73599999998</v>
      </c>
      <c r="AS30" s="287">
        <f t="shared" ref="AS30:AS41" si="180">AR30/118%</f>
        <v>293425.2</v>
      </c>
      <c r="AT30" s="288">
        <f t="shared" ref="AT30:AT41" si="181">AS30/AS$2</f>
        <v>270</v>
      </c>
      <c r="AU30" s="159">
        <v>200</v>
      </c>
      <c r="AV30" s="395">
        <f t="shared" ref="AV30:AV42" si="182">AU30*AV$2</f>
        <v>203977.8</v>
      </c>
      <c r="AW30" s="395">
        <f t="shared" ref="AW30:AW42" si="183">AV30*118%</f>
        <v>240693.80399999997</v>
      </c>
      <c r="AX30" s="159"/>
      <c r="AY30" s="159">
        <f>IFERROR(SUMIFS('PO Tracker'!$J$44:$J$1433,'PO Tracker'!$K$44:$K$1433,$AU$6,'PO Tracker'!$L$44:$L$1433,'Capex breakup'!$B30),0)</f>
        <v>0</v>
      </c>
      <c r="AZ30" s="605">
        <f t="shared" ref="AZ30:AZ43" si="184">IFERROR(AY30/AW30,"")</f>
        <v>0</v>
      </c>
      <c r="BA30" s="118"/>
      <c r="BB30" s="151">
        <v>368207.19999999995</v>
      </c>
      <c r="BC30" s="151">
        <f t="shared" ref="BC30:BC42" si="185">BB30/118%</f>
        <v>312040</v>
      </c>
      <c r="BD30" s="151">
        <f>BC30/BC2</f>
        <v>499.99999999999994</v>
      </c>
      <c r="BE30" s="159">
        <v>200</v>
      </c>
      <c r="BF30" s="395">
        <f t="shared" ref="BF30:BF42" si="186">BE30*BF$2</f>
        <v>155475.21599999999</v>
      </c>
      <c r="BG30" s="395">
        <f t="shared" ref="BG30:BG42" si="187">BF30*118%</f>
        <v>183460.75487999996</v>
      </c>
      <c r="BH30" s="159"/>
      <c r="BI30" s="159">
        <f>IFERROR(SUMIFS('PO Tracker'!$J$44:$J$1433,'PO Tracker'!$K$44:$K$1433,$BE$6,'PO Tracker'!$L$44:$L$1433,'Capex breakup'!$B30),0)</f>
        <v>0</v>
      </c>
      <c r="BJ30" s="605">
        <f t="shared" ref="BJ30:BJ43" si="188">IFERROR(BI30/BG30,"")</f>
        <v>0</v>
      </c>
      <c r="BK30" s="118"/>
      <c r="BL30" s="151"/>
      <c r="BM30" s="151"/>
      <c r="BN30" s="151"/>
      <c r="BO30" s="159">
        <v>200</v>
      </c>
      <c r="BP30" s="395">
        <f t="shared" ref="BP30:BP42" si="189">BO30*BP$2</f>
        <v>114356.73599999998</v>
      </c>
      <c r="BQ30" s="395">
        <f t="shared" ref="BQ30:BQ42" si="190">BP30*118%</f>
        <v>134940.94847999996</v>
      </c>
      <c r="BR30" s="159"/>
      <c r="BS30" s="159">
        <f>IFERROR(SUMIFS('PO Tracker'!$J$44:$J$1433,'PO Tracker'!$K$44:$K$1433,$BO$6,'PO Tracker'!$L$44:$L$1433,'Capex breakup'!$B30),0)</f>
        <v>0</v>
      </c>
      <c r="BT30" s="605">
        <f t="shared" ref="BT30:BT43" si="191">IFERROR(BS30/BQ30,"")</f>
        <v>0</v>
      </c>
      <c r="BU30" s="118"/>
      <c r="BV30" s="151">
        <v>271521.06799999997</v>
      </c>
      <c r="BW30" s="151">
        <f t="shared" ref="BW30:BW42" si="192">BV30/118%</f>
        <v>230102.59999999998</v>
      </c>
      <c r="BX30" s="151">
        <f>BW30/BW2</f>
        <v>235.03840653728292</v>
      </c>
      <c r="BY30" s="159">
        <v>200</v>
      </c>
      <c r="BZ30" s="395">
        <f t="shared" ref="BZ30:BZ42" si="193">BY30*BZ$2</f>
        <v>74616.047999999995</v>
      </c>
      <c r="CA30" s="395">
        <f t="shared" ref="CA30:CA42" si="194">BZ30*118%</f>
        <v>88046.936639999985</v>
      </c>
      <c r="CB30" s="159"/>
      <c r="CC30" s="159">
        <f>IFERROR(SUMIFS('PO Tracker'!$J$44:$J$1433,'PO Tracker'!$K$44:$K$1433,$BY$6,'PO Tracker'!$L$44:$L$1433,'Capex breakup'!$B30),0)</f>
        <v>71784.709999999992</v>
      </c>
      <c r="CD30" s="605">
        <f t="shared" ref="CD30:CD43" si="195">IFERROR(CC30/CA30,"")</f>
        <v>0.81530048334910477</v>
      </c>
      <c r="CE30" s="118"/>
      <c r="CF30" s="151"/>
      <c r="CG30" s="151">
        <f t="shared" ref="CG30:CG42" si="196">CF30/118%</f>
        <v>0</v>
      </c>
      <c r="CH30" s="151">
        <f>CG30/CG2</f>
        <v>0</v>
      </c>
      <c r="CI30" s="159">
        <v>0</v>
      </c>
      <c r="CJ30" s="395">
        <f t="shared" ref="CJ30:CJ42" si="197">CI30*CJ$2</f>
        <v>0</v>
      </c>
      <c r="CK30" s="395">
        <f t="shared" ref="CK30:CK42" si="198">CJ30*118%</f>
        <v>0</v>
      </c>
      <c r="CL30" s="159"/>
      <c r="CM30" s="159">
        <f>IFERROR(SUMIFS('PO Tracker'!$J$44:$J$1433,'PO Tracker'!$K$44:$K$1433,$CI$6,'PO Tracker'!$L$44:$L$1433,'Capex breakup'!$B30),0)</f>
        <v>0</v>
      </c>
      <c r="CN30" s="605" t="str">
        <f t="shared" ref="CN30:CN43" si="199">IFERROR(CM30/CK30,"")</f>
        <v/>
      </c>
      <c r="CO30" s="118"/>
      <c r="CP30" s="151"/>
      <c r="CQ30" s="151">
        <f t="shared" ref="CQ30:CQ42" si="200">CP30/118%</f>
        <v>0</v>
      </c>
      <c r="CR30" s="151"/>
      <c r="CS30" s="159"/>
      <c r="CT30" s="395">
        <f t="shared" ref="CT30:CT42" si="201">CS30*CT$2</f>
        <v>0</v>
      </c>
      <c r="CU30" s="395">
        <f t="shared" ref="CU30:CU42" si="202">CT30*118%</f>
        <v>0</v>
      </c>
      <c r="CV30" s="159"/>
      <c r="CW30" s="159">
        <f>IFERROR(SUMIFS('PO Tracker'!$J$44:$J$1433,'PO Tracker'!$K$44:$K$1433,$CS$6,'PO Tracker'!$L$44:$L$1433,'Capex breakup'!$B30),0)</f>
        <v>0</v>
      </c>
      <c r="CX30" s="605" t="str">
        <f t="shared" ref="CX30:CX43" si="203">IFERROR(CW30/CU30,"")</f>
        <v/>
      </c>
      <c r="CY30" s="118"/>
      <c r="CZ30" s="151"/>
      <c r="DA30" s="151">
        <f t="shared" ref="DA30:DA42" si="204">CZ30/118%</f>
        <v>0</v>
      </c>
      <c r="DB30" s="151">
        <f>DA30/DA2</f>
        <v>0</v>
      </c>
      <c r="DC30" s="159">
        <v>0</v>
      </c>
      <c r="DD30" s="395">
        <f t="shared" ref="DD30:DD42" si="205">DC30*DD$2</f>
        <v>0</v>
      </c>
      <c r="DE30" s="395">
        <f t="shared" ref="DE30:DE42" si="206">DD30*118%</f>
        <v>0</v>
      </c>
      <c r="DF30" s="159"/>
      <c r="DG30" s="159">
        <f>IFERROR(SUMIFS('PO Tracker'!$J$44:$J$1433,'PO Tracker'!$K$44:$K$1433,$DC$6,'PO Tracker'!$L$44:$L$1433,'Capex breakup'!$B30),0)</f>
        <v>0</v>
      </c>
      <c r="DH30" s="605" t="str">
        <f t="shared" ref="DH30:DH43" si="207">IFERROR(DG30/DE30,"")</f>
        <v/>
      </c>
      <c r="DI30" s="118"/>
      <c r="DJ30" s="151"/>
      <c r="DK30" s="151">
        <f t="shared" ref="DK30:DK42" si="208">DJ30/118%</f>
        <v>0</v>
      </c>
      <c r="DL30" s="151">
        <f>DK30/DK2</f>
        <v>0</v>
      </c>
      <c r="DM30" s="159"/>
      <c r="DN30" s="395">
        <f t="shared" ref="DN30:DN42" si="209">GT30</f>
        <v>0</v>
      </c>
      <c r="DO30" s="159">
        <f t="shared" ref="DO30:DO42" si="210">DN30*118%</f>
        <v>0</v>
      </c>
      <c r="DP30" s="159">
        <f>IFERROR(SUMIFS('PO Tracker'!$J$44:$J$1433,'PO Tracker'!$K$44:$K$1433,$DM$6,'PO Tracker'!$L$44:$L$1433,'Capex breakup'!$B30),0)</f>
        <v>0</v>
      </c>
      <c r="DQ30" s="605" t="str">
        <f t="shared" ref="DQ30:DQ43" si="211">IFERROR(DP30/DN30,"")</f>
        <v/>
      </c>
      <c r="DR30" s="118"/>
      <c r="DS30" s="151"/>
      <c r="DT30" s="151">
        <f t="shared" ref="DT30:DT42" si="212">DS30/118%</f>
        <v>0</v>
      </c>
      <c r="DU30" s="151">
        <f>DT30/DT2</f>
        <v>0</v>
      </c>
      <c r="DV30" s="159">
        <v>90</v>
      </c>
      <c r="DW30" s="395">
        <f>DV30*$DW$2</f>
        <v>117607.46399999999</v>
      </c>
      <c r="DX30" s="395">
        <f t="shared" ref="DX30:DX42" si="213">DW30*118%</f>
        <v>138776.80751999997</v>
      </c>
      <c r="DY30" s="159"/>
      <c r="DZ30" s="159">
        <f>IFERROR(SUMIFS('PO Tracker'!$J$44:$J$1433,'PO Tracker'!$K$44:$K$1433,$DV$6,'PO Tracker'!$L$44:$L$1433,'Capex breakup'!$B30),0)</f>
        <v>41819.199999999997</v>
      </c>
      <c r="EA30" s="605">
        <f t="shared" ref="EA30:EA43" si="214">IFERROR(DZ30/DX30,"")</f>
        <v>0.30134141826236477</v>
      </c>
      <c r="EB30" s="118"/>
      <c r="EC30" s="151"/>
      <c r="ED30" s="151">
        <f t="shared" ref="ED30:ED42" si="215">EC30/118%</f>
        <v>0</v>
      </c>
      <c r="EE30" s="151">
        <f>ED30/ED2</f>
        <v>0</v>
      </c>
      <c r="EF30" s="159">
        <v>0</v>
      </c>
      <c r="EG30" s="395">
        <f t="shared" ref="EG30:EG42" si="216">EF30*EG$2</f>
        <v>0</v>
      </c>
      <c r="EH30" s="395">
        <f t="shared" ref="EH30:EH42" si="217">EG30*118%</f>
        <v>0</v>
      </c>
      <c r="EI30" s="159"/>
      <c r="EJ30" s="159">
        <f>IFERROR(SUMIFS('PO Tracker'!$J$44:$J$1433,'PO Tracker'!$K$44:$K$1433,$EF$6,'PO Tracker'!$L$44:$L$1433,'Capex breakup'!$B30),0)</f>
        <v>0</v>
      </c>
      <c r="EK30" s="605" t="str">
        <f t="shared" ref="EK30:EK43" si="218">IFERROR(EJ30/EH30,"")</f>
        <v/>
      </c>
      <c r="EL30" s="118"/>
      <c r="EM30" s="151"/>
      <c r="EN30" s="151"/>
      <c r="EO30" s="151"/>
      <c r="EP30" s="159">
        <v>0</v>
      </c>
      <c r="EQ30" s="395">
        <f t="shared" ref="EQ30:EQ42" si="219">EP30*EQ$2</f>
        <v>0</v>
      </c>
      <c r="ER30" s="395">
        <f t="shared" ref="ER30:ER42" si="220">EQ30*118%</f>
        <v>0</v>
      </c>
      <c r="ES30" s="159"/>
      <c r="ET30" s="159">
        <f>IFERROR(SUMIFS('PO Tracker'!$J$44:$J$1433,'PO Tracker'!$K$44:$K$1433,$EP$6,'PO Tracker'!$L$44:$L$1433,'Capex breakup'!$B30),0)</f>
        <v>23541</v>
      </c>
      <c r="EU30" s="605" t="str">
        <f t="shared" ref="EU30:EU43" si="221">IFERROR(ET30/ER30,"")</f>
        <v/>
      </c>
      <c r="EV30" s="118"/>
      <c r="EW30" s="151"/>
      <c r="EX30" s="151"/>
      <c r="EY30" s="151"/>
      <c r="EZ30" s="159">
        <v>100</v>
      </c>
      <c r="FA30" s="395">
        <f t="shared" ref="FA30:FA42" si="222">EZ30*FA$2</f>
        <v>128080.83599999998</v>
      </c>
      <c r="FB30" s="395">
        <f t="shared" ref="FB30:FB42" si="223">FA30*118%</f>
        <v>151135.38647999996</v>
      </c>
      <c r="FC30" s="159"/>
      <c r="FD30" s="159">
        <f>IFERROR(SUMIFS('PO Tracker'!$J$44:$J$1433,'PO Tracker'!$K$44:$K$1433,$EZ$6,'PO Tracker'!$L$44:$L$1433,'Capex breakup'!$B30),0)</f>
        <v>129092</v>
      </c>
      <c r="FE30" s="605">
        <f t="shared" ref="FE30:FE43" si="224">IFERROR(FD30/FB30,"")</f>
        <v>0.85414807879611299</v>
      </c>
      <c r="FF30" s="118"/>
      <c r="FG30" s="318">
        <v>196000.00000000003</v>
      </c>
      <c r="FH30" s="151">
        <f t="shared" ref="FH30:FH42" si="225">FG30/112%</f>
        <v>175000</v>
      </c>
      <c r="FI30" s="133">
        <f t="shared" ref="FI30:FI42" si="226">FH30/$FH$2</f>
        <v>66.383430695698365</v>
      </c>
      <c r="FJ30" s="159">
        <v>100</v>
      </c>
      <c r="FK30" s="395">
        <f t="shared" ref="FK30:FK42" si="227">FJ30*FK$2</f>
        <v>262071.10800000001</v>
      </c>
      <c r="FL30" s="159">
        <f t="shared" ref="FL30:FL42" si="228">FK30*118%</f>
        <v>309243.90743999998</v>
      </c>
      <c r="FM30" s="684"/>
      <c r="FN30" s="159">
        <f>FK30</f>
        <v>262071.10800000001</v>
      </c>
      <c r="FO30" s="685">
        <f t="shared" ref="FO30:FO42" si="229">FN30*1.18</f>
        <v>309243.90743999998</v>
      </c>
      <c r="FP30" s="684"/>
      <c r="FQ30" s="159">
        <f t="shared" ref="FQ30:FQ42" si="230">FK30-FN30</f>
        <v>0</v>
      </c>
      <c r="FR30" s="685">
        <f t="shared" ref="FR30:FR42" si="231">FQ30*1.18</f>
        <v>0</v>
      </c>
      <c r="FS30" s="662">
        <f>IFERROR(SUMIFS('PO Tracker'!$J$44:$J$1433,'PO Tracker'!$K$44:$K$1433,$FJ$6,'PO Tracker'!$L$44:$L$1433,'Capex breakup'!$B30),0)</f>
        <v>0</v>
      </c>
      <c r="FT30" s="736" t="str">
        <f t="shared" ref="FT30:FT43" si="232">IFERROR(FS30/FQ30,"")</f>
        <v/>
      </c>
      <c r="FU30" s="709"/>
      <c r="FV30" s="151"/>
      <c r="FW30" s="151">
        <f t="shared" ref="FW30:FW42" si="233">FV30/118%</f>
        <v>0</v>
      </c>
      <c r="FX30" s="151">
        <f>FW30/FW2</f>
        <v>0</v>
      </c>
      <c r="FY30" s="159">
        <v>570</v>
      </c>
      <c r="FZ30" s="395">
        <f t="shared" ref="FZ30:FZ42" si="234">FY30*FZ$2</f>
        <v>126881.72639999999</v>
      </c>
      <c r="GA30" s="395">
        <f t="shared" ref="GA30:GA42" si="235">FZ30*118%</f>
        <v>149720.43715199997</v>
      </c>
      <c r="GB30" s="159"/>
      <c r="GC30" s="159">
        <f>IFERROR(SUMIFS('PO Tracker'!$J$44:$J$1433,'PO Tracker'!$K$44:$K$1433,$FY$6,'PO Tracker'!$L$44:$L$1433,'Capex breakup'!$B30),0)</f>
        <v>147824.5</v>
      </c>
      <c r="GD30" s="605">
        <f t="shared" ref="GD30:GD43" si="236">IFERROR(GC30/GA30,"")</f>
        <v>0.98733681795174588</v>
      </c>
      <c r="GE30" s="118"/>
      <c r="GF30" s="151"/>
      <c r="GG30" s="151">
        <f t="shared" ref="GG30:GG42" si="237">GF30/118%</f>
        <v>0</v>
      </c>
      <c r="GH30" s="151">
        <f>GG30/GG2</f>
        <v>0</v>
      </c>
      <c r="GI30" s="159">
        <v>300</v>
      </c>
      <c r="GJ30" s="395">
        <f t="shared" ref="GJ30:GJ42" si="238">GI30*GJ$2</f>
        <v>45208.800000000003</v>
      </c>
      <c r="GK30" s="395">
        <f t="shared" ref="GK30:GK42" si="239">GJ30*118%</f>
        <v>53346.383999999998</v>
      </c>
      <c r="GL30" s="159"/>
      <c r="GM30" s="159">
        <f>IFERROR(SUMIFS('PO Tracker'!$J$44:$J$1433,'PO Tracker'!$K$44:$K$1433,$GI$6,'PO Tracker'!$L$44:$L$1433,'Capex breakup'!$B30),0)</f>
        <v>113752</v>
      </c>
      <c r="GN30" s="605">
        <f t="shared" ref="GN30:GN43" si="240">IFERROR(GM30/GK30,"")</f>
        <v>2.1323282192847413</v>
      </c>
      <c r="GO30" s="118"/>
      <c r="GP30" s="151"/>
      <c r="GQ30" s="151">
        <f t="shared" ref="GQ30:GQ42" si="241">GP30/118%</f>
        <v>0</v>
      </c>
      <c r="GR30" s="151">
        <f>GQ30/GQ2</f>
        <v>0</v>
      </c>
      <c r="GS30" s="159"/>
      <c r="GT30" s="395">
        <v>0</v>
      </c>
      <c r="GU30" s="159">
        <v>0</v>
      </c>
      <c r="GV30" s="159">
        <f>IFERROR(SUMIFS('PO Tracker'!$J$44:$J$1433,'PO Tracker'!$K$44:$K$1433,$GS$6,'PO Tracker'!$L$44:$L$1433,'Capex breakup'!$B30),0)</f>
        <v>0</v>
      </c>
      <c r="GW30" s="605" t="str">
        <f t="shared" ref="GW30:GW43" si="242">IFERROR(GV30/GT30,"")</f>
        <v/>
      </c>
      <c r="GX30" s="118"/>
      <c r="GY30" s="151"/>
      <c r="GZ30" s="151"/>
      <c r="HA30" s="133"/>
      <c r="HB30" s="159">
        <v>100</v>
      </c>
      <c r="HC30" s="395">
        <f t="shared" ref="HC30:HC42" si="243">HB30*HC$2</f>
        <v>333856.22400000005</v>
      </c>
      <c r="HD30" s="159">
        <f t="shared" ref="HD30:HD42" si="244">HC30*118%</f>
        <v>393950.34432000003</v>
      </c>
      <c r="HE30" s="159"/>
      <c r="HF30" s="159">
        <f>IFERROR(SUMIFS('PO Tracker'!$J$44:$J$1433,'PO Tracker'!$K$44:$K$1433,$HB$6,'PO Tracker'!$L$44:$L$1433,'Capex breakup'!$B30),0)</f>
        <v>0</v>
      </c>
      <c r="HG30" s="605">
        <f t="shared" ref="HG30:HG43" si="245">IFERROR(HF30/HD30,"")</f>
        <v>0</v>
      </c>
      <c r="HH30" s="118"/>
      <c r="HI30" s="151"/>
      <c r="HJ30" s="151"/>
      <c r="HK30" s="133"/>
      <c r="HL30" s="159">
        <v>100</v>
      </c>
      <c r="HM30" s="395">
        <f t="shared" ref="HM30:HM42" si="246">HL30*HM$2</f>
        <v>339604.2</v>
      </c>
      <c r="HN30" s="159">
        <f t="shared" ref="HN30:HN42" si="247">HM30*118%</f>
        <v>400732.95600000001</v>
      </c>
      <c r="HO30" s="159">
        <f>IFERROR(SUMIFS('PO Tracker'!$J$44:$J$1433,'PO Tracker'!$K$44:$K$1433,$HL$6,'PO Tracker'!$L$44:$L$1433,'Capex breakup'!$B30),0)</f>
        <v>0</v>
      </c>
      <c r="HP30" s="605">
        <f t="shared" ref="HP30:HP43" si="248">IFERROR(HO30/HM30,"")</f>
        <v>0</v>
      </c>
      <c r="HQ30" s="118"/>
      <c r="HR30" s="364"/>
      <c r="HS30" s="364"/>
      <c r="HT30" s="364"/>
      <c r="HU30" s="364"/>
    </row>
    <row r="31" spans="1:229">
      <c r="A31" s="18">
        <v>2</v>
      </c>
      <c r="B31" s="19" t="s">
        <v>32</v>
      </c>
      <c r="C31" s="118"/>
      <c r="D31" s="151">
        <v>0</v>
      </c>
      <c r="E31" s="151">
        <f t="shared" si="164"/>
        <v>0</v>
      </c>
      <c r="F31" s="151">
        <f>E31/E2</f>
        <v>0</v>
      </c>
      <c r="G31" s="159">
        <v>200</v>
      </c>
      <c r="H31" s="395">
        <f t="shared" si="165"/>
        <v>87769.656000000003</v>
      </c>
      <c r="I31" s="395">
        <f t="shared" si="166"/>
        <v>103568.19408</v>
      </c>
      <c r="J31" s="159"/>
      <c r="K31" s="159">
        <f>IFERROR(SUMIFS('PO Tracker'!$J$44:$J$1433,'PO Tracker'!$K$44:$K$1433,$G$6,'PO Tracker'!$L$44:$L$1433,'Capex breakup'!$B31),0)</f>
        <v>0</v>
      </c>
      <c r="L31" s="605">
        <f t="shared" si="167"/>
        <v>0</v>
      </c>
      <c r="M31" s="118"/>
      <c r="N31" s="151">
        <v>0</v>
      </c>
      <c r="O31" s="151">
        <f t="shared" si="168"/>
        <v>0</v>
      </c>
      <c r="P31" s="151">
        <f>O31/O2</f>
        <v>0</v>
      </c>
      <c r="Q31" s="159">
        <v>80</v>
      </c>
      <c r="R31" s="395">
        <f t="shared" si="169"/>
        <v>81315.561600000001</v>
      </c>
      <c r="S31" s="395">
        <f t="shared" si="170"/>
        <v>95952.362687999994</v>
      </c>
      <c r="T31" s="159"/>
      <c r="U31" s="159">
        <f>IFERROR(SUMIFS('PO Tracker'!$J$44:$J$1433,'PO Tracker'!$K$44:$K$1433,$Q$6,'PO Tracker'!$L$44:$L$1433,'Capex breakup'!$B31),0)</f>
        <v>0</v>
      </c>
      <c r="V31" s="605">
        <f t="shared" si="171"/>
        <v>0</v>
      </c>
      <c r="W31" s="118"/>
      <c r="X31" s="151">
        <v>131631.36000000002</v>
      </c>
      <c r="Y31" s="151">
        <f t="shared" si="172"/>
        <v>117528</v>
      </c>
      <c r="Z31" s="133">
        <f t="shared" si="173"/>
        <v>44.58235338745164</v>
      </c>
      <c r="AA31" s="159">
        <v>90</v>
      </c>
      <c r="AB31" s="395">
        <f>AA31*$AB$2</f>
        <v>168564.24</v>
      </c>
      <c r="AC31" s="395">
        <f t="shared" si="174"/>
        <v>198905.80319999997</v>
      </c>
      <c r="AD31" s="159"/>
      <c r="AE31" s="159">
        <f>IFERROR(SUMIFS('PO Tracker'!$J$44:$J$1433,'PO Tracker'!$K$44:$K$1433,$AA$6,'PO Tracker'!$L$44:$L$1433,'Capex breakup'!$B31),0)</f>
        <v>0</v>
      </c>
      <c r="AF31" s="605">
        <f t="shared" si="175"/>
        <v>0</v>
      </c>
      <c r="AG31" s="118"/>
      <c r="AH31" s="151">
        <v>0</v>
      </c>
      <c r="AI31" s="151">
        <f t="shared" si="176"/>
        <v>0</v>
      </c>
      <c r="AJ31" s="151">
        <f>AI31/AI2</f>
        <v>0</v>
      </c>
      <c r="AK31" s="159">
        <v>300</v>
      </c>
      <c r="AL31" s="395">
        <f t="shared" si="177"/>
        <v>121547.08799999999</v>
      </c>
      <c r="AM31" s="395">
        <f t="shared" si="178"/>
        <v>143425.56383999999</v>
      </c>
      <c r="AN31" s="159"/>
      <c r="AO31" s="159">
        <f>IFERROR(SUMIFS('PO Tracker'!$J$44:$J$1433,'PO Tracker'!$K$44:$K$1433,$AK$6,'PO Tracker'!$L$44:$L$1433,'Capex breakup'!$B31),0)</f>
        <v>0</v>
      </c>
      <c r="AP31" s="605">
        <f t="shared" si="179"/>
        <v>0</v>
      </c>
      <c r="AQ31" s="118"/>
      <c r="AR31" s="287">
        <v>282122.89600000001</v>
      </c>
      <c r="AS31" s="287">
        <f t="shared" si="180"/>
        <v>239087.2</v>
      </c>
      <c r="AT31" s="288">
        <f t="shared" si="181"/>
        <v>220</v>
      </c>
      <c r="AU31" s="159">
        <v>200</v>
      </c>
      <c r="AV31" s="395">
        <f t="shared" si="182"/>
        <v>203977.8</v>
      </c>
      <c r="AW31" s="395">
        <f t="shared" si="183"/>
        <v>240693.80399999997</v>
      </c>
      <c r="AX31" s="159"/>
      <c r="AY31" s="159">
        <f>IFERROR(SUMIFS('PO Tracker'!$J$44:$J$1433,'PO Tracker'!$K$44:$K$1433,$AU$6,'PO Tracker'!$L$44:$L$1433,'Capex breakup'!$B31),0)</f>
        <v>0</v>
      </c>
      <c r="AZ31" s="605">
        <f t="shared" si="184"/>
        <v>0</v>
      </c>
      <c r="BA31" s="118"/>
      <c r="BB31" s="151">
        <v>552310.80000000005</v>
      </c>
      <c r="BC31" s="151">
        <f t="shared" si="185"/>
        <v>468060.00000000006</v>
      </c>
      <c r="BD31" s="151">
        <f>BC31/BC2</f>
        <v>750</v>
      </c>
      <c r="BE31" s="159">
        <v>200</v>
      </c>
      <c r="BF31" s="395">
        <f t="shared" si="186"/>
        <v>155475.21599999999</v>
      </c>
      <c r="BG31" s="395">
        <f t="shared" si="187"/>
        <v>183460.75487999996</v>
      </c>
      <c r="BH31" s="159"/>
      <c r="BI31" s="159">
        <f>IFERROR(SUMIFS('PO Tracker'!$J$44:$J$1433,'PO Tracker'!$K$44:$K$1433,$BE$6,'PO Tracker'!$L$44:$L$1433,'Capex breakup'!$B31),0)</f>
        <v>0</v>
      </c>
      <c r="BJ31" s="605">
        <f t="shared" si="188"/>
        <v>0</v>
      </c>
      <c r="BK31" s="118"/>
      <c r="BL31" s="151"/>
      <c r="BM31" s="151"/>
      <c r="BN31" s="151"/>
      <c r="BO31" s="159">
        <v>200</v>
      </c>
      <c r="BP31" s="395">
        <f t="shared" si="189"/>
        <v>114356.73599999998</v>
      </c>
      <c r="BQ31" s="395">
        <f t="shared" si="190"/>
        <v>134940.94847999996</v>
      </c>
      <c r="BR31" s="159"/>
      <c r="BS31" s="159">
        <f>IFERROR(SUMIFS('PO Tracker'!$J$44:$J$1433,'PO Tracker'!$K$44:$K$1433,$BO$6,'PO Tracker'!$L$44:$L$1433,'Capex breakup'!$B31),0)</f>
        <v>0</v>
      </c>
      <c r="BT31" s="605">
        <f t="shared" si="191"/>
        <v>0</v>
      </c>
      <c r="BU31" s="118"/>
      <c r="BV31" s="151">
        <v>213750.628</v>
      </c>
      <c r="BW31" s="151">
        <f t="shared" si="192"/>
        <v>181144.6</v>
      </c>
      <c r="BX31" s="151">
        <f>BW31/BW2</f>
        <v>185.03023493360573</v>
      </c>
      <c r="BY31" s="159">
        <v>200</v>
      </c>
      <c r="BZ31" s="395">
        <f t="shared" si="193"/>
        <v>74616.047999999995</v>
      </c>
      <c r="CA31" s="395">
        <f t="shared" si="194"/>
        <v>88046.936639999985</v>
      </c>
      <c r="CB31" s="159"/>
      <c r="CC31" s="159">
        <f>IFERROR(SUMIFS('PO Tracker'!$J$44:$J$1433,'PO Tracker'!$K$44:$K$1433,$BY$6,'PO Tracker'!$L$44:$L$1433,'Capex breakup'!$B31),0)</f>
        <v>0</v>
      </c>
      <c r="CD31" s="605">
        <f t="shared" si="195"/>
        <v>0</v>
      </c>
      <c r="CE31" s="118"/>
      <c r="CF31" s="151"/>
      <c r="CG31" s="151">
        <f t="shared" si="196"/>
        <v>0</v>
      </c>
      <c r="CH31" s="151">
        <f>CG31/CG2</f>
        <v>0</v>
      </c>
      <c r="CI31" s="159">
        <v>0</v>
      </c>
      <c r="CJ31" s="395">
        <f t="shared" si="197"/>
        <v>0</v>
      </c>
      <c r="CK31" s="395">
        <f t="shared" si="198"/>
        <v>0</v>
      </c>
      <c r="CL31" s="159"/>
      <c r="CM31" s="159">
        <f>IFERROR(SUMIFS('PO Tracker'!$J$44:$J$1433,'PO Tracker'!$K$44:$K$1433,$CI$6,'PO Tracker'!$L$44:$L$1433,'Capex breakup'!$B31),0)</f>
        <v>0</v>
      </c>
      <c r="CN31" s="605" t="str">
        <f t="shared" si="199"/>
        <v/>
      </c>
      <c r="CO31" s="118"/>
      <c r="CP31" s="151"/>
      <c r="CQ31" s="151">
        <f t="shared" si="200"/>
        <v>0</v>
      </c>
      <c r="CR31" s="151"/>
      <c r="CS31" s="159"/>
      <c r="CT31" s="395">
        <f t="shared" si="201"/>
        <v>0</v>
      </c>
      <c r="CU31" s="395">
        <f t="shared" si="202"/>
        <v>0</v>
      </c>
      <c r="CV31" s="159"/>
      <c r="CW31" s="159">
        <f>IFERROR(SUMIFS('PO Tracker'!$J$44:$J$1433,'PO Tracker'!$K$44:$K$1433,$CS$6,'PO Tracker'!$L$44:$L$1433,'Capex breakup'!$B31),0)</f>
        <v>0</v>
      </c>
      <c r="CX31" s="605" t="str">
        <f t="shared" si="203"/>
        <v/>
      </c>
      <c r="CY31" s="118"/>
      <c r="CZ31" s="151"/>
      <c r="DA31" s="151">
        <f t="shared" si="204"/>
        <v>0</v>
      </c>
      <c r="DB31" s="151">
        <f>DA31/DA2</f>
        <v>0</v>
      </c>
      <c r="DC31" s="159">
        <v>0</v>
      </c>
      <c r="DD31" s="395">
        <f t="shared" si="205"/>
        <v>0</v>
      </c>
      <c r="DE31" s="395">
        <f t="shared" si="206"/>
        <v>0</v>
      </c>
      <c r="DF31" s="159"/>
      <c r="DG31" s="159">
        <f>IFERROR(SUMIFS('PO Tracker'!$J$44:$J$1433,'PO Tracker'!$K$44:$K$1433,$DC$6,'PO Tracker'!$L$44:$L$1433,'Capex breakup'!$B31),0)</f>
        <v>0</v>
      </c>
      <c r="DH31" s="605" t="str">
        <f t="shared" si="207"/>
        <v/>
      </c>
      <c r="DI31" s="118"/>
      <c r="DJ31" s="151"/>
      <c r="DK31" s="151">
        <f t="shared" si="208"/>
        <v>0</v>
      </c>
      <c r="DL31" s="151">
        <f>DK31/DK2</f>
        <v>0</v>
      </c>
      <c r="DM31" s="159"/>
      <c r="DN31" s="395">
        <f t="shared" si="209"/>
        <v>0</v>
      </c>
      <c r="DO31" s="159">
        <f t="shared" si="210"/>
        <v>0</v>
      </c>
      <c r="DP31" s="159">
        <f>IFERROR(SUMIFS('PO Tracker'!$J$44:$J$1433,'PO Tracker'!$K$44:$K$1433,$DM$6,'PO Tracker'!$L$44:$L$1433,'Capex breakup'!$B31),0)</f>
        <v>0</v>
      </c>
      <c r="DQ31" s="605" t="str">
        <f t="shared" si="211"/>
        <v/>
      </c>
      <c r="DR31" s="118"/>
      <c r="DS31" s="151"/>
      <c r="DT31" s="151">
        <f t="shared" si="212"/>
        <v>0</v>
      </c>
      <c r="DU31" s="151">
        <f>DT31/DT2</f>
        <v>0</v>
      </c>
      <c r="DV31" s="159">
        <v>100</v>
      </c>
      <c r="DW31" s="395">
        <f>DV31*$DW$2</f>
        <v>130674.95999999999</v>
      </c>
      <c r="DX31" s="395">
        <f t="shared" si="213"/>
        <v>154196.45279999997</v>
      </c>
      <c r="DY31" s="159"/>
      <c r="DZ31" s="159">
        <f>IFERROR(SUMIFS('PO Tracker'!$J$44:$J$1433,'PO Tracker'!$K$44:$K$1433,$DV$6,'PO Tracker'!$L$44:$L$1433,'Capex breakup'!$B31),0)</f>
        <v>0</v>
      </c>
      <c r="EA31" s="605">
        <f t="shared" si="214"/>
        <v>0</v>
      </c>
      <c r="EB31" s="118"/>
      <c r="EC31" s="151"/>
      <c r="ED31" s="151">
        <f t="shared" si="215"/>
        <v>0</v>
      </c>
      <c r="EE31" s="151">
        <f>ED31/ED2</f>
        <v>0</v>
      </c>
      <c r="EF31" s="159">
        <v>0</v>
      </c>
      <c r="EG31" s="395">
        <f t="shared" si="216"/>
        <v>0</v>
      </c>
      <c r="EH31" s="395">
        <f t="shared" si="217"/>
        <v>0</v>
      </c>
      <c r="EI31" s="159"/>
      <c r="EJ31" s="159">
        <f>IFERROR(SUMIFS('PO Tracker'!$J$44:$J$1433,'PO Tracker'!$K$44:$K$1433,$EF$6,'PO Tracker'!$L$44:$L$1433,'Capex breakup'!$B31),0)</f>
        <v>0</v>
      </c>
      <c r="EK31" s="605" t="str">
        <f t="shared" si="218"/>
        <v/>
      </c>
      <c r="EL31" s="118"/>
      <c r="EM31" s="151"/>
      <c r="EN31" s="151"/>
      <c r="EO31" s="151"/>
      <c r="EP31" s="159">
        <v>0</v>
      </c>
      <c r="EQ31" s="395">
        <f t="shared" si="219"/>
        <v>0</v>
      </c>
      <c r="ER31" s="395">
        <f t="shared" si="220"/>
        <v>0</v>
      </c>
      <c r="ES31" s="159"/>
      <c r="ET31" s="159">
        <f>IFERROR(SUMIFS('PO Tracker'!$J$44:$J$1433,'PO Tracker'!$K$44:$K$1433,$EP$6,'PO Tracker'!$L$44:$L$1433,'Capex breakup'!$B31),0)</f>
        <v>0</v>
      </c>
      <c r="EU31" s="605" t="str">
        <f t="shared" si="221"/>
        <v/>
      </c>
      <c r="EV31" s="118"/>
      <c r="EW31" s="151"/>
      <c r="EX31" s="151"/>
      <c r="EY31" s="151"/>
      <c r="EZ31" s="159">
        <v>100</v>
      </c>
      <c r="FA31" s="395">
        <f t="shared" si="222"/>
        <v>128080.83599999998</v>
      </c>
      <c r="FB31" s="395">
        <f t="shared" si="223"/>
        <v>151135.38647999996</v>
      </c>
      <c r="FC31" s="159"/>
      <c r="FD31" s="159">
        <f>IFERROR(SUMIFS('PO Tracker'!$J$44:$J$1433,'PO Tracker'!$K$44:$K$1433,$EZ$6,'PO Tracker'!$L$44:$L$1433,'Capex breakup'!$B31),0)</f>
        <v>0</v>
      </c>
      <c r="FE31" s="605">
        <f t="shared" si="224"/>
        <v>0</v>
      </c>
      <c r="FF31" s="118"/>
      <c r="FG31" s="318">
        <v>131631.36000000002</v>
      </c>
      <c r="FH31" s="151">
        <f t="shared" si="225"/>
        <v>117528</v>
      </c>
      <c r="FI31" s="133">
        <f t="shared" si="226"/>
        <v>44.58235338745164</v>
      </c>
      <c r="FJ31" s="159">
        <v>100</v>
      </c>
      <c r="FK31" s="395">
        <f t="shared" si="227"/>
        <v>262071.10800000001</v>
      </c>
      <c r="FL31" s="159">
        <f t="shared" si="228"/>
        <v>309243.90743999998</v>
      </c>
      <c r="FM31" s="684"/>
      <c r="FN31" s="159">
        <f>FK31</f>
        <v>262071.10800000001</v>
      </c>
      <c r="FO31" s="685">
        <f t="shared" si="229"/>
        <v>309243.90743999998</v>
      </c>
      <c r="FP31" s="684"/>
      <c r="FQ31" s="159">
        <f t="shared" si="230"/>
        <v>0</v>
      </c>
      <c r="FR31" s="685">
        <f t="shared" si="231"/>
        <v>0</v>
      </c>
      <c r="FS31" s="662">
        <f>IFERROR(SUMIFS('PO Tracker'!$J$44:$J$1433,'PO Tracker'!$K$44:$K$1433,$FJ$6,'PO Tracker'!$L$44:$L$1433,'Capex breakup'!$B31),0)</f>
        <v>0</v>
      </c>
      <c r="FT31" s="736" t="str">
        <f t="shared" si="232"/>
        <v/>
      </c>
      <c r="FU31" s="709"/>
      <c r="FV31" s="151"/>
      <c r="FW31" s="151">
        <f t="shared" si="233"/>
        <v>0</v>
      </c>
      <c r="FX31" s="151">
        <f>FW31/FW2</f>
        <v>0</v>
      </c>
      <c r="FY31" s="159">
        <v>0</v>
      </c>
      <c r="FZ31" s="395">
        <f t="shared" si="234"/>
        <v>0</v>
      </c>
      <c r="GA31" s="395">
        <f t="shared" si="235"/>
        <v>0</v>
      </c>
      <c r="GB31" s="159"/>
      <c r="GC31" s="159">
        <f>IFERROR(SUMIFS('PO Tracker'!$J$44:$J$1433,'PO Tracker'!$K$44:$K$1433,$FY$6,'PO Tracker'!$L$44:$L$1433,'Capex breakup'!$B31),0)</f>
        <v>0</v>
      </c>
      <c r="GD31" s="605" t="str">
        <f t="shared" si="236"/>
        <v/>
      </c>
      <c r="GE31" s="118"/>
      <c r="GF31" s="151"/>
      <c r="GG31" s="151">
        <f t="shared" si="237"/>
        <v>0</v>
      </c>
      <c r="GH31" s="151">
        <f>GG31/GG2</f>
        <v>0</v>
      </c>
      <c r="GI31" s="159"/>
      <c r="GJ31" s="395">
        <f t="shared" si="238"/>
        <v>0</v>
      </c>
      <c r="GK31" s="395">
        <f t="shared" si="239"/>
        <v>0</v>
      </c>
      <c r="GL31" s="159"/>
      <c r="GM31" s="159">
        <f>IFERROR(SUMIFS('PO Tracker'!$J$44:$J$1433,'PO Tracker'!$K$44:$K$1433,$GI$6,'PO Tracker'!$L$44:$L$1433,'Capex breakup'!$B31),0)</f>
        <v>0</v>
      </c>
      <c r="GN31" s="605" t="str">
        <f t="shared" si="240"/>
        <v/>
      </c>
      <c r="GO31" s="118"/>
      <c r="GP31" s="151"/>
      <c r="GQ31" s="151">
        <f t="shared" si="241"/>
        <v>0</v>
      </c>
      <c r="GR31" s="151">
        <f>GQ31/GQ2</f>
        <v>0</v>
      </c>
      <c r="GS31" s="159"/>
      <c r="GT31" s="395">
        <v>0</v>
      </c>
      <c r="GU31" s="159">
        <v>0</v>
      </c>
      <c r="GV31" s="159">
        <f>IFERROR(SUMIFS('PO Tracker'!$J$44:$J$1433,'PO Tracker'!$K$44:$K$1433,$GS$6,'PO Tracker'!$L$44:$L$1433,'Capex breakup'!$B31),0)</f>
        <v>0</v>
      </c>
      <c r="GW31" s="605" t="str">
        <f t="shared" si="242"/>
        <v/>
      </c>
      <c r="GX31" s="118"/>
      <c r="GY31" s="151"/>
      <c r="GZ31" s="151"/>
      <c r="HA31" s="133"/>
      <c r="HB31" s="159">
        <v>100</v>
      </c>
      <c r="HC31" s="395">
        <f t="shared" si="243"/>
        <v>333856.22400000005</v>
      </c>
      <c r="HD31" s="159">
        <f t="shared" si="244"/>
        <v>393950.34432000003</v>
      </c>
      <c r="HE31" s="159"/>
      <c r="HF31" s="159">
        <f>IFERROR(SUMIFS('PO Tracker'!$J$44:$J$1433,'PO Tracker'!$K$44:$K$1433,$HB$6,'PO Tracker'!$L$44:$L$1433,'Capex breakup'!$B31),0)</f>
        <v>0</v>
      </c>
      <c r="HG31" s="605">
        <f t="shared" si="245"/>
        <v>0</v>
      </c>
      <c r="HH31" s="118"/>
      <c r="HI31" s="151"/>
      <c r="HJ31" s="151"/>
      <c r="HK31" s="133"/>
      <c r="HL31" s="159">
        <v>100</v>
      </c>
      <c r="HM31" s="395">
        <f t="shared" si="246"/>
        <v>339604.2</v>
      </c>
      <c r="HN31" s="159">
        <f t="shared" si="247"/>
        <v>400732.95600000001</v>
      </c>
      <c r="HO31" s="159">
        <f>IFERROR(SUMIFS('PO Tracker'!$J$44:$J$1433,'PO Tracker'!$K$44:$K$1433,$HL$6,'PO Tracker'!$L$44:$L$1433,'Capex breakup'!$B31),0)</f>
        <v>0</v>
      </c>
      <c r="HP31" s="605">
        <f t="shared" si="248"/>
        <v>0</v>
      </c>
      <c r="HQ31" s="118"/>
      <c r="HR31" s="364"/>
      <c r="HS31" s="364"/>
      <c r="HT31" s="364"/>
      <c r="HU31" s="364"/>
    </row>
    <row r="32" spans="1:229">
      <c r="A32" s="18">
        <v>3</v>
      </c>
      <c r="B32" s="19" t="s">
        <v>33</v>
      </c>
      <c r="C32" s="118"/>
      <c r="D32" s="151">
        <v>78847.127999999982</v>
      </c>
      <c r="E32" s="151">
        <f t="shared" si="164"/>
        <v>66819.599999999991</v>
      </c>
      <c r="F32" s="151">
        <f>E32/E2</f>
        <v>270</v>
      </c>
      <c r="G32" s="159">
        <v>130</v>
      </c>
      <c r="H32" s="395">
        <f t="shared" si="165"/>
        <v>57050.276399999995</v>
      </c>
      <c r="I32" s="395">
        <f t="shared" si="166"/>
        <v>67319.326151999994</v>
      </c>
      <c r="J32" s="159"/>
      <c r="K32" s="159">
        <f>IFERROR(SUMIFS('PO Tracker'!$J$44:$J$1433,'PO Tracker'!$K$44:$K$1433,$G$6,'PO Tracker'!$L$44:$L$1433,'Capex breakup'!$B32),0)</f>
        <v>0</v>
      </c>
      <c r="L32" s="605">
        <f t="shared" si="167"/>
        <v>0</v>
      </c>
      <c r="M32" s="118"/>
      <c r="N32" s="151">
        <v>78847.127999999982</v>
      </c>
      <c r="O32" s="151">
        <f t="shared" si="168"/>
        <v>66819.599999999991</v>
      </c>
      <c r="P32" s="151">
        <f>O32/O2</f>
        <v>270</v>
      </c>
      <c r="Q32" s="159">
        <v>150</v>
      </c>
      <c r="R32" s="395">
        <f t="shared" si="169"/>
        <v>152466.67800000001</v>
      </c>
      <c r="S32" s="395">
        <f t="shared" si="170"/>
        <v>179910.68004000001</v>
      </c>
      <c r="T32" s="159"/>
      <c r="U32" s="159">
        <f>IFERROR(SUMIFS('PO Tracker'!$J$44:$J$1433,'PO Tracker'!$K$44:$K$1433,$Q$6,'PO Tracker'!$L$44:$L$1433,'Capex breakup'!$B32),0)</f>
        <v>0</v>
      </c>
      <c r="V32" s="605">
        <f t="shared" si="171"/>
        <v>0</v>
      </c>
      <c r="W32" s="118"/>
      <c r="X32" s="151">
        <v>140295.23199999999</v>
      </c>
      <c r="Y32" s="151">
        <f t="shared" si="172"/>
        <v>125263.59999999998</v>
      </c>
      <c r="Z32" s="133">
        <f t="shared" si="173"/>
        <v>47.516728624535311</v>
      </c>
      <c r="AA32" s="159">
        <v>110</v>
      </c>
      <c r="AB32" s="395">
        <f>AA32*$AB$2</f>
        <v>206022.96</v>
      </c>
      <c r="AC32" s="395">
        <f t="shared" si="174"/>
        <v>243107.09279999998</v>
      </c>
      <c r="AD32" s="159"/>
      <c r="AE32" s="159">
        <f>IFERROR(SUMIFS('PO Tracker'!$J$44:$J$1433,'PO Tracker'!$K$44:$K$1433,$AA$6,'PO Tracker'!$L$44:$L$1433,'Capex breakup'!$B32),0)</f>
        <v>176616.5</v>
      </c>
      <c r="AF32" s="605">
        <f t="shared" si="175"/>
        <v>0.72649669726131505</v>
      </c>
      <c r="AG32" s="118"/>
      <c r="AH32" s="151">
        <v>78847.127999999982</v>
      </c>
      <c r="AI32" s="151">
        <f t="shared" si="176"/>
        <v>66819.599999999991</v>
      </c>
      <c r="AJ32" s="151">
        <f>AI32/AI2</f>
        <v>270</v>
      </c>
      <c r="AK32" s="159">
        <v>500</v>
      </c>
      <c r="AL32" s="395">
        <f t="shared" si="177"/>
        <v>202578.47999999998</v>
      </c>
      <c r="AM32" s="395">
        <f t="shared" si="178"/>
        <v>239042.60639999996</v>
      </c>
      <c r="AN32" s="159"/>
      <c r="AO32" s="159">
        <f>IFERROR(SUMIFS('PO Tracker'!$J$44:$J$1433,'PO Tracker'!$K$44:$K$1433,$AK$6,'PO Tracker'!$L$44:$L$1433,'Capex breakup'!$B32),0)</f>
        <v>229746</v>
      </c>
      <c r="AP32" s="605">
        <f t="shared" si="179"/>
        <v>0.96110899834967678</v>
      </c>
      <c r="AQ32" s="118"/>
      <c r="AR32" s="287">
        <v>47001.759999999995</v>
      </c>
      <c r="AS32" s="287">
        <f t="shared" si="180"/>
        <v>39832</v>
      </c>
      <c r="AT32" s="288">
        <f t="shared" si="181"/>
        <v>36.652066693658213</v>
      </c>
      <c r="AU32" s="159">
        <v>150</v>
      </c>
      <c r="AV32" s="395">
        <f t="shared" si="182"/>
        <v>152983.34999999998</v>
      </c>
      <c r="AW32" s="395">
        <f t="shared" si="183"/>
        <v>180520.35299999997</v>
      </c>
      <c r="AX32" s="159"/>
      <c r="AY32" s="159">
        <f>IFERROR(SUMIFS('PO Tracker'!$J$44:$J$1433,'PO Tracker'!$K$44:$K$1433,$AU$6,'PO Tracker'!$L$44:$L$1433,'Capex breakup'!$B32),0)</f>
        <v>0</v>
      </c>
      <c r="AZ32" s="605">
        <f t="shared" si="184"/>
        <v>0</v>
      </c>
      <c r="BA32" s="118"/>
      <c r="BB32" s="151">
        <v>32001.599999999999</v>
      </c>
      <c r="BC32" s="151">
        <f t="shared" si="185"/>
        <v>27120</v>
      </c>
      <c r="BD32" s="151">
        <f>BC32/BC2</f>
        <v>43.455967183694398</v>
      </c>
      <c r="BE32" s="159">
        <v>150</v>
      </c>
      <c r="BF32" s="395">
        <f t="shared" si="186"/>
        <v>116606.41199999998</v>
      </c>
      <c r="BG32" s="395">
        <f t="shared" si="187"/>
        <v>137595.56615999996</v>
      </c>
      <c r="BH32" s="159"/>
      <c r="BI32" s="159">
        <f>IFERROR(SUMIFS('PO Tracker'!$J$44:$J$1433,'PO Tracker'!$K$44:$K$1433,$BE$6,'PO Tracker'!$L$44:$L$1433,'Capex breakup'!$B32),0)</f>
        <v>0</v>
      </c>
      <c r="BJ32" s="605">
        <f t="shared" si="188"/>
        <v>0</v>
      </c>
      <c r="BK32" s="118"/>
      <c r="BL32" s="151"/>
      <c r="BM32" s="151"/>
      <c r="BN32" s="151"/>
      <c r="BO32" s="159">
        <v>200</v>
      </c>
      <c r="BP32" s="395">
        <f t="shared" si="189"/>
        <v>114356.73599999998</v>
      </c>
      <c r="BQ32" s="395">
        <f t="shared" si="190"/>
        <v>134940.94847999996</v>
      </c>
      <c r="BR32" s="159"/>
      <c r="BS32" s="159">
        <f>IFERROR(SUMIFS('PO Tracker'!$J$44:$J$1433,'PO Tracker'!$K$44:$K$1433,$BO$6,'PO Tracker'!$L$44:$L$1433,'Capex breakup'!$B32),0)</f>
        <v>0</v>
      </c>
      <c r="BT32" s="605">
        <f t="shared" si="191"/>
        <v>0</v>
      </c>
      <c r="BU32" s="118"/>
      <c r="BV32" s="151">
        <v>16000.8</v>
      </c>
      <c r="BW32" s="151">
        <f t="shared" si="192"/>
        <v>13560</v>
      </c>
      <c r="BX32" s="151">
        <f>BW32/BW2</f>
        <v>13.850868232890704</v>
      </c>
      <c r="BY32" s="159">
        <v>150</v>
      </c>
      <c r="BZ32" s="395">
        <f t="shared" si="193"/>
        <v>55962.035999999993</v>
      </c>
      <c r="CA32" s="395">
        <f t="shared" si="194"/>
        <v>66035.202479999993</v>
      </c>
      <c r="CB32" s="159"/>
      <c r="CC32" s="159">
        <f>IFERROR(SUMIFS('PO Tracker'!$J$44:$J$1433,'PO Tracker'!$K$44:$K$1433,$BY$6,'PO Tracker'!$L$44:$L$1433,'Capex breakup'!$B32),0)</f>
        <v>0</v>
      </c>
      <c r="CD32" s="605">
        <f t="shared" si="195"/>
        <v>0</v>
      </c>
      <c r="CE32" s="118"/>
      <c r="CF32" s="151">
        <v>80000</v>
      </c>
      <c r="CG32" s="151">
        <f t="shared" si="196"/>
        <v>67796.610169491527</v>
      </c>
      <c r="CH32" s="151">
        <f>CG32/CG2</f>
        <v>203.25161940727764</v>
      </c>
      <c r="CI32" s="159">
        <v>300</v>
      </c>
      <c r="CJ32" s="395">
        <f t="shared" si="197"/>
        <v>58125.599999999991</v>
      </c>
      <c r="CK32" s="395">
        <f t="shared" si="198"/>
        <v>68588.207999999984</v>
      </c>
      <c r="CL32" s="159"/>
      <c r="CM32" s="159">
        <f>IFERROR(SUMIFS('PO Tracker'!$J$44:$J$1433,'PO Tracker'!$K$44:$K$1433,$CI$6,'PO Tracker'!$L$44:$L$1433,'Capex breakup'!$B32),0)</f>
        <v>0</v>
      </c>
      <c r="CN32" s="605">
        <f t="shared" si="199"/>
        <v>0</v>
      </c>
      <c r="CO32" s="118"/>
      <c r="CP32" s="151"/>
      <c r="CQ32" s="151">
        <f t="shared" si="200"/>
        <v>0</v>
      </c>
      <c r="CR32" s="151"/>
      <c r="CS32" s="159"/>
      <c r="CT32" s="395">
        <f t="shared" si="201"/>
        <v>0</v>
      </c>
      <c r="CU32" s="395">
        <f t="shared" si="202"/>
        <v>0</v>
      </c>
      <c r="CV32" s="159"/>
      <c r="CW32" s="159">
        <f>IFERROR(SUMIFS('PO Tracker'!$J$44:$J$1433,'PO Tracker'!$K$44:$K$1433,$CS$6,'PO Tracker'!$L$44:$L$1433,'Capex breakup'!$B32),0)</f>
        <v>0</v>
      </c>
      <c r="CX32" s="605" t="str">
        <f t="shared" si="203"/>
        <v/>
      </c>
      <c r="CY32" s="118"/>
      <c r="CZ32" s="151">
        <v>80000</v>
      </c>
      <c r="DA32" s="151">
        <f t="shared" si="204"/>
        <v>67796.610169491527</v>
      </c>
      <c r="DB32" s="151">
        <f>DA32/DA2</f>
        <v>203.25161940727764</v>
      </c>
      <c r="DC32" s="159">
        <v>150</v>
      </c>
      <c r="DD32" s="395">
        <f t="shared" si="205"/>
        <v>32291.999999999996</v>
      </c>
      <c r="DE32" s="395">
        <f t="shared" si="206"/>
        <v>38104.55999999999</v>
      </c>
      <c r="DF32" s="159"/>
      <c r="DG32" s="159">
        <f>IFERROR(SUMIFS('PO Tracker'!$J$44:$J$1433,'PO Tracker'!$K$44:$K$1433,$DC$6,'PO Tracker'!$L$44:$L$1433,'Capex breakup'!$B32),0)</f>
        <v>0</v>
      </c>
      <c r="DH32" s="605">
        <f t="shared" si="207"/>
        <v>0</v>
      </c>
      <c r="DI32" s="118"/>
      <c r="DJ32" s="151"/>
      <c r="DK32" s="151">
        <f t="shared" si="208"/>
        <v>0</v>
      </c>
      <c r="DL32" s="151">
        <f>DK32/DK2</f>
        <v>0</v>
      </c>
      <c r="DM32" s="159">
        <v>1000</v>
      </c>
      <c r="DN32" s="395">
        <f t="shared" si="209"/>
        <v>48437.999999999993</v>
      </c>
      <c r="DO32" s="159">
        <f t="shared" si="210"/>
        <v>57156.839999999989</v>
      </c>
      <c r="DP32" s="159">
        <f>IFERROR(SUMIFS('PO Tracker'!$J$44:$J$1433,'PO Tracker'!$K$44:$K$1433,$DM$6,'PO Tracker'!$L$44:$L$1433,'Capex breakup'!$B32),0)</f>
        <v>0</v>
      </c>
      <c r="DQ32" s="605">
        <f t="shared" si="211"/>
        <v>0</v>
      </c>
      <c r="DR32" s="118"/>
      <c r="DS32" s="151">
        <v>80000</v>
      </c>
      <c r="DT32" s="151">
        <f t="shared" si="212"/>
        <v>67796.610169491527</v>
      </c>
      <c r="DU32" s="151">
        <f>DT32/DT2</f>
        <v>203.25161940727764</v>
      </c>
      <c r="DV32" s="159">
        <v>100</v>
      </c>
      <c r="DW32" s="395">
        <f>DV32*$DW$2</f>
        <v>130674.95999999999</v>
      </c>
      <c r="DX32" s="395">
        <f t="shared" si="213"/>
        <v>154196.45279999997</v>
      </c>
      <c r="DY32" s="159"/>
      <c r="DZ32" s="159">
        <f>IFERROR(SUMIFS('PO Tracker'!$J$44:$J$1433,'PO Tracker'!$K$44:$K$1433,$DV$6,'PO Tracker'!$L$44:$L$1433,'Capex breakup'!$B32),0)</f>
        <v>65608</v>
      </c>
      <c r="EA32" s="605">
        <f t="shared" si="214"/>
        <v>0.42548319892349695</v>
      </c>
      <c r="EB32" s="118"/>
      <c r="EC32" s="151">
        <v>80000</v>
      </c>
      <c r="ED32" s="151">
        <f t="shared" si="215"/>
        <v>67796.610169491527</v>
      </c>
      <c r="EE32" s="151">
        <f>ED32/ED2</f>
        <v>203.25161940727764</v>
      </c>
      <c r="EF32" s="159">
        <v>150</v>
      </c>
      <c r="EG32" s="395">
        <f t="shared" si="216"/>
        <v>57705.803999999996</v>
      </c>
      <c r="EH32" s="395">
        <f t="shared" si="217"/>
        <v>68092.848719999995</v>
      </c>
      <c r="EI32" s="159"/>
      <c r="EJ32" s="159">
        <f>IFERROR(SUMIFS('PO Tracker'!$J$44:$J$1433,'PO Tracker'!$K$44:$K$1433,$EF$6,'PO Tracker'!$L$44:$L$1433,'Capex breakup'!$B32),0)</f>
        <v>0</v>
      </c>
      <c r="EK32" s="605">
        <f t="shared" si="218"/>
        <v>0</v>
      </c>
      <c r="EL32" s="118"/>
      <c r="EM32" s="151"/>
      <c r="EN32" s="151"/>
      <c r="EO32" s="151"/>
      <c r="EP32" s="159">
        <v>200</v>
      </c>
      <c r="EQ32" s="395">
        <f t="shared" si="219"/>
        <v>76941.072</v>
      </c>
      <c r="ER32" s="395">
        <f t="shared" si="220"/>
        <v>90790.464959999998</v>
      </c>
      <c r="ES32" s="159"/>
      <c r="ET32" s="159">
        <f>IFERROR(SUMIFS('PO Tracker'!$J$44:$J$1433,'PO Tracker'!$K$44:$K$1433,$EP$6,'PO Tracker'!$L$44:$L$1433,'Capex breakup'!$B32),0)</f>
        <v>84960</v>
      </c>
      <c r="EU32" s="605">
        <f t="shared" si="221"/>
        <v>0.93578108711560459</v>
      </c>
      <c r="EV32" s="118"/>
      <c r="EW32" s="151"/>
      <c r="EX32" s="151"/>
      <c r="EY32" s="151"/>
      <c r="EZ32" s="159">
        <v>65</v>
      </c>
      <c r="FA32" s="395">
        <f t="shared" si="222"/>
        <v>83252.54339999998</v>
      </c>
      <c r="FB32" s="395">
        <f t="shared" si="223"/>
        <v>98238.001211999974</v>
      </c>
      <c r="FC32" s="159"/>
      <c r="FD32" s="159">
        <f>IFERROR(SUMIFS('PO Tracker'!$J$44:$J$1433,'PO Tracker'!$K$44:$K$1433,$EZ$6,'PO Tracker'!$L$44:$L$1433,'Capex breakup'!$B32),0)</f>
        <v>89975</v>
      </c>
      <c r="FE32" s="605">
        <f t="shared" si="224"/>
        <v>0.91588793430183679</v>
      </c>
      <c r="FF32" s="118"/>
      <c r="FG32" s="318">
        <v>140295.23199999999</v>
      </c>
      <c r="FH32" s="151">
        <f t="shared" si="225"/>
        <v>125263.59999999998</v>
      </c>
      <c r="FI32" s="133">
        <f t="shared" si="226"/>
        <v>47.516728624535311</v>
      </c>
      <c r="FJ32" s="159">
        <f>+FI32</f>
        <v>47.516728624535311</v>
      </c>
      <c r="FK32" s="395">
        <f t="shared" si="227"/>
        <v>124527.61719167285</v>
      </c>
      <c r="FL32" s="159">
        <f t="shared" si="228"/>
        <v>146942.58828617397</v>
      </c>
      <c r="FM32" s="684"/>
      <c r="FN32" s="159">
        <f>FK32</f>
        <v>124527.61719167285</v>
      </c>
      <c r="FO32" s="685">
        <f t="shared" si="229"/>
        <v>146942.58828617397</v>
      </c>
      <c r="FP32" s="684"/>
      <c r="FQ32" s="159">
        <f t="shared" si="230"/>
        <v>0</v>
      </c>
      <c r="FR32" s="685">
        <f t="shared" si="231"/>
        <v>0</v>
      </c>
      <c r="FS32" s="662">
        <f>IFERROR(SUMIFS('PO Tracker'!$J$44:$J$1433,'PO Tracker'!$K$44:$K$1433,$FJ$6,'PO Tracker'!$L$44:$L$1433,'Capex breakup'!$B32),0)</f>
        <v>0</v>
      </c>
      <c r="FT32" s="736" t="str">
        <f t="shared" si="232"/>
        <v/>
      </c>
      <c r="FU32" s="709"/>
      <c r="FV32" s="151">
        <v>80000</v>
      </c>
      <c r="FW32" s="151">
        <f t="shared" si="233"/>
        <v>67796.610169491527</v>
      </c>
      <c r="FX32" s="151">
        <f>FW32/FW2</f>
        <v>203.25161940727764</v>
      </c>
      <c r="FY32" s="159">
        <v>150</v>
      </c>
      <c r="FZ32" s="395">
        <f t="shared" si="234"/>
        <v>33389.928</v>
      </c>
      <c r="GA32" s="395">
        <f t="shared" si="235"/>
        <v>39400.115039999997</v>
      </c>
      <c r="GB32" s="159"/>
      <c r="GC32" s="159">
        <f>IFERROR(SUMIFS('PO Tracker'!$J$44:$J$1433,'PO Tracker'!$K$44:$K$1433,$FY$6,'PO Tracker'!$L$44:$L$1433,'Capex breakup'!$B32),0)</f>
        <v>1770</v>
      </c>
      <c r="GD32" s="605">
        <f t="shared" si="236"/>
        <v>4.492372669985991E-2</v>
      </c>
      <c r="GE32" s="118"/>
      <c r="GF32" s="151"/>
      <c r="GG32" s="151">
        <f t="shared" si="237"/>
        <v>0</v>
      </c>
      <c r="GH32" s="151">
        <f>GG32/GG2</f>
        <v>0</v>
      </c>
      <c r="GI32" s="159"/>
      <c r="GJ32" s="395">
        <f t="shared" si="238"/>
        <v>0</v>
      </c>
      <c r="GK32" s="395">
        <f t="shared" si="239"/>
        <v>0</v>
      </c>
      <c r="GL32" s="159"/>
      <c r="GM32" s="159">
        <f>IFERROR(SUMIFS('PO Tracker'!$J$44:$J$1433,'PO Tracker'!$K$44:$K$1433,$GI$6,'PO Tracker'!$L$44:$L$1433,'Capex breakup'!$B32),0)</f>
        <v>75402</v>
      </c>
      <c r="GN32" s="605" t="str">
        <f t="shared" si="240"/>
        <v/>
      </c>
      <c r="GO32" s="118"/>
      <c r="GP32" s="151"/>
      <c r="GQ32" s="151">
        <f t="shared" si="241"/>
        <v>0</v>
      </c>
      <c r="GR32" s="151">
        <f>GQ32/GQ2</f>
        <v>0</v>
      </c>
      <c r="GS32" s="159">
        <v>1000</v>
      </c>
      <c r="GT32" s="395">
        <v>48437.999999999993</v>
      </c>
      <c r="GU32" s="159">
        <v>57156.839999999989</v>
      </c>
      <c r="GV32" s="159">
        <f>IFERROR(SUMIFS('PO Tracker'!$J$44:$J$1433,'PO Tracker'!$K$44:$K$1433,$GS$6,'PO Tracker'!$L$44:$L$1433,'Capex breakup'!$B32),0)</f>
        <v>0</v>
      </c>
      <c r="GW32" s="605">
        <f t="shared" si="242"/>
        <v>0</v>
      </c>
      <c r="GX32" s="118"/>
      <c r="GY32" s="151"/>
      <c r="GZ32" s="151"/>
      <c r="HA32" s="133"/>
      <c r="HB32" s="159">
        <v>47.516728624535311</v>
      </c>
      <c r="HC32" s="395">
        <f t="shared" si="243"/>
        <v>158637.55595420074</v>
      </c>
      <c r="HD32" s="159">
        <f t="shared" si="244"/>
        <v>187192.31602595685</v>
      </c>
      <c r="HE32" s="159"/>
      <c r="HF32" s="159">
        <f>IFERROR(SUMIFS('PO Tracker'!$J$44:$J$1433,'PO Tracker'!$K$44:$K$1433,$HB$6,'PO Tracker'!$L$44:$L$1433,'Capex breakup'!$B32),0)</f>
        <v>0</v>
      </c>
      <c r="HG32" s="605">
        <f t="shared" si="245"/>
        <v>0</v>
      </c>
      <c r="HH32" s="118"/>
      <c r="HI32" s="151"/>
      <c r="HJ32" s="151"/>
      <c r="HK32" s="133"/>
      <c r="HL32" s="159">
        <v>120</v>
      </c>
      <c r="HM32" s="395">
        <f t="shared" si="246"/>
        <v>407525.04</v>
      </c>
      <c r="HN32" s="159">
        <f t="shared" si="247"/>
        <v>480879.54719999997</v>
      </c>
      <c r="HO32" s="159">
        <f>IFERROR(SUMIFS('PO Tracker'!$J$44:$J$1433,'PO Tracker'!$K$44:$K$1433,$HL$6,'PO Tracker'!$L$44:$L$1433,'Capex breakup'!$B32),0)</f>
        <v>0</v>
      </c>
      <c r="HP32" s="605">
        <f t="shared" si="248"/>
        <v>0</v>
      </c>
      <c r="HQ32" s="118"/>
      <c r="HR32" s="364"/>
      <c r="HS32" s="364"/>
      <c r="HT32" s="364"/>
      <c r="HU32" s="364"/>
    </row>
    <row r="33" spans="1:229">
      <c r="A33" s="18">
        <v>4</v>
      </c>
      <c r="B33" s="19" t="s">
        <v>34</v>
      </c>
      <c r="C33" s="118"/>
      <c r="D33" s="151">
        <v>226013.19999999998</v>
      </c>
      <c r="E33" s="151">
        <f t="shared" si="164"/>
        <v>191536.61016949153</v>
      </c>
      <c r="F33" s="151">
        <f>E33/E2</f>
        <v>773.9478348532873</v>
      </c>
      <c r="G33" s="159">
        <v>200</v>
      </c>
      <c r="H33" s="395">
        <f t="shared" si="165"/>
        <v>87769.656000000003</v>
      </c>
      <c r="I33" s="395">
        <f t="shared" si="166"/>
        <v>103568.19408</v>
      </c>
      <c r="J33" s="159"/>
      <c r="K33" s="159">
        <f>IFERROR(SUMIFS('PO Tracker'!$J$44:$J$1433,'PO Tracker'!$K$44:$K$1433,$G$6,'PO Tracker'!$L$44:$L$1433,'Capex breakup'!$B33),0)</f>
        <v>93987</v>
      </c>
      <c r="L33" s="605">
        <f t="shared" si="167"/>
        <v>0.90748903014955418</v>
      </c>
      <c r="M33" s="118"/>
      <c r="N33" s="151">
        <v>226013.19999999998</v>
      </c>
      <c r="O33" s="151">
        <f t="shared" si="168"/>
        <v>191536.61016949153</v>
      </c>
      <c r="P33" s="151">
        <f>O33/O2</f>
        <v>773.9478348532873</v>
      </c>
      <c r="Q33" s="159">
        <v>170</v>
      </c>
      <c r="R33" s="395">
        <f t="shared" si="169"/>
        <v>172795.56839999999</v>
      </c>
      <c r="S33" s="395">
        <f t="shared" si="170"/>
        <v>203898.77071199997</v>
      </c>
      <c r="T33" s="159"/>
      <c r="U33" s="159">
        <f>IFERROR(SUMIFS('PO Tracker'!$J$44:$J$1433,'PO Tracker'!$K$44:$K$1433,$Q$6,'PO Tracker'!$L$44:$L$1433,'Capex breakup'!$B33),0)</f>
        <v>0</v>
      </c>
      <c r="V33" s="605">
        <f t="shared" si="171"/>
        <v>0</v>
      </c>
      <c r="W33" s="118"/>
      <c r="X33" s="151">
        <v>935055.82239999995</v>
      </c>
      <c r="Y33" s="151">
        <f t="shared" si="172"/>
        <v>834871.2699999999</v>
      </c>
      <c r="Z33" s="133">
        <f t="shared" si="173"/>
        <v>316.69496623928381</v>
      </c>
      <c r="AA33" s="159">
        <v>110</v>
      </c>
      <c r="AB33" s="395">
        <f>AA33*$AB$2</f>
        <v>206022.96</v>
      </c>
      <c r="AC33" s="395">
        <f t="shared" si="174"/>
        <v>243107.09279999998</v>
      </c>
      <c r="AD33" s="159"/>
      <c r="AE33" s="159">
        <f>IFERROR(SUMIFS('PO Tracker'!$J$44:$J$1433,'PO Tracker'!$K$44:$K$1433,$AA$6,'PO Tracker'!$L$44:$L$1433,'Capex breakup'!$B33),0)</f>
        <v>181047.4</v>
      </c>
      <c r="AF33" s="605">
        <f t="shared" si="175"/>
        <v>0.74472282118459032</v>
      </c>
      <c r="AG33" s="118"/>
      <c r="AH33" s="151">
        <v>226013.19999999998</v>
      </c>
      <c r="AI33" s="151">
        <f t="shared" si="176"/>
        <v>191536.61016949153</v>
      </c>
      <c r="AJ33" s="151">
        <f>AI33/AI2</f>
        <v>773.9478348532873</v>
      </c>
      <c r="AK33" s="159">
        <v>600</v>
      </c>
      <c r="AL33" s="395">
        <f t="shared" si="177"/>
        <v>243094.17599999998</v>
      </c>
      <c r="AM33" s="395">
        <f t="shared" si="178"/>
        <v>286851.12767999998</v>
      </c>
      <c r="AN33" s="159"/>
      <c r="AO33" s="159">
        <f>IFERROR(SUMIFS('PO Tracker'!$J$44:$J$1433,'PO Tracker'!$K$44:$K$1433,$AK$6,'PO Tracker'!$L$44:$L$1433,'Capex breakup'!$B33),0)</f>
        <v>232755</v>
      </c>
      <c r="AP33" s="605">
        <f t="shared" si="179"/>
        <v>0.81141392708643101</v>
      </c>
      <c r="AQ33" s="118"/>
      <c r="AR33" s="287">
        <v>802071.96</v>
      </c>
      <c r="AS33" s="287">
        <f t="shared" si="180"/>
        <v>679722</v>
      </c>
      <c r="AT33" s="288">
        <f t="shared" si="181"/>
        <v>625.45732268394124</v>
      </c>
      <c r="AU33" s="159">
        <v>300</v>
      </c>
      <c r="AV33" s="395">
        <f t="shared" si="182"/>
        <v>305966.69999999995</v>
      </c>
      <c r="AW33" s="395">
        <f t="shared" si="183"/>
        <v>361040.70599999995</v>
      </c>
      <c r="AX33" s="159"/>
      <c r="AY33" s="159">
        <f>IFERROR(SUMIFS('PO Tracker'!$J$44:$J$1433,'PO Tracker'!$K$44:$K$1433,$AU$6,'PO Tracker'!$L$44:$L$1433,'Capex breakup'!$B33),0)</f>
        <v>0</v>
      </c>
      <c r="AZ33" s="605">
        <f t="shared" si="184"/>
        <v>0</v>
      </c>
      <c r="BA33" s="118"/>
      <c r="BB33" s="151">
        <f>294565.76+45000</f>
        <v>339565.76</v>
      </c>
      <c r="BC33" s="151">
        <f t="shared" si="185"/>
        <v>287767.59322033898</v>
      </c>
      <c r="BD33" s="151">
        <f>BC33/BC2</f>
        <v>461.10689850714488</v>
      </c>
      <c r="BE33" s="159">
        <v>300</v>
      </c>
      <c r="BF33" s="395">
        <f t="shared" si="186"/>
        <v>233212.82399999996</v>
      </c>
      <c r="BG33" s="395">
        <f t="shared" si="187"/>
        <v>275191.13231999992</v>
      </c>
      <c r="BH33" s="159"/>
      <c r="BI33" s="159">
        <f>IFERROR(SUMIFS('PO Tracker'!$J$44:$J$1433,'PO Tracker'!$K$44:$K$1433,$BE$6,'PO Tracker'!$L$44:$L$1433,'Capex breakup'!$B33),0)</f>
        <v>0</v>
      </c>
      <c r="BJ33" s="605">
        <f t="shared" si="188"/>
        <v>0</v>
      </c>
      <c r="BK33" s="118"/>
      <c r="BL33" s="151"/>
      <c r="BM33" s="151"/>
      <c r="BN33" s="151"/>
      <c r="BO33" s="159"/>
      <c r="BP33" s="395">
        <f t="shared" si="189"/>
        <v>0</v>
      </c>
      <c r="BQ33" s="395">
        <f t="shared" si="190"/>
        <v>0</v>
      </c>
      <c r="BR33" s="159"/>
      <c r="BS33" s="159">
        <f>IFERROR(SUMIFS('PO Tracker'!$J$44:$J$1433,'PO Tracker'!$K$44:$K$1433,$BO$6,'PO Tracker'!$L$44:$L$1433,'Capex breakup'!$B33),0)</f>
        <v>0</v>
      </c>
      <c r="BT33" s="605" t="str">
        <f t="shared" si="191"/>
        <v/>
      </c>
      <c r="BU33" s="118"/>
      <c r="BV33" s="151">
        <f>115540.88+45000.48</f>
        <v>160541.36000000002</v>
      </c>
      <c r="BW33" s="151">
        <f t="shared" si="192"/>
        <v>136052.00000000003</v>
      </c>
      <c r="BX33" s="151">
        <f>BW33/BW2</f>
        <v>138.9703779366701</v>
      </c>
      <c r="BY33" s="159">
        <v>300</v>
      </c>
      <c r="BZ33" s="395">
        <f t="shared" si="193"/>
        <v>111924.07199999999</v>
      </c>
      <c r="CA33" s="395">
        <f t="shared" si="194"/>
        <v>132070.40495999999</v>
      </c>
      <c r="CB33" s="159"/>
      <c r="CC33" s="159">
        <f>IFERROR(SUMIFS('PO Tracker'!$J$44:$J$1433,'PO Tracker'!$K$44:$K$1433,$BY$6,'PO Tracker'!$L$44:$L$1433,'Capex breakup'!$B33),0)</f>
        <v>101555.52</v>
      </c>
      <c r="CD33" s="605">
        <f t="shared" si="195"/>
        <v>0.7689498645117202</v>
      </c>
      <c r="CE33" s="118"/>
      <c r="CF33" s="151">
        <v>124584.4</v>
      </c>
      <c r="CG33" s="151">
        <f t="shared" si="196"/>
        <v>105580</v>
      </c>
      <c r="CH33" s="151">
        <f>CG33/CG2</f>
        <v>316.52476316105049</v>
      </c>
      <c r="CI33" s="159">
        <v>800</v>
      </c>
      <c r="CJ33" s="395">
        <f t="shared" si="197"/>
        <v>155001.59999999998</v>
      </c>
      <c r="CK33" s="395">
        <f t="shared" si="198"/>
        <v>182901.88799999998</v>
      </c>
      <c r="CL33" s="159"/>
      <c r="CM33" s="159">
        <f>IFERROR(SUMIFS('PO Tracker'!$J$44:$J$1433,'PO Tracker'!$K$44:$K$1433,$CI$6,'PO Tracker'!$L$44:$L$1433,'Capex breakup'!$B33),0)</f>
        <v>0</v>
      </c>
      <c r="CN33" s="605">
        <f t="shared" si="199"/>
        <v>0</v>
      </c>
      <c r="CO33" s="118"/>
      <c r="CP33" s="151"/>
      <c r="CQ33" s="151">
        <f t="shared" si="200"/>
        <v>0</v>
      </c>
      <c r="CR33" s="151"/>
      <c r="CS33" s="159"/>
      <c r="CT33" s="395">
        <f t="shared" si="201"/>
        <v>0</v>
      </c>
      <c r="CU33" s="395">
        <f t="shared" si="202"/>
        <v>0</v>
      </c>
      <c r="CV33" s="159"/>
      <c r="CW33" s="159">
        <f>IFERROR(SUMIFS('PO Tracker'!$J$44:$J$1433,'PO Tracker'!$K$44:$K$1433,$CS$6,'PO Tracker'!$L$44:$L$1433,'Capex breakup'!$B33),0)</f>
        <v>0</v>
      </c>
      <c r="CX33" s="605" t="str">
        <f t="shared" si="203"/>
        <v/>
      </c>
      <c r="CY33" s="118"/>
      <c r="CZ33" s="151">
        <v>124584.4</v>
      </c>
      <c r="DA33" s="151">
        <f t="shared" si="204"/>
        <v>105580</v>
      </c>
      <c r="DB33" s="151">
        <f>DA33/DA2</f>
        <v>316.52476316105049</v>
      </c>
      <c r="DC33" s="159">
        <v>500</v>
      </c>
      <c r="DD33" s="395">
        <f t="shared" si="205"/>
        <v>107639.99999999999</v>
      </c>
      <c r="DE33" s="395">
        <f t="shared" si="206"/>
        <v>127015.19999999998</v>
      </c>
      <c r="DF33" s="159"/>
      <c r="DG33" s="159">
        <f>IFERROR(SUMIFS('PO Tracker'!$J$44:$J$1433,'PO Tracker'!$K$44:$K$1433,$DC$6,'PO Tracker'!$L$44:$L$1433,'Capex breakup'!$B33),0)</f>
        <v>119534</v>
      </c>
      <c r="DH33" s="605">
        <f t="shared" si="207"/>
        <v>0.94109996283909336</v>
      </c>
      <c r="DI33" s="118"/>
      <c r="DJ33" s="151"/>
      <c r="DK33" s="151">
        <f t="shared" si="208"/>
        <v>0</v>
      </c>
      <c r="DL33" s="151">
        <f>DK33/DK2</f>
        <v>0</v>
      </c>
      <c r="DM33" s="159"/>
      <c r="DN33" s="395">
        <f t="shared" si="209"/>
        <v>0</v>
      </c>
      <c r="DO33" s="159">
        <f t="shared" si="210"/>
        <v>0</v>
      </c>
      <c r="DP33" s="159">
        <f>IFERROR(SUMIFS('PO Tracker'!$J$44:$J$1433,'PO Tracker'!$K$44:$K$1433,$DM$6,'PO Tracker'!$L$44:$L$1433,'Capex breakup'!$B33),0)</f>
        <v>0</v>
      </c>
      <c r="DQ33" s="605" t="str">
        <f t="shared" si="211"/>
        <v/>
      </c>
      <c r="DR33" s="118"/>
      <c r="DS33" s="151">
        <v>124584.4</v>
      </c>
      <c r="DT33" s="151">
        <f t="shared" si="212"/>
        <v>105580</v>
      </c>
      <c r="DU33" s="151">
        <f>DT33/DT2</f>
        <v>316.52476316105049</v>
      </c>
      <c r="DV33" s="159">
        <v>70</v>
      </c>
      <c r="DW33" s="395">
        <f>DV33*$DW$2</f>
        <v>91472.471999999994</v>
      </c>
      <c r="DX33" s="395">
        <f t="shared" si="213"/>
        <v>107937.51695999999</v>
      </c>
      <c r="DY33" s="159"/>
      <c r="DZ33" s="159">
        <f>IFERROR(SUMIFS('PO Tracker'!$J$44:$J$1433,'PO Tracker'!$K$44:$K$1433,$DV$6,'PO Tracker'!$L$44:$L$1433,'Capex breakup'!$B33),0)</f>
        <v>108324</v>
      </c>
      <c r="EA33" s="605">
        <f t="shared" si="214"/>
        <v>1.0035806182214033</v>
      </c>
      <c r="EB33" s="118"/>
      <c r="EC33" s="151">
        <v>124584.4</v>
      </c>
      <c r="ED33" s="151">
        <f t="shared" si="215"/>
        <v>105580</v>
      </c>
      <c r="EE33" s="151">
        <f>ED33/ED2</f>
        <v>316.52476316105049</v>
      </c>
      <c r="EF33" s="159">
        <v>320</v>
      </c>
      <c r="EG33" s="395">
        <f t="shared" si="216"/>
        <v>123105.71519999999</v>
      </c>
      <c r="EH33" s="395">
        <f t="shared" si="217"/>
        <v>145264.74393599998</v>
      </c>
      <c r="EI33" s="159"/>
      <c r="EJ33" s="159">
        <f>IFERROR(SUMIFS('PO Tracker'!$J$44:$J$1433,'PO Tracker'!$K$44:$K$1433,$EF$6,'PO Tracker'!$L$44:$L$1433,'Capex breakup'!$B33),0)</f>
        <v>122720</v>
      </c>
      <c r="EK33" s="605">
        <f t="shared" si="218"/>
        <v>0.84480237031269867</v>
      </c>
      <c r="EL33" s="118"/>
      <c r="EM33" s="151"/>
      <c r="EN33" s="151"/>
      <c r="EO33" s="151"/>
      <c r="EP33" s="159">
        <v>300</v>
      </c>
      <c r="EQ33" s="395">
        <f t="shared" si="219"/>
        <v>115411.60799999999</v>
      </c>
      <c r="ER33" s="395">
        <f t="shared" si="220"/>
        <v>136185.69743999999</v>
      </c>
      <c r="ES33" s="159"/>
      <c r="ET33" s="159">
        <f>IFERROR(SUMIFS('PO Tracker'!$J$44:$J$1433,'PO Tracker'!$K$44:$K$1433,$EP$6,'PO Tracker'!$L$44:$L$1433,'Capex breakup'!$B33),0)</f>
        <v>60180</v>
      </c>
      <c r="EU33" s="605">
        <f t="shared" si="221"/>
        <v>0.44189662447125772</v>
      </c>
      <c r="EV33" s="118"/>
      <c r="EW33" s="151"/>
      <c r="EX33" s="151"/>
      <c r="EY33" s="151"/>
      <c r="EZ33" s="159">
        <v>150</v>
      </c>
      <c r="FA33" s="395">
        <f t="shared" si="222"/>
        <v>192121.25399999996</v>
      </c>
      <c r="FB33" s="395">
        <f t="shared" si="223"/>
        <v>226703.07971999995</v>
      </c>
      <c r="FC33" s="159"/>
      <c r="FD33" s="159">
        <f>IFERROR(SUMIFS('PO Tracker'!$J$44:$J$1433,'PO Tracker'!$K$44:$K$1433,$EZ$6,'PO Tracker'!$L$44:$L$1433,'Capex breakup'!$B33),0)</f>
        <v>178681.5</v>
      </c>
      <c r="FE33" s="605">
        <f t="shared" si="224"/>
        <v>0.78817411841378071</v>
      </c>
      <c r="FF33" s="118"/>
      <c r="FG33" s="318">
        <v>935055.82239999995</v>
      </c>
      <c r="FH33" s="151">
        <f t="shared" si="225"/>
        <v>834871.2699999999</v>
      </c>
      <c r="FI33" s="133">
        <f t="shared" si="226"/>
        <v>316.69496623928381</v>
      </c>
      <c r="FJ33" s="159">
        <v>300</v>
      </c>
      <c r="FK33" s="395">
        <f t="shared" si="227"/>
        <v>786213.32400000002</v>
      </c>
      <c r="FL33" s="159">
        <f t="shared" si="228"/>
        <v>927731.72231999994</v>
      </c>
      <c r="FM33" s="684"/>
      <c r="FN33" s="159">
        <f>FK33</f>
        <v>786213.32400000002</v>
      </c>
      <c r="FO33" s="685">
        <f t="shared" si="229"/>
        <v>927731.72231999994</v>
      </c>
      <c r="FP33" s="684"/>
      <c r="FQ33" s="159">
        <f t="shared" si="230"/>
        <v>0</v>
      </c>
      <c r="FR33" s="685">
        <f t="shared" si="231"/>
        <v>0</v>
      </c>
      <c r="FS33" s="662">
        <f>IFERROR(SUMIFS('PO Tracker'!$J$44:$J$1433,'PO Tracker'!$K$44:$K$1433,$FJ$6,'PO Tracker'!$L$44:$L$1433,'Capex breakup'!$B33),0)</f>
        <v>0</v>
      </c>
      <c r="FT33" s="736" t="str">
        <f t="shared" si="232"/>
        <v/>
      </c>
      <c r="FU33" s="709"/>
      <c r="FV33" s="151">
        <v>124584.4</v>
      </c>
      <c r="FW33" s="151">
        <f t="shared" si="233"/>
        <v>105580</v>
      </c>
      <c r="FX33" s="151">
        <f>FW33/FW2</f>
        <v>316.52476316105049</v>
      </c>
      <c r="FY33" s="159">
        <v>700</v>
      </c>
      <c r="FZ33" s="395">
        <f t="shared" si="234"/>
        <v>155819.66399999999</v>
      </c>
      <c r="GA33" s="395">
        <f t="shared" si="235"/>
        <v>183867.20351999998</v>
      </c>
      <c r="GB33" s="159"/>
      <c r="GC33" s="159">
        <f>IFERROR(SUMIFS('PO Tracker'!$J$44:$J$1433,'PO Tracker'!$K$44:$K$1433,$FY$6,'PO Tracker'!$L$44:$L$1433,'Capex breakup'!$B33),0)</f>
        <v>178652</v>
      </c>
      <c r="GD33" s="605">
        <f t="shared" si="236"/>
        <v>0.97163603176554159</v>
      </c>
      <c r="GE33" s="118"/>
      <c r="GF33" s="151"/>
      <c r="GG33" s="151">
        <f t="shared" si="237"/>
        <v>0</v>
      </c>
      <c r="GH33" s="151">
        <f>GG33/GG2</f>
        <v>0</v>
      </c>
      <c r="GI33" s="159">
        <v>650</v>
      </c>
      <c r="GJ33" s="395">
        <f t="shared" si="238"/>
        <v>97952.4</v>
      </c>
      <c r="GK33" s="395">
        <f t="shared" si="239"/>
        <v>115583.83199999998</v>
      </c>
      <c r="GL33" s="159"/>
      <c r="GM33" s="159">
        <f>IFERROR(SUMIFS('PO Tracker'!$J$44:$J$1433,'PO Tracker'!$K$44:$K$1433,$GI$6,'PO Tracker'!$L$44:$L$1433,'Capex breakup'!$B33),0)</f>
        <v>85255</v>
      </c>
      <c r="GN33" s="605">
        <f t="shared" si="240"/>
        <v>0.73760316235232637</v>
      </c>
      <c r="GO33" s="118"/>
      <c r="GP33" s="151"/>
      <c r="GQ33" s="151">
        <f t="shared" si="241"/>
        <v>0</v>
      </c>
      <c r="GR33" s="151">
        <f>GQ33/GQ2</f>
        <v>0</v>
      </c>
      <c r="GS33" s="159"/>
      <c r="GT33" s="395">
        <v>0</v>
      </c>
      <c r="GU33" s="159">
        <v>0</v>
      </c>
      <c r="GV33" s="159">
        <f>IFERROR(SUMIFS('PO Tracker'!$J$44:$J$1433,'PO Tracker'!$K$44:$K$1433,$GS$6,'PO Tracker'!$L$44:$L$1433,'Capex breakup'!$B33),0)</f>
        <v>0</v>
      </c>
      <c r="GW33" s="605" t="str">
        <f t="shared" si="242"/>
        <v/>
      </c>
      <c r="GX33" s="118"/>
      <c r="GY33" s="151"/>
      <c r="GZ33" s="151"/>
      <c r="HA33" s="133"/>
      <c r="HB33" s="159">
        <v>400</v>
      </c>
      <c r="HC33" s="395">
        <f t="shared" si="243"/>
        <v>1335424.8960000002</v>
      </c>
      <c r="HD33" s="159">
        <f t="shared" si="244"/>
        <v>1575801.3772800001</v>
      </c>
      <c r="HE33" s="159"/>
      <c r="HF33" s="159">
        <f>IFERROR(SUMIFS('PO Tracker'!$J$44:$J$1433,'PO Tracker'!$K$44:$K$1433,$HB$6,'PO Tracker'!$L$44:$L$1433,'Capex breakup'!$B33),0)</f>
        <v>1451134.5</v>
      </c>
      <c r="HG33" s="605">
        <f t="shared" si="245"/>
        <v>0.92088668084857983</v>
      </c>
      <c r="HH33" s="118"/>
      <c r="HI33" s="151"/>
      <c r="HJ33" s="151"/>
      <c r="HK33" s="133"/>
      <c r="HL33" s="159">
        <v>500</v>
      </c>
      <c r="HM33" s="395">
        <f t="shared" si="246"/>
        <v>1698021</v>
      </c>
      <c r="HN33" s="159">
        <f t="shared" si="247"/>
        <v>2003664.7799999998</v>
      </c>
      <c r="HO33" s="159">
        <f>IFERROR(SUMIFS('PO Tracker'!$J$44:$J$1433,'PO Tracker'!$K$44:$K$1433,$HL$6,'PO Tracker'!$L$44:$L$1433,'Capex breakup'!$B33),0)</f>
        <v>0</v>
      </c>
      <c r="HP33" s="605">
        <f t="shared" si="248"/>
        <v>0</v>
      </c>
      <c r="HQ33" s="118"/>
      <c r="HR33" s="364"/>
      <c r="HS33" s="364"/>
      <c r="HT33" s="364"/>
      <c r="HU33" s="364"/>
    </row>
    <row r="34" spans="1:229">
      <c r="A34" s="18">
        <v>5</v>
      </c>
      <c r="B34" s="19" t="s">
        <v>91</v>
      </c>
      <c r="C34" s="118"/>
      <c r="D34" s="151">
        <v>0</v>
      </c>
      <c r="E34" s="151">
        <f t="shared" si="164"/>
        <v>0</v>
      </c>
      <c r="F34" s="151">
        <f>E34/E2</f>
        <v>0</v>
      </c>
      <c r="G34" s="159">
        <v>0</v>
      </c>
      <c r="H34" s="395">
        <f t="shared" si="165"/>
        <v>0</v>
      </c>
      <c r="I34" s="395">
        <f t="shared" si="166"/>
        <v>0</v>
      </c>
      <c r="J34" s="159"/>
      <c r="K34" s="159">
        <f>IFERROR(SUMIFS('PO Tracker'!$J$44:$J$1433,'PO Tracker'!$K$44:$K$1433,$G$6,'PO Tracker'!$L$44:$L$1433,'Capex breakup'!$B34),0)</f>
        <v>0</v>
      </c>
      <c r="L34" s="605" t="str">
        <f t="shared" si="167"/>
        <v/>
      </c>
      <c r="M34" s="118"/>
      <c r="N34" s="151">
        <v>0</v>
      </c>
      <c r="O34" s="151">
        <f t="shared" si="168"/>
        <v>0</v>
      </c>
      <c r="P34" s="151">
        <f>O34/O2</f>
        <v>0</v>
      </c>
      <c r="Q34" s="159">
        <v>0</v>
      </c>
      <c r="R34" s="395">
        <f t="shared" si="169"/>
        <v>0</v>
      </c>
      <c r="S34" s="395">
        <f t="shared" si="170"/>
        <v>0</v>
      </c>
      <c r="T34" s="159"/>
      <c r="U34" s="159">
        <f>IFERROR(SUMIFS('PO Tracker'!$J$44:$J$1433,'PO Tracker'!$K$44:$K$1433,$Q$6,'PO Tracker'!$L$44:$L$1433,'Capex breakup'!$B34),0)</f>
        <v>0</v>
      </c>
      <c r="V34" s="605" t="str">
        <f t="shared" si="171"/>
        <v/>
      </c>
      <c r="W34" s="118"/>
      <c r="X34" s="151"/>
      <c r="Y34" s="151">
        <f t="shared" si="172"/>
        <v>0</v>
      </c>
      <c r="Z34" s="133">
        <f t="shared" si="173"/>
        <v>0</v>
      </c>
      <c r="AA34" s="159">
        <v>0</v>
      </c>
      <c r="AB34" s="395">
        <v>0</v>
      </c>
      <c r="AC34" s="395">
        <f t="shared" si="174"/>
        <v>0</v>
      </c>
      <c r="AD34" s="159"/>
      <c r="AE34" s="159">
        <f>IFERROR(SUMIFS('PO Tracker'!$J$44:$J$1433,'PO Tracker'!$K$44:$K$1433,$AA$6,'PO Tracker'!$L$44:$L$1433,'Capex breakup'!$B34),0)</f>
        <v>0</v>
      </c>
      <c r="AF34" s="605" t="str">
        <f t="shared" si="175"/>
        <v/>
      </c>
      <c r="AG34" s="118"/>
      <c r="AH34" s="151">
        <v>0</v>
      </c>
      <c r="AI34" s="151">
        <f t="shared" si="176"/>
        <v>0</v>
      </c>
      <c r="AJ34" s="151">
        <f>AI34/AI2</f>
        <v>0</v>
      </c>
      <c r="AK34" s="159">
        <v>0</v>
      </c>
      <c r="AL34" s="395">
        <f t="shared" si="177"/>
        <v>0</v>
      </c>
      <c r="AM34" s="395">
        <f t="shared" si="178"/>
        <v>0</v>
      </c>
      <c r="AN34" s="159"/>
      <c r="AO34" s="159">
        <f>IFERROR(SUMIFS('PO Tracker'!$J$44:$J$1433,'PO Tracker'!$K$44:$K$1433,$AK$6,'PO Tracker'!$L$44:$L$1433,'Capex breakup'!$B34),0)</f>
        <v>0</v>
      </c>
      <c r="AP34" s="605" t="str">
        <f t="shared" si="179"/>
        <v/>
      </c>
      <c r="AQ34" s="118"/>
      <c r="AR34" s="287">
        <v>35400</v>
      </c>
      <c r="AS34" s="287">
        <f t="shared" si="180"/>
        <v>30000</v>
      </c>
      <c r="AT34" s="288">
        <f t="shared" si="181"/>
        <v>27.604990982369614</v>
      </c>
      <c r="AU34" s="159">
        <v>0</v>
      </c>
      <c r="AV34" s="395">
        <f t="shared" si="182"/>
        <v>0</v>
      </c>
      <c r="AW34" s="395">
        <f t="shared" si="183"/>
        <v>0</v>
      </c>
      <c r="AX34" s="159"/>
      <c r="AY34" s="159">
        <f>IFERROR(SUMIFS('PO Tracker'!$J$44:$J$1433,'PO Tracker'!$K$44:$K$1433,$AU$6,'PO Tracker'!$L$44:$L$1433,'Capex breakup'!$B34),0)</f>
        <v>0</v>
      </c>
      <c r="AZ34" s="605" t="str">
        <f t="shared" si="184"/>
        <v/>
      </c>
      <c r="BA34" s="118"/>
      <c r="BB34" s="151">
        <v>23600</v>
      </c>
      <c r="BC34" s="151">
        <f t="shared" si="185"/>
        <v>20000</v>
      </c>
      <c r="BD34" s="151">
        <f>BC34/BC2</f>
        <v>32.047173439302654</v>
      </c>
      <c r="BE34" s="159">
        <v>0</v>
      </c>
      <c r="BF34" s="395">
        <f t="shared" si="186"/>
        <v>0</v>
      </c>
      <c r="BG34" s="395">
        <f t="shared" si="187"/>
        <v>0</v>
      </c>
      <c r="BH34" s="159"/>
      <c r="BI34" s="159">
        <f>IFERROR(SUMIFS('PO Tracker'!$J$44:$J$1433,'PO Tracker'!$K$44:$K$1433,$BE$6,'PO Tracker'!$L$44:$L$1433,'Capex breakup'!$B34),0)</f>
        <v>0</v>
      </c>
      <c r="BJ34" s="605" t="str">
        <f t="shared" si="188"/>
        <v/>
      </c>
      <c r="BK34" s="118"/>
      <c r="BL34" s="151"/>
      <c r="BM34" s="151"/>
      <c r="BN34" s="151"/>
      <c r="BO34" s="159"/>
      <c r="BP34" s="395">
        <f t="shared" si="189"/>
        <v>0</v>
      </c>
      <c r="BQ34" s="395">
        <f t="shared" si="190"/>
        <v>0</v>
      </c>
      <c r="BR34" s="159"/>
      <c r="BS34" s="159">
        <f>IFERROR(SUMIFS('PO Tracker'!$J$44:$J$1433,'PO Tracker'!$K$44:$K$1433,$BO$6,'PO Tracker'!$L$44:$L$1433,'Capex breakup'!$B34),0)</f>
        <v>0</v>
      </c>
      <c r="BT34" s="605" t="str">
        <f t="shared" si="191"/>
        <v/>
      </c>
      <c r="BU34" s="118"/>
      <c r="BV34" s="151"/>
      <c r="BW34" s="151">
        <f t="shared" si="192"/>
        <v>0</v>
      </c>
      <c r="BX34" s="151">
        <f>BW34/BW2</f>
        <v>0</v>
      </c>
      <c r="BY34" s="159">
        <v>0</v>
      </c>
      <c r="BZ34" s="395">
        <f t="shared" si="193"/>
        <v>0</v>
      </c>
      <c r="CA34" s="395">
        <f t="shared" si="194"/>
        <v>0</v>
      </c>
      <c r="CB34" s="159"/>
      <c r="CC34" s="159">
        <f>IFERROR(SUMIFS('PO Tracker'!$J$44:$J$1433,'PO Tracker'!$K$44:$K$1433,$BY$6,'PO Tracker'!$L$44:$L$1433,'Capex breakup'!$B34),0)</f>
        <v>0</v>
      </c>
      <c r="CD34" s="605" t="str">
        <f t="shared" si="195"/>
        <v/>
      </c>
      <c r="CE34" s="118"/>
      <c r="CF34" s="151"/>
      <c r="CG34" s="151">
        <f t="shared" si="196"/>
        <v>0</v>
      </c>
      <c r="CH34" s="151">
        <f>CG34/CG2</f>
        <v>0</v>
      </c>
      <c r="CI34" s="159">
        <v>0</v>
      </c>
      <c r="CJ34" s="395">
        <f t="shared" si="197"/>
        <v>0</v>
      </c>
      <c r="CK34" s="395">
        <f t="shared" si="198"/>
        <v>0</v>
      </c>
      <c r="CL34" s="159"/>
      <c r="CM34" s="159">
        <f>IFERROR(SUMIFS('PO Tracker'!$J$44:$J$1433,'PO Tracker'!$K$44:$K$1433,$CI$6,'PO Tracker'!$L$44:$L$1433,'Capex breakup'!$B34),0)</f>
        <v>0</v>
      </c>
      <c r="CN34" s="605" t="str">
        <f t="shared" si="199"/>
        <v/>
      </c>
      <c r="CO34" s="118"/>
      <c r="CP34" s="151"/>
      <c r="CQ34" s="151">
        <f t="shared" si="200"/>
        <v>0</v>
      </c>
      <c r="CR34" s="151"/>
      <c r="CS34" s="159"/>
      <c r="CT34" s="395">
        <f t="shared" si="201"/>
        <v>0</v>
      </c>
      <c r="CU34" s="395">
        <f t="shared" si="202"/>
        <v>0</v>
      </c>
      <c r="CV34" s="159"/>
      <c r="CW34" s="159">
        <f>IFERROR(SUMIFS('PO Tracker'!$J$44:$J$1433,'PO Tracker'!$K$44:$K$1433,$CS$6,'PO Tracker'!$L$44:$L$1433,'Capex breakup'!$B34),0)</f>
        <v>0</v>
      </c>
      <c r="CX34" s="605" t="str">
        <f t="shared" si="203"/>
        <v/>
      </c>
      <c r="CY34" s="118"/>
      <c r="CZ34" s="151"/>
      <c r="DA34" s="151">
        <f t="shared" si="204"/>
        <v>0</v>
      </c>
      <c r="DB34" s="151">
        <f>DA34/DA2</f>
        <v>0</v>
      </c>
      <c r="DC34" s="159">
        <v>0</v>
      </c>
      <c r="DD34" s="395">
        <f t="shared" si="205"/>
        <v>0</v>
      </c>
      <c r="DE34" s="395">
        <f t="shared" si="206"/>
        <v>0</v>
      </c>
      <c r="DF34" s="159"/>
      <c r="DG34" s="159">
        <f>IFERROR(SUMIFS('PO Tracker'!$J$44:$J$1433,'PO Tracker'!$K$44:$K$1433,$DC$6,'PO Tracker'!$L$44:$L$1433,'Capex breakup'!$B34),0)</f>
        <v>0</v>
      </c>
      <c r="DH34" s="605" t="str">
        <f t="shared" si="207"/>
        <v/>
      </c>
      <c r="DI34" s="118"/>
      <c r="DJ34" s="151"/>
      <c r="DK34" s="151">
        <f t="shared" si="208"/>
        <v>0</v>
      </c>
      <c r="DL34" s="151">
        <f>DK34/DK2</f>
        <v>0</v>
      </c>
      <c r="DM34" s="159"/>
      <c r="DN34" s="395">
        <f t="shared" si="209"/>
        <v>0</v>
      </c>
      <c r="DO34" s="159">
        <f t="shared" si="210"/>
        <v>0</v>
      </c>
      <c r="DP34" s="159">
        <f>IFERROR(SUMIFS('PO Tracker'!$J$44:$J$1433,'PO Tracker'!$K$44:$K$1433,$DM$6,'PO Tracker'!$L$44:$L$1433,'Capex breakup'!$B34),0)</f>
        <v>0</v>
      </c>
      <c r="DQ34" s="605" t="str">
        <f t="shared" si="211"/>
        <v/>
      </c>
      <c r="DR34" s="118"/>
      <c r="DS34" s="151"/>
      <c r="DT34" s="151">
        <f t="shared" si="212"/>
        <v>0</v>
      </c>
      <c r="DU34" s="151">
        <f>DT34/DT2</f>
        <v>0</v>
      </c>
      <c r="DV34" s="159">
        <v>0</v>
      </c>
      <c r="DW34" s="395">
        <v>0</v>
      </c>
      <c r="DX34" s="395">
        <f t="shared" si="213"/>
        <v>0</v>
      </c>
      <c r="DY34" s="159"/>
      <c r="DZ34" s="159">
        <f>IFERROR(SUMIFS('PO Tracker'!$J$44:$J$1433,'PO Tracker'!$K$44:$K$1433,$DV$6,'PO Tracker'!$L$44:$L$1433,'Capex breakup'!$B34),0)</f>
        <v>0</v>
      </c>
      <c r="EA34" s="605" t="str">
        <f t="shared" si="214"/>
        <v/>
      </c>
      <c r="EB34" s="118"/>
      <c r="EC34" s="151"/>
      <c r="ED34" s="151">
        <f t="shared" si="215"/>
        <v>0</v>
      </c>
      <c r="EE34" s="151">
        <f>ED34/ED2</f>
        <v>0</v>
      </c>
      <c r="EF34" s="159">
        <v>0</v>
      </c>
      <c r="EG34" s="395">
        <f t="shared" si="216"/>
        <v>0</v>
      </c>
      <c r="EH34" s="395">
        <f t="shared" si="217"/>
        <v>0</v>
      </c>
      <c r="EI34" s="159"/>
      <c r="EJ34" s="159">
        <f>IFERROR(SUMIFS('PO Tracker'!$J$44:$J$1433,'PO Tracker'!$K$44:$K$1433,$EF$6,'PO Tracker'!$L$44:$L$1433,'Capex breakup'!$B34),0)</f>
        <v>0</v>
      </c>
      <c r="EK34" s="605" t="str">
        <f t="shared" si="218"/>
        <v/>
      </c>
      <c r="EL34" s="118"/>
      <c r="EM34" s="151"/>
      <c r="EN34" s="151"/>
      <c r="EO34" s="151"/>
      <c r="EP34" s="159">
        <v>0</v>
      </c>
      <c r="EQ34" s="395">
        <f t="shared" si="219"/>
        <v>0</v>
      </c>
      <c r="ER34" s="395">
        <f t="shared" si="220"/>
        <v>0</v>
      </c>
      <c r="ES34" s="159"/>
      <c r="ET34" s="159">
        <f>IFERROR(SUMIFS('PO Tracker'!$J$44:$J$1433,'PO Tracker'!$K$44:$K$1433,$EP$6,'PO Tracker'!$L$44:$L$1433,'Capex breakup'!$B34),0)</f>
        <v>0</v>
      </c>
      <c r="EU34" s="605" t="str">
        <f t="shared" si="221"/>
        <v/>
      </c>
      <c r="EV34" s="118"/>
      <c r="EW34" s="151"/>
      <c r="EX34" s="151"/>
      <c r="EY34" s="151"/>
      <c r="EZ34" s="159">
        <v>0</v>
      </c>
      <c r="FA34" s="395">
        <f t="shared" si="222"/>
        <v>0</v>
      </c>
      <c r="FB34" s="395">
        <f t="shared" si="223"/>
        <v>0</v>
      </c>
      <c r="FC34" s="159"/>
      <c r="FD34" s="159">
        <f>IFERROR(SUMIFS('PO Tracker'!$J$44:$J$1433,'PO Tracker'!$K$44:$K$1433,$EZ$6,'PO Tracker'!$L$44:$L$1433,'Capex breakup'!$B34),0)</f>
        <v>0</v>
      </c>
      <c r="FE34" s="605" t="str">
        <f t="shared" si="224"/>
        <v/>
      </c>
      <c r="FF34" s="118"/>
      <c r="FG34" s="318"/>
      <c r="FH34" s="151">
        <f t="shared" si="225"/>
        <v>0</v>
      </c>
      <c r="FI34" s="133">
        <f t="shared" si="226"/>
        <v>0</v>
      </c>
      <c r="FJ34" s="159">
        <f>+FI34</f>
        <v>0</v>
      </c>
      <c r="FK34" s="395">
        <f t="shared" si="227"/>
        <v>0</v>
      </c>
      <c r="FL34" s="159">
        <f t="shared" si="228"/>
        <v>0</v>
      </c>
      <c r="FM34" s="684"/>
      <c r="FN34" s="159">
        <v>0</v>
      </c>
      <c r="FO34" s="685">
        <f t="shared" si="229"/>
        <v>0</v>
      </c>
      <c r="FP34" s="684"/>
      <c r="FQ34" s="159">
        <f t="shared" si="230"/>
        <v>0</v>
      </c>
      <c r="FR34" s="685">
        <f t="shared" si="231"/>
        <v>0</v>
      </c>
      <c r="FS34" s="662">
        <f>IFERROR(SUMIFS('PO Tracker'!$J$44:$J$1433,'PO Tracker'!$K$44:$K$1433,$FJ$6,'PO Tracker'!$L$44:$L$1433,'Capex breakup'!$B34),0)</f>
        <v>0</v>
      </c>
      <c r="FT34" s="736" t="str">
        <f t="shared" si="232"/>
        <v/>
      </c>
      <c r="FU34" s="709"/>
      <c r="FV34" s="151"/>
      <c r="FW34" s="151">
        <f t="shared" si="233"/>
        <v>0</v>
      </c>
      <c r="FX34" s="151">
        <f>FW34/FW2</f>
        <v>0</v>
      </c>
      <c r="FY34" s="159">
        <v>0</v>
      </c>
      <c r="FZ34" s="395">
        <f t="shared" si="234"/>
        <v>0</v>
      </c>
      <c r="GA34" s="395">
        <f t="shared" si="235"/>
        <v>0</v>
      </c>
      <c r="GB34" s="159"/>
      <c r="GC34" s="159">
        <f>IFERROR(SUMIFS('PO Tracker'!$J$44:$J$1433,'PO Tracker'!$K$44:$K$1433,$FY$6,'PO Tracker'!$L$44:$L$1433,'Capex breakup'!$B34),0)</f>
        <v>0</v>
      </c>
      <c r="GD34" s="605" t="str">
        <f t="shared" si="236"/>
        <v/>
      </c>
      <c r="GE34" s="118"/>
      <c r="GF34" s="151"/>
      <c r="GG34" s="151">
        <f t="shared" si="237"/>
        <v>0</v>
      </c>
      <c r="GH34" s="151">
        <f>GG34/GG2</f>
        <v>0</v>
      </c>
      <c r="GI34" s="159"/>
      <c r="GJ34" s="395">
        <f t="shared" si="238"/>
        <v>0</v>
      </c>
      <c r="GK34" s="395">
        <f t="shared" si="239"/>
        <v>0</v>
      </c>
      <c r="GL34" s="159"/>
      <c r="GM34" s="159">
        <f>IFERROR(SUMIFS('PO Tracker'!$J$44:$J$1433,'PO Tracker'!$K$44:$K$1433,$GI$6,'PO Tracker'!$L$44:$L$1433,'Capex breakup'!$B34),0)</f>
        <v>0</v>
      </c>
      <c r="GN34" s="605" t="str">
        <f t="shared" si="240"/>
        <v/>
      </c>
      <c r="GO34" s="118"/>
      <c r="GP34" s="151"/>
      <c r="GQ34" s="151">
        <f t="shared" si="241"/>
        <v>0</v>
      </c>
      <c r="GR34" s="151">
        <f>GQ34/GQ2</f>
        <v>0</v>
      </c>
      <c r="GS34" s="159"/>
      <c r="GT34" s="395">
        <v>0</v>
      </c>
      <c r="GU34" s="159">
        <v>0</v>
      </c>
      <c r="GV34" s="159">
        <f>IFERROR(SUMIFS('PO Tracker'!$J$44:$J$1433,'PO Tracker'!$K$44:$K$1433,$GS$6,'PO Tracker'!$L$44:$L$1433,'Capex breakup'!$B34),0)</f>
        <v>0</v>
      </c>
      <c r="GW34" s="605" t="str">
        <f t="shared" si="242"/>
        <v/>
      </c>
      <c r="GX34" s="118"/>
      <c r="GY34" s="151"/>
      <c r="GZ34" s="151"/>
      <c r="HA34" s="133"/>
      <c r="HB34" s="159">
        <v>0</v>
      </c>
      <c r="HC34" s="395">
        <f t="shared" si="243"/>
        <v>0</v>
      </c>
      <c r="HD34" s="159">
        <f t="shared" si="244"/>
        <v>0</v>
      </c>
      <c r="HE34" s="159"/>
      <c r="HF34" s="159">
        <f>IFERROR(SUMIFS('PO Tracker'!$J$44:$J$1433,'PO Tracker'!$K$44:$K$1433,$HB$6,'PO Tracker'!$L$44:$L$1433,'Capex breakup'!$B34),0)</f>
        <v>0</v>
      </c>
      <c r="HG34" s="605" t="str">
        <f t="shared" si="245"/>
        <v/>
      </c>
      <c r="HH34" s="118"/>
      <c r="HI34" s="151"/>
      <c r="HJ34" s="151"/>
      <c r="HK34" s="133"/>
      <c r="HL34" s="159">
        <v>0</v>
      </c>
      <c r="HM34" s="395">
        <f t="shared" si="246"/>
        <v>0</v>
      </c>
      <c r="HN34" s="159">
        <f t="shared" si="247"/>
        <v>0</v>
      </c>
      <c r="HO34" s="159">
        <f>IFERROR(SUMIFS('PO Tracker'!$J$44:$J$1433,'PO Tracker'!$K$44:$K$1433,$HL$6,'PO Tracker'!$L$44:$L$1433,'Capex breakup'!$B34),0)</f>
        <v>0</v>
      </c>
      <c r="HP34" s="605" t="str">
        <f t="shared" si="248"/>
        <v/>
      </c>
      <c r="HQ34" s="118"/>
      <c r="HR34" s="364"/>
      <c r="HS34" s="364"/>
      <c r="HT34" s="364"/>
      <c r="HU34" s="364"/>
    </row>
    <row r="35" spans="1:229">
      <c r="A35" s="18">
        <v>6</v>
      </c>
      <c r="B35" s="19" t="s">
        <v>35</v>
      </c>
      <c r="C35" s="118"/>
      <c r="D35" s="151">
        <v>562823.76</v>
      </c>
      <c r="E35" s="151">
        <f t="shared" si="164"/>
        <v>476969.28813559323</v>
      </c>
      <c r="F35" s="151">
        <f>E35/E2</f>
        <v>1927.3043806998273</v>
      </c>
      <c r="G35" s="159">
        <v>1400</v>
      </c>
      <c r="H35" s="395">
        <f t="shared" si="165"/>
        <v>614387.59199999995</v>
      </c>
      <c r="I35" s="395">
        <f t="shared" si="166"/>
        <v>724977.35855999985</v>
      </c>
      <c r="J35" s="159"/>
      <c r="K35" s="159">
        <f>IFERROR(SUMIFS('PO Tracker'!$J$44:$J$1433,'PO Tracker'!$K$44:$K$1433,$G$6,'PO Tracker'!$L$44:$L$1433,'Capex breakup'!$B35),0)</f>
        <v>490813.92</v>
      </c>
      <c r="L35" s="605">
        <f t="shared" si="167"/>
        <v>0.67700585984490402</v>
      </c>
      <c r="M35" s="118"/>
      <c r="N35" s="151">
        <v>562823.76</v>
      </c>
      <c r="O35" s="151">
        <f t="shared" si="168"/>
        <v>476969.28813559323</v>
      </c>
      <c r="P35" s="151">
        <f>O35/O2</f>
        <v>1927.3043806998273</v>
      </c>
      <c r="Q35" s="159">
        <v>700</v>
      </c>
      <c r="R35" s="395">
        <f t="shared" si="169"/>
        <v>711511.16399999999</v>
      </c>
      <c r="S35" s="395">
        <f t="shared" si="170"/>
        <v>839583.17351999995</v>
      </c>
      <c r="T35" s="159"/>
      <c r="U35" s="159">
        <f>IFERROR(SUMIFS('PO Tracker'!$J$44:$J$1433,'PO Tracker'!$K$44:$K$1433,$Q$6,'PO Tracker'!$L$44:$L$1433,'Capex breakup'!$B35),0)</f>
        <v>0</v>
      </c>
      <c r="V35" s="605">
        <f t="shared" si="171"/>
        <v>0</v>
      </c>
      <c r="W35" s="118"/>
      <c r="X35" s="151">
        <v>3670559.2</v>
      </c>
      <c r="Y35" s="151">
        <f t="shared" si="172"/>
        <v>3277285</v>
      </c>
      <c r="Z35" s="133">
        <f t="shared" si="173"/>
        <v>1243.1852666717245</v>
      </c>
      <c r="AA35" s="159">
        <v>1000</v>
      </c>
      <c r="AB35" s="395">
        <f>AA35*$AB$2</f>
        <v>1872936</v>
      </c>
      <c r="AC35" s="395">
        <f t="shared" si="174"/>
        <v>2210064.48</v>
      </c>
      <c r="AD35" s="159"/>
      <c r="AE35" s="159">
        <f>IFERROR(SUMIFS('PO Tracker'!$J$44:$J$1433,'PO Tracker'!$K$44:$K$1433,$AA$6,'PO Tracker'!$L$44:$L$1433,'Capex breakup'!$B35),0)</f>
        <v>1354976.3</v>
      </c>
      <c r="AF35" s="605">
        <f t="shared" si="175"/>
        <v>0.61309356005757809</v>
      </c>
      <c r="AG35" s="118"/>
      <c r="AH35" s="151">
        <v>562823.76</v>
      </c>
      <c r="AI35" s="151">
        <f t="shared" si="176"/>
        <v>476969.28813559323</v>
      </c>
      <c r="AJ35" s="151">
        <f>AI35/AI2</f>
        <v>1927.3043806998273</v>
      </c>
      <c r="AK35" s="159">
        <v>3000</v>
      </c>
      <c r="AL35" s="395">
        <f t="shared" si="177"/>
        <v>1215470.8799999999</v>
      </c>
      <c r="AM35" s="395">
        <f t="shared" si="178"/>
        <v>1434255.6383999998</v>
      </c>
      <c r="AN35" s="159"/>
      <c r="AO35" s="159">
        <f>IFERROR(SUMIFS('PO Tracker'!$J$44:$J$1433,'PO Tracker'!$K$44:$K$1433,$AK$6,'PO Tracker'!$L$44:$L$1433,'Capex breakup'!$B35),0)</f>
        <v>997896.5</v>
      </c>
      <c r="AP35" s="605">
        <f t="shared" si="179"/>
        <v>0.69575916125608872</v>
      </c>
      <c r="AQ35" s="118"/>
      <c r="AR35" s="287">
        <v>2244159.4</v>
      </c>
      <c r="AS35" s="287">
        <f t="shared" si="180"/>
        <v>1901830</v>
      </c>
      <c r="AT35" s="288">
        <f t="shared" si="181"/>
        <v>1750</v>
      </c>
      <c r="AU35" s="159">
        <v>1900</v>
      </c>
      <c r="AV35" s="395">
        <f t="shared" si="182"/>
        <v>1937789.0999999999</v>
      </c>
      <c r="AW35" s="395">
        <f t="shared" si="183"/>
        <v>2286591.1379999998</v>
      </c>
      <c r="AX35" s="159"/>
      <c r="AY35" s="159">
        <f>IFERROR(SUMIFS('PO Tracker'!$J$44:$J$1433,'PO Tracker'!$K$44:$K$1433,$AU$6,'PO Tracker'!$L$44:$L$1433,'Capex breakup'!$B35),0)</f>
        <v>0</v>
      </c>
      <c r="AZ35" s="605">
        <f t="shared" si="184"/>
        <v>0</v>
      </c>
      <c r="BA35" s="118"/>
      <c r="BB35" s="151">
        <v>1841036</v>
      </c>
      <c r="BC35" s="151">
        <f t="shared" si="185"/>
        <v>1560200</v>
      </c>
      <c r="BD35" s="151">
        <f>BC35/BC2</f>
        <v>2500</v>
      </c>
      <c r="BE35" s="159">
        <v>800</v>
      </c>
      <c r="BF35" s="395">
        <f t="shared" si="186"/>
        <v>621900.86399999994</v>
      </c>
      <c r="BG35" s="395">
        <f t="shared" si="187"/>
        <v>733843.01951999986</v>
      </c>
      <c r="BH35" s="159"/>
      <c r="BI35" s="159">
        <f>IFERROR(SUMIFS('PO Tracker'!$J$44:$J$1433,'PO Tracker'!$K$44:$K$1433,$BE$6,'PO Tracker'!$L$44:$L$1433,'Capex breakup'!$B35),0)</f>
        <v>0</v>
      </c>
      <c r="BJ35" s="605">
        <f t="shared" si="188"/>
        <v>0</v>
      </c>
      <c r="BK35" s="118"/>
      <c r="BL35" s="151"/>
      <c r="BM35" s="151"/>
      <c r="BN35" s="151"/>
      <c r="BO35" s="159">
        <v>800</v>
      </c>
      <c r="BP35" s="395">
        <f t="shared" si="189"/>
        <v>457426.9439999999</v>
      </c>
      <c r="BQ35" s="395">
        <f t="shared" si="190"/>
        <v>539763.79391999985</v>
      </c>
      <c r="BR35" s="159"/>
      <c r="BS35" s="159">
        <f>IFERROR(SUMIFS('PO Tracker'!$J$44:$J$1433,'PO Tracker'!$K$44:$K$1433,$BO$6,'PO Tracker'!$L$44:$L$1433,'Capex breakup'!$B35),0)</f>
        <v>0</v>
      </c>
      <c r="BT35" s="605">
        <f t="shared" si="191"/>
        <v>0</v>
      </c>
      <c r="BU35" s="118"/>
      <c r="BV35" s="151">
        <v>404393.07999999996</v>
      </c>
      <c r="BW35" s="151">
        <f t="shared" si="192"/>
        <v>342706</v>
      </c>
      <c r="BX35" s="151">
        <f>BW35/BW2</f>
        <v>350.05720122574053</v>
      </c>
      <c r="BY35" s="159">
        <v>1000</v>
      </c>
      <c r="BZ35" s="395">
        <f t="shared" si="193"/>
        <v>373080.23999999993</v>
      </c>
      <c r="CA35" s="395">
        <f t="shared" si="194"/>
        <v>440234.68319999991</v>
      </c>
      <c r="CB35" s="159"/>
      <c r="CC35" s="159">
        <f>IFERROR(SUMIFS('PO Tracker'!$J$44:$J$1433,'PO Tracker'!$K$44:$K$1433,$BY$6,'PO Tracker'!$L$44:$L$1433,'Capex breakup'!$B35),0)</f>
        <v>353015.17200000002</v>
      </c>
      <c r="CD35" s="605">
        <f t="shared" si="195"/>
        <v>0.80187950988773915</v>
      </c>
      <c r="CE35" s="118"/>
      <c r="CF35" s="151">
        <v>638597.12</v>
      </c>
      <c r="CG35" s="151">
        <f t="shared" si="196"/>
        <v>541184</v>
      </c>
      <c r="CH35" s="151">
        <f>CG35/CG2</f>
        <v>1622.448734860295</v>
      </c>
      <c r="CI35" s="159">
        <v>2600</v>
      </c>
      <c r="CJ35" s="395">
        <f t="shared" si="197"/>
        <v>503755.19999999995</v>
      </c>
      <c r="CK35" s="395">
        <f t="shared" si="198"/>
        <v>594431.13599999994</v>
      </c>
      <c r="CL35" s="159"/>
      <c r="CM35" s="159">
        <f>IFERROR(SUMIFS('PO Tracker'!$J$44:$J$1433,'PO Tracker'!$K$44:$K$1433,$CI$6,'PO Tracker'!$L$44:$L$1433,'Capex breakup'!$B35),0)</f>
        <v>0</v>
      </c>
      <c r="CN35" s="605">
        <f t="shared" si="199"/>
        <v>0</v>
      </c>
      <c r="CO35" s="118"/>
      <c r="CP35" s="151"/>
      <c r="CQ35" s="151">
        <f t="shared" si="200"/>
        <v>0</v>
      </c>
      <c r="CR35" s="151"/>
      <c r="CS35" s="159"/>
      <c r="CT35" s="395">
        <f t="shared" si="201"/>
        <v>0</v>
      </c>
      <c r="CU35" s="395">
        <f t="shared" si="202"/>
        <v>0</v>
      </c>
      <c r="CV35" s="159"/>
      <c r="CW35" s="159">
        <f>IFERROR(SUMIFS('PO Tracker'!$J$44:$J$1433,'PO Tracker'!$K$44:$K$1433,$CS$6,'PO Tracker'!$L$44:$L$1433,'Capex breakup'!$B35),0)</f>
        <v>0</v>
      </c>
      <c r="CX35" s="605" t="str">
        <f t="shared" si="203"/>
        <v/>
      </c>
      <c r="CY35" s="118"/>
      <c r="CZ35" s="151">
        <v>638597.12</v>
      </c>
      <c r="DA35" s="151">
        <f t="shared" si="204"/>
        <v>541184</v>
      </c>
      <c r="DB35" s="151">
        <f>DA35/DA2</f>
        <v>1622.448734860295</v>
      </c>
      <c r="DC35" s="159">
        <v>3800</v>
      </c>
      <c r="DD35" s="395">
        <f t="shared" si="205"/>
        <v>818063.99999999988</v>
      </c>
      <c r="DE35" s="395">
        <f t="shared" si="206"/>
        <v>965315.51999999979</v>
      </c>
      <c r="DF35" s="159"/>
      <c r="DG35" s="159">
        <f>IFERROR(SUMIFS('PO Tracker'!$J$44:$J$1433,'PO Tracker'!$K$44:$K$1433,$DC$6,'PO Tracker'!$L$44:$L$1433,'Capex breakup'!$B35),0)</f>
        <v>873790</v>
      </c>
      <c r="DH35" s="605">
        <f t="shared" si="207"/>
        <v>0.90518590232549068</v>
      </c>
      <c r="DI35" s="118"/>
      <c r="DJ35" s="151"/>
      <c r="DK35" s="151">
        <f t="shared" si="208"/>
        <v>0</v>
      </c>
      <c r="DL35" s="151">
        <f>DK35/DK2</f>
        <v>0</v>
      </c>
      <c r="DM35" s="159">
        <v>1000</v>
      </c>
      <c r="DN35" s="395">
        <f t="shared" si="209"/>
        <v>21312.719999999998</v>
      </c>
      <c r="DO35" s="159">
        <f t="shared" si="210"/>
        <v>25149.009599999994</v>
      </c>
      <c r="DP35" s="159">
        <f>IFERROR(SUMIFS('PO Tracker'!$J$44:$J$1433,'PO Tracker'!$K$44:$K$1433,$DM$6,'PO Tracker'!$L$44:$L$1433,'Capex breakup'!$B35),0)</f>
        <v>21098.400000000001</v>
      </c>
      <c r="DQ35" s="605">
        <f>IFERROR(DP35/DO35,"")</f>
        <v>0.83893562154431744</v>
      </c>
      <c r="DR35" s="118"/>
      <c r="DS35" s="151">
        <v>638597.12</v>
      </c>
      <c r="DT35" s="151">
        <f t="shared" si="212"/>
        <v>541184</v>
      </c>
      <c r="DU35" s="151">
        <f>DT35/DT2</f>
        <v>1622.448734860295</v>
      </c>
      <c r="DV35" s="159">
        <v>550</v>
      </c>
      <c r="DW35" s="395">
        <f>DV35*$DW$2</f>
        <v>718712.27999999991</v>
      </c>
      <c r="DX35" s="395">
        <f t="shared" si="213"/>
        <v>848080.49039999989</v>
      </c>
      <c r="DY35" s="159"/>
      <c r="DZ35" s="159">
        <f>IFERROR(SUMIFS('PO Tracker'!$J$44:$J$1433,'PO Tracker'!$K$44:$K$1433,$DV$6,'PO Tracker'!$L$44:$L$1433,'Capex breakup'!$B35),0)</f>
        <v>296917.5</v>
      </c>
      <c r="EA35" s="605">
        <f t="shared" si="214"/>
        <v>0.35010533004946015</v>
      </c>
      <c r="EB35" s="118"/>
      <c r="EC35" s="151">
        <v>638597.12</v>
      </c>
      <c r="ED35" s="151">
        <f t="shared" si="215"/>
        <v>541184</v>
      </c>
      <c r="EE35" s="151">
        <f>ED35/ED2</f>
        <v>1622.448734860295</v>
      </c>
      <c r="EF35" s="159">
        <v>2000</v>
      </c>
      <c r="EG35" s="395">
        <f t="shared" si="216"/>
        <v>769410.72</v>
      </c>
      <c r="EH35" s="395">
        <f t="shared" si="217"/>
        <v>907904.64959999989</v>
      </c>
      <c r="EI35" s="159"/>
      <c r="EJ35" s="159">
        <f>IFERROR(SUMIFS('PO Tracker'!$J$44:$J$1433,'PO Tracker'!$K$44:$K$1433,$EF$6,'PO Tracker'!$L$44:$L$1433,'Capex breakup'!$B35),0)</f>
        <v>797267</v>
      </c>
      <c r="EK35" s="605">
        <f t="shared" si="218"/>
        <v>0.87813957154119204</v>
      </c>
      <c r="EL35" s="118"/>
      <c r="EM35" s="151"/>
      <c r="EN35" s="151"/>
      <c r="EO35" s="151"/>
      <c r="EP35" s="159">
        <v>1200</v>
      </c>
      <c r="EQ35" s="395">
        <f t="shared" si="219"/>
        <v>461646.43199999997</v>
      </c>
      <c r="ER35" s="395">
        <f t="shared" si="220"/>
        <v>544742.78975999996</v>
      </c>
      <c r="ES35" s="159"/>
      <c r="ET35" s="159">
        <f>IFERROR(SUMIFS('PO Tracker'!$J$44:$J$1433,'PO Tracker'!$K$44:$K$1433,$EP$6,'PO Tracker'!$L$44:$L$1433,'Capex breakup'!$B35),0)</f>
        <v>454282.3</v>
      </c>
      <c r="EU35" s="605">
        <f t="shared" si="221"/>
        <v>0.8339390782944468</v>
      </c>
      <c r="EV35" s="118"/>
      <c r="EW35" s="151"/>
      <c r="EX35" s="151"/>
      <c r="EY35" s="151"/>
      <c r="EZ35" s="159">
        <v>1000</v>
      </c>
      <c r="FA35" s="395">
        <f t="shared" si="222"/>
        <v>1280808.3599999999</v>
      </c>
      <c r="FB35" s="395">
        <f t="shared" si="223"/>
        <v>1511353.8647999999</v>
      </c>
      <c r="FC35" s="159"/>
      <c r="FD35" s="159">
        <f>IFERROR(SUMIFS('PO Tracker'!$J$44:$J$1433,'PO Tracker'!$K$44:$K$1433,$EZ$6,'PO Tracker'!$L$44:$L$1433,'Capex breakup'!$B35),0)</f>
        <v>1189145</v>
      </c>
      <c r="FE35" s="605">
        <f t="shared" si="224"/>
        <v>0.78680779379047783</v>
      </c>
      <c r="FF35" s="118"/>
      <c r="FG35" s="318">
        <v>3670559.2</v>
      </c>
      <c r="FH35" s="151">
        <f t="shared" si="225"/>
        <v>3277285</v>
      </c>
      <c r="FI35" s="133">
        <f t="shared" si="226"/>
        <v>1243.1852666717245</v>
      </c>
      <c r="FJ35" s="159">
        <v>1000</v>
      </c>
      <c r="FK35" s="395">
        <f t="shared" si="227"/>
        <v>2620711.08</v>
      </c>
      <c r="FL35" s="159">
        <f t="shared" si="228"/>
        <v>3092439.0743999998</v>
      </c>
      <c r="FM35" s="684"/>
      <c r="FN35" s="159">
        <f>FK35</f>
        <v>2620711.08</v>
      </c>
      <c r="FO35" s="685">
        <f t="shared" si="229"/>
        <v>3092439.0743999998</v>
      </c>
      <c r="FP35" s="684"/>
      <c r="FQ35" s="159">
        <f t="shared" si="230"/>
        <v>0</v>
      </c>
      <c r="FR35" s="685">
        <f t="shared" si="231"/>
        <v>0</v>
      </c>
      <c r="FS35" s="662">
        <f>IFERROR(SUMIFS('PO Tracker'!$J$44:$J$1433,'PO Tracker'!$K$44:$K$1433,$FJ$6,'PO Tracker'!$L$44:$L$1433,'Capex breakup'!$B35),0)</f>
        <v>0</v>
      </c>
      <c r="FT35" s="736" t="str">
        <f t="shared" si="232"/>
        <v/>
      </c>
      <c r="FU35" s="709"/>
      <c r="FV35" s="151">
        <v>638597.12</v>
      </c>
      <c r="FW35" s="151">
        <f t="shared" si="233"/>
        <v>541184</v>
      </c>
      <c r="FX35" s="151">
        <f>FW35/FW2</f>
        <v>1622.448734860295</v>
      </c>
      <c r="FY35" s="159">
        <v>3000</v>
      </c>
      <c r="FZ35" s="395">
        <f t="shared" si="234"/>
        <v>667798.55999999994</v>
      </c>
      <c r="GA35" s="395">
        <f t="shared" si="235"/>
        <v>788002.30079999985</v>
      </c>
      <c r="GB35" s="159"/>
      <c r="GC35" s="159">
        <f>IFERROR(SUMIFS('PO Tracker'!$J$44:$J$1433,'PO Tracker'!$K$44:$K$1433,$FY$6,'PO Tracker'!$L$44:$L$1433,'Capex breakup'!$B35),0)</f>
        <v>757630.8</v>
      </c>
      <c r="GD35" s="605">
        <f t="shared" si="236"/>
        <v>0.96145759883040205</v>
      </c>
      <c r="GE35" s="118"/>
      <c r="GF35" s="151"/>
      <c r="GG35" s="151">
        <f t="shared" si="237"/>
        <v>0</v>
      </c>
      <c r="GH35" s="151">
        <f>GG35/GG2</f>
        <v>0</v>
      </c>
      <c r="GI35" s="159">
        <v>1800</v>
      </c>
      <c r="GJ35" s="395">
        <f t="shared" si="238"/>
        <v>271252.8</v>
      </c>
      <c r="GK35" s="395">
        <f t="shared" si="239"/>
        <v>320078.30399999995</v>
      </c>
      <c r="GL35" s="159"/>
      <c r="GM35" s="159">
        <f>IFERROR(SUMIFS('PO Tracker'!$J$44:$J$1433,'PO Tracker'!$K$44:$K$1433,$GI$6,'PO Tracker'!$L$44:$L$1433,'Capex breakup'!$B35),0)</f>
        <v>699002.5</v>
      </c>
      <c r="GN35" s="605">
        <f t="shared" si="240"/>
        <v>2.1838484247904542</v>
      </c>
      <c r="GO35" s="118"/>
      <c r="GP35" s="151"/>
      <c r="GQ35" s="151">
        <f t="shared" si="241"/>
        <v>0</v>
      </c>
      <c r="GR35" s="151">
        <f>GQ35/GQ2</f>
        <v>0</v>
      </c>
      <c r="GS35" s="159">
        <v>220</v>
      </c>
      <c r="GT35" s="395">
        <f>GS35*$GT$2</f>
        <v>21312.719999999998</v>
      </c>
      <c r="GU35" s="159">
        <f>GT35*1.18</f>
        <v>25149.009599999994</v>
      </c>
      <c r="GV35" s="159">
        <f>IFERROR(SUMIFS('PO Tracker'!$J$44:$J$1433,'PO Tracker'!$K$44:$K$1433,$GS$6,'PO Tracker'!$L$44:$L$1433,'Capex breakup'!$B35),0)</f>
        <v>21098.400000000001</v>
      </c>
      <c r="GW35" s="605">
        <f t="shared" si="242"/>
        <v>0.98994403342229442</v>
      </c>
      <c r="GX35" s="118"/>
      <c r="GY35" s="151"/>
      <c r="GZ35" s="151"/>
      <c r="HA35" s="133"/>
      <c r="HB35" s="159">
        <v>1250</v>
      </c>
      <c r="HC35" s="395">
        <f t="shared" si="243"/>
        <v>4173202.8000000003</v>
      </c>
      <c r="HD35" s="159">
        <f t="shared" si="244"/>
        <v>4924379.3040000005</v>
      </c>
      <c r="HE35" s="159"/>
      <c r="HF35" s="159">
        <f>IFERROR(SUMIFS('PO Tracker'!$J$44:$J$1433,'PO Tracker'!$K$44:$K$1433,$HB$6,'PO Tracker'!$L$44:$L$1433,'Capex breakup'!$B35),0)</f>
        <v>4765689.5999999996</v>
      </c>
      <c r="HG35" s="605">
        <f t="shared" si="245"/>
        <v>0.9677746789588082</v>
      </c>
      <c r="HH35" s="118"/>
      <c r="HI35" s="151"/>
      <c r="HJ35" s="151"/>
      <c r="HK35" s="133"/>
      <c r="HL35" s="159">
        <v>1200</v>
      </c>
      <c r="HM35" s="395">
        <f t="shared" si="246"/>
        <v>4075250.4</v>
      </c>
      <c r="HN35" s="159">
        <f t="shared" si="247"/>
        <v>4808795.4720000001</v>
      </c>
      <c r="HO35" s="159">
        <f>IFERROR(SUMIFS('PO Tracker'!$J$44:$J$1433,'PO Tracker'!$K$44:$K$1433,$HL$6,'PO Tracker'!$L$44:$L$1433,'Capex breakup'!$B35),0)</f>
        <v>0</v>
      </c>
      <c r="HP35" s="605">
        <f t="shared" si="248"/>
        <v>0</v>
      </c>
      <c r="HQ35" s="118"/>
      <c r="HR35" s="364"/>
      <c r="HS35" s="364"/>
      <c r="HT35" s="364"/>
      <c r="HU35" s="364"/>
    </row>
    <row r="36" spans="1:229">
      <c r="A36" s="18">
        <v>7</v>
      </c>
      <c r="B36" s="19" t="s">
        <v>36</v>
      </c>
      <c r="C36" s="118"/>
      <c r="D36" s="151">
        <v>0</v>
      </c>
      <c r="E36" s="151">
        <f t="shared" si="164"/>
        <v>0</v>
      </c>
      <c r="F36" s="151">
        <f>E36/E2</f>
        <v>0</v>
      </c>
      <c r="G36" s="159">
        <v>600</v>
      </c>
      <c r="H36" s="395">
        <f t="shared" si="165"/>
        <v>263308.96799999999</v>
      </c>
      <c r="I36" s="395">
        <f t="shared" si="166"/>
        <v>310704.58223999996</v>
      </c>
      <c r="J36" s="159"/>
      <c r="K36" s="159">
        <f>IFERROR(SUMIFS('PO Tracker'!$J$44:$J$1433,'PO Tracker'!$K$44:$K$1433,$G$6,'PO Tracker'!$L$44:$L$1433,'Capex breakup'!$B36),0)</f>
        <v>195548.42</v>
      </c>
      <c r="L36" s="605">
        <f t="shared" si="167"/>
        <v>0.6293708917654488</v>
      </c>
      <c r="M36" s="118"/>
      <c r="N36" s="151">
        <v>0</v>
      </c>
      <c r="O36" s="151">
        <f t="shared" si="168"/>
        <v>0</v>
      </c>
      <c r="P36" s="151">
        <f>O36/O2</f>
        <v>0</v>
      </c>
      <c r="Q36" s="159">
        <v>0</v>
      </c>
      <c r="R36" s="395">
        <f t="shared" si="169"/>
        <v>0</v>
      </c>
      <c r="S36" s="395">
        <f t="shared" si="170"/>
        <v>0</v>
      </c>
      <c r="T36" s="159"/>
      <c r="U36" s="159">
        <f>IFERROR(SUMIFS('PO Tracker'!$J$44:$J$1433,'PO Tracker'!$K$44:$K$1433,$Q$6,'PO Tracker'!$L$44:$L$1433,'Capex breakup'!$B36),0)</f>
        <v>0</v>
      </c>
      <c r="V36" s="605" t="str">
        <f t="shared" si="171"/>
        <v/>
      </c>
      <c r="W36" s="118"/>
      <c r="X36" s="151">
        <v>1956763.2000000002</v>
      </c>
      <c r="Y36" s="151">
        <f t="shared" si="172"/>
        <v>1747110</v>
      </c>
      <c r="Z36" s="133">
        <f t="shared" si="173"/>
        <v>662.73803201578039</v>
      </c>
      <c r="AA36" s="159">
        <v>813.21839080459779</v>
      </c>
      <c r="AB36" s="395">
        <f>AA36*$AB$2</f>
        <v>1523106</v>
      </c>
      <c r="AC36" s="395">
        <f t="shared" si="174"/>
        <v>1797265.0799999998</v>
      </c>
      <c r="AD36" s="159"/>
      <c r="AE36" s="159">
        <f>IFERROR(SUMIFS('PO Tracker'!$J$44:$J$1433,'PO Tracker'!$K$44:$K$1433,$AA$6,'PO Tracker'!$L$44:$L$1433,'Capex breakup'!$B36),0)</f>
        <v>1195269.1000000001</v>
      </c>
      <c r="AF36" s="605">
        <f t="shared" si="175"/>
        <v>0.66504886413305275</v>
      </c>
      <c r="AG36" s="118"/>
      <c r="AH36" s="151">
        <v>0</v>
      </c>
      <c r="AI36" s="151">
        <f t="shared" si="176"/>
        <v>0</v>
      </c>
      <c r="AJ36" s="151">
        <f>AI36/AI2</f>
        <v>0</v>
      </c>
      <c r="AK36" s="159">
        <v>2700</v>
      </c>
      <c r="AL36" s="395">
        <f t="shared" si="177"/>
        <v>1093923.7919999999</v>
      </c>
      <c r="AM36" s="395">
        <f t="shared" si="178"/>
        <v>1290830.0745599999</v>
      </c>
      <c r="AN36" s="159"/>
      <c r="AO36" s="159">
        <f>IFERROR(SUMIFS('PO Tracker'!$J$44:$J$1433,'PO Tracker'!$K$44:$K$1433,$AK$6,'PO Tracker'!$L$44:$L$1433,'Capex breakup'!$B36),0)</f>
        <v>666759</v>
      </c>
      <c r="AP36" s="605">
        <f t="shared" si="179"/>
        <v>0.51653506773715008</v>
      </c>
      <c r="AQ36" s="118"/>
      <c r="AR36" s="287"/>
      <c r="AS36" s="287">
        <f t="shared" si="180"/>
        <v>0</v>
      </c>
      <c r="AT36" s="288">
        <f t="shared" si="181"/>
        <v>0</v>
      </c>
      <c r="AU36" s="159">
        <v>1000</v>
      </c>
      <c r="AV36" s="395">
        <f t="shared" si="182"/>
        <v>1019888.9999999999</v>
      </c>
      <c r="AW36" s="395">
        <f t="shared" si="183"/>
        <v>1203469.0199999998</v>
      </c>
      <c r="AX36" s="159"/>
      <c r="AY36" s="159">
        <f>IFERROR(SUMIFS('PO Tracker'!$J$44:$J$1433,'PO Tracker'!$K$44:$K$1433,$AU$6,'PO Tracker'!$L$44:$L$1433,'Capex breakup'!$B36),0)</f>
        <v>0</v>
      </c>
      <c r="AZ36" s="605">
        <f t="shared" si="184"/>
        <v>0</v>
      </c>
      <c r="BA36" s="118"/>
      <c r="BB36" s="151"/>
      <c r="BC36" s="151">
        <f t="shared" si="185"/>
        <v>0</v>
      </c>
      <c r="BD36" s="151">
        <f>BC36/BC2</f>
        <v>0</v>
      </c>
      <c r="BE36" s="159">
        <v>900</v>
      </c>
      <c r="BF36" s="395">
        <f t="shared" si="186"/>
        <v>699638.47199999995</v>
      </c>
      <c r="BG36" s="395">
        <f t="shared" si="187"/>
        <v>825573.39695999993</v>
      </c>
      <c r="BH36" s="159"/>
      <c r="BI36" s="159">
        <f>IFERROR(SUMIFS('PO Tracker'!$J$44:$J$1433,'PO Tracker'!$K$44:$K$1433,$BE$6,'PO Tracker'!$L$44:$L$1433,'Capex breakup'!$B36),0)</f>
        <v>0</v>
      </c>
      <c r="BJ36" s="605">
        <f t="shared" si="188"/>
        <v>0</v>
      </c>
      <c r="BK36" s="118"/>
      <c r="BL36" s="151"/>
      <c r="BM36" s="151"/>
      <c r="BN36" s="151"/>
      <c r="BO36" s="159">
        <v>1200</v>
      </c>
      <c r="BP36" s="395">
        <f t="shared" si="189"/>
        <v>686140.41599999985</v>
      </c>
      <c r="BQ36" s="395">
        <f t="shared" si="190"/>
        <v>809645.69087999978</v>
      </c>
      <c r="BR36" s="159"/>
      <c r="BS36" s="159">
        <f>IFERROR(SUMIFS('PO Tracker'!$J$44:$J$1433,'PO Tracker'!$K$44:$K$1433,$BO$6,'PO Tracker'!$L$44:$L$1433,'Capex breakup'!$B36),0)</f>
        <v>0</v>
      </c>
      <c r="BT36" s="605">
        <f t="shared" si="191"/>
        <v>0</v>
      </c>
      <c r="BU36" s="118"/>
      <c r="BV36" s="151"/>
      <c r="BW36" s="151">
        <f t="shared" si="192"/>
        <v>0</v>
      </c>
      <c r="BX36" s="151">
        <f>BW36/BW2</f>
        <v>0</v>
      </c>
      <c r="BY36" s="159">
        <v>600</v>
      </c>
      <c r="BZ36" s="395">
        <f t="shared" si="193"/>
        <v>223848.14399999997</v>
      </c>
      <c r="CA36" s="395">
        <f t="shared" si="194"/>
        <v>264140.80991999997</v>
      </c>
      <c r="CB36" s="159"/>
      <c r="CC36" s="159">
        <f>IFERROR(SUMIFS('PO Tracker'!$J$44:$J$1433,'PO Tracker'!$K$44:$K$1433,$BY$6,'PO Tracker'!$L$44:$L$1433,'Capex breakup'!$B36),0)</f>
        <v>64246.102999999996</v>
      </c>
      <c r="CD36" s="605">
        <f t="shared" si="195"/>
        <v>0.24322672070044057</v>
      </c>
      <c r="CE36" s="118"/>
      <c r="CF36" s="151"/>
      <c r="CG36" s="151">
        <f t="shared" si="196"/>
        <v>0</v>
      </c>
      <c r="CH36" s="151">
        <f>CG36/CG2</f>
        <v>0</v>
      </c>
      <c r="CI36" s="159"/>
      <c r="CJ36" s="395">
        <f t="shared" si="197"/>
        <v>0</v>
      </c>
      <c r="CK36" s="395">
        <f t="shared" si="198"/>
        <v>0</v>
      </c>
      <c r="CL36" s="159"/>
      <c r="CM36" s="159">
        <f>IFERROR(SUMIFS('PO Tracker'!$J$44:$J$1433,'PO Tracker'!$K$44:$K$1433,$CI$6,'PO Tracker'!$L$44:$L$1433,'Capex breakup'!$B36),0)</f>
        <v>0</v>
      </c>
      <c r="CN36" s="605" t="str">
        <f t="shared" si="199"/>
        <v/>
      </c>
      <c r="CO36" s="118"/>
      <c r="CP36" s="151"/>
      <c r="CQ36" s="151">
        <f t="shared" si="200"/>
        <v>0</v>
      </c>
      <c r="CR36" s="151"/>
      <c r="CS36" s="159"/>
      <c r="CT36" s="395">
        <f t="shared" si="201"/>
        <v>0</v>
      </c>
      <c r="CU36" s="395">
        <f t="shared" si="202"/>
        <v>0</v>
      </c>
      <c r="CV36" s="159"/>
      <c r="CW36" s="159">
        <f>IFERROR(SUMIFS('PO Tracker'!$J$44:$J$1433,'PO Tracker'!$K$44:$K$1433,$CS$6,'PO Tracker'!$L$44:$L$1433,'Capex breakup'!$B36),0)</f>
        <v>0</v>
      </c>
      <c r="CX36" s="605" t="str">
        <f t="shared" si="203"/>
        <v/>
      </c>
      <c r="CY36" s="118"/>
      <c r="CZ36" s="151"/>
      <c r="DA36" s="151">
        <f t="shared" si="204"/>
        <v>0</v>
      </c>
      <c r="DB36" s="151">
        <f>DA36/DA2</f>
        <v>0</v>
      </c>
      <c r="DC36" s="159"/>
      <c r="DD36" s="395">
        <f t="shared" si="205"/>
        <v>0</v>
      </c>
      <c r="DE36" s="395">
        <f t="shared" si="206"/>
        <v>0</v>
      </c>
      <c r="DF36" s="159"/>
      <c r="DG36" s="159">
        <f>IFERROR(SUMIFS('PO Tracker'!$J$44:$J$1433,'PO Tracker'!$K$44:$K$1433,$DC$6,'PO Tracker'!$L$44:$L$1433,'Capex breakup'!$B36),0)</f>
        <v>0</v>
      </c>
      <c r="DH36" s="605" t="str">
        <f t="shared" si="207"/>
        <v/>
      </c>
      <c r="DI36" s="118"/>
      <c r="DJ36" s="151"/>
      <c r="DK36" s="151">
        <f t="shared" si="208"/>
        <v>0</v>
      </c>
      <c r="DL36" s="151">
        <f>DK36/DK2</f>
        <v>0</v>
      </c>
      <c r="DM36" s="159"/>
      <c r="DN36" s="395">
        <f t="shared" si="209"/>
        <v>0</v>
      </c>
      <c r="DO36" s="159">
        <f t="shared" si="210"/>
        <v>0</v>
      </c>
      <c r="DP36" s="159">
        <f>IFERROR(SUMIFS('PO Tracker'!$J$44:$J$1433,'PO Tracker'!$K$44:$K$1433,$DM$6,'PO Tracker'!$L$44:$L$1433,'Capex breakup'!$B36),0)</f>
        <v>0</v>
      </c>
      <c r="DQ36" s="605" t="str">
        <f t="shared" si="211"/>
        <v/>
      </c>
      <c r="DR36" s="118"/>
      <c r="DS36" s="151"/>
      <c r="DT36" s="151">
        <f t="shared" si="212"/>
        <v>0</v>
      </c>
      <c r="DU36" s="151">
        <f>DT36/DT2</f>
        <v>0</v>
      </c>
      <c r="DV36" s="159">
        <v>300</v>
      </c>
      <c r="DW36" s="395">
        <f>DV36*$DW$2</f>
        <v>392024.87999999995</v>
      </c>
      <c r="DX36" s="395">
        <f t="shared" si="213"/>
        <v>462589.35839999991</v>
      </c>
      <c r="DY36" s="159"/>
      <c r="DZ36" s="159">
        <f>IFERROR(SUMIFS('PO Tracker'!$J$44:$J$1433,'PO Tracker'!$K$44:$K$1433,$DV$6,'PO Tracker'!$L$44:$L$1433,'Capex breakup'!$B36),0)</f>
        <v>0</v>
      </c>
      <c r="EA36" s="605">
        <f t="shared" si="214"/>
        <v>0</v>
      </c>
      <c r="EB36" s="118"/>
      <c r="EC36" s="151"/>
      <c r="ED36" s="151">
        <f t="shared" si="215"/>
        <v>0</v>
      </c>
      <c r="EE36" s="151">
        <f>ED36/ED2</f>
        <v>0</v>
      </c>
      <c r="EF36" s="159"/>
      <c r="EG36" s="395">
        <f t="shared" si="216"/>
        <v>0</v>
      </c>
      <c r="EH36" s="395">
        <f t="shared" si="217"/>
        <v>0</v>
      </c>
      <c r="EI36" s="159"/>
      <c r="EJ36" s="159">
        <f>IFERROR(SUMIFS('PO Tracker'!$J$44:$J$1433,'PO Tracker'!$K$44:$K$1433,$EF$6,'PO Tracker'!$L$44:$L$1433,'Capex breakup'!$B36),0)</f>
        <v>0</v>
      </c>
      <c r="EK36" s="605" t="str">
        <f t="shared" si="218"/>
        <v/>
      </c>
      <c r="EL36" s="118"/>
      <c r="EM36" s="151"/>
      <c r="EN36" s="151"/>
      <c r="EO36" s="151"/>
      <c r="EP36" s="159"/>
      <c r="EQ36" s="395">
        <f t="shared" si="219"/>
        <v>0</v>
      </c>
      <c r="ER36" s="395">
        <f t="shared" si="220"/>
        <v>0</v>
      </c>
      <c r="ES36" s="159"/>
      <c r="ET36" s="159">
        <f>IFERROR(SUMIFS('PO Tracker'!$J$44:$J$1433,'PO Tracker'!$K$44:$K$1433,$EP$6,'PO Tracker'!$L$44:$L$1433,'Capex breakup'!$B36),0)</f>
        <v>0</v>
      </c>
      <c r="EU36" s="605" t="str">
        <f t="shared" si="221"/>
        <v/>
      </c>
      <c r="EV36" s="118"/>
      <c r="EW36" s="151"/>
      <c r="EX36" s="151"/>
      <c r="EY36" s="151"/>
      <c r="EZ36" s="159">
        <v>1000</v>
      </c>
      <c r="FA36" s="395">
        <f t="shared" si="222"/>
        <v>1280808.3599999999</v>
      </c>
      <c r="FB36" s="395">
        <f t="shared" si="223"/>
        <v>1511353.8647999999</v>
      </c>
      <c r="FC36" s="159"/>
      <c r="FD36" s="159">
        <f>IFERROR(SUMIFS('PO Tracker'!$J$44:$J$1433,'PO Tracker'!$K$44:$K$1433,$EZ$6,'PO Tracker'!$L$44:$L$1433,'Capex breakup'!$B36),0)</f>
        <v>705876</v>
      </c>
      <c r="FE36" s="605">
        <f t="shared" si="224"/>
        <v>0.4670487940912566</v>
      </c>
      <c r="FF36" s="118"/>
      <c r="FG36" s="318">
        <v>1956763.2000000002</v>
      </c>
      <c r="FH36" s="151">
        <f t="shared" si="225"/>
        <v>1747110</v>
      </c>
      <c r="FI36" s="133">
        <f t="shared" si="226"/>
        <v>662.73803201578039</v>
      </c>
      <c r="FJ36" s="159">
        <v>500</v>
      </c>
      <c r="FK36" s="395">
        <f t="shared" si="227"/>
        <v>1310355.54</v>
      </c>
      <c r="FL36" s="159">
        <f t="shared" si="228"/>
        <v>1546219.5371999999</v>
      </c>
      <c r="FM36" s="684"/>
      <c r="FN36" s="159">
        <f>FK36</f>
        <v>1310355.54</v>
      </c>
      <c r="FO36" s="685">
        <f t="shared" si="229"/>
        <v>1546219.5371999999</v>
      </c>
      <c r="FP36" s="684"/>
      <c r="FQ36" s="159">
        <f t="shared" si="230"/>
        <v>0</v>
      </c>
      <c r="FR36" s="685">
        <f t="shared" si="231"/>
        <v>0</v>
      </c>
      <c r="FS36" s="662">
        <f>IFERROR(SUMIFS('PO Tracker'!$J$44:$J$1433,'PO Tracker'!$K$44:$K$1433,$FJ$6,'PO Tracker'!$L$44:$L$1433,'Capex breakup'!$B36),0)</f>
        <v>0</v>
      </c>
      <c r="FT36" s="736" t="str">
        <f t="shared" si="232"/>
        <v/>
      </c>
      <c r="FU36" s="709"/>
      <c r="FV36" s="151"/>
      <c r="FW36" s="151">
        <f t="shared" si="233"/>
        <v>0</v>
      </c>
      <c r="FX36" s="151">
        <f>FW36/FW2</f>
        <v>0</v>
      </c>
      <c r="FY36" s="159"/>
      <c r="FZ36" s="395">
        <f t="shared" si="234"/>
        <v>0</v>
      </c>
      <c r="GA36" s="395">
        <f t="shared" si="235"/>
        <v>0</v>
      </c>
      <c r="GB36" s="159"/>
      <c r="GC36" s="159">
        <f>IFERROR(SUMIFS('PO Tracker'!$J$44:$J$1433,'PO Tracker'!$K$44:$K$1433,$FY$6,'PO Tracker'!$L$44:$L$1433,'Capex breakup'!$B36),0)</f>
        <v>0</v>
      </c>
      <c r="GD36" s="605" t="str">
        <f t="shared" si="236"/>
        <v/>
      </c>
      <c r="GE36" s="118"/>
      <c r="GF36" s="151"/>
      <c r="GG36" s="151">
        <f t="shared" si="237"/>
        <v>0</v>
      </c>
      <c r="GH36" s="151">
        <f>GG36/GG2</f>
        <v>0</v>
      </c>
      <c r="GI36" s="159"/>
      <c r="GJ36" s="395">
        <f t="shared" si="238"/>
        <v>0</v>
      </c>
      <c r="GK36" s="395">
        <f t="shared" si="239"/>
        <v>0</v>
      </c>
      <c r="GL36" s="159"/>
      <c r="GM36" s="159">
        <f>IFERROR(SUMIFS('PO Tracker'!$J$44:$J$1433,'PO Tracker'!$K$44:$K$1433,$GI$6,'PO Tracker'!$L$44:$L$1433,'Capex breakup'!$B36),0)</f>
        <v>284085</v>
      </c>
      <c r="GN36" s="605" t="str">
        <f t="shared" si="240"/>
        <v/>
      </c>
      <c r="GO36" s="118"/>
      <c r="GP36" s="151"/>
      <c r="GQ36" s="151">
        <f t="shared" si="241"/>
        <v>0</v>
      </c>
      <c r="GR36" s="151">
        <f>GQ36/GQ2</f>
        <v>0</v>
      </c>
      <c r="GS36" s="159"/>
      <c r="GT36" s="395">
        <v>0</v>
      </c>
      <c r="GU36" s="159">
        <v>0</v>
      </c>
      <c r="GV36" s="159">
        <f>IFERROR(SUMIFS('PO Tracker'!$J$44:$J$1433,'PO Tracker'!$K$44:$K$1433,$GS$6,'PO Tracker'!$L$44:$L$1433,'Capex breakup'!$B36),0)</f>
        <v>0</v>
      </c>
      <c r="GW36" s="605" t="str">
        <f t="shared" si="242"/>
        <v/>
      </c>
      <c r="GX36" s="118"/>
      <c r="GY36" s="151"/>
      <c r="GZ36" s="151"/>
      <c r="HA36" s="133"/>
      <c r="HB36" s="159">
        <v>520</v>
      </c>
      <c r="HC36" s="395">
        <f t="shared" si="243"/>
        <v>1736052.3648000001</v>
      </c>
      <c r="HD36" s="159">
        <f t="shared" si="244"/>
        <v>2048541.7904640001</v>
      </c>
      <c r="HE36" s="159"/>
      <c r="HF36" s="159">
        <f>IFERROR(SUMIFS('PO Tracker'!$J$44:$J$1433,'PO Tracker'!$K$44:$K$1433,$HB$6,'PO Tracker'!$L$44:$L$1433,'Capex breakup'!$B36),0)</f>
        <v>1933666</v>
      </c>
      <c r="HG36" s="605">
        <f t="shared" si="245"/>
        <v>0.94392314035342162</v>
      </c>
      <c r="HH36" s="118"/>
      <c r="HI36" s="151"/>
      <c r="HJ36" s="151"/>
      <c r="HK36" s="133"/>
      <c r="HL36" s="159">
        <v>1000</v>
      </c>
      <c r="HM36" s="395">
        <f t="shared" si="246"/>
        <v>3396042</v>
      </c>
      <c r="HN36" s="159">
        <f t="shared" si="247"/>
        <v>4007329.5599999996</v>
      </c>
      <c r="HO36" s="159">
        <f>IFERROR(SUMIFS('PO Tracker'!$J$44:$J$1433,'PO Tracker'!$K$44:$K$1433,$HL$6,'PO Tracker'!$L$44:$L$1433,'Capex breakup'!$B36),0)</f>
        <v>0</v>
      </c>
      <c r="HP36" s="605">
        <f t="shared" si="248"/>
        <v>0</v>
      </c>
      <c r="HQ36" s="118"/>
      <c r="HR36" s="364"/>
      <c r="HS36" s="364"/>
      <c r="HT36" s="364"/>
      <c r="HU36" s="364"/>
    </row>
    <row r="37" spans="1:229">
      <c r="A37" s="18">
        <v>8</v>
      </c>
      <c r="B37" s="19" t="s">
        <v>37</v>
      </c>
      <c r="C37" s="118"/>
      <c r="D37" s="151">
        <v>0</v>
      </c>
      <c r="E37" s="151">
        <f t="shared" si="164"/>
        <v>0</v>
      </c>
      <c r="F37" s="151">
        <f>E37/E2</f>
        <v>0</v>
      </c>
      <c r="G37" s="159"/>
      <c r="H37" s="395">
        <f t="shared" si="165"/>
        <v>0</v>
      </c>
      <c r="I37" s="395">
        <f t="shared" si="166"/>
        <v>0</v>
      </c>
      <c r="J37" s="159"/>
      <c r="K37" s="159">
        <f>IFERROR(SUMIFS('PO Tracker'!$J$44:$J$1433,'PO Tracker'!$K$44:$K$1433,$G$6,'PO Tracker'!$L$44:$L$1433,'Capex breakup'!$B37),0)</f>
        <v>0</v>
      </c>
      <c r="L37" s="605" t="str">
        <f t="shared" si="167"/>
        <v/>
      </c>
      <c r="M37" s="118"/>
      <c r="N37" s="151">
        <v>0</v>
      </c>
      <c r="O37" s="151">
        <f t="shared" si="168"/>
        <v>0</v>
      </c>
      <c r="P37" s="151">
        <f>O37/O2</f>
        <v>0</v>
      </c>
      <c r="Q37" s="159">
        <v>0</v>
      </c>
      <c r="R37" s="395">
        <f t="shared" si="169"/>
        <v>0</v>
      </c>
      <c r="S37" s="395">
        <f t="shared" si="170"/>
        <v>0</v>
      </c>
      <c r="T37" s="159"/>
      <c r="U37" s="159">
        <f>IFERROR(SUMIFS('PO Tracker'!$J$44:$J$1433,'PO Tracker'!$K$44:$K$1433,$Q$6,'PO Tracker'!$L$44:$L$1433,'Capex breakup'!$B37),0)</f>
        <v>0</v>
      </c>
      <c r="V37" s="605" t="str">
        <f t="shared" si="171"/>
        <v/>
      </c>
      <c r="W37" s="118"/>
      <c r="X37" s="151">
        <v>1946196.0000000002</v>
      </c>
      <c r="Y37" s="151">
        <f t="shared" si="172"/>
        <v>1737675</v>
      </c>
      <c r="Z37" s="133">
        <f t="shared" si="173"/>
        <v>659.15901676655801</v>
      </c>
      <c r="AA37" s="159">
        <v>0</v>
      </c>
      <c r="AB37" s="395">
        <v>0</v>
      </c>
      <c r="AC37" s="395">
        <f t="shared" si="174"/>
        <v>0</v>
      </c>
      <c r="AD37" s="159"/>
      <c r="AE37" s="159">
        <f>IFERROR(SUMIFS('PO Tracker'!$J$44:$J$1433,'PO Tracker'!$K$44:$K$1433,$AA$6,'PO Tracker'!$L$44:$L$1433,'Capex breakup'!$B37),0)</f>
        <v>0</v>
      </c>
      <c r="AF37" s="605" t="str">
        <f t="shared" si="175"/>
        <v/>
      </c>
      <c r="AG37" s="118"/>
      <c r="AH37" s="151">
        <v>0</v>
      </c>
      <c r="AI37" s="151">
        <f t="shared" si="176"/>
        <v>0</v>
      </c>
      <c r="AJ37" s="151">
        <f>AI37/AI2</f>
        <v>0</v>
      </c>
      <c r="AK37" s="159">
        <v>0</v>
      </c>
      <c r="AL37" s="395">
        <f t="shared" si="177"/>
        <v>0</v>
      </c>
      <c r="AM37" s="395">
        <f t="shared" si="178"/>
        <v>0</v>
      </c>
      <c r="AN37" s="159"/>
      <c r="AO37" s="159">
        <f>IFERROR(SUMIFS('PO Tracker'!$J$44:$J$1433,'PO Tracker'!$K$44:$K$1433,$AK$6,'PO Tracker'!$L$44:$L$1433,'Capex breakup'!$B37),0)</f>
        <v>0</v>
      </c>
      <c r="AP37" s="605" t="str">
        <f t="shared" si="179"/>
        <v/>
      </c>
      <c r="AQ37" s="118"/>
      <c r="AR37" s="287">
        <v>3205942</v>
      </c>
      <c r="AS37" s="287">
        <f t="shared" si="180"/>
        <v>2716900</v>
      </c>
      <c r="AT37" s="288">
        <f t="shared" si="181"/>
        <v>2500</v>
      </c>
      <c r="AU37" s="159">
        <v>900</v>
      </c>
      <c r="AV37" s="395">
        <f t="shared" si="182"/>
        <v>917900.09999999986</v>
      </c>
      <c r="AW37" s="395">
        <f t="shared" si="183"/>
        <v>1083122.1179999998</v>
      </c>
      <c r="AX37" s="159"/>
      <c r="AY37" s="159">
        <f>IFERROR(SUMIFS('PO Tracker'!$J$44:$J$1433,'PO Tracker'!$K$44:$K$1433,$AU$6,'PO Tracker'!$L$44:$L$1433,'Capex breakup'!$B37),0)</f>
        <v>0</v>
      </c>
      <c r="AZ37" s="605">
        <f t="shared" si="184"/>
        <v>0</v>
      </c>
      <c r="BA37" s="118"/>
      <c r="BB37" s="151">
        <v>3608430.5599999996</v>
      </c>
      <c r="BC37" s="151">
        <f t="shared" si="185"/>
        <v>3057992</v>
      </c>
      <c r="BD37" s="151">
        <f>BC37/BC2</f>
        <v>4900</v>
      </c>
      <c r="BE37" s="159">
        <v>800</v>
      </c>
      <c r="BF37" s="395">
        <f t="shared" si="186"/>
        <v>621900.86399999994</v>
      </c>
      <c r="BG37" s="395">
        <f t="shared" si="187"/>
        <v>733843.01951999986</v>
      </c>
      <c r="BH37" s="159"/>
      <c r="BI37" s="159">
        <f>IFERROR(SUMIFS('PO Tracker'!$J$44:$J$1433,'PO Tracker'!$K$44:$K$1433,$BE$6,'PO Tracker'!$L$44:$L$1433,'Capex breakup'!$B37),0)</f>
        <v>0</v>
      </c>
      <c r="BJ37" s="605">
        <f t="shared" si="188"/>
        <v>0</v>
      </c>
      <c r="BK37" s="118"/>
      <c r="BL37" s="151"/>
      <c r="BM37" s="151"/>
      <c r="BN37" s="151"/>
      <c r="BO37" s="159"/>
      <c r="BP37" s="395">
        <f t="shared" si="189"/>
        <v>0</v>
      </c>
      <c r="BQ37" s="395">
        <f t="shared" si="190"/>
        <v>0</v>
      </c>
      <c r="BR37" s="159"/>
      <c r="BS37" s="159">
        <f>IFERROR(SUMIFS('PO Tracker'!$J$44:$J$1433,'PO Tracker'!$K$44:$K$1433,$BO$6,'PO Tracker'!$L$44:$L$1433,'Capex breakup'!$B37),0)</f>
        <v>0</v>
      </c>
      <c r="BT37" s="605" t="str">
        <f t="shared" si="191"/>
        <v/>
      </c>
      <c r="BU37" s="118"/>
      <c r="BV37" s="151">
        <v>404393.07999999996</v>
      </c>
      <c r="BW37" s="151">
        <f t="shared" si="192"/>
        <v>342706</v>
      </c>
      <c r="BX37" s="151">
        <f>BW37/BW2</f>
        <v>350.05720122574053</v>
      </c>
      <c r="BY37" s="159">
        <v>700</v>
      </c>
      <c r="BZ37" s="395">
        <f t="shared" si="193"/>
        <v>261156.16799999998</v>
      </c>
      <c r="CA37" s="395">
        <f t="shared" si="194"/>
        <v>308164.27823999996</v>
      </c>
      <c r="CB37" s="159"/>
      <c r="CC37" s="159">
        <f>IFERROR(SUMIFS('PO Tracker'!$J$44:$J$1433,'PO Tracker'!$K$44:$K$1433,$BY$6,'PO Tracker'!$L$44:$L$1433,'Capex breakup'!$B37),0)</f>
        <v>0</v>
      </c>
      <c r="CD37" s="605">
        <f t="shared" si="195"/>
        <v>0</v>
      </c>
      <c r="CE37" s="118"/>
      <c r="CF37" s="151"/>
      <c r="CG37" s="151">
        <f t="shared" si="196"/>
        <v>0</v>
      </c>
      <c r="CH37" s="151">
        <f>CG37/CG2</f>
        <v>0</v>
      </c>
      <c r="CI37" s="159"/>
      <c r="CJ37" s="395">
        <f t="shared" si="197"/>
        <v>0</v>
      </c>
      <c r="CK37" s="395">
        <f t="shared" si="198"/>
        <v>0</v>
      </c>
      <c r="CL37" s="159"/>
      <c r="CM37" s="159">
        <f>IFERROR(SUMIFS('PO Tracker'!$J$44:$J$1433,'PO Tracker'!$K$44:$K$1433,$CI$6,'PO Tracker'!$L$44:$L$1433,'Capex breakup'!$B37),0)</f>
        <v>0</v>
      </c>
      <c r="CN37" s="605" t="str">
        <f t="shared" si="199"/>
        <v/>
      </c>
      <c r="CO37" s="118"/>
      <c r="CP37" s="151"/>
      <c r="CQ37" s="151">
        <f t="shared" si="200"/>
        <v>0</v>
      </c>
      <c r="CR37" s="151"/>
      <c r="CS37" s="159"/>
      <c r="CT37" s="395">
        <f t="shared" si="201"/>
        <v>0</v>
      </c>
      <c r="CU37" s="395">
        <f t="shared" si="202"/>
        <v>0</v>
      </c>
      <c r="CV37" s="159"/>
      <c r="CW37" s="159">
        <f>IFERROR(SUMIFS('PO Tracker'!$J$44:$J$1433,'PO Tracker'!$K$44:$K$1433,$CS$6,'PO Tracker'!$L$44:$L$1433,'Capex breakup'!$B37),0)</f>
        <v>0</v>
      </c>
      <c r="CX37" s="605" t="str">
        <f t="shared" si="203"/>
        <v/>
      </c>
      <c r="CY37" s="118"/>
      <c r="CZ37" s="151"/>
      <c r="DA37" s="151">
        <f t="shared" si="204"/>
        <v>0</v>
      </c>
      <c r="DB37" s="151">
        <f>DA37/DA2</f>
        <v>0</v>
      </c>
      <c r="DC37" s="159"/>
      <c r="DD37" s="395">
        <f t="shared" si="205"/>
        <v>0</v>
      </c>
      <c r="DE37" s="395">
        <f t="shared" si="206"/>
        <v>0</v>
      </c>
      <c r="DF37" s="159"/>
      <c r="DG37" s="159">
        <f>IFERROR(SUMIFS('PO Tracker'!$J$44:$J$1433,'PO Tracker'!$K$44:$K$1433,$DC$6,'PO Tracker'!$L$44:$L$1433,'Capex breakup'!$B37),0)</f>
        <v>0</v>
      </c>
      <c r="DH37" s="605" t="str">
        <f t="shared" si="207"/>
        <v/>
      </c>
      <c r="DI37" s="118"/>
      <c r="DJ37" s="151"/>
      <c r="DK37" s="151">
        <f t="shared" si="208"/>
        <v>0</v>
      </c>
      <c r="DL37" s="151">
        <f>DK37/DK2</f>
        <v>0</v>
      </c>
      <c r="DM37" s="159"/>
      <c r="DN37" s="395">
        <f t="shared" si="209"/>
        <v>0</v>
      </c>
      <c r="DO37" s="159">
        <f t="shared" si="210"/>
        <v>0</v>
      </c>
      <c r="DP37" s="159">
        <f>IFERROR(SUMIFS('PO Tracker'!$J$44:$J$1433,'PO Tracker'!$K$44:$K$1433,$DM$6,'PO Tracker'!$L$44:$L$1433,'Capex breakup'!$B37),0)</f>
        <v>0</v>
      </c>
      <c r="DQ37" s="605" t="str">
        <f t="shared" si="211"/>
        <v/>
      </c>
      <c r="DR37" s="118"/>
      <c r="DS37" s="151"/>
      <c r="DT37" s="151">
        <f t="shared" si="212"/>
        <v>0</v>
      </c>
      <c r="DU37" s="151">
        <f>DT37/DT2</f>
        <v>0</v>
      </c>
      <c r="DV37" s="159"/>
      <c r="DW37" s="395">
        <v>0</v>
      </c>
      <c r="DX37" s="395">
        <f t="shared" si="213"/>
        <v>0</v>
      </c>
      <c r="DY37" s="159"/>
      <c r="DZ37" s="159">
        <f>IFERROR(SUMIFS('PO Tracker'!$J$44:$J$1433,'PO Tracker'!$K$44:$K$1433,$DV$6,'PO Tracker'!$L$44:$L$1433,'Capex breakup'!$B37),0)</f>
        <v>0</v>
      </c>
      <c r="EA37" s="605" t="str">
        <f t="shared" si="214"/>
        <v/>
      </c>
      <c r="EB37" s="118"/>
      <c r="EC37" s="151"/>
      <c r="ED37" s="151">
        <f t="shared" si="215"/>
        <v>0</v>
      </c>
      <c r="EE37" s="151">
        <f>ED37/ED2</f>
        <v>0</v>
      </c>
      <c r="EF37" s="159"/>
      <c r="EG37" s="395">
        <f t="shared" si="216"/>
        <v>0</v>
      </c>
      <c r="EH37" s="395">
        <f t="shared" si="217"/>
        <v>0</v>
      </c>
      <c r="EI37" s="159"/>
      <c r="EJ37" s="159">
        <f>IFERROR(SUMIFS('PO Tracker'!$J$44:$J$1433,'PO Tracker'!$K$44:$K$1433,$EF$6,'PO Tracker'!$L$44:$L$1433,'Capex breakup'!$B37),0)</f>
        <v>0</v>
      </c>
      <c r="EK37" s="605" t="str">
        <f t="shared" si="218"/>
        <v/>
      </c>
      <c r="EL37" s="118"/>
      <c r="EM37" s="151"/>
      <c r="EN37" s="151"/>
      <c r="EO37" s="151"/>
      <c r="EP37" s="159"/>
      <c r="EQ37" s="395">
        <f t="shared" si="219"/>
        <v>0</v>
      </c>
      <c r="ER37" s="395">
        <f t="shared" si="220"/>
        <v>0</v>
      </c>
      <c r="ES37" s="159"/>
      <c r="ET37" s="159">
        <f>IFERROR(SUMIFS('PO Tracker'!$J$44:$J$1433,'PO Tracker'!$K$44:$K$1433,$EP$6,'PO Tracker'!$L$44:$L$1433,'Capex breakup'!$B37),0)</f>
        <v>0</v>
      </c>
      <c r="EU37" s="605" t="str">
        <f t="shared" si="221"/>
        <v/>
      </c>
      <c r="EV37" s="118"/>
      <c r="EW37" s="151"/>
      <c r="EX37" s="151"/>
      <c r="EY37" s="151"/>
      <c r="EZ37" s="159">
        <v>0</v>
      </c>
      <c r="FA37" s="395">
        <f t="shared" si="222"/>
        <v>0</v>
      </c>
      <c r="FB37" s="395">
        <f t="shared" si="223"/>
        <v>0</v>
      </c>
      <c r="FC37" s="159"/>
      <c r="FD37" s="159">
        <f>IFERROR(SUMIFS('PO Tracker'!$J$44:$J$1433,'PO Tracker'!$K$44:$K$1433,$EZ$6,'PO Tracker'!$L$44:$L$1433,'Capex breakup'!$B37),0)</f>
        <v>0</v>
      </c>
      <c r="FE37" s="605" t="str">
        <f t="shared" si="224"/>
        <v/>
      </c>
      <c r="FF37" s="118"/>
      <c r="FG37" s="318">
        <v>1946196.0000000002</v>
      </c>
      <c r="FH37" s="151">
        <f t="shared" si="225"/>
        <v>1737675</v>
      </c>
      <c r="FI37" s="133">
        <f t="shared" si="226"/>
        <v>659.15901676655801</v>
      </c>
      <c r="FJ37" s="159">
        <v>500</v>
      </c>
      <c r="FK37" s="395">
        <f t="shared" si="227"/>
        <v>1310355.54</v>
      </c>
      <c r="FL37" s="159">
        <f t="shared" si="228"/>
        <v>1546219.5371999999</v>
      </c>
      <c r="FM37" s="684"/>
      <c r="FN37" s="159">
        <f>FK37</f>
        <v>1310355.54</v>
      </c>
      <c r="FO37" s="685">
        <f t="shared" si="229"/>
        <v>1546219.5371999999</v>
      </c>
      <c r="FP37" s="684"/>
      <c r="FQ37" s="159">
        <f t="shared" si="230"/>
        <v>0</v>
      </c>
      <c r="FR37" s="685">
        <f t="shared" si="231"/>
        <v>0</v>
      </c>
      <c r="FS37" s="662">
        <f>IFERROR(SUMIFS('PO Tracker'!$J$44:$J$1433,'PO Tracker'!$K$44:$K$1433,$FJ$6,'PO Tracker'!$L$44:$L$1433,'Capex breakup'!$B37),0)</f>
        <v>0</v>
      </c>
      <c r="FT37" s="736" t="str">
        <f t="shared" si="232"/>
        <v/>
      </c>
      <c r="FU37" s="709"/>
      <c r="FV37" s="151"/>
      <c r="FW37" s="151">
        <f t="shared" si="233"/>
        <v>0</v>
      </c>
      <c r="FX37" s="151">
        <f>FW37/FW2</f>
        <v>0</v>
      </c>
      <c r="FY37" s="159"/>
      <c r="FZ37" s="395">
        <f t="shared" si="234"/>
        <v>0</v>
      </c>
      <c r="GA37" s="395">
        <f t="shared" si="235"/>
        <v>0</v>
      </c>
      <c r="GB37" s="159"/>
      <c r="GC37" s="159">
        <f>IFERROR(SUMIFS('PO Tracker'!$J$44:$J$1433,'PO Tracker'!$K$44:$K$1433,$FY$6,'PO Tracker'!$L$44:$L$1433,'Capex breakup'!$B37),0)</f>
        <v>0</v>
      </c>
      <c r="GD37" s="605" t="str">
        <f t="shared" si="236"/>
        <v/>
      </c>
      <c r="GE37" s="118"/>
      <c r="GF37" s="151"/>
      <c r="GG37" s="151">
        <f t="shared" si="237"/>
        <v>0</v>
      </c>
      <c r="GH37" s="151">
        <f>GG37/GG2</f>
        <v>0</v>
      </c>
      <c r="GI37" s="159"/>
      <c r="GJ37" s="395">
        <f t="shared" si="238"/>
        <v>0</v>
      </c>
      <c r="GK37" s="395">
        <f t="shared" si="239"/>
        <v>0</v>
      </c>
      <c r="GL37" s="159"/>
      <c r="GM37" s="159">
        <f>IFERROR(SUMIFS('PO Tracker'!$J$44:$J$1433,'PO Tracker'!$K$44:$K$1433,$GI$6,'PO Tracker'!$L$44:$L$1433,'Capex breakup'!$B37),0)</f>
        <v>0</v>
      </c>
      <c r="GN37" s="605" t="str">
        <f t="shared" si="240"/>
        <v/>
      </c>
      <c r="GO37" s="118"/>
      <c r="GP37" s="151"/>
      <c r="GQ37" s="151">
        <f t="shared" si="241"/>
        <v>0</v>
      </c>
      <c r="GR37" s="151">
        <f>GQ37/GQ2</f>
        <v>0</v>
      </c>
      <c r="GS37" s="159"/>
      <c r="GT37" s="395">
        <v>0</v>
      </c>
      <c r="GU37" s="159">
        <v>0</v>
      </c>
      <c r="GV37" s="159">
        <f>IFERROR(SUMIFS('PO Tracker'!$J$44:$J$1433,'PO Tracker'!$K$44:$K$1433,$GS$6,'PO Tracker'!$L$44:$L$1433,'Capex breakup'!$B37),0)</f>
        <v>0</v>
      </c>
      <c r="GW37" s="605" t="str">
        <f t="shared" si="242"/>
        <v/>
      </c>
      <c r="GX37" s="118"/>
      <c r="GY37" s="151"/>
      <c r="GZ37" s="151"/>
      <c r="HA37" s="133"/>
      <c r="HB37" s="159">
        <v>0</v>
      </c>
      <c r="HC37" s="395">
        <f t="shared" si="243"/>
        <v>0</v>
      </c>
      <c r="HD37" s="159">
        <f t="shared" si="244"/>
        <v>0</v>
      </c>
      <c r="HE37" s="159"/>
      <c r="HF37" s="159">
        <f>IFERROR(SUMIFS('PO Tracker'!$J$44:$J$1433,'PO Tracker'!$K$44:$K$1433,$HB$6,'PO Tracker'!$L$44:$L$1433,'Capex breakup'!$B37),0)</f>
        <v>0</v>
      </c>
      <c r="HG37" s="605" t="str">
        <f t="shared" si="245"/>
        <v/>
      </c>
      <c r="HH37" s="118"/>
      <c r="HI37" s="151"/>
      <c r="HJ37" s="151"/>
      <c r="HK37" s="133"/>
      <c r="HL37" s="159">
        <v>900</v>
      </c>
      <c r="HM37" s="395">
        <f t="shared" si="246"/>
        <v>3056437.8</v>
      </c>
      <c r="HN37" s="159">
        <f t="shared" si="247"/>
        <v>3606596.6039999998</v>
      </c>
      <c r="HO37" s="159">
        <f>IFERROR(SUMIFS('PO Tracker'!$J$44:$J$1433,'PO Tracker'!$K$44:$K$1433,$HL$6,'PO Tracker'!$L$44:$L$1433,'Capex breakup'!$B37),0)</f>
        <v>0</v>
      </c>
      <c r="HP37" s="605">
        <f t="shared" si="248"/>
        <v>0</v>
      </c>
      <c r="HQ37" s="118"/>
      <c r="HR37" s="364"/>
      <c r="HS37" s="364"/>
      <c r="HT37" s="364"/>
      <c r="HU37" s="364"/>
    </row>
    <row r="38" spans="1:229">
      <c r="A38" s="18">
        <v>9</v>
      </c>
      <c r="B38" s="19" t="s">
        <v>38</v>
      </c>
      <c r="C38" s="118"/>
      <c r="D38" s="151">
        <v>0</v>
      </c>
      <c r="E38" s="151">
        <f t="shared" si="164"/>
        <v>0</v>
      </c>
      <c r="F38" s="151">
        <f>E38/E2</f>
        <v>0</v>
      </c>
      <c r="G38" s="159">
        <v>0</v>
      </c>
      <c r="H38" s="395">
        <f t="shared" si="165"/>
        <v>0</v>
      </c>
      <c r="I38" s="395">
        <f t="shared" si="166"/>
        <v>0</v>
      </c>
      <c r="J38" s="159"/>
      <c r="K38" s="159">
        <f>IFERROR(SUMIFS('PO Tracker'!$J$44:$J$1433,'PO Tracker'!$K$44:$K$1433,$G$6,'PO Tracker'!$L$44:$L$1433,'Capex breakup'!$B38),0)</f>
        <v>0</v>
      </c>
      <c r="L38" s="605" t="str">
        <f t="shared" si="167"/>
        <v/>
      </c>
      <c r="M38" s="118"/>
      <c r="N38" s="151">
        <v>0</v>
      </c>
      <c r="O38" s="151">
        <f t="shared" si="168"/>
        <v>0</v>
      </c>
      <c r="P38" s="151">
        <f>O38/O2</f>
        <v>0</v>
      </c>
      <c r="Q38" s="159">
        <v>0</v>
      </c>
      <c r="R38" s="395">
        <f t="shared" si="169"/>
        <v>0</v>
      </c>
      <c r="S38" s="395">
        <f t="shared" si="170"/>
        <v>0</v>
      </c>
      <c r="T38" s="159"/>
      <c r="U38" s="159">
        <f>IFERROR(SUMIFS('PO Tracker'!$J$44:$J$1433,'PO Tracker'!$K$44:$K$1433,$Q$6,'PO Tracker'!$L$44:$L$1433,'Capex breakup'!$B38),0)</f>
        <v>0</v>
      </c>
      <c r="V38" s="605" t="str">
        <f t="shared" si="171"/>
        <v/>
      </c>
      <c r="W38" s="118"/>
      <c r="X38" s="151"/>
      <c r="Y38" s="151">
        <f t="shared" si="172"/>
        <v>0</v>
      </c>
      <c r="Z38" s="133">
        <f t="shared" si="173"/>
        <v>0</v>
      </c>
      <c r="AA38" s="159">
        <v>0</v>
      </c>
      <c r="AB38" s="395">
        <v>0</v>
      </c>
      <c r="AC38" s="395">
        <f t="shared" si="174"/>
        <v>0</v>
      </c>
      <c r="AD38" s="159"/>
      <c r="AE38" s="159">
        <f>IFERROR(SUMIFS('PO Tracker'!$J$44:$J$1433,'PO Tracker'!$K$44:$K$1433,$AA$6,'PO Tracker'!$L$44:$L$1433,'Capex breakup'!$B38),0)</f>
        <v>0</v>
      </c>
      <c r="AF38" s="605" t="str">
        <f t="shared" si="175"/>
        <v/>
      </c>
      <c r="AG38" s="118"/>
      <c r="AH38" s="151">
        <v>0</v>
      </c>
      <c r="AI38" s="151">
        <f t="shared" si="176"/>
        <v>0</v>
      </c>
      <c r="AJ38" s="151">
        <f>AI38/AI2</f>
        <v>0</v>
      </c>
      <c r="AK38" s="159">
        <v>500</v>
      </c>
      <c r="AL38" s="395">
        <f t="shared" si="177"/>
        <v>202578.47999999998</v>
      </c>
      <c r="AM38" s="395">
        <f t="shared" si="178"/>
        <v>239042.60639999996</v>
      </c>
      <c r="AN38" s="159"/>
      <c r="AO38" s="159">
        <f>IFERROR(SUMIFS('PO Tracker'!$J$44:$J$1433,'PO Tracker'!$K$44:$K$1433,$AK$6,'PO Tracker'!$L$44:$L$1433,'Capex breakup'!$B38),0)</f>
        <v>189803</v>
      </c>
      <c r="AP38" s="605">
        <f t="shared" si="179"/>
        <v>0.79401326340290457</v>
      </c>
      <c r="AQ38" s="118"/>
      <c r="AR38" s="287"/>
      <c r="AS38" s="287">
        <f t="shared" si="180"/>
        <v>0</v>
      </c>
      <c r="AT38" s="288">
        <f t="shared" si="181"/>
        <v>0</v>
      </c>
      <c r="AU38" s="159">
        <v>220</v>
      </c>
      <c r="AV38" s="395">
        <f t="shared" si="182"/>
        <v>224375.58</v>
      </c>
      <c r="AW38" s="395">
        <f t="shared" si="183"/>
        <v>264763.18439999997</v>
      </c>
      <c r="AX38" s="159"/>
      <c r="AY38" s="159">
        <f>IFERROR(SUMIFS('PO Tracker'!$J$44:$J$1433,'PO Tracker'!$K$44:$K$1433,$AU$6,'PO Tracker'!$L$44:$L$1433,'Capex breakup'!$B38),0)</f>
        <v>0</v>
      </c>
      <c r="AZ38" s="605">
        <f t="shared" si="184"/>
        <v>0</v>
      </c>
      <c r="BA38" s="118"/>
      <c r="BB38" s="151"/>
      <c r="BC38" s="151">
        <f t="shared" si="185"/>
        <v>0</v>
      </c>
      <c r="BD38" s="151">
        <f>BC38/BC2</f>
        <v>0</v>
      </c>
      <c r="BE38" s="159">
        <v>280</v>
      </c>
      <c r="BF38" s="395">
        <f t="shared" si="186"/>
        <v>217665.30239999996</v>
      </c>
      <c r="BG38" s="395">
        <f t="shared" si="187"/>
        <v>256845.05683199994</v>
      </c>
      <c r="BH38" s="159"/>
      <c r="BI38" s="159">
        <f>IFERROR(SUMIFS('PO Tracker'!$J$44:$J$1433,'PO Tracker'!$K$44:$K$1433,$BE$6,'PO Tracker'!$L$44:$L$1433,'Capex breakup'!$B38),0)</f>
        <v>295545.15999999997</v>
      </c>
      <c r="BJ38" s="605">
        <f t="shared" si="188"/>
        <v>1.1506748996665075</v>
      </c>
      <c r="BK38" s="118"/>
      <c r="BL38" s="151"/>
      <c r="BM38" s="151"/>
      <c r="BN38" s="151"/>
      <c r="BO38" s="159"/>
      <c r="BP38" s="395">
        <f t="shared" si="189"/>
        <v>0</v>
      </c>
      <c r="BQ38" s="395">
        <f t="shared" si="190"/>
        <v>0</v>
      </c>
      <c r="BR38" s="159"/>
      <c r="BS38" s="159">
        <f>IFERROR(SUMIFS('PO Tracker'!$J$44:$J$1433,'PO Tracker'!$K$44:$K$1433,$BO$6,'PO Tracker'!$L$44:$L$1433,'Capex breakup'!$B38),0)</f>
        <v>0</v>
      </c>
      <c r="BT38" s="605" t="str">
        <f t="shared" si="191"/>
        <v/>
      </c>
      <c r="BU38" s="118"/>
      <c r="BV38" s="151"/>
      <c r="BW38" s="151">
        <f t="shared" si="192"/>
        <v>0</v>
      </c>
      <c r="BX38" s="151">
        <f>BW38/BW2</f>
        <v>0</v>
      </c>
      <c r="BY38" s="159">
        <v>0</v>
      </c>
      <c r="BZ38" s="395">
        <f t="shared" si="193"/>
        <v>0</v>
      </c>
      <c r="CA38" s="395">
        <f t="shared" si="194"/>
        <v>0</v>
      </c>
      <c r="CB38" s="159"/>
      <c r="CC38" s="159">
        <f>IFERROR(SUMIFS('PO Tracker'!$J$44:$J$1433,'PO Tracker'!$K$44:$K$1433,$BY$6,'PO Tracker'!$L$44:$L$1433,'Capex breakup'!$B38),0)</f>
        <v>0</v>
      </c>
      <c r="CD38" s="605" t="str">
        <f t="shared" si="195"/>
        <v/>
      </c>
      <c r="CE38" s="118"/>
      <c r="CF38" s="151"/>
      <c r="CG38" s="151">
        <f t="shared" si="196"/>
        <v>0</v>
      </c>
      <c r="CH38" s="151">
        <f>CG38/CG2</f>
        <v>0</v>
      </c>
      <c r="CI38" s="159">
        <v>0</v>
      </c>
      <c r="CJ38" s="395">
        <f t="shared" si="197"/>
        <v>0</v>
      </c>
      <c r="CK38" s="395">
        <f t="shared" si="198"/>
        <v>0</v>
      </c>
      <c r="CL38" s="159"/>
      <c r="CM38" s="159">
        <f>IFERROR(SUMIFS('PO Tracker'!$J$44:$J$1433,'PO Tracker'!$K$44:$K$1433,$CI$6,'PO Tracker'!$L$44:$L$1433,'Capex breakup'!$B38),0)</f>
        <v>0</v>
      </c>
      <c r="CN38" s="605" t="str">
        <f t="shared" si="199"/>
        <v/>
      </c>
      <c r="CO38" s="118"/>
      <c r="CP38" s="151"/>
      <c r="CQ38" s="151">
        <f t="shared" si="200"/>
        <v>0</v>
      </c>
      <c r="CR38" s="151"/>
      <c r="CS38" s="159"/>
      <c r="CT38" s="395">
        <f t="shared" si="201"/>
        <v>0</v>
      </c>
      <c r="CU38" s="395">
        <f t="shared" si="202"/>
        <v>0</v>
      </c>
      <c r="CV38" s="159"/>
      <c r="CW38" s="159">
        <f>IFERROR(SUMIFS('PO Tracker'!$J$44:$J$1433,'PO Tracker'!$K$44:$K$1433,$CS$6,'PO Tracker'!$L$44:$L$1433,'Capex breakup'!$B38),0)</f>
        <v>0</v>
      </c>
      <c r="CX38" s="605" t="str">
        <f t="shared" si="203"/>
        <v/>
      </c>
      <c r="CY38" s="118"/>
      <c r="CZ38" s="151"/>
      <c r="DA38" s="151">
        <f t="shared" si="204"/>
        <v>0</v>
      </c>
      <c r="DB38" s="151">
        <f>DA38/DA2</f>
        <v>0</v>
      </c>
      <c r="DC38" s="159">
        <v>0</v>
      </c>
      <c r="DD38" s="395">
        <f t="shared" si="205"/>
        <v>0</v>
      </c>
      <c r="DE38" s="395">
        <f t="shared" si="206"/>
        <v>0</v>
      </c>
      <c r="DF38" s="159"/>
      <c r="DG38" s="159">
        <f>IFERROR(SUMIFS('PO Tracker'!$J$44:$J$1433,'PO Tracker'!$K$44:$K$1433,$DC$6,'PO Tracker'!$L$44:$L$1433,'Capex breakup'!$B38),0)</f>
        <v>0</v>
      </c>
      <c r="DH38" s="605" t="str">
        <f t="shared" si="207"/>
        <v/>
      </c>
      <c r="DI38" s="118"/>
      <c r="DJ38" s="151"/>
      <c r="DK38" s="151">
        <f t="shared" si="208"/>
        <v>0</v>
      </c>
      <c r="DL38" s="151">
        <f>DK38/DK2</f>
        <v>0</v>
      </c>
      <c r="DM38" s="159"/>
      <c r="DN38" s="395">
        <f t="shared" si="209"/>
        <v>0</v>
      </c>
      <c r="DO38" s="159">
        <f t="shared" si="210"/>
        <v>0</v>
      </c>
      <c r="DP38" s="159">
        <f>IFERROR(SUMIFS('PO Tracker'!$J$44:$J$1433,'PO Tracker'!$K$44:$K$1433,$DM$6,'PO Tracker'!$L$44:$L$1433,'Capex breakup'!$B38),0)</f>
        <v>0</v>
      </c>
      <c r="DQ38" s="605" t="str">
        <f t="shared" si="211"/>
        <v/>
      </c>
      <c r="DR38" s="118"/>
      <c r="DS38" s="151"/>
      <c r="DT38" s="151">
        <f t="shared" si="212"/>
        <v>0</v>
      </c>
      <c r="DU38" s="151">
        <f>DT38/DT2</f>
        <v>0</v>
      </c>
      <c r="DV38" s="159">
        <v>0</v>
      </c>
      <c r="DW38" s="395">
        <v>0</v>
      </c>
      <c r="DX38" s="395">
        <f t="shared" si="213"/>
        <v>0</v>
      </c>
      <c r="DY38" s="159"/>
      <c r="DZ38" s="159">
        <f>IFERROR(SUMIFS('PO Tracker'!$J$44:$J$1433,'PO Tracker'!$K$44:$K$1433,$DV$6,'PO Tracker'!$L$44:$L$1433,'Capex breakup'!$B38),0)</f>
        <v>0</v>
      </c>
      <c r="EA38" s="605" t="str">
        <f t="shared" si="214"/>
        <v/>
      </c>
      <c r="EB38" s="118"/>
      <c r="EC38" s="151"/>
      <c r="ED38" s="151">
        <f t="shared" si="215"/>
        <v>0</v>
      </c>
      <c r="EE38" s="151">
        <f>ED38/ED2</f>
        <v>0</v>
      </c>
      <c r="EF38" s="159">
        <v>0</v>
      </c>
      <c r="EG38" s="395">
        <f t="shared" si="216"/>
        <v>0</v>
      </c>
      <c r="EH38" s="395">
        <f t="shared" si="217"/>
        <v>0</v>
      </c>
      <c r="EI38" s="159"/>
      <c r="EJ38" s="159">
        <f>IFERROR(SUMIFS('PO Tracker'!$J$44:$J$1433,'PO Tracker'!$K$44:$K$1433,$EF$6,'PO Tracker'!$L$44:$L$1433,'Capex breakup'!$B38),0)</f>
        <v>0</v>
      </c>
      <c r="EK38" s="605" t="str">
        <f t="shared" si="218"/>
        <v/>
      </c>
      <c r="EL38" s="118"/>
      <c r="EM38" s="151"/>
      <c r="EN38" s="151"/>
      <c r="EO38" s="151"/>
      <c r="EP38" s="159">
        <v>0</v>
      </c>
      <c r="EQ38" s="395">
        <f t="shared" si="219"/>
        <v>0</v>
      </c>
      <c r="ER38" s="395">
        <f t="shared" si="220"/>
        <v>0</v>
      </c>
      <c r="ES38" s="159"/>
      <c r="ET38" s="159">
        <f>IFERROR(SUMIFS('PO Tracker'!$J$44:$J$1433,'PO Tracker'!$K$44:$K$1433,$EP$6,'PO Tracker'!$L$44:$L$1433,'Capex breakup'!$B38),0)</f>
        <v>0</v>
      </c>
      <c r="EU38" s="605" t="str">
        <f t="shared" si="221"/>
        <v/>
      </c>
      <c r="EV38" s="118"/>
      <c r="EW38" s="151"/>
      <c r="EX38" s="151"/>
      <c r="EY38" s="151"/>
      <c r="EZ38" s="159">
        <v>150</v>
      </c>
      <c r="FA38" s="395">
        <f t="shared" si="222"/>
        <v>192121.25399999996</v>
      </c>
      <c r="FB38" s="395">
        <f t="shared" si="223"/>
        <v>226703.07971999995</v>
      </c>
      <c r="FC38" s="159"/>
      <c r="FD38" s="159">
        <f>IFERROR(SUMIFS('PO Tracker'!$J$44:$J$1433,'PO Tracker'!$K$44:$K$1433,$EZ$6,'PO Tracker'!$L$44:$L$1433,'Capex breakup'!$B38),0)</f>
        <v>181072.18</v>
      </c>
      <c r="FE38" s="605">
        <f t="shared" si="224"/>
        <v>0.79871954198258577</v>
      </c>
      <c r="FF38" s="118"/>
      <c r="FG38" s="318"/>
      <c r="FH38" s="151">
        <f t="shared" si="225"/>
        <v>0</v>
      </c>
      <c r="FI38" s="133">
        <f t="shared" si="226"/>
        <v>0</v>
      </c>
      <c r="FJ38" s="159">
        <f>+FI38</f>
        <v>0</v>
      </c>
      <c r="FK38" s="395">
        <f t="shared" si="227"/>
        <v>0</v>
      </c>
      <c r="FL38" s="159">
        <f t="shared" si="228"/>
        <v>0</v>
      </c>
      <c r="FM38" s="684"/>
      <c r="FN38" s="159">
        <v>0</v>
      </c>
      <c r="FO38" s="685">
        <f t="shared" si="229"/>
        <v>0</v>
      </c>
      <c r="FP38" s="684"/>
      <c r="FQ38" s="159">
        <f t="shared" si="230"/>
        <v>0</v>
      </c>
      <c r="FR38" s="685">
        <f t="shared" si="231"/>
        <v>0</v>
      </c>
      <c r="FS38" s="662">
        <f>IFERROR(SUMIFS('PO Tracker'!$J$44:$J$1433,'PO Tracker'!$K$44:$K$1433,$FJ$6,'PO Tracker'!$L$44:$L$1433,'Capex breakup'!$B38),0)</f>
        <v>0</v>
      </c>
      <c r="FT38" s="736" t="str">
        <f t="shared" si="232"/>
        <v/>
      </c>
      <c r="FU38" s="709"/>
      <c r="FV38" s="151"/>
      <c r="FW38" s="151">
        <f t="shared" si="233"/>
        <v>0</v>
      </c>
      <c r="FX38" s="151">
        <f>FW38/FW2</f>
        <v>0</v>
      </c>
      <c r="FY38" s="159">
        <v>0</v>
      </c>
      <c r="FZ38" s="395">
        <f t="shared" si="234"/>
        <v>0</v>
      </c>
      <c r="GA38" s="395">
        <f t="shared" si="235"/>
        <v>0</v>
      </c>
      <c r="GB38" s="159"/>
      <c r="GC38" s="159">
        <f>IFERROR(SUMIFS('PO Tracker'!$J$44:$J$1433,'PO Tracker'!$K$44:$K$1433,$FY$6,'PO Tracker'!$L$44:$L$1433,'Capex breakup'!$B38),0)</f>
        <v>0</v>
      </c>
      <c r="GD38" s="605" t="str">
        <f t="shared" si="236"/>
        <v/>
      </c>
      <c r="GE38" s="118"/>
      <c r="GF38" s="151"/>
      <c r="GG38" s="151">
        <f t="shared" si="237"/>
        <v>0</v>
      </c>
      <c r="GH38" s="151">
        <f>GG38/GG2</f>
        <v>0</v>
      </c>
      <c r="GI38" s="159"/>
      <c r="GJ38" s="395">
        <f t="shared" si="238"/>
        <v>0</v>
      </c>
      <c r="GK38" s="395">
        <f t="shared" si="239"/>
        <v>0</v>
      </c>
      <c r="GL38" s="159"/>
      <c r="GM38" s="159">
        <f>IFERROR(SUMIFS('PO Tracker'!$J$44:$J$1433,'PO Tracker'!$K$44:$K$1433,$GI$6,'PO Tracker'!$L$44:$L$1433,'Capex breakup'!$B38),0)</f>
        <v>0</v>
      </c>
      <c r="GN38" s="605" t="str">
        <f t="shared" si="240"/>
        <v/>
      </c>
      <c r="GO38" s="118"/>
      <c r="GP38" s="151"/>
      <c r="GQ38" s="151">
        <f t="shared" si="241"/>
        <v>0</v>
      </c>
      <c r="GR38" s="151">
        <f>GQ38/GQ2</f>
        <v>0</v>
      </c>
      <c r="GS38" s="159"/>
      <c r="GT38" s="395">
        <v>0</v>
      </c>
      <c r="GU38" s="159">
        <v>0</v>
      </c>
      <c r="GV38" s="159">
        <f>IFERROR(SUMIFS('PO Tracker'!$J$44:$J$1433,'PO Tracker'!$K$44:$K$1433,$GS$6,'PO Tracker'!$L$44:$L$1433,'Capex breakup'!$B38),0)</f>
        <v>0</v>
      </c>
      <c r="GW38" s="605" t="str">
        <f t="shared" si="242"/>
        <v/>
      </c>
      <c r="GX38" s="118"/>
      <c r="GY38" s="151"/>
      <c r="GZ38" s="151"/>
      <c r="HA38" s="133"/>
      <c r="HB38" s="159">
        <v>120</v>
      </c>
      <c r="HC38" s="395">
        <f t="shared" si="243"/>
        <v>400627.46880000003</v>
      </c>
      <c r="HD38" s="159">
        <f t="shared" si="244"/>
        <v>472740.413184</v>
      </c>
      <c r="HE38" s="159"/>
      <c r="HF38" s="159">
        <f>IFERROR(SUMIFS('PO Tracker'!$J$44:$J$1433,'PO Tracker'!$K$44:$K$1433,$HB$6,'PO Tracker'!$L$44:$L$1433,'Capex breakup'!$B38),0)</f>
        <v>0</v>
      </c>
      <c r="HG38" s="605">
        <f t="shared" si="245"/>
        <v>0</v>
      </c>
      <c r="HH38" s="118"/>
      <c r="HI38" s="151"/>
      <c r="HJ38" s="151"/>
      <c r="HK38" s="133"/>
      <c r="HL38" s="159">
        <v>0</v>
      </c>
      <c r="HM38" s="395">
        <f t="shared" si="246"/>
        <v>0</v>
      </c>
      <c r="HN38" s="159">
        <f t="shared" si="247"/>
        <v>0</v>
      </c>
      <c r="HO38" s="159">
        <f>IFERROR(SUMIFS('PO Tracker'!$J$44:$J$1433,'PO Tracker'!$K$44:$K$1433,$HL$6,'PO Tracker'!$L$44:$L$1433,'Capex breakup'!$B38),0)</f>
        <v>0</v>
      </c>
      <c r="HP38" s="605" t="str">
        <f t="shared" si="248"/>
        <v/>
      </c>
      <c r="HQ38" s="118"/>
      <c r="HR38" s="364"/>
      <c r="HS38" s="364"/>
      <c r="HT38" s="364"/>
      <c r="HU38" s="364"/>
    </row>
    <row r="39" spans="1:229">
      <c r="A39" s="18">
        <v>10</v>
      </c>
      <c r="B39" s="19" t="s">
        <v>39</v>
      </c>
      <c r="C39" s="118"/>
      <c r="D39" s="151">
        <v>0</v>
      </c>
      <c r="E39" s="151">
        <f t="shared" si="164"/>
        <v>0</v>
      </c>
      <c r="F39" s="151">
        <f>E39/E2</f>
        <v>0</v>
      </c>
      <c r="G39" s="159">
        <f>200*0</f>
        <v>0</v>
      </c>
      <c r="H39" s="395">
        <f t="shared" si="165"/>
        <v>0</v>
      </c>
      <c r="I39" s="395">
        <f t="shared" si="166"/>
        <v>0</v>
      </c>
      <c r="J39" s="159"/>
      <c r="K39" s="159">
        <f>IFERROR(SUMIFS('PO Tracker'!$J$44:$J$1433,'PO Tracker'!$K$44:$K$1433,$G$6,'PO Tracker'!$L$44:$L$1433,'Capex breakup'!$B39),0)</f>
        <v>0</v>
      </c>
      <c r="L39" s="605" t="str">
        <f t="shared" si="167"/>
        <v/>
      </c>
      <c r="M39" s="118"/>
      <c r="N39" s="151">
        <v>0</v>
      </c>
      <c r="O39" s="151">
        <f t="shared" si="168"/>
        <v>0</v>
      </c>
      <c r="P39" s="151">
        <f>O39/O2</f>
        <v>0</v>
      </c>
      <c r="Q39" s="159">
        <f>200*0</f>
        <v>0</v>
      </c>
      <c r="R39" s="395">
        <f t="shared" si="169"/>
        <v>0</v>
      </c>
      <c r="S39" s="395">
        <f t="shared" si="170"/>
        <v>0</v>
      </c>
      <c r="T39" s="159"/>
      <c r="U39" s="159">
        <f>IFERROR(SUMIFS('PO Tracker'!$J$44:$J$1433,'PO Tracker'!$K$44:$K$1433,$Q$6,'PO Tracker'!$L$44:$L$1433,'Capex breakup'!$B39),0)</f>
        <v>0</v>
      </c>
      <c r="V39" s="605" t="str">
        <f t="shared" si="171"/>
        <v/>
      </c>
      <c r="W39" s="118"/>
      <c r="X39" s="151"/>
      <c r="Y39" s="151">
        <f t="shared" si="172"/>
        <v>0</v>
      </c>
      <c r="Z39" s="133">
        <f t="shared" si="173"/>
        <v>0</v>
      </c>
      <c r="AA39" s="159">
        <v>0</v>
      </c>
      <c r="AB39" s="395">
        <f>AA39*$AB$2</f>
        <v>0</v>
      </c>
      <c r="AC39" s="395">
        <f t="shared" si="174"/>
        <v>0</v>
      </c>
      <c r="AD39" s="159"/>
      <c r="AE39" s="159">
        <f>IFERROR(SUMIFS('PO Tracker'!$J$44:$J$1433,'PO Tracker'!$K$44:$K$1433,$AA$6,'PO Tracker'!$L$44:$L$1433,'Capex breakup'!$B39),0)</f>
        <v>0</v>
      </c>
      <c r="AF39" s="605" t="str">
        <f t="shared" si="175"/>
        <v/>
      </c>
      <c r="AG39" s="118"/>
      <c r="AH39" s="151">
        <v>0</v>
      </c>
      <c r="AI39" s="151">
        <f t="shared" si="176"/>
        <v>0</v>
      </c>
      <c r="AJ39" s="151">
        <f>AI39/AI2</f>
        <v>0</v>
      </c>
      <c r="AK39" s="159">
        <v>700</v>
      </c>
      <c r="AL39" s="395">
        <f t="shared" si="177"/>
        <v>283609.87199999997</v>
      </c>
      <c r="AM39" s="395">
        <f t="shared" si="178"/>
        <v>334659.64895999996</v>
      </c>
      <c r="AN39" s="159"/>
      <c r="AO39" s="159">
        <f>IFERROR(SUMIFS('PO Tracker'!$J$44:$J$1433,'PO Tracker'!$K$44:$K$1433,$AK$6,'PO Tracker'!$L$44:$L$1433,'Capex breakup'!$B39),0)</f>
        <v>0</v>
      </c>
      <c r="AP39" s="605">
        <f t="shared" si="179"/>
        <v>0</v>
      </c>
      <c r="AQ39" s="118"/>
      <c r="AR39" s="287">
        <v>354000</v>
      </c>
      <c r="AS39" s="287">
        <f t="shared" si="180"/>
        <v>300000</v>
      </c>
      <c r="AT39" s="288">
        <f t="shared" si="181"/>
        <v>276.04990982369611</v>
      </c>
      <c r="AU39" s="159">
        <v>400</v>
      </c>
      <c r="AV39" s="395">
        <f t="shared" si="182"/>
        <v>407955.6</v>
      </c>
      <c r="AW39" s="395">
        <f t="shared" si="183"/>
        <v>481387.60799999995</v>
      </c>
      <c r="AX39" s="159"/>
      <c r="AY39" s="159">
        <f>IFERROR(SUMIFS('PO Tracker'!$J$44:$J$1433,'PO Tracker'!$K$44:$K$1433,$AU$6,'PO Tracker'!$L$44:$L$1433,'Capex breakup'!$B39),0)</f>
        <v>0</v>
      </c>
      <c r="AZ39" s="605">
        <f t="shared" si="184"/>
        <v>0</v>
      </c>
      <c r="BA39" s="118"/>
      <c r="BB39" s="151">
        <v>118000</v>
      </c>
      <c r="BC39" s="151">
        <f t="shared" si="185"/>
        <v>100000</v>
      </c>
      <c r="BD39" s="151">
        <f>BC39/BC2</f>
        <v>160.23586719651325</v>
      </c>
      <c r="BE39" s="159">
        <v>300</v>
      </c>
      <c r="BF39" s="395">
        <f t="shared" si="186"/>
        <v>233212.82399999996</v>
      </c>
      <c r="BG39" s="395">
        <f t="shared" si="187"/>
        <v>275191.13231999992</v>
      </c>
      <c r="BH39" s="159"/>
      <c r="BI39" s="159">
        <f>IFERROR(SUMIFS('PO Tracker'!$J$44:$J$1433,'PO Tracker'!$K$44:$K$1433,$BE$6,'PO Tracker'!$L$44:$L$1433,'Capex breakup'!$B39),0)</f>
        <v>0</v>
      </c>
      <c r="BJ39" s="605">
        <f t="shared" si="188"/>
        <v>0</v>
      </c>
      <c r="BK39" s="118"/>
      <c r="BL39" s="151"/>
      <c r="BM39" s="151"/>
      <c r="BN39" s="151"/>
      <c r="BO39" s="159"/>
      <c r="BP39" s="395">
        <f t="shared" si="189"/>
        <v>0</v>
      </c>
      <c r="BQ39" s="395">
        <f t="shared" si="190"/>
        <v>0</v>
      </c>
      <c r="BR39" s="159"/>
      <c r="BS39" s="159">
        <f>IFERROR(SUMIFS('PO Tracker'!$J$44:$J$1433,'PO Tracker'!$K$44:$K$1433,$BO$6,'PO Tracker'!$L$44:$L$1433,'Capex breakup'!$B39),0)</f>
        <v>0</v>
      </c>
      <c r="BT39" s="605" t="str">
        <f t="shared" si="191"/>
        <v/>
      </c>
      <c r="BU39" s="118"/>
      <c r="BV39" s="151"/>
      <c r="BW39" s="151">
        <f t="shared" si="192"/>
        <v>0</v>
      </c>
      <c r="BX39" s="151">
        <f>BW39/BW2</f>
        <v>0</v>
      </c>
      <c r="BY39" s="159">
        <v>0</v>
      </c>
      <c r="BZ39" s="395">
        <f t="shared" si="193"/>
        <v>0</v>
      </c>
      <c r="CA39" s="395">
        <f t="shared" si="194"/>
        <v>0</v>
      </c>
      <c r="CB39" s="159"/>
      <c r="CC39" s="159">
        <f>IFERROR(SUMIFS('PO Tracker'!$J$44:$J$1433,'PO Tracker'!$K$44:$K$1433,$BY$6,'PO Tracker'!$L$44:$L$1433,'Capex breakup'!$B39),0)</f>
        <v>0</v>
      </c>
      <c r="CD39" s="605" t="str">
        <f t="shared" si="195"/>
        <v/>
      </c>
      <c r="CE39" s="118"/>
      <c r="CF39" s="151"/>
      <c r="CG39" s="151">
        <f t="shared" si="196"/>
        <v>0</v>
      </c>
      <c r="CH39" s="151">
        <f>CG39/CG2</f>
        <v>0</v>
      </c>
      <c r="CI39" s="159"/>
      <c r="CJ39" s="395">
        <f t="shared" si="197"/>
        <v>0</v>
      </c>
      <c r="CK39" s="395">
        <f t="shared" si="198"/>
        <v>0</v>
      </c>
      <c r="CL39" s="159"/>
      <c r="CM39" s="159">
        <f>IFERROR(SUMIFS('PO Tracker'!$J$44:$J$1433,'PO Tracker'!$K$44:$K$1433,$CI$6,'PO Tracker'!$L$44:$L$1433,'Capex breakup'!$B39),0)</f>
        <v>0</v>
      </c>
      <c r="CN39" s="605" t="str">
        <f t="shared" si="199"/>
        <v/>
      </c>
      <c r="CO39" s="118"/>
      <c r="CP39" s="151"/>
      <c r="CQ39" s="151">
        <f t="shared" si="200"/>
        <v>0</v>
      </c>
      <c r="CR39" s="151"/>
      <c r="CS39" s="159"/>
      <c r="CT39" s="395">
        <f t="shared" si="201"/>
        <v>0</v>
      </c>
      <c r="CU39" s="395">
        <f t="shared" si="202"/>
        <v>0</v>
      </c>
      <c r="CV39" s="159"/>
      <c r="CW39" s="159">
        <f>IFERROR(SUMIFS('PO Tracker'!$J$44:$J$1433,'PO Tracker'!$K$44:$K$1433,$CS$6,'PO Tracker'!$L$44:$L$1433,'Capex breakup'!$B39),0)</f>
        <v>0</v>
      </c>
      <c r="CX39" s="605" t="str">
        <f t="shared" si="203"/>
        <v/>
      </c>
      <c r="CY39" s="118"/>
      <c r="CZ39" s="151"/>
      <c r="DA39" s="151">
        <f t="shared" si="204"/>
        <v>0</v>
      </c>
      <c r="DB39" s="151">
        <f>DA39/DA2</f>
        <v>0</v>
      </c>
      <c r="DC39" s="159"/>
      <c r="DD39" s="395">
        <f t="shared" si="205"/>
        <v>0</v>
      </c>
      <c r="DE39" s="395">
        <f t="shared" si="206"/>
        <v>0</v>
      </c>
      <c r="DF39" s="159"/>
      <c r="DG39" s="159">
        <f>IFERROR(SUMIFS('PO Tracker'!$J$44:$J$1433,'PO Tracker'!$K$44:$K$1433,$DC$6,'PO Tracker'!$L$44:$L$1433,'Capex breakup'!$B39),0)</f>
        <v>0</v>
      </c>
      <c r="DH39" s="605" t="str">
        <f t="shared" si="207"/>
        <v/>
      </c>
      <c r="DI39" s="118"/>
      <c r="DJ39" s="151"/>
      <c r="DK39" s="151">
        <f t="shared" si="208"/>
        <v>0</v>
      </c>
      <c r="DL39" s="151">
        <f>DK39/DK2</f>
        <v>0</v>
      </c>
      <c r="DM39" s="159"/>
      <c r="DN39" s="395">
        <f t="shared" si="209"/>
        <v>0</v>
      </c>
      <c r="DO39" s="159">
        <f t="shared" si="210"/>
        <v>0</v>
      </c>
      <c r="DP39" s="159">
        <f>IFERROR(SUMIFS('PO Tracker'!$J$44:$J$1433,'PO Tracker'!$K$44:$K$1433,$DM$6,'PO Tracker'!$L$44:$L$1433,'Capex breakup'!$B39),0)</f>
        <v>0</v>
      </c>
      <c r="DQ39" s="605" t="str">
        <f t="shared" si="211"/>
        <v/>
      </c>
      <c r="DR39" s="118"/>
      <c r="DS39" s="151"/>
      <c r="DT39" s="151">
        <f t="shared" si="212"/>
        <v>0</v>
      </c>
      <c r="DU39" s="151">
        <f>DT39/DT2</f>
        <v>0</v>
      </c>
      <c r="DV39" s="159"/>
      <c r="DW39" s="395">
        <v>0</v>
      </c>
      <c r="DX39" s="395">
        <f t="shared" si="213"/>
        <v>0</v>
      </c>
      <c r="DY39" s="159"/>
      <c r="DZ39" s="159">
        <f>IFERROR(SUMIFS('PO Tracker'!$J$44:$J$1433,'PO Tracker'!$K$44:$K$1433,$DV$6,'PO Tracker'!$L$44:$L$1433,'Capex breakup'!$B39),0)</f>
        <v>0</v>
      </c>
      <c r="EA39" s="605" t="str">
        <f t="shared" si="214"/>
        <v/>
      </c>
      <c r="EB39" s="118"/>
      <c r="EC39" s="151"/>
      <c r="ED39" s="151">
        <f t="shared" si="215"/>
        <v>0</v>
      </c>
      <c r="EE39" s="151">
        <f>ED39/ED2</f>
        <v>0</v>
      </c>
      <c r="EF39" s="159"/>
      <c r="EG39" s="395">
        <f t="shared" si="216"/>
        <v>0</v>
      </c>
      <c r="EH39" s="395">
        <f t="shared" si="217"/>
        <v>0</v>
      </c>
      <c r="EI39" s="159"/>
      <c r="EJ39" s="159">
        <f>IFERROR(SUMIFS('PO Tracker'!$J$44:$J$1433,'PO Tracker'!$K$44:$K$1433,$EF$6,'PO Tracker'!$L$44:$L$1433,'Capex breakup'!$B39),0)</f>
        <v>0</v>
      </c>
      <c r="EK39" s="605" t="str">
        <f t="shared" si="218"/>
        <v/>
      </c>
      <c r="EL39" s="118"/>
      <c r="EM39" s="151"/>
      <c r="EN39" s="151"/>
      <c r="EO39" s="151"/>
      <c r="EP39" s="159">
        <f>200*0</f>
        <v>0</v>
      </c>
      <c r="EQ39" s="395">
        <f t="shared" si="219"/>
        <v>0</v>
      </c>
      <c r="ER39" s="395">
        <f t="shared" si="220"/>
        <v>0</v>
      </c>
      <c r="ES39" s="159"/>
      <c r="ET39" s="159">
        <f>IFERROR(SUMIFS('PO Tracker'!$J$44:$J$1433,'PO Tracker'!$K$44:$K$1433,$EP$6,'PO Tracker'!$L$44:$L$1433,'Capex breakup'!$B39),0)</f>
        <v>0</v>
      </c>
      <c r="EU39" s="605" t="str">
        <f t="shared" si="221"/>
        <v/>
      </c>
      <c r="EV39" s="118"/>
      <c r="EW39" s="151"/>
      <c r="EX39" s="151"/>
      <c r="EY39" s="151"/>
      <c r="EZ39" s="159">
        <v>300</v>
      </c>
      <c r="FA39" s="395">
        <f t="shared" si="222"/>
        <v>384242.50799999991</v>
      </c>
      <c r="FB39" s="395">
        <f t="shared" si="223"/>
        <v>453406.1594399999</v>
      </c>
      <c r="FC39" s="159"/>
      <c r="FD39" s="159">
        <f>IFERROR(SUMIFS('PO Tracker'!$J$44:$J$1433,'PO Tracker'!$K$44:$K$1433,$EZ$6,'PO Tracker'!$L$44:$L$1433,'Capex breakup'!$B39),0)</f>
        <v>0</v>
      </c>
      <c r="FE39" s="605">
        <f t="shared" si="224"/>
        <v>0</v>
      </c>
      <c r="FF39" s="118"/>
      <c r="FG39" s="318"/>
      <c r="FH39" s="151">
        <f t="shared" si="225"/>
        <v>0</v>
      </c>
      <c r="FI39" s="133">
        <f t="shared" si="226"/>
        <v>0</v>
      </c>
      <c r="FJ39" s="159">
        <v>50</v>
      </c>
      <c r="FK39" s="395">
        <f t="shared" si="227"/>
        <v>131035.554</v>
      </c>
      <c r="FL39" s="159">
        <f t="shared" si="228"/>
        <v>154621.95371999999</v>
      </c>
      <c r="FM39" s="684"/>
      <c r="FN39" s="159">
        <f>FK39</f>
        <v>131035.554</v>
      </c>
      <c r="FO39" s="685">
        <f t="shared" si="229"/>
        <v>154621.95371999999</v>
      </c>
      <c r="FP39" s="684"/>
      <c r="FQ39" s="159">
        <f t="shared" si="230"/>
        <v>0</v>
      </c>
      <c r="FR39" s="685">
        <f t="shared" si="231"/>
        <v>0</v>
      </c>
      <c r="FS39" s="662">
        <f>IFERROR(SUMIFS('PO Tracker'!$J$44:$J$1433,'PO Tracker'!$K$44:$K$1433,$FJ$6,'PO Tracker'!$L$44:$L$1433,'Capex breakup'!$B39),0)</f>
        <v>0</v>
      </c>
      <c r="FT39" s="736" t="str">
        <f t="shared" si="232"/>
        <v/>
      </c>
      <c r="FU39" s="709"/>
      <c r="FV39" s="151"/>
      <c r="FW39" s="151">
        <f t="shared" si="233"/>
        <v>0</v>
      </c>
      <c r="FX39" s="151">
        <f>FW39/FW2</f>
        <v>0</v>
      </c>
      <c r="FY39" s="159"/>
      <c r="FZ39" s="395">
        <f t="shared" si="234"/>
        <v>0</v>
      </c>
      <c r="GA39" s="395">
        <f t="shared" si="235"/>
        <v>0</v>
      </c>
      <c r="GB39" s="159"/>
      <c r="GC39" s="159">
        <f>IFERROR(SUMIFS('PO Tracker'!$J$44:$J$1433,'PO Tracker'!$K$44:$K$1433,$FY$6,'PO Tracker'!$L$44:$L$1433,'Capex breakup'!$B39),0)</f>
        <v>0</v>
      </c>
      <c r="GD39" s="605" t="str">
        <f t="shared" si="236"/>
        <v/>
      </c>
      <c r="GE39" s="118"/>
      <c r="GF39" s="151"/>
      <c r="GG39" s="151">
        <f t="shared" si="237"/>
        <v>0</v>
      </c>
      <c r="GH39" s="151">
        <f>GG39/GG2</f>
        <v>0</v>
      </c>
      <c r="GI39" s="159"/>
      <c r="GJ39" s="395">
        <f t="shared" si="238"/>
        <v>0</v>
      </c>
      <c r="GK39" s="395">
        <f t="shared" si="239"/>
        <v>0</v>
      </c>
      <c r="GL39" s="159"/>
      <c r="GM39" s="159">
        <f>IFERROR(SUMIFS('PO Tracker'!$J$44:$J$1433,'PO Tracker'!$K$44:$K$1433,$GI$6,'PO Tracker'!$L$44:$L$1433,'Capex breakup'!$B39),0)</f>
        <v>0</v>
      </c>
      <c r="GN39" s="605" t="str">
        <f t="shared" si="240"/>
        <v/>
      </c>
      <c r="GO39" s="118"/>
      <c r="GP39" s="151"/>
      <c r="GQ39" s="151">
        <f t="shared" si="241"/>
        <v>0</v>
      </c>
      <c r="GR39" s="151">
        <f>GQ39/GQ2</f>
        <v>0</v>
      </c>
      <c r="GS39" s="159"/>
      <c r="GT39" s="395">
        <v>0</v>
      </c>
      <c r="GU39" s="159">
        <v>0</v>
      </c>
      <c r="GV39" s="159">
        <f>IFERROR(SUMIFS('PO Tracker'!$J$44:$J$1433,'PO Tracker'!$K$44:$K$1433,$GS$6,'PO Tracker'!$L$44:$L$1433,'Capex breakup'!$B39),0)</f>
        <v>0</v>
      </c>
      <c r="GW39" s="605" t="str">
        <f t="shared" si="242"/>
        <v/>
      </c>
      <c r="GX39" s="118"/>
      <c r="GY39" s="151"/>
      <c r="GZ39" s="151"/>
      <c r="HA39" s="133"/>
      <c r="HB39" s="159">
        <v>300</v>
      </c>
      <c r="HC39" s="395">
        <f t="shared" si="243"/>
        <v>1001568.672</v>
      </c>
      <c r="HD39" s="159">
        <f t="shared" si="244"/>
        <v>1181851.03296</v>
      </c>
      <c r="HE39" s="159"/>
      <c r="HF39" s="159">
        <f>IFERROR(SUMIFS('PO Tracker'!$J$44:$J$1433,'PO Tracker'!$K$44:$K$1433,$HB$6,'PO Tracker'!$L$44:$L$1433,'Capex breakup'!$B39),0)</f>
        <v>0</v>
      </c>
      <c r="HG39" s="605">
        <f t="shared" si="245"/>
        <v>0</v>
      </c>
      <c r="HH39" s="118"/>
      <c r="HI39" s="151"/>
      <c r="HJ39" s="151"/>
      <c r="HK39" s="133"/>
      <c r="HL39" s="159">
        <v>500</v>
      </c>
      <c r="HM39" s="395">
        <f t="shared" si="246"/>
        <v>1698021</v>
      </c>
      <c r="HN39" s="159">
        <f t="shared" si="247"/>
        <v>2003664.7799999998</v>
      </c>
      <c r="HO39" s="159">
        <f>IFERROR(SUMIFS('PO Tracker'!$J$44:$J$1433,'PO Tracker'!$K$44:$K$1433,$HL$6,'PO Tracker'!$L$44:$L$1433,'Capex breakup'!$B39),0)</f>
        <v>0</v>
      </c>
      <c r="HP39" s="605">
        <f t="shared" si="248"/>
        <v>0</v>
      </c>
      <c r="HQ39" s="118"/>
      <c r="HR39" s="364"/>
      <c r="HS39" s="364"/>
      <c r="HT39" s="364"/>
      <c r="HU39" s="364"/>
    </row>
    <row r="40" spans="1:229">
      <c r="A40" s="18">
        <v>11</v>
      </c>
      <c r="B40" s="19" t="s">
        <v>83</v>
      </c>
      <c r="C40" s="118"/>
      <c r="D40" s="151">
        <v>29202.639999999999</v>
      </c>
      <c r="E40" s="151">
        <f t="shared" si="164"/>
        <v>24748</v>
      </c>
      <c r="F40" s="151">
        <f>E40/E2</f>
        <v>100</v>
      </c>
      <c r="G40" s="159">
        <v>80</v>
      </c>
      <c r="H40" s="395">
        <f t="shared" si="165"/>
        <v>35107.862399999998</v>
      </c>
      <c r="I40" s="395">
        <f t="shared" si="166"/>
        <v>41427.277631999998</v>
      </c>
      <c r="J40" s="159"/>
      <c r="K40" s="159">
        <f>IFERROR(SUMIFS('PO Tracker'!$J$44:$J$1433,'PO Tracker'!$K$44:$K$1433,$G$6,'PO Tracker'!$L$44:$L$1433,'Capex breakup'!$B40),0)</f>
        <v>0</v>
      </c>
      <c r="L40" s="605">
        <f t="shared" si="167"/>
        <v>0</v>
      </c>
      <c r="M40" s="118"/>
      <c r="N40" s="151">
        <v>29202.639999999999</v>
      </c>
      <c r="O40" s="151">
        <f t="shared" si="168"/>
        <v>24748</v>
      </c>
      <c r="P40" s="151">
        <f>O40/O2</f>
        <v>100</v>
      </c>
      <c r="Q40" s="159">
        <v>80</v>
      </c>
      <c r="R40" s="395">
        <f t="shared" si="169"/>
        <v>81315.561600000001</v>
      </c>
      <c r="S40" s="395">
        <f t="shared" si="170"/>
        <v>95952.362687999994</v>
      </c>
      <c r="T40" s="159"/>
      <c r="U40" s="159">
        <f>IFERROR(SUMIFS('PO Tracker'!$J$44:$J$1433,'PO Tracker'!$K$44:$K$1433,$Q$6,'PO Tracker'!$L$44:$L$1433,'Capex breakup'!$B40),0)</f>
        <v>0</v>
      </c>
      <c r="V40" s="605">
        <f t="shared" si="171"/>
        <v>0</v>
      </c>
      <c r="W40" s="118"/>
      <c r="X40" s="151">
        <v>33600</v>
      </c>
      <c r="Y40" s="151">
        <f t="shared" si="172"/>
        <v>29999.999999999996</v>
      </c>
      <c r="Z40" s="133">
        <f t="shared" si="173"/>
        <v>11.380016690691146</v>
      </c>
      <c r="AA40" s="159">
        <v>50</v>
      </c>
      <c r="AB40" s="395">
        <f>AA40*$AB$2</f>
        <v>93646.8</v>
      </c>
      <c r="AC40" s="395">
        <f t="shared" si="174"/>
        <v>110503.224</v>
      </c>
      <c r="AD40" s="159"/>
      <c r="AE40" s="159">
        <f>IFERROR(SUMIFS('PO Tracker'!$J$44:$J$1433,'PO Tracker'!$K$44:$K$1433,$AA$6,'PO Tracker'!$L$44:$L$1433,'Capex breakup'!$B40),0)</f>
        <v>117174</v>
      </c>
      <c r="AF40" s="605">
        <f t="shared" si="175"/>
        <v>1.0603672522713001</v>
      </c>
      <c r="AG40" s="118"/>
      <c r="AH40" s="151">
        <v>29202.639999999999</v>
      </c>
      <c r="AI40" s="151">
        <f t="shared" si="176"/>
        <v>24748</v>
      </c>
      <c r="AJ40" s="151">
        <f>AI40/AI2</f>
        <v>100</v>
      </c>
      <c r="AK40" s="159">
        <v>160</v>
      </c>
      <c r="AL40" s="395">
        <f t="shared" si="177"/>
        <v>64825.113599999997</v>
      </c>
      <c r="AM40" s="395">
        <f t="shared" si="178"/>
        <v>76493.634047999993</v>
      </c>
      <c r="AN40" s="159"/>
      <c r="AO40" s="159">
        <f>IFERROR(SUMIFS('PO Tracker'!$J$44:$J$1433,'PO Tracker'!$K$44:$K$1433,$AK$6,'PO Tracker'!$L$44:$L$1433,'Capex breakup'!$B40),0)</f>
        <v>63956</v>
      </c>
      <c r="AP40" s="605">
        <f t="shared" si="179"/>
        <v>0.83609571954533379</v>
      </c>
      <c r="AQ40" s="118"/>
      <c r="AR40" s="287">
        <v>59000</v>
      </c>
      <c r="AS40" s="287">
        <f t="shared" si="180"/>
        <v>50000</v>
      </c>
      <c r="AT40" s="288">
        <f t="shared" si="181"/>
        <v>46.008318303949352</v>
      </c>
      <c r="AU40" s="159">
        <v>80</v>
      </c>
      <c r="AV40" s="395">
        <f t="shared" si="182"/>
        <v>81591.12</v>
      </c>
      <c r="AW40" s="395">
        <f t="shared" si="183"/>
        <v>96277.521599999993</v>
      </c>
      <c r="AX40" s="159"/>
      <c r="AY40" s="159">
        <f>IFERROR(SUMIFS('PO Tracker'!$J$44:$J$1433,'PO Tracker'!$K$44:$K$1433,$AU$6,'PO Tracker'!$L$44:$L$1433,'Capex breakup'!$B40),0)</f>
        <v>0</v>
      </c>
      <c r="AZ40" s="605">
        <f t="shared" si="184"/>
        <v>0</v>
      </c>
      <c r="BA40" s="118"/>
      <c r="BB40" s="151">
        <v>44840</v>
      </c>
      <c r="BC40" s="151">
        <f t="shared" si="185"/>
        <v>38000</v>
      </c>
      <c r="BD40" s="151">
        <f>BC40/BC2</f>
        <v>60.889629534675038</v>
      </c>
      <c r="BE40" s="159">
        <v>80</v>
      </c>
      <c r="BF40" s="395">
        <f t="shared" si="186"/>
        <v>62190.086399999993</v>
      </c>
      <c r="BG40" s="395">
        <f t="shared" si="187"/>
        <v>73384.301951999994</v>
      </c>
      <c r="BH40" s="159"/>
      <c r="BI40" s="159">
        <f>IFERROR(SUMIFS('PO Tracker'!$J$44:$J$1433,'PO Tracker'!$K$44:$K$1433,$BE$6,'PO Tracker'!$L$44:$L$1433,'Capex breakup'!$B40),0)</f>
        <v>0</v>
      </c>
      <c r="BJ40" s="605">
        <f t="shared" si="188"/>
        <v>0</v>
      </c>
      <c r="BK40" s="118"/>
      <c r="BL40" s="151"/>
      <c r="BM40" s="151"/>
      <c r="BN40" s="151"/>
      <c r="BO40" s="159">
        <v>80</v>
      </c>
      <c r="BP40" s="395">
        <f t="shared" si="189"/>
        <v>45742.694399999993</v>
      </c>
      <c r="BQ40" s="395">
        <f t="shared" si="190"/>
        <v>53976.379391999988</v>
      </c>
      <c r="BR40" s="159"/>
      <c r="BS40" s="159">
        <f>IFERROR(SUMIFS('PO Tracker'!$J$44:$J$1433,'PO Tracker'!$K$44:$K$1433,$BO$6,'PO Tracker'!$L$44:$L$1433,'Capex breakup'!$B40),0)</f>
        <v>0</v>
      </c>
      <c r="BT40" s="605">
        <f t="shared" si="191"/>
        <v>0</v>
      </c>
      <c r="BU40" s="118"/>
      <c r="BV40" s="151">
        <v>30680</v>
      </c>
      <c r="BW40" s="151">
        <f t="shared" si="192"/>
        <v>26000</v>
      </c>
      <c r="BX40" s="151">
        <f>BW40/BW2</f>
        <v>26.557711950970379</v>
      </c>
      <c r="BY40" s="159">
        <v>120</v>
      </c>
      <c r="BZ40" s="395">
        <f t="shared" si="193"/>
        <v>44769.628799999991</v>
      </c>
      <c r="CA40" s="395">
        <f t="shared" si="194"/>
        <v>52828.161983999984</v>
      </c>
      <c r="CB40" s="159"/>
      <c r="CC40" s="159">
        <f>IFERROR(SUMIFS('PO Tracker'!$J$44:$J$1433,'PO Tracker'!$K$44:$K$1433,$BY$6,'PO Tracker'!$L$44:$L$1433,'Capex breakup'!$B40),0)</f>
        <v>0</v>
      </c>
      <c r="CD40" s="605">
        <f t="shared" si="195"/>
        <v>0</v>
      </c>
      <c r="CE40" s="118"/>
      <c r="CF40" s="151"/>
      <c r="CG40" s="151">
        <f t="shared" si="196"/>
        <v>0</v>
      </c>
      <c r="CH40" s="151">
        <f>CG40/CG2</f>
        <v>0</v>
      </c>
      <c r="CI40" s="159">
        <v>200</v>
      </c>
      <c r="CJ40" s="395">
        <f t="shared" si="197"/>
        <v>38750.399999999994</v>
      </c>
      <c r="CK40" s="395">
        <f t="shared" si="198"/>
        <v>45725.471999999994</v>
      </c>
      <c r="CL40" s="159"/>
      <c r="CM40" s="159">
        <f>IFERROR(SUMIFS('PO Tracker'!$J$44:$J$1433,'PO Tracker'!$K$44:$K$1433,$CI$6,'PO Tracker'!$L$44:$L$1433,'Capex breakup'!$B40),0)</f>
        <v>0</v>
      </c>
      <c r="CN40" s="605">
        <f t="shared" si="199"/>
        <v>0</v>
      </c>
      <c r="CO40" s="118"/>
      <c r="CP40" s="151"/>
      <c r="CQ40" s="151">
        <f t="shared" si="200"/>
        <v>0</v>
      </c>
      <c r="CR40" s="151"/>
      <c r="CS40" s="159"/>
      <c r="CT40" s="395">
        <f t="shared" si="201"/>
        <v>0</v>
      </c>
      <c r="CU40" s="395">
        <f t="shared" si="202"/>
        <v>0</v>
      </c>
      <c r="CV40" s="159"/>
      <c r="CW40" s="159">
        <f>IFERROR(SUMIFS('PO Tracker'!$J$44:$J$1433,'PO Tracker'!$K$44:$K$1433,$CS$6,'PO Tracker'!$L$44:$L$1433,'Capex breakup'!$B40),0)</f>
        <v>0</v>
      </c>
      <c r="CX40" s="605" t="str">
        <f t="shared" si="203"/>
        <v/>
      </c>
      <c r="CY40" s="118"/>
      <c r="CZ40" s="151"/>
      <c r="DA40" s="151">
        <f t="shared" si="204"/>
        <v>0</v>
      </c>
      <c r="DB40" s="151">
        <f>DA40/DA2</f>
        <v>0</v>
      </c>
      <c r="DC40" s="159">
        <v>300</v>
      </c>
      <c r="DD40" s="395">
        <f t="shared" si="205"/>
        <v>64583.999999999993</v>
      </c>
      <c r="DE40" s="395">
        <f t="shared" si="206"/>
        <v>76209.119999999981</v>
      </c>
      <c r="DF40" s="159"/>
      <c r="DG40" s="159">
        <f>IFERROR(SUMIFS('PO Tracker'!$J$44:$J$1433,'PO Tracker'!$K$44:$K$1433,$DC$6,'PO Tracker'!$L$44:$L$1433,'Capex breakup'!$B40),0)</f>
        <v>0</v>
      </c>
      <c r="DH40" s="605">
        <f t="shared" si="207"/>
        <v>0</v>
      </c>
      <c r="DI40" s="118"/>
      <c r="DJ40" s="151"/>
      <c r="DK40" s="151">
        <f t="shared" si="208"/>
        <v>0</v>
      </c>
      <c r="DL40" s="151">
        <f>DK40/DK2</f>
        <v>0</v>
      </c>
      <c r="DM40" s="159"/>
      <c r="DN40" s="395">
        <f t="shared" si="209"/>
        <v>0</v>
      </c>
      <c r="DO40" s="159">
        <f t="shared" si="210"/>
        <v>0</v>
      </c>
      <c r="DP40" s="159">
        <f>IFERROR(SUMIFS('PO Tracker'!$J$44:$J$1433,'PO Tracker'!$K$44:$K$1433,$DM$6,'PO Tracker'!$L$44:$L$1433,'Capex breakup'!$B40),0)</f>
        <v>0</v>
      </c>
      <c r="DQ40" s="605" t="str">
        <f t="shared" si="211"/>
        <v/>
      </c>
      <c r="DR40" s="118"/>
      <c r="DS40" s="151"/>
      <c r="DT40" s="151">
        <f t="shared" si="212"/>
        <v>0</v>
      </c>
      <c r="DU40" s="151">
        <f>DT40/DT2</f>
        <v>0</v>
      </c>
      <c r="DV40" s="159">
        <v>20.864909390444808</v>
      </c>
      <c r="DW40" s="395">
        <f>DV40*$DW$2</f>
        <v>27265.211999999992</v>
      </c>
      <c r="DX40" s="395">
        <f t="shared" si="213"/>
        <v>32172.950159999989</v>
      </c>
      <c r="DY40" s="159"/>
      <c r="DZ40" s="159">
        <f>IFERROR(SUMIFS('PO Tracker'!$J$44:$J$1433,'PO Tracker'!$K$44:$K$1433,$DV$6,'PO Tracker'!$L$44:$L$1433,'Capex breakup'!$B40),0)</f>
        <v>4295.2</v>
      </c>
      <c r="EA40" s="605">
        <f t="shared" si="214"/>
        <v>0.13350345487869308</v>
      </c>
      <c r="EB40" s="118"/>
      <c r="EC40" s="151"/>
      <c r="ED40" s="151">
        <f t="shared" si="215"/>
        <v>0</v>
      </c>
      <c r="EE40" s="151">
        <f>ED40/ED2</f>
        <v>0</v>
      </c>
      <c r="EF40" s="159">
        <v>60</v>
      </c>
      <c r="EG40" s="395">
        <f t="shared" si="216"/>
        <v>23082.321599999999</v>
      </c>
      <c r="EH40" s="395">
        <f t="shared" si="217"/>
        <v>27237.139487999997</v>
      </c>
      <c r="EI40" s="159"/>
      <c r="EJ40" s="159">
        <f>IFERROR(SUMIFS('PO Tracker'!$J$44:$J$1433,'PO Tracker'!$K$44:$K$1433,$EF$6,'PO Tracker'!$L$44:$L$1433,'Capex breakup'!$B40),0)</f>
        <v>0</v>
      </c>
      <c r="EK40" s="605">
        <f t="shared" si="218"/>
        <v>0</v>
      </c>
      <c r="EL40" s="118"/>
      <c r="EM40" s="151"/>
      <c r="EN40" s="151"/>
      <c r="EO40" s="151"/>
      <c r="EP40" s="159">
        <v>80</v>
      </c>
      <c r="EQ40" s="395">
        <f t="shared" si="219"/>
        <v>30776.428799999998</v>
      </c>
      <c r="ER40" s="395">
        <f t="shared" si="220"/>
        <v>36316.185983999996</v>
      </c>
      <c r="ES40" s="159"/>
      <c r="ET40" s="159">
        <f>IFERROR(SUMIFS('PO Tracker'!$J$44:$J$1433,'PO Tracker'!$K$44:$K$1433,$EP$6,'PO Tracker'!$L$44:$L$1433,'Capex breakup'!$B40),0)</f>
        <v>0</v>
      </c>
      <c r="EU40" s="605">
        <f t="shared" si="221"/>
        <v>0</v>
      </c>
      <c r="EV40" s="118"/>
      <c r="EW40" s="151"/>
      <c r="EX40" s="151"/>
      <c r="EY40" s="151"/>
      <c r="EZ40" s="159">
        <v>80</v>
      </c>
      <c r="FA40" s="395">
        <f t="shared" si="222"/>
        <v>102464.66879999998</v>
      </c>
      <c r="FB40" s="395">
        <f t="shared" si="223"/>
        <v>120908.30918399997</v>
      </c>
      <c r="FC40" s="159"/>
      <c r="FD40" s="159">
        <f>IFERROR(SUMIFS('PO Tracker'!$J$44:$J$1433,'PO Tracker'!$K$44:$K$1433,$EZ$6,'PO Tracker'!$L$44:$L$1433,'Capex breakup'!$B40),0)</f>
        <v>59177</v>
      </c>
      <c r="FE40" s="605">
        <f t="shared" si="224"/>
        <v>0.48943699899023158</v>
      </c>
      <c r="FF40" s="118"/>
      <c r="FG40" s="318">
        <v>33600</v>
      </c>
      <c r="FH40" s="151">
        <f t="shared" si="225"/>
        <v>29999.999999999996</v>
      </c>
      <c r="FI40" s="133">
        <f t="shared" si="226"/>
        <v>11.380016690691146</v>
      </c>
      <c r="FJ40" s="159">
        <v>80</v>
      </c>
      <c r="FK40" s="395">
        <f t="shared" si="227"/>
        <v>209656.88640000002</v>
      </c>
      <c r="FL40" s="159">
        <f t="shared" si="228"/>
        <v>247395.125952</v>
      </c>
      <c r="FM40" s="684"/>
      <c r="FN40" s="159">
        <f>FK40</f>
        <v>209656.88640000002</v>
      </c>
      <c r="FO40" s="685">
        <f t="shared" si="229"/>
        <v>247395.125952</v>
      </c>
      <c r="FP40" s="684"/>
      <c r="FQ40" s="159">
        <f t="shared" si="230"/>
        <v>0</v>
      </c>
      <c r="FR40" s="685">
        <f t="shared" si="231"/>
        <v>0</v>
      </c>
      <c r="FS40" s="662">
        <f>IFERROR(SUMIFS('PO Tracker'!$J$44:$J$1433,'PO Tracker'!$K$44:$K$1433,$FJ$6,'PO Tracker'!$L$44:$L$1433,'Capex breakup'!$B40),0)</f>
        <v>0</v>
      </c>
      <c r="FT40" s="736" t="str">
        <f t="shared" si="232"/>
        <v/>
      </c>
      <c r="FU40" s="709"/>
      <c r="FV40" s="151"/>
      <c r="FW40" s="151">
        <f t="shared" si="233"/>
        <v>0</v>
      </c>
      <c r="FX40" s="151">
        <f>FW40/FW2</f>
        <v>0</v>
      </c>
      <c r="FY40" s="159">
        <v>150</v>
      </c>
      <c r="FZ40" s="395">
        <f t="shared" si="234"/>
        <v>33389.928</v>
      </c>
      <c r="GA40" s="395">
        <f t="shared" si="235"/>
        <v>39400.115039999997</v>
      </c>
      <c r="GB40" s="159"/>
      <c r="GC40" s="159">
        <f>IFERROR(SUMIFS('PO Tracker'!$J$44:$J$1433,'PO Tracker'!$K$44:$K$1433,$FY$6,'PO Tracker'!$L$44:$L$1433,'Capex breakup'!$B40),0)</f>
        <v>37878</v>
      </c>
      <c r="GD40" s="605">
        <f t="shared" si="236"/>
        <v>0.96136775137700214</v>
      </c>
      <c r="GE40" s="118"/>
      <c r="GF40" s="151"/>
      <c r="GG40" s="151">
        <f t="shared" si="237"/>
        <v>0</v>
      </c>
      <c r="GH40" s="151">
        <f>GG40/GG2</f>
        <v>0</v>
      </c>
      <c r="GI40" s="159">
        <v>80</v>
      </c>
      <c r="GJ40" s="395">
        <f t="shared" si="238"/>
        <v>12055.68</v>
      </c>
      <c r="GK40" s="395">
        <f t="shared" si="239"/>
        <v>14225.7024</v>
      </c>
      <c r="GL40" s="159"/>
      <c r="GM40" s="159">
        <f>IFERROR(SUMIFS('PO Tracker'!$J$44:$J$1433,'PO Tracker'!$K$44:$K$1433,$GI$6,'PO Tracker'!$L$44:$L$1433,'Capex breakup'!$B40),0)</f>
        <v>0</v>
      </c>
      <c r="GN40" s="605">
        <f t="shared" si="240"/>
        <v>0</v>
      </c>
      <c r="GO40" s="118"/>
      <c r="GP40" s="151"/>
      <c r="GQ40" s="151">
        <f t="shared" si="241"/>
        <v>0</v>
      </c>
      <c r="GR40" s="151">
        <f>GQ40/GQ2</f>
        <v>0</v>
      </c>
      <c r="GS40" s="159"/>
      <c r="GT40" s="395">
        <v>0</v>
      </c>
      <c r="GU40" s="159">
        <v>0</v>
      </c>
      <c r="GV40" s="159">
        <f>IFERROR(SUMIFS('PO Tracker'!$J$44:$J$1433,'PO Tracker'!$K$44:$K$1433,$GS$6,'PO Tracker'!$L$44:$L$1433,'Capex breakup'!$B40),0)</f>
        <v>0</v>
      </c>
      <c r="GW40" s="605" t="str">
        <f t="shared" si="242"/>
        <v/>
      </c>
      <c r="GX40" s="118"/>
      <c r="GY40" s="151"/>
      <c r="GZ40" s="151"/>
      <c r="HA40" s="133"/>
      <c r="HB40" s="159">
        <v>80</v>
      </c>
      <c r="HC40" s="395">
        <f t="shared" si="243"/>
        <v>267084.9792</v>
      </c>
      <c r="HD40" s="159">
        <f t="shared" si="244"/>
        <v>315160.275456</v>
      </c>
      <c r="HE40" s="159"/>
      <c r="HF40" s="159">
        <f>IFERROR(SUMIFS('PO Tracker'!$J$44:$J$1433,'PO Tracker'!$K$44:$K$1433,$HB$6,'PO Tracker'!$L$44:$L$1433,'Capex breakup'!$B40),0)</f>
        <v>0</v>
      </c>
      <c r="HG40" s="605">
        <f t="shared" si="245"/>
        <v>0</v>
      </c>
      <c r="HH40" s="118"/>
      <c r="HI40" s="151"/>
      <c r="HJ40" s="151"/>
      <c r="HK40" s="133"/>
      <c r="HL40" s="159">
        <v>100</v>
      </c>
      <c r="HM40" s="395">
        <f t="shared" si="246"/>
        <v>339604.2</v>
      </c>
      <c r="HN40" s="159">
        <f t="shared" si="247"/>
        <v>400732.95600000001</v>
      </c>
      <c r="HO40" s="159">
        <f>IFERROR(SUMIFS('PO Tracker'!$J$44:$J$1433,'PO Tracker'!$K$44:$K$1433,$HL$6,'PO Tracker'!$L$44:$L$1433,'Capex breakup'!$B40),0)</f>
        <v>0</v>
      </c>
      <c r="HP40" s="605">
        <f t="shared" si="248"/>
        <v>0</v>
      </c>
      <c r="HQ40" s="118"/>
      <c r="HR40" s="364"/>
      <c r="HS40" s="364"/>
      <c r="HT40" s="364"/>
      <c r="HU40" s="364"/>
    </row>
    <row r="41" spans="1:229">
      <c r="A41" s="18">
        <v>12</v>
      </c>
      <c r="B41" s="19" t="s">
        <v>40</v>
      </c>
      <c r="C41" s="118"/>
      <c r="D41" s="151">
        <v>0</v>
      </c>
      <c r="E41" s="151">
        <f t="shared" si="164"/>
        <v>0</v>
      </c>
      <c r="F41" s="151">
        <f>E41/E2</f>
        <v>0</v>
      </c>
      <c r="G41" s="159">
        <v>0</v>
      </c>
      <c r="H41" s="395">
        <f t="shared" si="165"/>
        <v>0</v>
      </c>
      <c r="I41" s="395">
        <f t="shared" si="166"/>
        <v>0</v>
      </c>
      <c r="J41" s="159"/>
      <c r="K41" s="159">
        <f>IFERROR(SUMIFS('PO Tracker'!$J$44:$J$1433,'PO Tracker'!$K$44:$K$1433,$G$6,'PO Tracker'!$L$44:$L$1433,'Capex breakup'!$B41),0)</f>
        <v>0</v>
      </c>
      <c r="L41" s="605" t="str">
        <f t="shared" si="167"/>
        <v/>
      </c>
      <c r="M41" s="118"/>
      <c r="N41" s="151">
        <v>0</v>
      </c>
      <c r="O41" s="151">
        <f t="shared" si="168"/>
        <v>0</v>
      </c>
      <c r="P41" s="151">
        <f>O41/O2</f>
        <v>0</v>
      </c>
      <c r="Q41" s="159">
        <v>0</v>
      </c>
      <c r="R41" s="395">
        <f t="shared" si="169"/>
        <v>0</v>
      </c>
      <c r="S41" s="395">
        <f t="shared" si="170"/>
        <v>0</v>
      </c>
      <c r="T41" s="159"/>
      <c r="U41" s="159">
        <f>IFERROR(SUMIFS('PO Tracker'!$J$44:$J$1433,'PO Tracker'!$K$44:$K$1433,$Q$6,'PO Tracker'!$L$44:$L$1433,'Capex breakup'!$B41),0)</f>
        <v>0</v>
      </c>
      <c r="V41" s="605" t="str">
        <f t="shared" si="171"/>
        <v/>
      </c>
      <c r="W41" s="118"/>
      <c r="X41" s="151"/>
      <c r="Y41" s="151">
        <f t="shared" si="172"/>
        <v>0</v>
      </c>
      <c r="Z41" s="133">
        <f t="shared" si="173"/>
        <v>0</v>
      </c>
      <c r="AA41" s="159">
        <v>0</v>
      </c>
      <c r="AB41" s="395">
        <v>0</v>
      </c>
      <c r="AC41" s="395">
        <f t="shared" si="174"/>
        <v>0</v>
      </c>
      <c r="AD41" s="159"/>
      <c r="AE41" s="159">
        <f>IFERROR(SUMIFS('PO Tracker'!$J$44:$J$1433,'PO Tracker'!$K$44:$K$1433,$AA$6,'PO Tracker'!$L$44:$L$1433,'Capex breakup'!$B41),0)</f>
        <v>0</v>
      </c>
      <c r="AF41" s="605" t="str">
        <f t="shared" si="175"/>
        <v/>
      </c>
      <c r="AG41" s="118"/>
      <c r="AH41" s="151">
        <v>0</v>
      </c>
      <c r="AI41" s="151">
        <f t="shared" si="176"/>
        <v>0</v>
      </c>
      <c r="AJ41" s="151">
        <f>AI41/AI2</f>
        <v>0</v>
      </c>
      <c r="AK41" s="159">
        <v>0</v>
      </c>
      <c r="AL41" s="395">
        <f t="shared" si="177"/>
        <v>0</v>
      </c>
      <c r="AM41" s="395">
        <f t="shared" si="178"/>
        <v>0</v>
      </c>
      <c r="AN41" s="159"/>
      <c r="AO41" s="159">
        <f>IFERROR(SUMIFS('PO Tracker'!$J$44:$J$1433,'PO Tracker'!$K$44:$K$1433,$AK$6,'PO Tracker'!$L$44:$L$1433,'Capex breakup'!$B41),0)</f>
        <v>0</v>
      </c>
      <c r="AP41" s="605" t="str">
        <f t="shared" si="179"/>
        <v/>
      </c>
      <c r="AQ41" s="118"/>
      <c r="AR41" s="287"/>
      <c r="AS41" s="287">
        <f t="shared" si="180"/>
        <v>0</v>
      </c>
      <c r="AT41" s="288">
        <f t="shared" si="181"/>
        <v>0</v>
      </c>
      <c r="AU41" s="159">
        <v>0</v>
      </c>
      <c r="AV41" s="395">
        <f t="shared" si="182"/>
        <v>0</v>
      </c>
      <c r="AW41" s="395">
        <f t="shared" si="183"/>
        <v>0</v>
      </c>
      <c r="AX41" s="159"/>
      <c r="AY41" s="159">
        <f>IFERROR(SUMIFS('PO Tracker'!$J$44:$J$1433,'PO Tracker'!$K$44:$K$1433,$AU$6,'PO Tracker'!$L$44:$L$1433,'Capex breakup'!$B41),0)</f>
        <v>0</v>
      </c>
      <c r="AZ41" s="605" t="str">
        <f t="shared" si="184"/>
        <v/>
      </c>
      <c r="BA41" s="118"/>
      <c r="BB41" s="151"/>
      <c r="BC41" s="151">
        <f t="shared" si="185"/>
        <v>0</v>
      </c>
      <c r="BD41" s="151">
        <f>BC41/BC2</f>
        <v>0</v>
      </c>
      <c r="BE41" s="159">
        <v>0</v>
      </c>
      <c r="BF41" s="395">
        <f t="shared" si="186"/>
        <v>0</v>
      </c>
      <c r="BG41" s="395">
        <f t="shared" si="187"/>
        <v>0</v>
      </c>
      <c r="BH41" s="159"/>
      <c r="BI41" s="159">
        <f>IFERROR(SUMIFS('PO Tracker'!$J$44:$J$1433,'PO Tracker'!$K$44:$K$1433,$BE$6,'PO Tracker'!$L$44:$L$1433,'Capex breakup'!$B41),0)</f>
        <v>0</v>
      </c>
      <c r="BJ41" s="605" t="str">
        <f t="shared" si="188"/>
        <v/>
      </c>
      <c r="BK41" s="118"/>
      <c r="BL41" s="151"/>
      <c r="BM41" s="151"/>
      <c r="BN41" s="151"/>
      <c r="BO41" s="159">
        <v>0</v>
      </c>
      <c r="BP41" s="395">
        <f t="shared" si="189"/>
        <v>0</v>
      </c>
      <c r="BQ41" s="395">
        <f t="shared" si="190"/>
        <v>0</v>
      </c>
      <c r="BR41" s="159"/>
      <c r="BS41" s="159">
        <f>IFERROR(SUMIFS('PO Tracker'!$J$44:$J$1433,'PO Tracker'!$K$44:$K$1433,$BO$6,'PO Tracker'!$L$44:$L$1433,'Capex breakup'!$B41),0)</f>
        <v>0</v>
      </c>
      <c r="BT41" s="605" t="str">
        <f t="shared" si="191"/>
        <v/>
      </c>
      <c r="BU41" s="118"/>
      <c r="BV41" s="151"/>
      <c r="BW41" s="151">
        <f t="shared" si="192"/>
        <v>0</v>
      </c>
      <c r="BX41" s="151">
        <f>BW41/BW2</f>
        <v>0</v>
      </c>
      <c r="BY41" s="159">
        <v>0</v>
      </c>
      <c r="BZ41" s="395">
        <f t="shared" si="193"/>
        <v>0</v>
      </c>
      <c r="CA41" s="395">
        <f t="shared" si="194"/>
        <v>0</v>
      </c>
      <c r="CB41" s="159"/>
      <c r="CC41" s="159">
        <f>IFERROR(SUMIFS('PO Tracker'!$J$44:$J$1433,'PO Tracker'!$K$44:$K$1433,$BY$6,'PO Tracker'!$L$44:$L$1433,'Capex breakup'!$B41),0)</f>
        <v>0</v>
      </c>
      <c r="CD41" s="605" t="str">
        <f t="shared" si="195"/>
        <v/>
      </c>
      <c r="CE41" s="118"/>
      <c r="CF41" s="151"/>
      <c r="CG41" s="151">
        <f t="shared" si="196"/>
        <v>0</v>
      </c>
      <c r="CH41" s="151">
        <f>CG41/CG2</f>
        <v>0</v>
      </c>
      <c r="CI41" s="159">
        <v>0</v>
      </c>
      <c r="CJ41" s="395">
        <f t="shared" si="197"/>
        <v>0</v>
      </c>
      <c r="CK41" s="395">
        <f t="shared" si="198"/>
        <v>0</v>
      </c>
      <c r="CL41" s="159"/>
      <c r="CM41" s="159">
        <f>IFERROR(SUMIFS('PO Tracker'!$J$44:$J$1433,'PO Tracker'!$K$44:$K$1433,$CI$6,'PO Tracker'!$L$44:$L$1433,'Capex breakup'!$B41),0)</f>
        <v>0</v>
      </c>
      <c r="CN41" s="605" t="str">
        <f t="shared" si="199"/>
        <v/>
      </c>
      <c r="CO41" s="118"/>
      <c r="CP41" s="151"/>
      <c r="CQ41" s="151">
        <f t="shared" si="200"/>
        <v>0</v>
      </c>
      <c r="CR41" s="151"/>
      <c r="CS41" s="159"/>
      <c r="CT41" s="395">
        <f t="shared" si="201"/>
        <v>0</v>
      </c>
      <c r="CU41" s="395">
        <f t="shared" si="202"/>
        <v>0</v>
      </c>
      <c r="CV41" s="159"/>
      <c r="CW41" s="159">
        <f>IFERROR(SUMIFS('PO Tracker'!$J$44:$J$1433,'PO Tracker'!$K$44:$K$1433,$CS$6,'PO Tracker'!$L$44:$L$1433,'Capex breakup'!$B41),0)</f>
        <v>0</v>
      </c>
      <c r="CX41" s="605" t="str">
        <f t="shared" si="203"/>
        <v/>
      </c>
      <c r="CY41" s="118"/>
      <c r="CZ41" s="151"/>
      <c r="DA41" s="151">
        <f t="shared" si="204"/>
        <v>0</v>
      </c>
      <c r="DB41" s="151">
        <f>DA41/DA2</f>
        <v>0</v>
      </c>
      <c r="DC41" s="159">
        <v>0</v>
      </c>
      <c r="DD41" s="395">
        <f t="shared" si="205"/>
        <v>0</v>
      </c>
      <c r="DE41" s="395">
        <f t="shared" si="206"/>
        <v>0</v>
      </c>
      <c r="DF41" s="159"/>
      <c r="DG41" s="159">
        <f>IFERROR(SUMIFS('PO Tracker'!$J$44:$J$1433,'PO Tracker'!$K$44:$K$1433,$DC$6,'PO Tracker'!$L$44:$L$1433,'Capex breakup'!$B41),0)</f>
        <v>0</v>
      </c>
      <c r="DH41" s="605" t="str">
        <f t="shared" si="207"/>
        <v/>
      </c>
      <c r="DI41" s="118"/>
      <c r="DJ41" s="151"/>
      <c r="DK41" s="151">
        <f t="shared" si="208"/>
        <v>0</v>
      </c>
      <c r="DL41" s="151">
        <f>DK41/DK2</f>
        <v>0</v>
      </c>
      <c r="DM41" s="159"/>
      <c r="DN41" s="395">
        <f t="shared" si="209"/>
        <v>0</v>
      </c>
      <c r="DO41" s="159">
        <f t="shared" si="210"/>
        <v>0</v>
      </c>
      <c r="DP41" s="159">
        <f>IFERROR(SUMIFS('PO Tracker'!$J$44:$J$1433,'PO Tracker'!$K$44:$K$1433,$DM$6,'PO Tracker'!$L$44:$L$1433,'Capex breakup'!$B41),0)</f>
        <v>0</v>
      </c>
      <c r="DQ41" s="605" t="str">
        <f t="shared" si="211"/>
        <v/>
      </c>
      <c r="DR41" s="118"/>
      <c r="DS41" s="151"/>
      <c r="DT41" s="151">
        <f t="shared" si="212"/>
        <v>0</v>
      </c>
      <c r="DU41" s="151">
        <f>DT41/DT2</f>
        <v>0</v>
      </c>
      <c r="DV41" s="159">
        <v>0</v>
      </c>
      <c r="DW41" s="395">
        <v>0</v>
      </c>
      <c r="DX41" s="395">
        <f t="shared" si="213"/>
        <v>0</v>
      </c>
      <c r="DY41" s="159"/>
      <c r="DZ41" s="159">
        <f>IFERROR(SUMIFS('PO Tracker'!$J$44:$J$1433,'PO Tracker'!$K$44:$K$1433,$DV$6,'PO Tracker'!$L$44:$L$1433,'Capex breakup'!$B41),0)</f>
        <v>0</v>
      </c>
      <c r="EA41" s="605" t="str">
        <f t="shared" si="214"/>
        <v/>
      </c>
      <c r="EB41" s="118"/>
      <c r="EC41" s="151"/>
      <c r="ED41" s="151">
        <f t="shared" si="215"/>
        <v>0</v>
      </c>
      <c r="EE41" s="151">
        <f>ED41/ED2</f>
        <v>0</v>
      </c>
      <c r="EF41" s="159">
        <v>0</v>
      </c>
      <c r="EG41" s="395">
        <f t="shared" si="216"/>
        <v>0</v>
      </c>
      <c r="EH41" s="395">
        <f t="shared" si="217"/>
        <v>0</v>
      </c>
      <c r="EI41" s="159"/>
      <c r="EJ41" s="159">
        <f>IFERROR(SUMIFS('PO Tracker'!$J$44:$J$1433,'PO Tracker'!$K$44:$K$1433,$EF$6,'PO Tracker'!$L$44:$L$1433,'Capex breakup'!$B41),0)</f>
        <v>0</v>
      </c>
      <c r="EK41" s="605" t="str">
        <f t="shared" si="218"/>
        <v/>
      </c>
      <c r="EL41" s="118"/>
      <c r="EM41" s="151"/>
      <c r="EN41" s="151"/>
      <c r="EO41" s="151"/>
      <c r="EP41" s="159">
        <v>0</v>
      </c>
      <c r="EQ41" s="395">
        <f t="shared" si="219"/>
        <v>0</v>
      </c>
      <c r="ER41" s="395">
        <f t="shared" si="220"/>
        <v>0</v>
      </c>
      <c r="ES41" s="159"/>
      <c r="ET41" s="159">
        <f>IFERROR(SUMIFS('PO Tracker'!$J$44:$J$1433,'PO Tracker'!$K$44:$K$1433,$EP$6,'PO Tracker'!$L$44:$L$1433,'Capex breakup'!$B41),0)</f>
        <v>0</v>
      </c>
      <c r="EU41" s="605" t="str">
        <f t="shared" si="221"/>
        <v/>
      </c>
      <c r="EV41" s="118"/>
      <c r="EW41" s="151"/>
      <c r="EX41" s="151"/>
      <c r="EY41" s="151"/>
      <c r="EZ41" s="159">
        <v>0</v>
      </c>
      <c r="FA41" s="395">
        <f t="shared" si="222"/>
        <v>0</v>
      </c>
      <c r="FB41" s="395">
        <f t="shared" si="223"/>
        <v>0</v>
      </c>
      <c r="FC41" s="159"/>
      <c r="FD41" s="159">
        <f>IFERROR(SUMIFS('PO Tracker'!$J$44:$J$1433,'PO Tracker'!$K$44:$K$1433,$EZ$6,'PO Tracker'!$L$44:$L$1433,'Capex breakup'!$B41),0)</f>
        <v>0</v>
      </c>
      <c r="FE41" s="605" t="str">
        <f t="shared" si="224"/>
        <v/>
      </c>
      <c r="FF41" s="118"/>
      <c r="FG41" s="318"/>
      <c r="FH41" s="151">
        <f t="shared" si="225"/>
        <v>0</v>
      </c>
      <c r="FI41" s="133">
        <f t="shared" si="226"/>
        <v>0</v>
      </c>
      <c r="FJ41" s="159">
        <f>+FI41</f>
        <v>0</v>
      </c>
      <c r="FK41" s="395">
        <f t="shared" si="227"/>
        <v>0</v>
      </c>
      <c r="FL41" s="159">
        <f t="shared" si="228"/>
        <v>0</v>
      </c>
      <c r="FM41" s="684"/>
      <c r="FN41" s="159"/>
      <c r="FO41" s="685"/>
      <c r="FP41" s="684"/>
      <c r="FQ41" s="159">
        <f t="shared" si="230"/>
        <v>0</v>
      </c>
      <c r="FR41" s="685">
        <f t="shared" si="231"/>
        <v>0</v>
      </c>
      <c r="FS41" s="662">
        <f>IFERROR(SUMIFS('PO Tracker'!$J$44:$J$1433,'PO Tracker'!$K$44:$K$1433,$FJ$6,'PO Tracker'!$L$44:$L$1433,'Capex breakup'!$B41),0)</f>
        <v>0</v>
      </c>
      <c r="FT41" s="736" t="str">
        <f t="shared" si="232"/>
        <v/>
      </c>
      <c r="FU41" s="709"/>
      <c r="FV41" s="151"/>
      <c r="FW41" s="151">
        <f t="shared" si="233"/>
        <v>0</v>
      </c>
      <c r="FX41" s="151">
        <f>FW41/FW2</f>
        <v>0</v>
      </c>
      <c r="FY41" s="159">
        <v>0</v>
      </c>
      <c r="FZ41" s="395">
        <f t="shared" si="234"/>
        <v>0</v>
      </c>
      <c r="GA41" s="395">
        <f t="shared" si="235"/>
        <v>0</v>
      </c>
      <c r="GB41" s="159"/>
      <c r="GC41" s="159">
        <f>IFERROR(SUMIFS('PO Tracker'!$J$44:$J$1433,'PO Tracker'!$K$44:$K$1433,$FY$6,'PO Tracker'!$L$44:$L$1433,'Capex breakup'!$B41),0)</f>
        <v>0</v>
      </c>
      <c r="GD41" s="605" t="str">
        <f t="shared" si="236"/>
        <v/>
      </c>
      <c r="GE41" s="118"/>
      <c r="GF41" s="151"/>
      <c r="GG41" s="151">
        <f t="shared" si="237"/>
        <v>0</v>
      </c>
      <c r="GH41" s="151">
        <f>GG41/GG2</f>
        <v>0</v>
      </c>
      <c r="GI41" s="159"/>
      <c r="GJ41" s="395">
        <f t="shared" si="238"/>
        <v>0</v>
      </c>
      <c r="GK41" s="395">
        <f t="shared" si="239"/>
        <v>0</v>
      </c>
      <c r="GL41" s="159"/>
      <c r="GM41" s="159">
        <f>IFERROR(SUMIFS('PO Tracker'!$J$44:$J$1433,'PO Tracker'!$K$44:$K$1433,$GI$6,'PO Tracker'!$L$44:$L$1433,'Capex breakup'!$B41),0)</f>
        <v>0</v>
      </c>
      <c r="GN41" s="605" t="str">
        <f t="shared" si="240"/>
        <v/>
      </c>
      <c r="GO41" s="118"/>
      <c r="GP41" s="151"/>
      <c r="GQ41" s="151">
        <f t="shared" si="241"/>
        <v>0</v>
      </c>
      <c r="GR41" s="151">
        <f>GQ41/GQ2</f>
        <v>0</v>
      </c>
      <c r="GS41" s="159"/>
      <c r="GT41" s="395">
        <v>0</v>
      </c>
      <c r="GU41" s="159">
        <v>0</v>
      </c>
      <c r="GV41" s="159">
        <f>IFERROR(SUMIFS('PO Tracker'!$J$44:$J$1433,'PO Tracker'!$K$44:$K$1433,$GS$6,'PO Tracker'!$L$44:$L$1433,'Capex breakup'!$B41),0)</f>
        <v>0</v>
      </c>
      <c r="GW41" s="605" t="str">
        <f t="shared" si="242"/>
        <v/>
      </c>
      <c r="GX41" s="118"/>
      <c r="GY41" s="151"/>
      <c r="GZ41" s="151"/>
      <c r="HA41" s="133"/>
      <c r="HB41" s="159">
        <v>0</v>
      </c>
      <c r="HC41" s="395">
        <f t="shared" si="243"/>
        <v>0</v>
      </c>
      <c r="HD41" s="159">
        <f t="shared" si="244"/>
        <v>0</v>
      </c>
      <c r="HE41" s="159"/>
      <c r="HF41" s="159">
        <f>IFERROR(SUMIFS('PO Tracker'!$J$44:$J$1433,'PO Tracker'!$K$44:$K$1433,$HB$6,'PO Tracker'!$L$44:$L$1433,'Capex breakup'!$B41),0)</f>
        <v>0</v>
      </c>
      <c r="HG41" s="605" t="str">
        <f t="shared" si="245"/>
        <v/>
      </c>
      <c r="HH41" s="118"/>
      <c r="HI41" s="151"/>
      <c r="HJ41" s="151"/>
      <c r="HK41" s="133"/>
      <c r="HL41" s="159">
        <v>0</v>
      </c>
      <c r="HM41" s="395">
        <f t="shared" si="246"/>
        <v>0</v>
      </c>
      <c r="HN41" s="159">
        <f t="shared" si="247"/>
        <v>0</v>
      </c>
      <c r="HO41" s="159">
        <f>IFERROR(SUMIFS('PO Tracker'!$J$44:$J$1433,'PO Tracker'!$K$44:$K$1433,$HL$6,'PO Tracker'!$L$44:$L$1433,'Capex breakup'!$B41),0)</f>
        <v>0</v>
      </c>
      <c r="HP41" s="605" t="str">
        <f t="shared" si="248"/>
        <v/>
      </c>
      <c r="HQ41" s="118"/>
      <c r="HR41" s="364"/>
      <c r="HS41" s="364"/>
      <c r="HT41" s="364"/>
      <c r="HU41" s="364"/>
    </row>
    <row r="42" spans="1:229">
      <c r="A42" s="18">
        <v>13</v>
      </c>
      <c r="B42" s="19" t="s">
        <v>41</v>
      </c>
      <c r="C42" s="118"/>
      <c r="D42" s="151">
        <v>58405.279999999999</v>
      </c>
      <c r="E42" s="151">
        <f t="shared" si="164"/>
        <v>49496</v>
      </c>
      <c r="F42" s="151">
        <f>E42/E2</f>
        <v>200</v>
      </c>
      <c r="G42" s="159">
        <v>50</v>
      </c>
      <c r="H42" s="395">
        <f t="shared" si="165"/>
        <v>21942.414000000001</v>
      </c>
      <c r="I42" s="395">
        <f t="shared" si="166"/>
        <v>25892.04852</v>
      </c>
      <c r="J42" s="159"/>
      <c r="K42" s="159">
        <f>IFERROR(SUMIFS('PO Tracker'!$J$44:$J$1433,'PO Tracker'!$K$44:$K$1433,$G$6,'PO Tracker'!$L$44:$L$1433,'Capex breakup'!$B42),0)</f>
        <v>0</v>
      </c>
      <c r="L42" s="605">
        <f t="shared" si="167"/>
        <v>0</v>
      </c>
      <c r="M42" s="118"/>
      <c r="N42" s="151">
        <v>58405.279999999999</v>
      </c>
      <c r="O42" s="151">
        <f t="shared" si="168"/>
        <v>49496</v>
      </c>
      <c r="P42" s="151">
        <f>O42/O2</f>
        <v>200</v>
      </c>
      <c r="Q42" s="159">
        <v>50</v>
      </c>
      <c r="R42" s="395">
        <f t="shared" si="169"/>
        <v>50822.226000000002</v>
      </c>
      <c r="S42" s="395">
        <f t="shared" si="170"/>
        <v>59970.22668</v>
      </c>
      <c r="T42" s="159"/>
      <c r="U42" s="159">
        <f>IFERROR(SUMIFS('PO Tracker'!$J$44:$J$1433,'PO Tracker'!$K$44:$K$1433,$Q$6,'PO Tracker'!$L$44:$L$1433,'Capex breakup'!$B42),0)</f>
        <v>0</v>
      </c>
      <c r="V42" s="605">
        <f t="shared" si="171"/>
        <v>0</v>
      </c>
      <c r="W42" s="118"/>
      <c r="X42" s="151"/>
      <c r="Y42" s="151">
        <f t="shared" si="172"/>
        <v>0</v>
      </c>
      <c r="Z42" s="133">
        <f t="shared" si="173"/>
        <v>0</v>
      </c>
      <c r="AA42" s="159">
        <v>60.991379310344826</v>
      </c>
      <c r="AB42" s="395">
        <f>AA42*$AB$2</f>
        <v>114232.95</v>
      </c>
      <c r="AC42" s="395">
        <f t="shared" si="174"/>
        <v>134794.88099999999</v>
      </c>
      <c r="AD42" s="159"/>
      <c r="AE42" s="159">
        <f>IFERROR(SUMIFS('PO Tracker'!$J$44:$J$1433,'PO Tracker'!$K$44:$K$1433,$AA$6,'PO Tracker'!$L$44:$L$1433,'Capex breakup'!$B42),0)</f>
        <v>0</v>
      </c>
      <c r="AF42" s="605">
        <f t="shared" si="175"/>
        <v>0</v>
      </c>
      <c r="AG42" s="118"/>
      <c r="AH42" s="151">
        <v>58405.279999999999</v>
      </c>
      <c r="AI42" s="151">
        <f t="shared" si="176"/>
        <v>49496</v>
      </c>
      <c r="AJ42" s="151">
        <f>AI42/AI2</f>
        <v>200</v>
      </c>
      <c r="AK42" s="159">
        <v>150</v>
      </c>
      <c r="AL42" s="395">
        <f t="shared" si="177"/>
        <v>60773.543999999994</v>
      </c>
      <c r="AM42" s="395">
        <f t="shared" si="178"/>
        <v>71712.781919999994</v>
      </c>
      <c r="AN42" s="159"/>
      <c r="AO42" s="159">
        <f>IFERROR(SUMIFS('PO Tracker'!$J$44:$J$1433,'PO Tracker'!$K$44:$K$1433,$AK$6,'PO Tracker'!$L$44:$L$1433,'Capex breakup'!$B42),0)</f>
        <v>0</v>
      </c>
      <c r="AP42" s="605">
        <f t="shared" si="179"/>
        <v>0</v>
      </c>
      <c r="AQ42" s="118"/>
      <c r="AR42" s="287"/>
      <c r="AS42" s="287"/>
      <c r="AT42" s="288"/>
      <c r="AU42" s="159">
        <v>80</v>
      </c>
      <c r="AV42" s="395">
        <f t="shared" si="182"/>
        <v>81591.12</v>
      </c>
      <c r="AW42" s="395">
        <f t="shared" si="183"/>
        <v>96277.521599999993</v>
      </c>
      <c r="AX42" s="159"/>
      <c r="AY42" s="159">
        <f>IFERROR(SUMIFS('PO Tracker'!$J$44:$J$1433,'PO Tracker'!$K$44:$K$1433,$AU$6,'PO Tracker'!$L$44:$L$1433,'Capex breakup'!$B42),0)</f>
        <v>0</v>
      </c>
      <c r="AZ42" s="605">
        <f t="shared" si="184"/>
        <v>0</v>
      </c>
      <c r="BA42" s="118"/>
      <c r="BB42" s="151"/>
      <c r="BC42" s="151">
        <f t="shared" si="185"/>
        <v>0</v>
      </c>
      <c r="BD42" s="151">
        <f>BC42/BC2</f>
        <v>0</v>
      </c>
      <c r="BE42" s="159">
        <v>80</v>
      </c>
      <c r="BF42" s="395">
        <f t="shared" si="186"/>
        <v>62190.086399999993</v>
      </c>
      <c r="BG42" s="395">
        <f t="shared" si="187"/>
        <v>73384.301951999994</v>
      </c>
      <c r="BH42" s="159"/>
      <c r="BI42" s="159">
        <f>IFERROR(SUMIFS('PO Tracker'!$J$44:$J$1433,'PO Tracker'!$K$44:$K$1433,$BE$6,'PO Tracker'!$L$44:$L$1433,'Capex breakup'!$B42),0)</f>
        <v>0</v>
      </c>
      <c r="BJ42" s="605">
        <f t="shared" si="188"/>
        <v>0</v>
      </c>
      <c r="BK42" s="118"/>
      <c r="BL42" s="151"/>
      <c r="BM42" s="151"/>
      <c r="BN42" s="151"/>
      <c r="BO42" s="159"/>
      <c r="BP42" s="395">
        <f t="shared" si="189"/>
        <v>0</v>
      </c>
      <c r="BQ42" s="395">
        <f t="shared" si="190"/>
        <v>0</v>
      </c>
      <c r="BR42" s="159"/>
      <c r="BS42" s="159">
        <f>IFERROR(SUMIFS('PO Tracker'!$J$44:$J$1433,'PO Tracker'!$K$44:$K$1433,$BO$6,'PO Tracker'!$L$44:$L$1433,'Capex breakup'!$B42),0)</f>
        <v>0</v>
      </c>
      <c r="BT42" s="605" t="str">
        <f t="shared" si="191"/>
        <v/>
      </c>
      <c r="BU42" s="118"/>
      <c r="BV42" s="151"/>
      <c r="BW42" s="151">
        <f t="shared" si="192"/>
        <v>0</v>
      </c>
      <c r="BX42" s="151">
        <f>BW42/BW2</f>
        <v>0</v>
      </c>
      <c r="BY42" s="159">
        <v>200</v>
      </c>
      <c r="BZ42" s="395">
        <f t="shared" si="193"/>
        <v>74616.047999999995</v>
      </c>
      <c r="CA42" s="395">
        <f t="shared" si="194"/>
        <v>88046.936639999985</v>
      </c>
      <c r="CB42" s="159"/>
      <c r="CC42" s="159">
        <f>IFERROR(SUMIFS('PO Tracker'!$J$44:$J$1433,'PO Tracker'!$K$44:$K$1433,$BY$6,'PO Tracker'!$L$44:$L$1433,'Capex breakup'!$B42),0)</f>
        <v>0</v>
      </c>
      <c r="CD42" s="605">
        <f t="shared" si="195"/>
        <v>0</v>
      </c>
      <c r="CE42" s="118"/>
      <c r="CF42" s="151"/>
      <c r="CG42" s="151">
        <f t="shared" si="196"/>
        <v>0</v>
      </c>
      <c r="CH42" s="151">
        <f>CG42/CG2</f>
        <v>0</v>
      </c>
      <c r="CI42" s="159"/>
      <c r="CJ42" s="395">
        <f t="shared" si="197"/>
        <v>0</v>
      </c>
      <c r="CK42" s="395">
        <f t="shared" si="198"/>
        <v>0</v>
      </c>
      <c r="CL42" s="159"/>
      <c r="CM42" s="159">
        <f>IFERROR(SUMIFS('PO Tracker'!$J$44:$J$1433,'PO Tracker'!$K$44:$K$1433,$CI$6,'PO Tracker'!$L$44:$L$1433,'Capex breakup'!$B42),0)</f>
        <v>0</v>
      </c>
      <c r="CN42" s="605" t="str">
        <f t="shared" si="199"/>
        <v/>
      </c>
      <c r="CO42" s="118"/>
      <c r="CP42" s="151"/>
      <c r="CQ42" s="151">
        <f t="shared" si="200"/>
        <v>0</v>
      </c>
      <c r="CR42" s="151"/>
      <c r="CS42" s="159"/>
      <c r="CT42" s="395">
        <f t="shared" si="201"/>
        <v>0</v>
      </c>
      <c r="CU42" s="395">
        <f t="shared" si="202"/>
        <v>0</v>
      </c>
      <c r="CV42" s="159"/>
      <c r="CW42" s="159">
        <f>IFERROR(SUMIFS('PO Tracker'!$J$44:$J$1433,'PO Tracker'!$K$44:$K$1433,$CS$6,'PO Tracker'!$L$44:$L$1433,'Capex breakup'!$B42),0)</f>
        <v>0</v>
      </c>
      <c r="CX42" s="605" t="str">
        <f t="shared" si="203"/>
        <v/>
      </c>
      <c r="CY42" s="118"/>
      <c r="CZ42" s="151"/>
      <c r="DA42" s="151">
        <f t="shared" si="204"/>
        <v>0</v>
      </c>
      <c r="DB42" s="151">
        <f>DA42/DA2</f>
        <v>0</v>
      </c>
      <c r="DC42" s="159">
        <v>300</v>
      </c>
      <c r="DD42" s="395">
        <f t="shared" si="205"/>
        <v>64583.999999999993</v>
      </c>
      <c r="DE42" s="395">
        <f t="shared" si="206"/>
        <v>76209.119999999981</v>
      </c>
      <c r="DF42" s="159"/>
      <c r="DG42" s="159">
        <f>IFERROR(SUMIFS('PO Tracker'!$J$44:$J$1433,'PO Tracker'!$K$44:$K$1433,$DC$6,'PO Tracker'!$L$44:$L$1433,'Capex breakup'!$B42),0)</f>
        <v>0</v>
      </c>
      <c r="DH42" s="605">
        <f t="shared" si="207"/>
        <v>0</v>
      </c>
      <c r="DI42" s="118"/>
      <c r="DJ42" s="151"/>
      <c r="DK42" s="151">
        <f t="shared" si="208"/>
        <v>0</v>
      </c>
      <c r="DL42" s="151">
        <f>DK42/DK2</f>
        <v>0</v>
      </c>
      <c r="DM42" s="159"/>
      <c r="DN42" s="395">
        <f t="shared" si="209"/>
        <v>0</v>
      </c>
      <c r="DO42" s="159">
        <f t="shared" si="210"/>
        <v>0</v>
      </c>
      <c r="DP42" s="159">
        <f>IFERROR(SUMIFS('PO Tracker'!$J$44:$J$1433,'PO Tracker'!$K$44:$K$1433,$DM$6,'PO Tracker'!$L$44:$L$1433,'Capex breakup'!$B42),0)</f>
        <v>0</v>
      </c>
      <c r="DQ42" s="605" t="str">
        <f t="shared" si="211"/>
        <v/>
      </c>
      <c r="DR42" s="118"/>
      <c r="DS42" s="151"/>
      <c r="DT42" s="151">
        <f t="shared" si="212"/>
        <v>0</v>
      </c>
      <c r="DU42" s="151">
        <f>DT42/DT2</f>
        <v>0</v>
      </c>
      <c r="DV42" s="159"/>
      <c r="DW42" s="395">
        <v>0</v>
      </c>
      <c r="DX42" s="395">
        <f t="shared" si="213"/>
        <v>0</v>
      </c>
      <c r="DY42" s="159"/>
      <c r="DZ42" s="159">
        <f>IFERROR(SUMIFS('PO Tracker'!$J$44:$J$1433,'PO Tracker'!$K$44:$K$1433,$DV$6,'PO Tracker'!$L$44:$L$1433,'Capex breakup'!$B42),0)</f>
        <v>0</v>
      </c>
      <c r="EA42" s="605" t="str">
        <f t="shared" si="214"/>
        <v/>
      </c>
      <c r="EB42" s="118"/>
      <c r="EC42" s="151"/>
      <c r="ED42" s="151">
        <f t="shared" si="215"/>
        <v>0</v>
      </c>
      <c r="EE42" s="151">
        <f>ED42/ED2</f>
        <v>0</v>
      </c>
      <c r="EF42" s="159">
        <v>130</v>
      </c>
      <c r="EG42" s="395">
        <f t="shared" si="216"/>
        <v>50011.696799999998</v>
      </c>
      <c r="EH42" s="395">
        <f t="shared" si="217"/>
        <v>59013.802223999992</v>
      </c>
      <c r="EI42" s="159"/>
      <c r="EJ42" s="159">
        <f>IFERROR(SUMIFS('PO Tracker'!$J$44:$J$1433,'PO Tracker'!$K$44:$K$1433,$EF$6,'PO Tracker'!$L$44:$L$1433,'Capex breakup'!$B42),0)</f>
        <v>0</v>
      </c>
      <c r="EK42" s="605">
        <f t="shared" si="218"/>
        <v>0</v>
      </c>
      <c r="EL42" s="118"/>
      <c r="EM42" s="151"/>
      <c r="EN42" s="151"/>
      <c r="EO42" s="151"/>
      <c r="EP42" s="159">
        <v>50</v>
      </c>
      <c r="EQ42" s="395">
        <f t="shared" si="219"/>
        <v>19235.268</v>
      </c>
      <c r="ER42" s="395">
        <f t="shared" si="220"/>
        <v>22697.616239999999</v>
      </c>
      <c r="ES42" s="159"/>
      <c r="ET42" s="159">
        <f>IFERROR(SUMIFS('PO Tracker'!$J$44:$J$1433,'PO Tracker'!$K$44:$K$1433,$EP$6,'PO Tracker'!$L$44:$L$1433,'Capex breakup'!$B42),0)</f>
        <v>0</v>
      </c>
      <c r="EU42" s="605">
        <f t="shared" si="221"/>
        <v>0</v>
      </c>
      <c r="EV42" s="118"/>
      <c r="EW42" s="151"/>
      <c r="EX42" s="151"/>
      <c r="EY42" s="151"/>
      <c r="EZ42" s="159">
        <v>50</v>
      </c>
      <c r="FA42" s="395">
        <f t="shared" si="222"/>
        <v>64040.417999999991</v>
      </c>
      <c r="FB42" s="395">
        <f t="shared" si="223"/>
        <v>75567.693239999979</v>
      </c>
      <c r="FC42" s="159"/>
      <c r="FD42" s="159">
        <f>IFERROR(SUMIFS('PO Tracker'!$J$44:$J$1433,'PO Tracker'!$K$44:$K$1433,$EZ$6,'PO Tracker'!$L$44:$L$1433,'Capex breakup'!$B42),0)</f>
        <v>0</v>
      </c>
      <c r="FE42" s="605">
        <f t="shared" si="224"/>
        <v>0</v>
      </c>
      <c r="FF42" s="118"/>
      <c r="FG42" s="318"/>
      <c r="FH42" s="151">
        <f t="shared" si="225"/>
        <v>0</v>
      </c>
      <c r="FI42" s="133">
        <f t="shared" si="226"/>
        <v>0</v>
      </c>
      <c r="FJ42" s="159">
        <v>50</v>
      </c>
      <c r="FK42" s="395">
        <f t="shared" si="227"/>
        <v>131035.554</v>
      </c>
      <c r="FL42" s="159">
        <f t="shared" si="228"/>
        <v>154621.95371999999</v>
      </c>
      <c r="FM42" s="684"/>
      <c r="FN42" s="159">
        <f>FK42</f>
        <v>131035.554</v>
      </c>
      <c r="FO42" s="685">
        <f t="shared" si="229"/>
        <v>154621.95371999999</v>
      </c>
      <c r="FP42" s="684"/>
      <c r="FQ42" s="159">
        <f t="shared" si="230"/>
        <v>0</v>
      </c>
      <c r="FR42" s="685">
        <f t="shared" si="231"/>
        <v>0</v>
      </c>
      <c r="FS42" s="662">
        <f>IFERROR(SUMIFS('PO Tracker'!$J$44:$J$1433,'PO Tracker'!$K$44:$K$1433,$FJ$6,'PO Tracker'!$L$44:$L$1433,'Capex breakup'!$B42),0)</f>
        <v>0</v>
      </c>
      <c r="FT42" s="736" t="str">
        <f t="shared" si="232"/>
        <v/>
      </c>
      <c r="FU42" s="709"/>
      <c r="FV42" s="151"/>
      <c r="FW42" s="151">
        <f t="shared" si="233"/>
        <v>0</v>
      </c>
      <c r="FX42" s="151">
        <f>FW42/FW2</f>
        <v>0</v>
      </c>
      <c r="FY42" s="159"/>
      <c r="FZ42" s="395">
        <f t="shared" si="234"/>
        <v>0</v>
      </c>
      <c r="GA42" s="395">
        <f t="shared" si="235"/>
        <v>0</v>
      </c>
      <c r="GB42" s="159"/>
      <c r="GC42" s="159">
        <f>IFERROR(SUMIFS('PO Tracker'!$J$44:$J$1433,'PO Tracker'!$K$44:$K$1433,$FY$6,'PO Tracker'!$L$44:$L$1433,'Capex breakup'!$B42),0)</f>
        <v>0</v>
      </c>
      <c r="GD42" s="605" t="str">
        <f t="shared" si="236"/>
        <v/>
      </c>
      <c r="GE42" s="118"/>
      <c r="GF42" s="151"/>
      <c r="GG42" s="151">
        <f t="shared" si="237"/>
        <v>0</v>
      </c>
      <c r="GH42" s="151">
        <f>GG42/GG2</f>
        <v>0</v>
      </c>
      <c r="GI42" s="159"/>
      <c r="GJ42" s="395">
        <f t="shared" si="238"/>
        <v>0</v>
      </c>
      <c r="GK42" s="395">
        <f t="shared" si="239"/>
        <v>0</v>
      </c>
      <c r="GL42" s="159"/>
      <c r="GM42" s="159">
        <f>IFERROR(SUMIFS('PO Tracker'!$J$44:$J$1433,'PO Tracker'!$K$44:$K$1433,$GI$6,'PO Tracker'!$L$44:$L$1433,'Capex breakup'!$B42),0)</f>
        <v>0</v>
      </c>
      <c r="GN42" s="605" t="str">
        <f t="shared" si="240"/>
        <v/>
      </c>
      <c r="GO42" s="118"/>
      <c r="GP42" s="151"/>
      <c r="GQ42" s="151">
        <f t="shared" si="241"/>
        <v>0</v>
      </c>
      <c r="GR42" s="151">
        <f>GQ42/GQ2</f>
        <v>0</v>
      </c>
      <c r="GS42" s="159"/>
      <c r="GT42" s="395">
        <v>0</v>
      </c>
      <c r="GU42" s="159">
        <v>0</v>
      </c>
      <c r="GV42" s="159">
        <f>IFERROR(SUMIFS('PO Tracker'!$J$44:$J$1433,'PO Tracker'!$K$44:$K$1433,$GS$6,'PO Tracker'!$L$44:$L$1433,'Capex breakup'!$B42),0)</f>
        <v>0</v>
      </c>
      <c r="GW42" s="605" t="str">
        <f t="shared" si="242"/>
        <v/>
      </c>
      <c r="GX42" s="118"/>
      <c r="GY42" s="151"/>
      <c r="GZ42" s="151"/>
      <c r="HA42" s="133"/>
      <c r="HB42" s="159">
        <v>50</v>
      </c>
      <c r="HC42" s="395">
        <f t="shared" si="243"/>
        <v>166928.11200000002</v>
      </c>
      <c r="HD42" s="159">
        <f t="shared" si="244"/>
        <v>196975.17216000002</v>
      </c>
      <c r="HE42" s="159"/>
      <c r="HF42" s="159">
        <f>IFERROR(SUMIFS('PO Tracker'!$J$44:$J$1433,'PO Tracker'!$K$44:$K$1433,$HB$6,'PO Tracker'!$L$44:$L$1433,'Capex breakup'!$B42),0)</f>
        <v>0</v>
      </c>
      <c r="HG42" s="605">
        <f t="shared" si="245"/>
        <v>0</v>
      </c>
      <c r="HH42" s="118"/>
      <c r="HI42" s="151"/>
      <c r="HJ42" s="151"/>
      <c r="HK42" s="133"/>
      <c r="HL42" s="159">
        <v>50</v>
      </c>
      <c r="HM42" s="395">
        <f t="shared" si="246"/>
        <v>169802.1</v>
      </c>
      <c r="HN42" s="159">
        <f t="shared" si="247"/>
        <v>200366.478</v>
      </c>
      <c r="HO42" s="159">
        <f>IFERROR(SUMIFS('PO Tracker'!$J$44:$J$1433,'PO Tracker'!$K$44:$K$1433,$HL$6,'PO Tracker'!$L$44:$L$1433,'Capex breakup'!$B42),0)</f>
        <v>0</v>
      </c>
      <c r="HP42" s="605">
        <f t="shared" si="248"/>
        <v>0</v>
      </c>
      <c r="HQ42" s="118"/>
      <c r="HR42" s="364"/>
      <c r="HS42" s="364"/>
      <c r="HT42" s="364"/>
      <c r="HU42" s="364"/>
    </row>
    <row r="43" spans="1:229" s="26" customFormat="1" ht="15">
      <c r="A43" s="334"/>
      <c r="B43" s="23" t="s">
        <v>42</v>
      </c>
      <c r="C43" s="121"/>
      <c r="D43" s="154">
        <f>SUM(D30:D42)</f>
        <v>955292.00800000003</v>
      </c>
      <c r="E43" s="154">
        <f>SUM(E30:E42)</f>
        <v>809569.49830508477</v>
      </c>
      <c r="F43" s="152"/>
      <c r="G43" s="77"/>
      <c r="H43" s="396">
        <f>SUM(H30:H42)</f>
        <v>1255106.0807999999</v>
      </c>
      <c r="I43" s="396">
        <f>SUM(I30:I42)</f>
        <v>1481025.1753439996</v>
      </c>
      <c r="J43" s="78"/>
      <c r="K43" s="396">
        <f>SUM(K30:K42)</f>
        <v>919648.34</v>
      </c>
      <c r="L43" s="605">
        <f t="shared" si="167"/>
        <v>0.6209538874221987</v>
      </c>
      <c r="M43" s="121"/>
      <c r="N43" s="154">
        <f>SUM(N30:N42)</f>
        <v>955292.00800000003</v>
      </c>
      <c r="O43" s="154">
        <f>SUM(O30:O42)</f>
        <v>809569.49830508477</v>
      </c>
      <c r="P43" s="152"/>
      <c r="Q43" s="77"/>
      <c r="R43" s="396">
        <f>SUM(R30:R42)</f>
        <v>1331542.3211999999</v>
      </c>
      <c r="S43" s="396">
        <f>SUM(S30:S42)</f>
        <v>1571219.9390160001</v>
      </c>
      <c r="T43" s="78"/>
      <c r="U43" s="396">
        <f>SUM(U30:U42)</f>
        <v>0</v>
      </c>
      <c r="V43" s="605">
        <f t="shared" si="171"/>
        <v>0</v>
      </c>
      <c r="W43" s="121"/>
      <c r="X43" s="154">
        <f>SUM(X30:X42)</f>
        <v>9010100.8144000005</v>
      </c>
      <c r="Y43" s="154">
        <f>SUM(Y30:Y42)</f>
        <v>8044732.8700000001</v>
      </c>
      <c r="Z43" s="152"/>
      <c r="AA43" s="77"/>
      <c r="AB43" s="396">
        <f>SUM(AB30:AB42)</f>
        <v>4353096.1500000004</v>
      </c>
      <c r="AC43" s="396">
        <f>SUM(AC30:AC42)</f>
        <v>5136653.4570000004</v>
      </c>
      <c r="AD43" s="78"/>
      <c r="AE43" s="396">
        <f>SUM(AE30:AE42)</f>
        <v>3208532</v>
      </c>
      <c r="AF43" s="605">
        <f t="shared" si="175"/>
        <v>0.62463470172930524</v>
      </c>
      <c r="AG43" s="121"/>
      <c r="AH43" s="154">
        <f>SUM(AH30:AH42)</f>
        <v>955292.00800000003</v>
      </c>
      <c r="AI43" s="154">
        <f>SUM(AI30:AI42)</f>
        <v>809569.49830508477</v>
      </c>
      <c r="AJ43" s="152"/>
      <c r="AK43" s="77"/>
      <c r="AL43" s="396">
        <f>SUM(AL30:AL42)</f>
        <v>3650464.2095999997</v>
      </c>
      <c r="AM43" s="396">
        <f>SUM(AM30:AM42)</f>
        <v>4307547.7673279997</v>
      </c>
      <c r="AN43" s="78"/>
      <c r="AO43" s="396">
        <f>SUM(AO30:AO42)</f>
        <v>2567119.5</v>
      </c>
      <c r="AP43" s="605">
        <f t="shared" si="179"/>
        <v>0.59595845215487908</v>
      </c>
      <c r="AQ43" s="121"/>
      <c r="AR43" s="290">
        <f>SUM(AR30:AR42)</f>
        <v>7375939.7520000003</v>
      </c>
      <c r="AS43" s="290">
        <f>SUM(AS30:AS42)</f>
        <v>6250796.4000000004</v>
      </c>
      <c r="AT43" s="289"/>
      <c r="AU43" s="77"/>
      <c r="AV43" s="396">
        <f>SUM(AV30:AV42)</f>
        <v>5537997.2699999996</v>
      </c>
      <c r="AW43" s="396">
        <f>SUM(AW30:AW42)</f>
        <v>6534836.778599998</v>
      </c>
      <c r="AX43" s="78"/>
      <c r="AY43" s="396">
        <f>SUM(AY30:AY42)</f>
        <v>0</v>
      </c>
      <c r="AZ43" s="605">
        <f t="shared" si="184"/>
        <v>0</v>
      </c>
      <c r="BA43" s="121"/>
      <c r="BB43" s="154">
        <f>SUM(BB30:BB42)</f>
        <v>6927991.9199999999</v>
      </c>
      <c r="BC43" s="154">
        <f>SUM(BC30:BC42)</f>
        <v>5871179.5932203392</v>
      </c>
      <c r="BD43" s="152"/>
      <c r="BE43" s="77"/>
      <c r="BF43" s="396">
        <f>SUM(BF30:BF42)</f>
        <v>3179468.1671999996</v>
      </c>
      <c r="BG43" s="396">
        <f>SUM(BG30:BG42)</f>
        <v>3751772.4372959989</v>
      </c>
      <c r="BH43" s="78"/>
      <c r="BI43" s="396">
        <f>SUM(BI30:BI42)</f>
        <v>295545.15999999997</v>
      </c>
      <c r="BJ43" s="605">
        <f t="shared" si="188"/>
        <v>7.8774809757120326E-2</v>
      </c>
      <c r="BK43" s="121"/>
      <c r="BL43" s="154"/>
      <c r="BM43" s="154"/>
      <c r="BN43" s="152"/>
      <c r="BO43" s="77"/>
      <c r="BP43" s="396">
        <f>SUM(BP30:BP42)</f>
        <v>1532380.2623999994</v>
      </c>
      <c r="BQ43" s="396">
        <f>SUM(BQ30:BQ42)</f>
        <v>1808208.7096319995</v>
      </c>
      <c r="BR43" s="78"/>
      <c r="BS43" s="396">
        <f>SUM(BS30:BS42)</f>
        <v>0</v>
      </c>
      <c r="BT43" s="605">
        <f t="shared" si="191"/>
        <v>0</v>
      </c>
      <c r="BU43" s="121"/>
      <c r="BV43" s="154">
        <f>SUM(BV30:BV42)</f>
        <v>1501280.0159999998</v>
      </c>
      <c r="BW43" s="154">
        <f>SUM(BW30:BW42)</f>
        <v>1272271.2</v>
      </c>
      <c r="BX43" s="152"/>
      <c r="BY43" s="77"/>
      <c r="BZ43" s="396">
        <f>SUM(BZ30:BZ42)</f>
        <v>1294588.4327999998</v>
      </c>
      <c r="CA43" s="396">
        <f>SUM(CA30:CA42)</f>
        <v>1527614.3507039996</v>
      </c>
      <c r="CB43" s="78"/>
      <c r="CC43" s="396">
        <f>SUM(CC30:CC42)</f>
        <v>590601.505</v>
      </c>
      <c r="CD43" s="605">
        <f t="shared" si="195"/>
        <v>0.38661688712718745</v>
      </c>
      <c r="CE43" s="121"/>
      <c r="CF43" s="154">
        <f>SUM(CF30:CF42)</f>
        <v>843181.52</v>
      </c>
      <c r="CG43" s="154">
        <f>SUM(CG30:CG42)</f>
        <v>714560.6101694915</v>
      </c>
      <c r="CH43" s="152"/>
      <c r="CI43" s="77"/>
      <c r="CJ43" s="396">
        <f>SUM(CJ30:CJ42)</f>
        <v>755632.79999999993</v>
      </c>
      <c r="CK43" s="396">
        <f>SUM(CK30:CK42)</f>
        <v>891646.70399999979</v>
      </c>
      <c r="CL43" s="78"/>
      <c r="CM43" s="396">
        <f>SUM(CM30:CM42)</f>
        <v>0</v>
      </c>
      <c r="CN43" s="605">
        <f t="shared" si="199"/>
        <v>0</v>
      </c>
      <c r="CO43" s="121"/>
      <c r="CP43" s="154">
        <f>SUM(CP30:CP42)</f>
        <v>0</v>
      </c>
      <c r="CQ43" s="154">
        <f>SUM(CQ30:CQ42)</f>
        <v>0</v>
      </c>
      <c r="CR43" s="152"/>
      <c r="CS43" s="77"/>
      <c r="CT43" s="396">
        <f>SUM(CT30:CT42)</f>
        <v>0</v>
      </c>
      <c r="CU43" s="396">
        <f>SUM(CU30:CU42)</f>
        <v>0</v>
      </c>
      <c r="CV43" s="78"/>
      <c r="CW43" s="396">
        <f>SUM(CW30:CW42)</f>
        <v>0</v>
      </c>
      <c r="CX43" s="605" t="str">
        <f t="shared" si="203"/>
        <v/>
      </c>
      <c r="CY43" s="121"/>
      <c r="CZ43" s="154">
        <f>SUM(CZ30:CZ42)</f>
        <v>843181.52</v>
      </c>
      <c r="DA43" s="154">
        <f>SUM(DA30:DA42)</f>
        <v>714560.6101694915</v>
      </c>
      <c r="DB43" s="152"/>
      <c r="DC43" s="77"/>
      <c r="DD43" s="396">
        <f>SUM(DD30:DD42)</f>
        <v>1087163.9999999998</v>
      </c>
      <c r="DE43" s="396">
        <f>SUM(DE30:DE42)</f>
        <v>1282853.5199999996</v>
      </c>
      <c r="DF43" s="78"/>
      <c r="DG43" s="396">
        <f>SUM(DG30:DG42)</f>
        <v>993324</v>
      </c>
      <c r="DH43" s="605">
        <f t="shared" si="207"/>
        <v>0.77430820005077461</v>
      </c>
      <c r="DI43" s="121"/>
      <c r="DJ43" s="154">
        <f>SUM(DJ30:DJ42)</f>
        <v>0</v>
      </c>
      <c r="DK43" s="154">
        <f>SUM(DK30:DK42)</f>
        <v>0</v>
      </c>
      <c r="DL43" s="152"/>
      <c r="DM43" s="77"/>
      <c r="DN43" s="396">
        <f>SUM(DN30:DN42)</f>
        <v>69750.719999999987</v>
      </c>
      <c r="DO43" s="78">
        <f>SUM(DO30:DO42)</f>
        <v>82305.849599999987</v>
      </c>
      <c r="DP43" s="396">
        <f>SUM(DP30:DP42)</f>
        <v>21098.400000000001</v>
      </c>
      <c r="DQ43" s="605">
        <f t="shared" si="211"/>
        <v>0.30248289910125664</v>
      </c>
      <c r="DR43" s="121"/>
      <c r="DS43" s="154">
        <f>SUM(DS30:DS42)</f>
        <v>843181.52</v>
      </c>
      <c r="DT43" s="154">
        <f>SUM(DT30:DT42)</f>
        <v>714560.6101694915</v>
      </c>
      <c r="DU43" s="152"/>
      <c r="DV43" s="77"/>
      <c r="DW43" s="396">
        <f>SUM(DW30:DW42)</f>
        <v>1608432.2279999999</v>
      </c>
      <c r="DX43" s="396">
        <f>SUM(DX30:DX42)</f>
        <v>1897950.0290399995</v>
      </c>
      <c r="DY43" s="78"/>
      <c r="DZ43" s="396">
        <f>SUM(DZ30:DZ42)</f>
        <v>516963.9</v>
      </c>
      <c r="EA43" s="605">
        <f t="shared" si="214"/>
        <v>0.2723801428330993</v>
      </c>
      <c r="EB43" s="121"/>
      <c r="EC43" s="154">
        <f>SUM(EC30:EC42)</f>
        <v>843181.52</v>
      </c>
      <c r="ED43" s="154">
        <f>SUM(ED30:ED42)</f>
        <v>714560.6101694915</v>
      </c>
      <c r="EE43" s="152"/>
      <c r="EF43" s="77"/>
      <c r="EG43" s="396">
        <f>SUM(EG30:EG42)</f>
        <v>1023316.2576</v>
      </c>
      <c r="EH43" s="396">
        <f>SUM(EH30:EH42)</f>
        <v>1207513.1839679999</v>
      </c>
      <c r="EI43" s="78"/>
      <c r="EJ43" s="396">
        <f>SUM(EJ30:EJ42)</f>
        <v>919987</v>
      </c>
      <c r="EK43" s="605">
        <f t="shared" si="218"/>
        <v>0.76188567728663448</v>
      </c>
      <c r="EL43" s="121"/>
      <c r="EM43" s="154">
        <f>SUM(EM30:EM42)</f>
        <v>0</v>
      </c>
      <c r="EN43" s="154">
        <f>SUM(EN30:EN42)</f>
        <v>0</v>
      </c>
      <c r="EO43" s="152"/>
      <c r="EP43" s="77"/>
      <c r="EQ43" s="396">
        <f>SUM(EQ30:EQ42)</f>
        <v>704010.8088</v>
      </c>
      <c r="ER43" s="396">
        <f>SUM(ER30:ER42)</f>
        <v>830732.75438399985</v>
      </c>
      <c r="ES43" s="78"/>
      <c r="ET43" s="396">
        <f>SUM(ET30:ET42)</f>
        <v>622963.30000000005</v>
      </c>
      <c r="EU43" s="605">
        <f t="shared" si="221"/>
        <v>0.74989615699207168</v>
      </c>
      <c r="EV43" s="121"/>
      <c r="EW43" s="154">
        <f>SUM(EW30:EW42)</f>
        <v>0</v>
      </c>
      <c r="EX43" s="154">
        <f>SUM(EX30:EX42)</f>
        <v>0</v>
      </c>
      <c r="EY43" s="152"/>
      <c r="EZ43" s="77"/>
      <c r="FA43" s="396">
        <f>SUM(FA30:FA42)</f>
        <v>3836021.0381999994</v>
      </c>
      <c r="FB43" s="396">
        <f>SUM(FB30:FB42)</f>
        <v>4526504.8250759989</v>
      </c>
      <c r="FC43" s="78"/>
      <c r="FD43" s="396">
        <f>SUM(FD30:FD42)</f>
        <v>2533018.6800000002</v>
      </c>
      <c r="FE43" s="605">
        <f t="shared" si="224"/>
        <v>0.5595970352152384</v>
      </c>
      <c r="FF43" s="122"/>
      <c r="FG43" s="739">
        <f>SUM(FG30:FG42)</f>
        <v>9010100.8144000005</v>
      </c>
      <c r="FH43" s="154">
        <f>SUM(FH30:FH42)</f>
        <v>8044732.8700000001</v>
      </c>
      <c r="FI43" s="152"/>
      <c r="FJ43" s="77"/>
      <c r="FK43" s="396">
        <f>SUM(FK30:FK42)</f>
        <v>7148033.3115916736</v>
      </c>
      <c r="FL43" s="106">
        <f>SUM(FL30:FL42)</f>
        <v>8434679.3076781742</v>
      </c>
      <c r="FM43" s="689"/>
      <c r="FN43" s="396">
        <f>SUM(FN30:FN42)</f>
        <v>7148033.3115916736</v>
      </c>
      <c r="FO43" s="687">
        <f>SUM(FO30:FO42)</f>
        <v>8434679.3076781742</v>
      </c>
      <c r="FP43" s="689"/>
      <c r="FQ43" s="396">
        <f>SUM(FQ30:FQ42)</f>
        <v>0</v>
      </c>
      <c r="FR43" s="687">
        <f>SUM(FR30:FR42)</f>
        <v>0</v>
      </c>
      <c r="FS43" s="665">
        <f>SUM(FS30:FS42)</f>
        <v>0</v>
      </c>
      <c r="FT43" s="736" t="str">
        <f t="shared" si="232"/>
        <v/>
      </c>
      <c r="FU43" s="712"/>
      <c r="FV43" s="154">
        <f>SUM(FV30:FV42)</f>
        <v>843181.52</v>
      </c>
      <c r="FW43" s="154">
        <f>SUM(FW30:FW42)</f>
        <v>714560.6101694915</v>
      </c>
      <c r="FX43" s="152"/>
      <c r="FY43" s="77"/>
      <c r="FZ43" s="396">
        <f>SUM(FZ30:FZ42)</f>
        <v>1017279.8063999999</v>
      </c>
      <c r="GA43" s="396">
        <f>SUM(GA30:GA42)</f>
        <v>1200390.1715519999</v>
      </c>
      <c r="GB43" s="78"/>
      <c r="GC43" s="396">
        <f>SUM(GC30:GC42)</f>
        <v>1123755.3</v>
      </c>
      <c r="GD43" s="605">
        <f t="shared" si="236"/>
        <v>0.9361583646982734</v>
      </c>
      <c r="GE43" s="121"/>
      <c r="GF43" s="154">
        <f>SUM(GF30:GF42)</f>
        <v>0</v>
      </c>
      <c r="GG43" s="154">
        <f>SUM(GG30:GG42)</f>
        <v>0</v>
      </c>
      <c r="GH43" s="152"/>
      <c r="GI43" s="77"/>
      <c r="GJ43" s="396">
        <f>SUM(GJ30:GJ42)</f>
        <v>426469.68</v>
      </c>
      <c r="GK43" s="396">
        <f>SUM(GK30:GK42)</f>
        <v>503234.22239999991</v>
      </c>
      <c r="GL43" s="78"/>
      <c r="GM43" s="396">
        <f>SUM(GM30:GM42)</f>
        <v>1257496.5</v>
      </c>
      <c r="GN43" s="605">
        <f t="shared" si="240"/>
        <v>2.4988294595761187</v>
      </c>
      <c r="GO43" s="121"/>
      <c r="GP43" s="154">
        <f>SUM(GP30:GP42)</f>
        <v>0</v>
      </c>
      <c r="GQ43" s="154">
        <f>SUM(GQ30:GQ42)</f>
        <v>0</v>
      </c>
      <c r="GR43" s="152"/>
      <c r="GS43" s="77"/>
      <c r="GT43" s="396">
        <f t="shared" ref="GT43:GV43" si="249">SUM(GT30:GT42)</f>
        <v>69750.719999999987</v>
      </c>
      <c r="GU43" s="396">
        <f t="shared" si="249"/>
        <v>82305.849599999987</v>
      </c>
      <c r="GV43" s="396">
        <f t="shared" si="249"/>
        <v>21098.400000000001</v>
      </c>
      <c r="GW43" s="605">
        <f t="shared" si="242"/>
        <v>0.30248289910125664</v>
      </c>
      <c r="GX43" s="121"/>
      <c r="GY43" s="154"/>
      <c r="GZ43" s="154"/>
      <c r="HA43" s="152"/>
      <c r="HB43" s="77"/>
      <c r="HC43" s="396">
        <f>SUM(HC30:HC42)</f>
        <v>9907239.2967542019</v>
      </c>
      <c r="HD43" s="78">
        <f>SUM(HD30:HD42)</f>
        <v>11690542.370169958</v>
      </c>
      <c r="HE43" s="78"/>
      <c r="HF43" s="396">
        <f>SUM(HF30:HF42)</f>
        <v>8150490.0999999996</v>
      </c>
      <c r="HG43" s="605">
        <f t="shared" si="245"/>
        <v>0.69718665241718014</v>
      </c>
      <c r="HH43" s="121"/>
      <c r="HI43" s="154"/>
      <c r="HJ43" s="154"/>
      <c r="HK43" s="152"/>
      <c r="HL43" s="77"/>
      <c r="HM43" s="396">
        <f>SUM(HM30:HM42)</f>
        <v>15519911.939999999</v>
      </c>
      <c r="HN43" s="78">
        <f>SUM(HN30:HN42)</f>
        <v>18313496.089200001</v>
      </c>
      <c r="HO43" s="396">
        <f>SUM(HO30:HO42)</f>
        <v>0</v>
      </c>
      <c r="HP43" s="605">
        <f t="shared" si="248"/>
        <v>0</v>
      </c>
      <c r="HQ43" s="121"/>
      <c r="HR43" s="23"/>
      <c r="HS43" s="23"/>
      <c r="HT43" s="23"/>
      <c r="HU43" s="23"/>
    </row>
    <row r="44" spans="1:229" ht="15">
      <c r="A44" s="334"/>
      <c r="B44" s="23"/>
      <c r="C44" s="118"/>
      <c r="D44" s="161"/>
      <c r="E44" s="161"/>
      <c r="F44" s="161"/>
      <c r="G44" s="159"/>
      <c r="H44" s="395"/>
      <c r="I44" s="395"/>
      <c r="J44" s="159"/>
      <c r="K44" s="159"/>
      <c r="L44" s="159"/>
      <c r="M44" s="118"/>
      <c r="N44" s="161"/>
      <c r="O44" s="161"/>
      <c r="P44" s="161"/>
      <c r="Q44" s="159"/>
      <c r="R44" s="395"/>
      <c r="S44" s="395"/>
      <c r="T44" s="159"/>
      <c r="U44" s="159"/>
      <c r="V44" s="605"/>
      <c r="W44" s="118"/>
      <c r="X44" s="161"/>
      <c r="Y44" s="161"/>
      <c r="Z44" s="161"/>
      <c r="AA44" s="159"/>
      <c r="AB44" s="395"/>
      <c r="AC44" s="395"/>
      <c r="AD44" s="159"/>
      <c r="AE44" s="159"/>
      <c r="AF44" s="605"/>
      <c r="AG44" s="118"/>
      <c r="AH44" s="161"/>
      <c r="AI44" s="161"/>
      <c r="AJ44" s="161"/>
      <c r="AK44" s="159"/>
      <c r="AL44" s="395"/>
      <c r="AM44" s="395"/>
      <c r="AN44" s="159"/>
      <c r="AO44" s="159"/>
      <c r="AP44" s="605"/>
      <c r="AQ44" s="118"/>
      <c r="AR44" s="291"/>
      <c r="AS44" s="291"/>
      <c r="AT44" s="291"/>
      <c r="AU44" s="159"/>
      <c r="AV44" s="395"/>
      <c r="AW44" s="395"/>
      <c r="AX44" s="159"/>
      <c r="AY44" s="159"/>
      <c r="AZ44" s="605"/>
      <c r="BA44" s="118"/>
      <c r="BB44" s="161"/>
      <c r="BC44" s="161"/>
      <c r="BD44" s="161"/>
      <c r="BE44" s="159"/>
      <c r="BF44" s="395"/>
      <c r="BG44" s="395"/>
      <c r="BH44" s="159"/>
      <c r="BI44" s="159"/>
      <c r="BJ44" s="605"/>
      <c r="BK44" s="118"/>
      <c r="BL44" s="161"/>
      <c r="BM44" s="161"/>
      <c r="BN44" s="161"/>
      <c r="BO44" s="159"/>
      <c r="BP44" s="395"/>
      <c r="BQ44" s="395"/>
      <c r="BR44" s="159"/>
      <c r="BS44" s="159"/>
      <c r="BT44" s="605"/>
      <c r="BU44" s="118"/>
      <c r="BV44" s="161"/>
      <c r="BW44" s="161"/>
      <c r="BX44" s="161"/>
      <c r="BY44" s="159"/>
      <c r="BZ44" s="395"/>
      <c r="CA44" s="395"/>
      <c r="CB44" s="159"/>
      <c r="CC44" s="159"/>
      <c r="CD44" s="605"/>
      <c r="CE44" s="118"/>
      <c r="CF44" s="161"/>
      <c r="CG44" s="161"/>
      <c r="CH44" s="161"/>
      <c r="CI44" s="159"/>
      <c r="CJ44" s="395"/>
      <c r="CK44" s="395"/>
      <c r="CL44" s="159"/>
      <c r="CM44" s="159"/>
      <c r="CN44" s="605"/>
      <c r="CO44" s="118"/>
      <c r="CP44" s="161"/>
      <c r="CQ44" s="161"/>
      <c r="CR44" s="161"/>
      <c r="CS44" s="159"/>
      <c r="CT44" s="395"/>
      <c r="CU44" s="395"/>
      <c r="CV44" s="159"/>
      <c r="CW44" s="159"/>
      <c r="CX44" s="605"/>
      <c r="CY44" s="118"/>
      <c r="CZ44" s="161"/>
      <c r="DA44" s="161"/>
      <c r="DB44" s="161"/>
      <c r="DC44" s="159"/>
      <c r="DD44" s="395"/>
      <c r="DE44" s="395"/>
      <c r="DF44" s="159"/>
      <c r="DG44" s="159"/>
      <c r="DH44" s="605"/>
      <c r="DI44" s="118"/>
      <c r="DJ44" s="161"/>
      <c r="DK44" s="161"/>
      <c r="DL44" s="161"/>
      <c r="DM44" s="159"/>
      <c r="DN44" s="395"/>
      <c r="DO44" s="159"/>
      <c r="DP44" s="159"/>
      <c r="DQ44" s="605"/>
      <c r="DR44" s="118"/>
      <c r="DS44" s="161"/>
      <c r="DT44" s="161"/>
      <c r="DU44" s="161"/>
      <c r="DV44" s="159"/>
      <c r="DW44" s="395"/>
      <c r="DX44" s="395"/>
      <c r="DY44" s="159"/>
      <c r="DZ44" s="159"/>
      <c r="EA44" s="605"/>
      <c r="EB44" s="118"/>
      <c r="EC44" s="161"/>
      <c r="ED44" s="161"/>
      <c r="EE44" s="161"/>
      <c r="EF44" s="159"/>
      <c r="EG44" s="395"/>
      <c r="EH44" s="395"/>
      <c r="EI44" s="159"/>
      <c r="EJ44" s="159"/>
      <c r="EK44" s="605"/>
      <c r="EL44" s="118"/>
      <c r="EM44" s="161"/>
      <c r="EN44" s="161"/>
      <c r="EO44" s="161"/>
      <c r="EP44" s="159"/>
      <c r="EQ44" s="395"/>
      <c r="ER44" s="395"/>
      <c r="ES44" s="159"/>
      <c r="ET44" s="159"/>
      <c r="EU44" s="605"/>
      <c r="EV44" s="118"/>
      <c r="EW44" s="161"/>
      <c r="EX44" s="161"/>
      <c r="EY44" s="161"/>
      <c r="EZ44" s="159"/>
      <c r="FA44" s="395"/>
      <c r="FB44" s="395"/>
      <c r="FC44" s="159"/>
      <c r="FD44" s="159"/>
      <c r="FE44" s="605"/>
      <c r="FF44" s="118"/>
      <c r="FG44" s="321"/>
      <c r="FH44" s="161"/>
      <c r="FI44" s="161"/>
      <c r="FJ44" s="159"/>
      <c r="FK44" s="395"/>
      <c r="FL44" s="159"/>
      <c r="FM44" s="684"/>
      <c r="FN44" s="159"/>
      <c r="FO44" s="685"/>
      <c r="FP44" s="684"/>
      <c r="FQ44" s="159"/>
      <c r="FR44" s="685"/>
      <c r="FS44" s="662"/>
      <c r="FT44" s="736"/>
      <c r="FU44" s="709"/>
      <c r="FV44" s="161"/>
      <c r="FW44" s="161"/>
      <c r="FX44" s="161"/>
      <c r="FY44" s="159"/>
      <c r="FZ44" s="395"/>
      <c r="GA44" s="395"/>
      <c r="GB44" s="159"/>
      <c r="GC44" s="159"/>
      <c r="GD44" s="605"/>
      <c r="GE44" s="118"/>
      <c r="GF44" s="161"/>
      <c r="GG44" s="161"/>
      <c r="GH44" s="161"/>
      <c r="GI44" s="159"/>
      <c r="GJ44" s="395"/>
      <c r="GK44" s="395"/>
      <c r="GL44" s="159"/>
      <c r="GM44" s="159"/>
      <c r="GN44" s="605"/>
      <c r="GO44" s="118"/>
      <c r="GP44" s="161"/>
      <c r="GQ44" s="161"/>
      <c r="GR44" s="161"/>
      <c r="GS44" s="159"/>
      <c r="GT44" s="395"/>
      <c r="GU44" s="159"/>
      <c r="GV44" s="159"/>
      <c r="GW44" s="605"/>
      <c r="GX44" s="118"/>
      <c r="GY44" s="161"/>
      <c r="GZ44" s="161"/>
      <c r="HA44" s="161"/>
      <c r="HB44" s="159"/>
      <c r="HC44" s="395"/>
      <c r="HD44" s="159"/>
      <c r="HE44" s="159"/>
      <c r="HF44" s="159"/>
      <c r="HG44" s="605"/>
      <c r="HH44" s="118"/>
      <c r="HI44" s="161"/>
      <c r="HJ44" s="161"/>
      <c r="HK44" s="161"/>
      <c r="HL44" s="159"/>
      <c r="HM44" s="395"/>
      <c r="HN44" s="159"/>
      <c r="HO44" s="159"/>
      <c r="HP44" s="605"/>
      <c r="HQ44" s="118"/>
      <c r="HR44" s="149"/>
      <c r="HS44" s="149"/>
      <c r="HT44" s="149"/>
      <c r="HU44" s="149"/>
    </row>
    <row r="45" spans="1:229" ht="15">
      <c r="A45" s="13" t="s">
        <v>43</v>
      </c>
      <c r="B45" s="14" t="s">
        <v>44</v>
      </c>
      <c r="C45" s="120"/>
      <c r="D45" s="150"/>
      <c r="E45" s="150"/>
      <c r="F45" s="153"/>
      <c r="G45" s="27"/>
      <c r="H45" s="397"/>
      <c r="I45" s="397"/>
      <c r="J45" s="27"/>
      <c r="K45" s="27"/>
      <c r="L45" s="27"/>
      <c r="M45" s="120"/>
      <c r="N45" s="150"/>
      <c r="O45" s="150"/>
      <c r="P45" s="153"/>
      <c r="Q45" s="27"/>
      <c r="R45" s="397"/>
      <c r="S45" s="397"/>
      <c r="T45" s="27"/>
      <c r="U45" s="27"/>
      <c r="V45" s="620"/>
      <c r="W45" s="120"/>
      <c r="X45" s="150"/>
      <c r="Y45" s="150"/>
      <c r="Z45" s="150"/>
      <c r="AA45" s="27"/>
      <c r="AB45" s="397"/>
      <c r="AC45" s="397"/>
      <c r="AD45" s="27"/>
      <c r="AE45" s="27"/>
      <c r="AF45" s="620"/>
      <c r="AG45" s="120"/>
      <c r="AH45" s="150"/>
      <c r="AI45" s="150"/>
      <c r="AJ45" s="153"/>
      <c r="AK45" s="27"/>
      <c r="AL45" s="397"/>
      <c r="AM45" s="397"/>
      <c r="AN45" s="27"/>
      <c r="AO45" s="27"/>
      <c r="AP45" s="620"/>
      <c r="AQ45" s="120"/>
      <c r="AR45" s="286"/>
      <c r="AS45" s="286"/>
      <c r="AT45" s="286"/>
      <c r="AU45" s="27"/>
      <c r="AV45" s="397"/>
      <c r="AW45" s="397"/>
      <c r="AX45" s="27"/>
      <c r="AY45" s="27"/>
      <c r="AZ45" s="620"/>
      <c r="BA45" s="120"/>
      <c r="BB45" s="150"/>
      <c r="BC45" s="150"/>
      <c r="BD45" s="153"/>
      <c r="BE45" s="27"/>
      <c r="BF45" s="397"/>
      <c r="BG45" s="397"/>
      <c r="BH45" s="27"/>
      <c r="BI45" s="27"/>
      <c r="BJ45" s="620"/>
      <c r="BK45" s="120"/>
      <c r="BL45" s="150"/>
      <c r="BM45" s="150"/>
      <c r="BN45" s="153"/>
      <c r="BO45" s="27"/>
      <c r="BP45" s="397"/>
      <c r="BQ45" s="397"/>
      <c r="BR45" s="27"/>
      <c r="BS45" s="27"/>
      <c r="BT45" s="620"/>
      <c r="BU45" s="120"/>
      <c r="BV45" s="150"/>
      <c r="BW45" s="150"/>
      <c r="BX45" s="153"/>
      <c r="BY45" s="27"/>
      <c r="BZ45" s="397"/>
      <c r="CA45" s="397"/>
      <c r="CB45" s="27"/>
      <c r="CC45" s="27"/>
      <c r="CD45" s="620"/>
      <c r="CE45" s="120"/>
      <c r="CF45" s="150"/>
      <c r="CG45" s="150"/>
      <c r="CH45" s="153"/>
      <c r="CI45" s="27"/>
      <c r="CJ45" s="397"/>
      <c r="CK45" s="397"/>
      <c r="CL45" s="27"/>
      <c r="CM45" s="27"/>
      <c r="CN45" s="620"/>
      <c r="CO45" s="120"/>
      <c r="CP45" s="150"/>
      <c r="CQ45" s="150"/>
      <c r="CR45" s="153"/>
      <c r="CS45" s="27"/>
      <c r="CT45" s="397"/>
      <c r="CU45" s="397"/>
      <c r="CV45" s="27"/>
      <c r="CW45" s="27"/>
      <c r="CX45" s="620"/>
      <c r="CY45" s="120"/>
      <c r="CZ45" s="150"/>
      <c r="DA45" s="150"/>
      <c r="DB45" s="153"/>
      <c r="DC45" s="27"/>
      <c r="DD45" s="397"/>
      <c r="DE45" s="397"/>
      <c r="DF45" s="27"/>
      <c r="DG45" s="27"/>
      <c r="DH45" s="620"/>
      <c r="DI45" s="120"/>
      <c r="DJ45" s="150"/>
      <c r="DK45" s="150"/>
      <c r="DL45" s="153"/>
      <c r="DM45" s="27"/>
      <c r="DN45" s="397"/>
      <c r="DO45" s="27"/>
      <c r="DP45" s="27"/>
      <c r="DQ45" s="620"/>
      <c r="DR45" s="120"/>
      <c r="DS45" s="150"/>
      <c r="DT45" s="150"/>
      <c r="DU45" s="153"/>
      <c r="DV45" s="27"/>
      <c r="DW45" s="397"/>
      <c r="DX45" s="397"/>
      <c r="DY45" s="27"/>
      <c r="DZ45" s="27"/>
      <c r="EA45" s="620"/>
      <c r="EB45" s="120"/>
      <c r="EC45" s="150"/>
      <c r="ED45" s="150"/>
      <c r="EE45" s="153"/>
      <c r="EF45" s="27"/>
      <c r="EG45" s="397"/>
      <c r="EH45" s="397"/>
      <c r="EI45" s="27"/>
      <c r="EJ45" s="27"/>
      <c r="EK45" s="620"/>
      <c r="EL45" s="120"/>
      <c r="EM45" s="150"/>
      <c r="EN45" s="150"/>
      <c r="EO45" s="153"/>
      <c r="EP45" s="27"/>
      <c r="EQ45" s="397"/>
      <c r="ER45" s="397"/>
      <c r="ES45" s="27"/>
      <c r="ET45" s="27"/>
      <c r="EU45" s="620"/>
      <c r="EV45" s="120"/>
      <c r="EW45" s="150"/>
      <c r="EX45" s="150"/>
      <c r="EY45" s="153"/>
      <c r="EZ45" s="27"/>
      <c r="FA45" s="397"/>
      <c r="FB45" s="397"/>
      <c r="FC45" s="27"/>
      <c r="FD45" s="27"/>
      <c r="FE45" s="620"/>
      <c r="FF45" s="120"/>
      <c r="FG45" s="316"/>
      <c r="FH45" s="150"/>
      <c r="FI45" s="150"/>
      <c r="FJ45" s="27"/>
      <c r="FK45" s="397"/>
      <c r="FL45" s="27"/>
      <c r="FM45" s="688"/>
      <c r="FN45" s="27"/>
      <c r="FO45" s="29"/>
      <c r="FP45" s="688"/>
      <c r="FQ45" s="27"/>
      <c r="FR45" s="29"/>
      <c r="FS45" s="663"/>
      <c r="FT45" s="738"/>
      <c r="FU45" s="711"/>
      <c r="FV45" s="150"/>
      <c r="FW45" s="150"/>
      <c r="FX45" s="153"/>
      <c r="FY45" s="27"/>
      <c r="FZ45" s="397"/>
      <c r="GA45" s="397"/>
      <c r="GB45" s="27"/>
      <c r="GC45" s="27"/>
      <c r="GD45" s="620"/>
      <c r="GE45" s="120"/>
      <c r="GF45" s="150"/>
      <c r="GG45" s="150"/>
      <c r="GH45" s="153"/>
      <c r="GI45" s="27"/>
      <c r="GJ45" s="397"/>
      <c r="GK45" s="397"/>
      <c r="GL45" s="27"/>
      <c r="GM45" s="27"/>
      <c r="GN45" s="620"/>
      <c r="GO45" s="120"/>
      <c r="GP45" s="150"/>
      <c r="GQ45" s="150"/>
      <c r="GR45" s="153"/>
      <c r="GS45" s="27"/>
      <c r="GT45" s="397"/>
      <c r="GU45" s="27"/>
      <c r="GV45" s="27"/>
      <c r="GW45" s="620"/>
      <c r="GX45" s="120"/>
      <c r="GY45" s="150"/>
      <c r="GZ45" s="150"/>
      <c r="HA45" s="150"/>
      <c r="HB45" s="27"/>
      <c r="HC45" s="397"/>
      <c r="HD45" s="27"/>
      <c r="HE45" s="27"/>
      <c r="HF45" s="27"/>
      <c r="HG45" s="620"/>
      <c r="HH45" s="120"/>
      <c r="HI45" s="150"/>
      <c r="HJ45" s="150"/>
      <c r="HK45" s="150"/>
      <c r="HL45" s="27"/>
      <c r="HM45" s="397"/>
      <c r="HN45" s="27"/>
      <c r="HO45" s="27"/>
      <c r="HP45" s="620"/>
      <c r="HQ45" s="120"/>
      <c r="HR45" s="150"/>
      <c r="HS45" s="150"/>
      <c r="HT45" s="150"/>
      <c r="HU45" s="150"/>
    </row>
    <row r="46" spans="1:229">
      <c r="A46" s="18">
        <v>1</v>
      </c>
      <c r="B46" s="19" t="s">
        <v>45</v>
      </c>
      <c r="C46" s="118"/>
      <c r="D46" s="151">
        <v>0</v>
      </c>
      <c r="E46" s="151">
        <f t="shared" ref="E46:E53" si="250">D46/118%</f>
        <v>0</v>
      </c>
      <c r="F46" s="151">
        <f>E46/E2</f>
        <v>0</v>
      </c>
      <c r="G46" s="159">
        <f t="shared" ref="G46:G50" si="251">+F46</f>
        <v>0</v>
      </c>
      <c r="H46" s="395">
        <f t="shared" ref="H46:H54" si="252">G46*H$2</f>
        <v>0</v>
      </c>
      <c r="I46" s="395">
        <f t="shared" ref="I46:I54" si="253">H46*118%</f>
        <v>0</v>
      </c>
      <c r="J46" s="159"/>
      <c r="K46" s="159">
        <f>IFERROR(SUMIFS('PO Tracker'!$J$44:$J$1433,'PO Tracker'!$K$44:$K$1433,$G$6,'PO Tracker'!$L$44:$L$1433,'Capex breakup'!$B46),0)</f>
        <v>0</v>
      </c>
      <c r="L46" s="605" t="str">
        <f t="shared" ref="L46:L55" si="254">IFERROR(K46/I46,"")</f>
        <v/>
      </c>
      <c r="M46" s="118"/>
      <c r="N46" s="151">
        <v>0</v>
      </c>
      <c r="O46" s="151">
        <f t="shared" ref="O46:O53" si="255">N46/118%</f>
        <v>0</v>
      </c>
      <c r="P46" s="151">
        <f>O46/O2</f>
        <v>0</v>
      </c>
      <c r="Q46" s="159">
        <v>60</v>
      </c>
      <c r="R46" s="395">
        <f t="shared" ref="R46:R54" si="256">Q46*R$2</f>
        <v>60986.671199999997</v>
      </c>
      <c r="S46" s="395">
        <f t="shared" ref="S46:S54" si="257">R46*118%</f>
        <v>71964.272015999988</v>
      </c>
      <c r="T46" s="159"/>
      <c r="U46" s="159">
        <f>IFERROR(SUMIFS('PO Tracker'!$J$44:$J$1433,'PO Tracker'!$K$44:$K$1433,$Q$6,'PO Tracker'!$L$44:$L$1433,'Capex breakup'!$B46),0)</f>
        <v>0</v>
      </c>
      <c r="V46" s="605">
        <f t="shared" ref="V46:V55" si="258">IFERROR(U46/S46,"")</f>
        <v>0</v>
      </c>
      <c r="W46" s="118"/>
      <c r="X46" s="151">
        <v>1568000.0000000002</v>
      </c>
      <c r="Y46" s="151">
        <f t="shared" ref="Y46:Y53" si="259">X46/112%</f>
        <v>1400000</v>
      </c>
      <c r="Z46" s="133">
        <f t="shared" ref="Z46:Z55" si="260">Y46/$Y$2</f>
        <v>531.06744556558692</v>
      </c>
      <c r="AA46" s="159">
        <v>200</v>
      </c>
      <c r="AB46" s="395">
        <f>AA46*$AB$2</f>
        <v>374587.2</v>
      </c>
      <c r="AC46" s="395">
        <f t="shared" ref="AC46:AC54" si="261">AB46*118%</f>
        <v>442012.89600000001</v>
      </c>
      <c r="AD46" s="159"/>
      <c r="AE46" s="159">
        <f>IFERROR(SUMIFS('PO Tracker'!$J$44:$J$1433,'PO Tracker'!$K$44:$K$1433,$AA$6,'PO Tracker'!$L$44:$L$1433,'Capex breakup'!$B46),0)</f>
        <v>148149</v>
      </c>
      <c r="AF46" s="605">
        <f t="shared" ref="AF46:AF55" si="262">IFERROR(AE46/AC46,"")</f>
        <v>0.33516895398454616</v>
      </c>
      <c r="AG46" s="118"/>
      <c r="AH46" s="151">
        <v>0</v>
      </c>
      <c r="AI46" s="151">
        <f t="shared" ref="AI46:AI53" si="263">AH46/118%</f>
        <v>0</v>
      </c>
      <c r="AJ46" s="151">
        <f>AI46/AI2</f>
        <v>0</v>
      </c>
      <c r="AK46" s="159">
        <f>+AJ46</f>
        <v>0</v>
      </c>
      <c r="AL46" s="395">
        <f t="shared" ref="AL46:AL54" si="264">AK46*AL$2</f>
        <v>0</v>
      </c>
      <c r="AM46" s="395">
        <f t="shared" ref="AM46:AM54" si="265">AL46*118%</f>
        <v>0</v>
      </c>
      <c r="AN46" s="159"/>
      <c r="AO46" s="159">
        <f>IFERROR(SUMIFS('PO Tracker'!$J$44:$J$1433,'PO Tracker'!$K$44:$K$1433,$AK$6,'PO Tracker'!$L$44:$L$1433,'Capex breakup'!$B46),0)</f>
        <v>94252.5</v>
      </c>
      <c r="AP46" s="605" t="str">
        <f t="shared" ref="AP46:AP55" si="266">IFERROR(AO46/AM46,"")</f>
        <v/>
      </c>
      <c r="AQ46" s="118"/>
      <c r="AR46" s="287"/>
      <c r="AS46" s="287">
        <f t="shared" ref="AS46:AS53" si="267">AR46/118%</f>
        <v>0</v>
      </c>
      <c r="AT46" s="288">
        <f t="shared" ref="AT46:AT53" si="268">AS46/AS$2</f>
        <v>0</v>
      </c>
      <c r="AU46" s="159">
        <f>+AT46</f>
        <v>0</v>
      </c>
      <c r="AV46" s="395">
        <f t="shared" ref="AV46:AV54" si="269">AU46*AV$2</f>
        <v>0</v>
      </c>
      <c r="AW46" s="395">
        <f t="shared" ref="AW46:AW54" si="270">AV46*118%</f>
        <v>0</v>
      </c>
      <c r="AX46" s="159"/>
      <c r="AY46" s="159">
        <f>IFERROR(SUMIFS('PO Tracker'!$J$44:$J$1433,'PO Tracker'!$K$44:$K$1433,$AU$6,'PO Tracker'!$L$44:$L$1433,'Capex breakup'!$B46),0)</f>
        <v>0</v>
      </c>
      <c r="AZ46" s="605" t="str">
        <f t="shared" ref="AZ46:AZ55" si="271">IFERROR(AY46/AW46,"")</f>
        <v/>
      </c>
      <c r="BA46" s="118"/>
      <c r="BB46" s="151"/>
      <c r="BC46" s="151">
        <f t="shared" ref="BC46:BC53" si="272">BB46/118%</f>
        <v>0</v>
      </c>
      <c r="BD46" s="151">
        <f>BC46/BC2</f>
        <v>0</v>
      </c>
      <c r="BE46" s="159">
        <f>+BD46</f>
        <v>0</v>
      </c>
      <c r="BF46" s="395">
        <f t="shared" ref="BF46:BF54" si="273">BE46*BF$2</f>
        <v>0</v>
      </c>
      <c r="BG46" s="395">
        <f t="shared" ref="BG46:BG54" si="274">BF46*118%</f>
        <v>0</v>
      </c>
      <c r="BH46" s="159"/>
      <c r="BI46" s="159">
        <f>IFERROR(SUMIFS('PO Tracker'!$J$44:$J$1433,'PO Tracker'!$K$44:$K$1433,$BE$6,'PO Tracker'!$L$44:$L$1433,'Capex breakup'!$B46),0)</f>
        <v>0</v>
      </c>
      <c r="BJ46" s="605" t="str">
        <f t="shared" ref="BJ46:BJ55" si="275">IFERROR(BI46/BG46,"")</f>
        <v/>
      </c>
      <c r="BK46" s="118"/>
      <c r="BL46" s="151"/>
      <c r="BM46" s="151"/>
      <c r="BN46" s="151"/>
      <c r="BO46" s="159">
        <f>+BN46</f>
        <v>0</v>
      </c>
      <c r="BP46" s="395">
        <f t="shared" ref="BP46:BP54" si="276">BO46*BP$2</f>
        <v>0</v>
      </c>
      <c r="BQ46" s="395">
        <f t="shared" ref="BQ46:BQ54" si="277">BP46*118%</f>
        <v>0</v>
      </c>
      <c r="BR46" s="159"/>
      <c r="BS46" s="159">
        <f>IFERROR(SUMIFS('PO Tracker'!$J$44:$J$1433,'PO Tracker'!$K$44:$K$1433,$BO$6,'PO Tracker'!$L$44:$L$1433,'Capex breakup'!$B46),0)</f>
        <v>0</v>
      </c>
      <c r="BT46" s="605" t="str">
        <f t="shared" ref="BT46:BT55" si="278">IFERROR(BS46/BQ46,"")</f>
        <v/>
      </c>
      <c r="BU46" s="118"/>
      <c r="BV46" s="151"/>
      <c r="BW46" s="151">
        <f t="shared" ref="BW46:BW53" si="279">BV46/118%</f>
        <v>0</v>
      </c>
      <c r="BX46" s="151">
        <f>BW46/BW2</f>
        <v>0</v>
      </c>
      <c r="BY46" s="159">
        <f>+BX46</f>
        <v>0</v>
      </c>
      <c r="BZ46" s="395">
        <f t="shared" ref="BZ46:BZ54" si="280">BY46*BZ$2</f>
        <v>0</v>
      </c>
      <c r="CA46" s="395">
        <f t="shared" ref="CA46:CA54" si="281">BZ46*118%</f>
        <v>0</v>
      </c>
      <c r="CB46" s="159"/>
      <c r="CC46" s="159">
        <f>IFERROR(SUMIFS('PO Tracker'!$J$44:$J$1433,'PO Tracker'!$K$44:$K$1433,$BY$6,'PO Tracker'!$L$44:$L$1433,'Capex breakup'!$B46),0)</f>
        <v>0</v>
      </c>
      <c r="CD46" s="605" t="str">
        <f t="shared" ref="CD46:CD55" si="282">IFERROR(CC46/CA46,"")</f>
        <v/>
      </c>
      <c r="CE46" s="118"/>
      <c r="CF46" s="151"/>
      <c r="CG46" s="151">
        <f t="shared" ref="CG46:CG53" si="283">CF46/118%</f>
        <v>0</v>
      </c>
      <c r="CH46" s="151">
        <f>CG46/CG2</f>
        <v>0</v>
      </c>
      <c r="CI46" s="159">
        <f>+CH46</f>
        <v>0</v>
      </c>
      <c r="CJ46" s="395">
        <f t="shared" ref="CJ46:CJ54" si="284">CI46*CJ$2</f>
        <v>0</v>
      </c>
      <c r="CK46" s="395">
        <f t="shared" ref="CK46:CK54" si="285">CJ46*118%</f>
        <v>0</v>
      </c>
      <c r="CL46" s="159"/>
      <c r="CM46" s="159">
        <f>IFERROR(SUMIFS('PO Tracker'!$J$44:$J$1433,'PO Tracker'!$K$44:$K$1433,$CI$6,'PO Tracker'!$L$44:$L$1433,'Capex breakup'!$B46),0)</f>
        <v>0</v>
      </c>
      <c r="CN46" s="605" t="str">
        <f t="shared" ref="CN46:CN55" si="286">IFERROR(CM46/CK46,"")</f>
        <v/>
      </c>
      <c r="CO46" s="118"/>
      <c r="CP46" s="151"/>
      <c r="CQ46" s="151">
        <f t="shared" ref="CQ46:CQ53" si="287">CP46/118%</f>
        <v>0</v>
      </c>
      <c r="CR46" s="151"/>
      <c r="CS46" s="159"/>
      <c r="CT46" s="395">
        <f t="shared" ref="CT46:CT54" si="288">CS46*CT$2</f>
        <v>0</v>
      </c>
      <c r="CU46" s="395">
        <f t="shared" ref="CU46:CU54" si="289">CT46*118%</f>
        <v>0</v>
      </c>
      <c r="CV46" s="159"/>
      <c r="CW46" s="159">
        <f>IFERROR(SUMIFS('PO Tracker'!$J$44:$J$1433,'PO Tracker'!$K$44:$K$1433,$CS$6,'PO Tracker'!$L$44:$L$1433,'Capex breakup'!$B46),0)</f>
        <v>0</v>
      </c>
      <c r="CX46" s="605" t="str">
        <f t="shared" ref="CX46:CX55" si="290">IFERROR(CW46/CU46,"")</f>
        <v/>
      </c>
      <c r="CY46" s="118"/>
      <c r="CZ46" s="151"/>
      <c r="DA46" s="151">
        <f t="shared" ref="DA46:DA53" si="291">CZ46/118%</f>
        <v>0</v>
      </c>
      <c r="DB46" s="151">
        <f>DA46/DA2</f>
        <v>0</v>
      </c>
      <c r="DC46" s="159">
        <f>+DB46</f>
        <v>0</v>
      </c>
      <c r="DD46" s="395">
        <f t="shared" ref="DD46:DD54" si="292">DC46*DD$2</f>
        <v>0</v>
      </c>
      <c r="DE46" s="395">
        <f t="shared" ref="DE46:DE54" si="293">DD46*118%</f>
        <v>0</v>
      </c>
      <c r="DF46" s="159"/>
      <c r="DG46" s="159">
        <f>IFERROR(SUMIFS('PO Tracker'!$J$44:$J$1433,'PO Tracker'!$K$44:$K$1433,$DC$6,'PO Tracker'!$L$44:$L$1433,'Capex breakup'!$B46),0)</f>
        <v>67850</v>
      </c>
      <c r="DH46" s="605" t="str">
        <f t="shared" ref="DH46:DH55" si="294">IFERROR(DG46/DE46,"")</f>
        <v/>
      </c>
      <c r="DI46" s="118"/>
      <c r="DJ46" s="151"/>
      <c r="DK46" s="151">
        <f t="shared" ref="DK46:DK53" si="295">DJ46/118%</f>
        <v>0</v>
      </c>
      <c r="DL46" s="151">
        <f>DK46/DK2</f>
        <v>0</v>
      </c>
      <c r="DM46" s="159">
        <f>+DL46</f>
        <v>0</v>
      </c>
      <c r="DN46" s="395">
        <f t="shared" ref="DN46:DN54" si="296">GT46</f>
        <v>0</v>
      </c>
      <c r="DO46" s="159">
        <f t="shared" ref="DO46:DO53" si="297">DN46*118%</f>
        <v>0</v>
      </c>
      <c r="DP46" s="159">
        <f>IFERROR(SUMIFS('PO Tracker'!$J$44:$J$1433,'PO Tracker'!$K$44:$K$1433,$DM$6,'PO Tracker'!$L$44:$L$1433,'Capex breakup'!$B46),0)</f>
        <v>0</v>
      </c>
      <c r="DQ46" s="605" t="str">
        <f t="shared" ref="DQ46:DQ55" si="298">IFERROR(DP46/DN46,"")</f>
        <v/>
      </c>
      <c r="DR46" s="118"/>
      <c r="DS46" s="151"/>
      <c r="DT46" s="151">
        <f t="shared" ref="DT46:DT53" si="299">DS46/118%</f>
        <v>0</v>
      </c>
      <c r="DU46" s="151">
        <f>DT46/DT2</f>
        <v>0</v>
      </c>
      <c r="DV46" s="159">
        <v>0</v>
      </c>
      <c r="DW46" s="395">
        <f t="shared" ref="DW46:DW53" si="300">DV46*DW$2</f>
        <v>0</v>
      </c>
      <c r="DX46" s="395">
        <f t="shared" ref="DX46:DX54" si="301">DW46*118%</f>
        <v>0</v>
      </c>
      <c r="DY46" s="159"/>
      <c r="DZ46" s="159">
        <f>IFERROR(SUMIFS('PO Tracker'!$J$44:$J$1433,'PO Tracker'!$K$44:$K$1433,$DV$6,'PO Tracker'!$L$44:$L$1433,'Capex breakup'!$B46),0)</f>
        <v>1180</v>
      </c>
      <c r="EA46" s="605" t="str">
        <f t="shared" ref="EA46:EA55" si="302">IFERROR(DZ46/DX46,"")</f>
        <v/>
      </c>
      <c r="EB46" s="118"/>
      <c r="EC46" s="151"/>
      <c r="ED46" s="151">
        <f t="shared" ref="ED46:ED53" si="303">EC46/118%</f>
        <v>0</v>
      </c>
      <c r="EE46" s="151">
        <f>ED46/ED2</f>
        <v>0</v>
      </c>
      <c r="EF46" s="159">
        <f>+EE46</f>
        <v>0</v>
      </c>
      <c r="EG46" s="395">
        <f t="shared" ref="EG46:EG54" si="304">EF46*EG$2</f>
        <v>0</v>
      </c>
      <c r="EH46" s="395">
        <f t="shared" ref="EH46:EH54" si="305">EG46*118%</f>
        <v>0</v>
      </c>
      <c r="EI46" s="159"/>
      <c r="EJ46" s="159">
        <f>IFERROR(SUMIFS('PO Tracker'!$J$44:$J$1433,'PO Tracker'!$K$44:$K$1433,$EF$6,'PO Tracker'!$L$44:$L$1433,'Capex breakup'!$B46),0)</f>
        <v>67850</v>
      </c>
      <c r="EK46" s="605" t="str">
        <f t="shared" ref="EK46:EK55" si="306">IFERROR(EJ46/EH46,"")</f>
        <v/>
      </c>
      <c r="EL46" s="118"/>
      <c r="EM46" s="151"/>
      <c r="EN46" s="151"/>
      <c r="EO46" s="151"/>
      <c r="EP46" s="159">
        <f>+EO46</f>
        <v>0</v>
      </c>
      <c r="EQ46" s="395">
        <f t="shared" ref="EQ46:EQ54" si="307">EP46*EQ$2</f>
        <v>0</v>
      </c>
      <c r="ER46" s="395">
        <f t="shared" ref="ER46:ER54" si="308">EQ46*118%</f>
        <v>0</v>
      </c>
      <c r="ES46" s="159"/>
      <c r="ET46" s="159">
        <f>IFERROR(SUMIFS('PO Tracker'!$J$44:$J$1433,'PO Tracker'!$K$44:$K$1433,$EP$6,'PO Tracker'!$L$44:$L$1433,'Capex breakup'!$B46),0)</f>
        <v>0</v>
      </c>
      <c r="EU46" s="605" t="str">
        <f t="shared" ref="EU46:EU55" si="309">IFERROR(ET46/ER46,"")</f>
        <v/>
      </c>
      <c r="EV46" s="118"/>
      <c r="EW46" s="151"/>
      <c r="EX46" s="151"/>
      <c r="EY46" s="151"/>
      <c r="EZ46" s="159">
        <f>+EY46</f>
        <v>0</v>
      </c>
      <c r="FA46" s="395">
        <f t="shared" ref="FA46:FA54" si="310">EZ46*FA$2</f>
        <v>0</v>
      </c>
      <c r="FB46" s="395">
        <f t="shared" ref="FB46:FB54" si="311">FA46*118%</f>
        <v>0</v>
      </c>
      <c r="FC46" s="159"/>
      <c r="FD46" s="159">
        <f>IFERROR(SUMIFS('PO Tracker'!$J$44:$J$1433,'PO Tracker'!$K$44:$K$1433,$EZ$6,'PO Tracker'!$L$44:$L$1433,'Capex breakup'!$B46),0)</f>
        <v>0</v>
      </c>
      <c r="FE46" s="605" t="str">
        <f t="shared" ref="FE46:FE55" si="312">IFERROR(FD46/FB46,"")</f>
        <v/>
      </c>
      <c r="FF46" s="118"/>
      <c r="FG46" s="318">
        <v>1568000.0000000002</v>
      </c>
      <c r="FH46" s="151">
        <f t="shared" ref="FH46:FH53" si="313">FG46/112%</f>
        <v>1400000</v>
      </c>
      <c r="FI46" s="133">
        <f t="shared" ref="FI46:FI55" si="314">FH46/$FH$2</f>
        <v>531.06744556558692</v>
      </c>
      <c r="FJ46" s="159">
        <f t="shared" ref="FJ46:FJ53" si="315">+FI46</f>
        <v>531.06744556558692</v>
      </c>
      <c r="FK46" s="395">
        <f t="shared" ref="FK46:FK54" si="316">FJ46*FK$2</f>
        <v>1391774.3388210305</v>
      </c>
      <c r="FL46" s="159">
        <f t="shared" ref="FL46:FL53" si="317">FK46*118%</f>
        <v>1642293.7198088157</v>
      </c>
      <c r="FM46" s="684"/>
      <c r="FN46" s="159"/>
      <c r="FO46" s="685"/>
      <c r="FP46" s="684"/>
      <c r="FQ46" s="159">
        <f t="shared" ref="FQ46:FQ54" si="318">FK46-FN46</f>
        <v>1391774.3388210305</v>
      </c>
      <c r="FR46" s="685">
        <f t="shared" ref="FR46:FR54" si="319">FQ46*1.18</f>
        <v>1642293.7198088157</v>
      </c>
      <c r="FS46" s="662">
        <f>IFERROR(SUMIFS('PO Tracker'!$J$44:$J$1433,'PO Tracker'!$K$44:$K$1433,$FJ$6,'PO Tracker'!$L$44:$L$1433,'Capex breakup'!$B46),0)</f>
        <v>0</v>
      </c>
      <c r="FT46" s="736">
        <f t="shared" ref="FT46:FT55" si="320">IFERROR(FS46/FQ46,"")</f>
        <v>0</v>
      </c>
      <c r="FU46" s="709"/>
      <c r="FV46" s="151"/>
      <c r="FW46" s="151">
        <f t="shared" ref="FW46:FW53" si="321">FV46/118%</f>
        <v>0</v>
      </c>
      <c r="FX46" s="151">
        <f>FW46/FW2</f>
        <v>0</v>
      </c>
      <c r="FY46" s="159">
        <f>+FX46</f>
        <v>0</v>
      </c>
      <c r="FZ46" s="395">
        <f t="shared" ref="FZ46:FZ54" si="322">FY46*FZ$2</f>
        <v>0</v>
      </c>
      <c r="GA46" s="395">
        <f t="shared" ref="GA46:GA54" si="323">FZ46*118%</f>
        <v>0</v>
      </c>
      <c r="GB46" s="159"/>
      <c r="GC46" s="159">
        <f>IFERROR(SUMIFS('PO Tracker'!$J$44:$J$1433,'PO Tracker'!$K$44:$K$1433,$FY$6,'PO Tracker'!$L$44:$L$1433,'Capex breakup'!$B46),0)</f>
        <v>0</v>
      </c>
      <c r="GD46" s="605" t="str">
        <f t="shared" ref="GD46:GD55" si="324">IFERROR(GC46/GA46,"")</f>
        <v/>
      </c>
      <c r="GE46" s="118"/>
      <c r="GF46" s="151"/>
      <c r="GG46" s="151">
        <f t="shared" ref="GG46:GG53" si="325">GF46/118%</f>
        <v>0</v>
      </c>
      <c r="GH46" s="151">
        <f>GG46/GG2</f>
        <v>0</v>
      </c>
      <c r="GI46" s="159">
        <f>+GH46</f>
        <v>0</v>
      </c>
      <c r="GJ46" s="395">
        <f t="shared" ref="GJ46:GJ54" si="326">GI46*GJ$2</f>
        <v>0</v>
      </c>
      <c r="GK46" s="395">
        <f t="shared" ref="GK46:GK54" si="327">GJ46*118%</f>
        <v>0</v>
      </c>
      <c r="GL46" s="159"/>
      <c r="GM46" s="159">
        <f>IFERROR(SUMIFS('PO Tracker'!$J$44:$J$1433,'PO Tracker'!$K$44:$K$1433,$GI$6,'PO Tracker'!$L$44:$L$1433,'Capex breakup'!$B46),0)</f>
        <v>0</v>
      </c>
      <c r="GN46" s="605" t="str">
        <f t="shared" ref="GN46:GN55" si="328">IFERROR(GM46/GK46,"")</f>
        <v/>
      </c>
      <c r="GO46" s="118"/>
      <c r="GP46" s="151"/>
      <c r="GQ46" s="151">
        <f t="shared" ref="GQ46:GQ53" si="329">GP46/118%</f>
        <v>0</v>
      </c>
      <c r="GR46" s="151">
        <f>GQ46/GQ2</f>
        <v>0</v>
      </c>
      <c r="GS46" s="159">
        <v>0</v>
      </c>
      <c r="GT46" s="395">
        <v>0</v>
      </c>
      <c r="GU46" s="159">
        <v>0</v>
      </c>
      <c r="GV46" s="159">
        <f>IFERROR(SUMIFS('PO Tracker'!$J$44:$J$1433,'PO Tracker'!$K$44:$K$1433,$GS$6,'PO Tracker'!$L$44:$L$1433,'Capex breakup'!$B46),0)</f>
        <v>0</v>
      </c>
      <c r="GW46" s="605" t="str">
        <f t="shared" ref="GW46:GW55" si="330">IFERROR(GV46/GT46,"")</f>
        <v/>
      </c>
      <c r="GX46" s="118"/>
      <c r="GY46" s="151"/>
      <c r="GZ46" s="151"/>
      <c r="HA46" s="133"/>
      <c r="HB46" s="159">
        <v>200</v>
      </c>
      <c r="HC46" s="395">
        <f t="shared" ref="HC46:HC54" si="331">HB46*HC$2</f>
        <v>667712.44800000009</v>
      </c>
      <c r="HD46" s="159">
        <f t="shared" ref="HD46:HD54" si="332">HC46*118%</f>
        <v>787900.68864000007</v>
      </c>
      <c r="HE46" s="159"/>
      <c r="HF46" s="159">
        <f>IFERROR(SUMIFS('PO Tracker'!$J$44:$J$1433,'PO Tracker'!$K$44:$K$1433,$HB$6,'PO Tracker'!$L$44:$L$1433,'Capex breakup'!$B46),0)</f>
        <v>0</v>
      </c>
      <c r="HG46" s="605">
        <f t="shared" ref="HG46:HG55" si="333">IFERROR(HF46/HD46,"")</f>
        <v>0</v>
      </c>
      <c r="HH46" s="118"/>
      <c r="HI46" s="151"/>
      <c r="HJ46" s="151"/>
      <c r="HK46" s="133"/>
      <c r="HL46" s="159"/>
      <c r="HM46" s="395">
        <f t="shared" ref="HM46:HM54" si="334">HL46*HM$2</f>
        <v>0</v>
      </c>
      <c r="HN46" s="159">
        <f t="shared" ref="HN46:HN54" si="335">HM46*118%</f>
        <v>0</v>
      </c>
      <c r="HO46" s="159">
        <f>IFERROR(SUMIFS('PO Tracker'!$J$44:$J$1433,'PO Tracker'!$K$44:$K$1433,$HL$6,'PO Tracker'!$L$44:$L$1433,'Capex breakup'!$B46),0)</f>
        <v>0</v>
      </c>
      <c r="HP46" s="605" t="str">
        <f t="shared" ref="HP46:HP55" si="336">IFERROR(HO46/HM46,"")</f>
        <v/>
      </c>
      <c r="HQ46" s="118"/>
      <c r="HR46" s="364"/>
      <c r="HS46" s="364"/>
      <c r="HT46" s="364"/>
      <c r="HU46" s="364"/>
    </row>
    <row r="47" spans="1:229">
      <c r="A47" s="18">
        <v>2</v>
      </c>
      <c r="B47" s="19" t="s">
        <v>46</v>
      </c>
      <c r="C47" s="118"/>
      <c r="D47" s="151">
        <v>43803.96</v>
      </c>
      <c r="E47" s="151">
        <f t="shared" si="250"/>
        <v>37122</v>
      </c>
      <c r="F47" s="151">
        <f>E47/E2</f>
        <v>150</v>
      </c>
      <c r="G47" s="159">
        <v>100</v>
      </c>
      <c r="H47" s="395">
        <f t="shared" si="252"/>
        <v>43884.828000000001</v>
      </c>
      <c r="I47" s="395">
        <f t="shared" si="253"/>
        <v>51784.097040000001</v>
      </c>
      <c r="J47" s="159"/>
      <c r="K47" s="159">
        <f>IFERROR(SUMIFS('PO Tracker'!$J$44:$J$1433,'PO Tracker'!$K$44:$K$1433,$G$6,'PO Tracker'!$L$44:$L$1433,'Capex breakup'!$B47),0)</f>
        <v>0</v>
      </c>
      <c r="L47" s="605">
        <f t="shared" si="254"/>
        <v>0</v>
      </c>
      <c r="M47" s="118"/>
      <c r="N47" s="151">
        <v>43803.96</v>
      </c>
      <c r="O47" s="151">
        <f t="shared" si="255"/>
        <v>37122</v>
      </c>
      <c r="P47" s="151">
        <f>O47/O2</f>
        <v>150</v>
      </c>
      <c r="Q47" s="159">
        <v>50</v>
      </c>
      <c r="R47" s="395">
        <f t="shared" si="256"/>
        <v>50822.226000000002</v>
      </c>
      <c r="S47" s="395">
        <f t="shared" si="257"/>
        <v>59970.22668</v>
      </c>
      <c r="T47" s="159"/>
      <c r="U47" s="159">
        <f>IFERROR(SUMIFS('PO Tracker'!$J$44:$J$1433,'PO Tracker'!$K$44:$K$1433,$Q$6,'PO Tracker'!$L$44:$L$1433,'Capex breakup'!$B47),0)</f>
        <v>0</v>
      </c>
      <c r="V47" s="605">
        <f t="shared" si="258"/>
        <v>0</v>
      </c>
      <c r="W47" s="118"/>
      <c r="X47" s="151">
        <v>1120000</v>
      </c>
      <c r="Y47" s="151">
        <f t="shared" si="259"/>
        <v>999999.99999999988</v>
      </c>
      <c r="Z47" s="133">
        <f t="shared" si="260"/>
        <v>379.33388968970485</v>
      </c>
      <c r="AA47" s="159">
        <v>550</v>
      </c>
      <c r="AB47" s="395">
        <f>AA47*$AB$2</f>
        <v>1030114.7999999999</v>
      </c>
      <c r="AC47" s="395">
        <f t="shared" si="261"/>
        <v>1215535.4639999999</v>
      </c>
      <c r="AD47" s="159"/>
      <c r="AE47" s="159">
        <f>IFERROR(SUMIFS('PO Tracker'!$J$44:$J$1433,'PO Tracker'!$K$44:$K$1433,$AA$6,'PO Tracker'!$L$44:$L$1433,'Capex breakup'!$B47),0)</f>
        <v>0</v>
      </c>
      <c r="AF47" s="605">
        <f t="shared" si="262"/>
        <v>0</v>
      </c>
      <c r="AG47" s="118"/>
      <c r="AH47" s="151">
        <v>43803.96</v>
      </c>
      <c r="AI47" s="151">
        <f t="shared" si="263"/>
        <v>37122</v>
      </c>
      <c r="AJ47" s="151">
        <f>AI47/AI2</f>
        <v>150</v>
      </c>
      <c r="AK47" s="159">
        <v>300</v>
      </c>
      <c r="AL47" s="395">
        <f t="shared" si="264"/>
        <v>121547.08799999999</v>
      </c>
      <c r="AM47" s="395">
        <f t="shared" si="265"/>
        <v>143425.56383999999</v>
      </c>
      <c r="AN47" s="159"/>
      <c r="AO47" s="159">
        <f>IFERROR(SUMIFS('PO Tracker'!$J$44:$J$1433,'PO Tracker'!$K$44:$K$1433,$AK$6,'PO Tracker'!$L$44:$L$1433,'Capex breakup'!$B47),0)</f>
        <v>0</v>
      </c>
      <c r="AP47" s="605">
        <f t="shared" si="266"/>
        <v>0</v>
      </c>
      <c r="AQ47" s="118"/>
      <c r="AR47" s="287"/>
      <c r="AS47" s="287">
        <f t="shared" si="267"/>
        <v>0</v>
      </c>
      <c r="AT47" s="288">
        <f t="shared" si="268"/>
        <v>0</v>
      </c>
      <c r="AU47" s="159">
        <v>50</v>
      </c>
      <c r="AV47" s="395">
        <f t="shared" si="269"/>
        <v>50994.45</v>
      </c>
      <c r="AW47" s="395">
        <f t="shared" si="270"/>
        <v>60173.450999999994</v>
      </c>
      <c r="AX47" s="159"/>
      <c r="AY47" s="159">
        <f>IFERROR(SUMIFS('PO Tracker'!$J$44:$J$1433,'PO Tracker'!$K$44:$K$1433,$AU$6,'PO Tracker'!$L$44:$L$1433,'Capex breakup'!$B47),0)</f>
        <v>0</v>
      </c>
      <c r="AZ47" s="605">
        <f t="shared" si="271"/>
        <v>0</v>
      </c>
      <c r="BA47" s="118"/>
      <c r="BB47" s="151">
        <v>150000.41999999998</v>
      </c>
      <c r="BC47" s="151">
        <f t="shared" si="272"/>
        <v>127119</v>
      </c>
      <c r="BD47" s="151">
        <f>BC47/BC2</f>
        <v>203.69023202153568</v>
      </c>
      <c r="BE47" s="159"/>
      <c r="BF47" s="395">
        <f t="shared" si="273"/>
        <v>0</v>
      </c>
      <c r="BG47" s="395">
        <f t="shared" si="274"/>
        <v>0</v>
      </c>
      <c r="BH47" s="159"/>
      <c r="BI47" s="159">
        <f>IFERROR(SUMIFS('PO Tracker'!$J$44:$J$1433,'PO Tracker'!$K$44:$K$1433,$BE$6,'PO Tracker'!$L$44:$L$1433,'Capex breakup'!$B47),0)</f>
        <v>0</v>
      </c>
      <c r="BJ47" s="605" t="str">
        <f t="shared" si="275"/>
        <v/>
      </c>
      <c r="BK47" s="118"/>
      <c r="BL47" s="151"/>
      <c r="BM47" s="151"/>
      <c r="BN47" s="151"/>
      <c r="BO47" s="159"/>
      <c r="BP47" s="395">
        <f t="shared" si="276"/>
        <v>0</v>
      </c>
      <c r="BQ47" s="395">
        <f t="shared" si="277"/>
        <v>0</v>
      </c>
      <c r="BR47" s="159"/>
      <c r="BS47" s="159">
        <f>IFERROR(SUMIFS('PO Tracker'!$J$44:$J$1433,'PO Tracker'!$K$44:$K$1433,$BO$6,'PO Tracker'!$L$44:$L$1433,'Capex breakup'!$B47),0)</f>
        <v>0</v>
      </c>
      <c r="BT47" s="605" t="str">
        <f t="shared" si="278"/>
        <v/>
      </c>
      <c r="BU47" s="118"/>
      <c r="BV47" s="151"/>
      <c r="BW47" s="151">
        <f t="shared" si="279"/>
        <v>0</v>
      </c>
      <c r="BX47" s="151">
        <f>BW47/BW2</f>
        <v>0</v>
      </c>
      <c r="BY47" s="159"/>
      <c r="BZ47" s="395">
        <f t="shared" si="280"/>
        <v>0</v>
      </c>
      <c r="CA47" s="395">
        <f t="shared" si="281"/>
        <v>0</v>
      </c>
      <c r="CB47" s="159"/>
      <c r="CC47" s="159">
        <f>IFERROR(SUMIFS('PO Tracker'!$J$44:$J$1433,'PO Tracker'!$K$44:$K$1433,$BY$6,'PO Tracker'!$L$44:$L$1433,'Capex breakup'!$B47),0)</f>
        <v>0</v>
      </c>
      <c r="CD47" s="605" t="str">
        <f t="shared" si="282"/>
        <v/>
      </c>
      <c r="CE47" s="118"/>
      <c r="CF47" s="151"/>
      <c r="CG47" s="151">
        <f t="shared" si="283"/>
        <v>0</v>
      </c>
      <c r="CH47" s="151">
        <f>CG47/CG2</f>
        <v>0</v>
      </c>
      <c r="CI47" s="159"/>
      <c r="CJ47" s="395">
        <f t="shared" si="284"/>
        <v>0</v>
      </c>
      <c r="CK47" s="395">
        <f t="shared" si="285"/>
        <v>0</v>
      </c>
      <c r="CL47" s="159"/>
      <c r="CM47" s="159">
        <f>IFERROR(SUMIFS('PO Tracker'!$J$44:$J$1433,'PO Tracker'!$K$44:$K$1433,$CI$6,'PO Tracker'!$L$44:$L$1433,'Capex breakup'!$B47),0)</f>
        <v>0</v>
      </c>
      <c r="CN47" s="605" t="str">
        <f t="shared" si="286"/>
        <v/>
      </c>
      <c r="CO47" s="118"/>
      <c r="CP47" s="151"/>
      <c r="CQ47" s="151">
        <f t="shared" si="287"/>
        <v>0</v>
      </c>
      <c r="CR47" s="151"/>
      <c r="CS47" s="159"/>
      <c r="CT47" s="395">
        <f t="shared" si="288"/>
        <v>0</v>
      </c>
      <c r="CU47" s="395">
        <f t="shared" si="289"/>
        <v>0</v>
      </c>
      <c r="CV47" s="159"/>
      <c r="CW47" s="159">
        <f>IFERROR(SUMIFS('PO Tracker'!$J$44:$J$1433,'PO Tracker'!$K$44:$K$1433,$CS$6,'PO Tracker'!$L$44:$L$1433,'Capex breakup'!$B47),0)</f>
        <v>0</v>
      </c>
      <c r="CX47" s="605" t="str">
        <f t="shared" si="290"/>
        <v/>
      </c>
      <c r="CY47" s="118"/>
      <c r="CZ47" s="151"/>
      <c r="DA47" s="151">
        <f t="shared" si="291"/>
        <v>0</v>
      </c>
      <c r="DB47" s="151">
        <f>DA47/DA2</f>
        <v>0</v>
      </c>
      <c r="DC47" s="159"/>
      <c r="DD47" s="395">
        <f t="shared" si="292"/>
        <v>0</v>
      </c>
      <c r="DE47" s="395">
        <f t="shared" si="293"/>
        <v>0</v>
      </c>
      <c r="DF47" s="159"/>
      <c r="DG47" s="159">
        <f>IFERROR(SUMIFS('PO Tracker'!$J$44:$J$1433,'PO Tracker'!$K$44:$K$1433,$DC$6,'PO Tracker'!$L$44:$L$1433,'Capex breakup'!$B47),0)</f>
        <v>0</v>
      </c>
      <c r="DH47" s="605" t="str">
        <f t="shared" si="294"/>
        <v/>
      </c>
      <c r="DI47" s="118"/>
      <c r="DJ47" s="151"/>
      <c r="DK47" s="151">
        <f t="shared" si="295"/>
        <v>0</v>
      </c>
      <c r="DL47" s="151">
        <f>DK47/DK2</f>
        <v>0</v>
      </c>
      <c r="DM47" s="159">
        <f>+DL47</f>
        <v>0</v>
      </c>
      <c r="DN47" s="395">
        <f t="shared" si="296"/>
        <v>0</v>
      </c>
      <c r="DO47" s="159">
        <f t="shared" si="297"/>
        <v>0</v>
      </c>
      <c r="DP47" s="159">
        <f>IFERROR(SUMIFS('PO Tracker'!$J$44:$J$1433,'PO Tracker'!$K$44:$K$1433,$DM$6,'PO Tracker'!$L$44:$L$1433,'Capex breakup'!$B47),0)</f>
        <v>0</v>
      </c>
      <c r="DQ47" s="605" t="str">
        <f t="shared" si="298"/>
        <v/>
      </c>
      <c r="DR47" s="118"/>
      <c r="DS47" s="151"/>
      <c r="DT47" s="151">
        <f t="shared" si="299"/>
        <v>0</v>
      </c>
      <c r="DU47" s="151">
        <f>DT47/DT2</f>
        <v>0</v>
      </c>
      <c r="DV47" s="159"/>
      <c r="DW47" s="395">
        <f t="shared" si="300"/>
        <v>0</v>
      </c>
      <c r="DX47" s="395">
        <f t="shared" si="301"/>
        <v>0</v>
      </c>
      <c r="DY47" s="159"/>
      <c r="DZ47" s="159">
        <f>IFERROR(SUMIFS('PO Tracker'!$J$44:$J$1433,'PO Tracker'!$K$44:$K$1433,$DV$6,'PO Tracker'!$L$44:$L$1433,'Capex breakup'!$B47),0)</f>
        <v>0</v>
      </c>
      <c r="EA47" s="605" t="str">
        <f t="shared" si="302"/>
        <v/>
      </c>
      <c r="EB47" s="118"/>
      <c r="EC47" s="151"/>
      <c r="ED47" s="151">
        <f t="shared" si="303"/>
        <v>0</v>
      </c>
      <c r="EE47" s="151">
        <f>ED47/ED2</f>
        <v>0</v>
      </c>
      <c r="EF47" s="159"/>
      <c r="EG47" s="395">
        <f t="shared" si="304"/>
        <v>0</v>
      </c>
      <c r="EH47" s="395">
        <f t="shared" si="305"/>
        <v>0</v>
      </c>
      <c r="EI47" s="159"/>
      <c r="EJ47" s="159">
        <f>IFERROR(SUMIFS('PO Tracker'!$J$44:$J$1433,'PO Tracker'!$K$44:$K$1433,$EF$6,'PO Tracker'!$L$44:$L$1433,'Capex breakup'!$B47),0)</f>
        <v>0</v>
      </c>
      <c r="EK47" s="605" t="str">
        <f t="shared" si="306"/>
        <v/>
      </c>
      <c r="EL47" s="118"/>
      <c r="EM47" s="151"/>
      <c r="EN47" s="151"/>
      <c r="EO47" s="151"/>
      <c r="EP47" s="159">
        <v>50</v>
      </c>
      <c r="EQ47" s="395">
        <f t="shared" si="307"/>
        <v>19235.268</v>
      </c>
      <c r="ER47" s="395">
        <f t="shared" si="308"/>
        <v>22697.616239999999</v>
      </c>
      <c r="ES47" s="159"/>
      <c r="ET47" s="159">
        <f>IFERROR(SUMIFS('PO Tracker'!$J$44:$J$1433,'PO Tracker'!$K$44:$K$1433,$EP$6,'PO Tracker'!$L$44:$L$1433,'Capex breakup'!$B47),0)</f>
        <v>0</v>
      </c>
      <c r="EU47" s="605">
        <f t="shared" si="309"/>
        <v>0</v>
      </c>
      <c r="EV47" s="118"/>
      <c r="EW47" s="151"/>
      <c r="EX47" s="151"/>
      <c r="EY47" s="151"/>
      <c r="EZ47" s="159">
        <v>50</v>
      </c>
      <c r="FA47" s="395">
        <f t="shared" si="310"/>
        <v>64040.417999999991</v>
      </c>
      <c r="FB47" s="395">
        <f t="shared" si="311"/>
        <v>75567.693239999979</v>
      </c>
      <c r="FC47" s="159"/>
      <c r="FD47" s="159">
        <f>IFERROR(SUMIFS('PO Tracker'!$J$44:$J$1433,'PO Tracker'!$K$44:$K$1433,$EZ$6,'PO Tracker'!$L$44:$L$1433,'Capex breakup'!$B47),0)</f>
        <v>0</v>
      </c>
      <c r="FE47" s="605">
        <f t="shared" si="312"/>
        <v>0</v>
      </c>
      <c r="FF47" s="118"/>
      <c r="FG47" s="318">
        <v>1120000</v>
      </c>
      <c r="FH47" s="151">
        <f t="shared" si="313"/>
        <v>999999.99999999988</v>
      </c>
      <c r="FI47" s="133">
        <f t="shared" si="314"/>
        <v>379.33388968970485</v>
      </c>
      <c r="FJ47" s="159">
        <f t="shared" si="315"/>
        <v>379.33388968970485</v>
      </c>
      <c r="FK47" s="395">
        <f t="shared" si="316"/>
        <v>994124.5277293073</v>
      </c>
      <c r="FL47" s="159">
        <f t="shared" si="317"/>
        <v>1173066.9427205825</v>
      </c>
      <c r="FM47" s="684"/>
      <c r="FN47" s="159"/>
      <c r="FO47" s="685"/>
      <c r="FP47" s="684"/>
      <c r="FQ47" s="159">
        <f t="shared" si="318"/>
        <v>994124.5277293073</v>
      </c>
      <c r="FR47" s="685">
        <f t="shared" si="319"/>
        <v>1173066.9427205825</v>
      </c>
      <c r="FS47" s="662">
        <f>IFERROR(SUMIFS('PO Tracker'!$J$44:$J$1433,'PO Tracker'!$K$44:$K$1433,$FJ$6,'PO Tracker'!$L$44:$L$1433,'Capex breakup'!$B47),0)</f>
        <v>0</v>
      </c>
      <c r="FT47" s="736">
        <f t="shared" si="320"/>
        <v>0</v>
      </c>
      <c r="FU47" s="709"/>
      <c r="FV47" s="151"/>
      <c r="FW47" s="151">
        <f t="shared" si="321"/>
        <v>0</v>
      </c>
      <c r="FX47" s="151">
        <f>FW47/FW2</f>
        <v>0</v>
      </c>
      <c r="FY47" s="159"/>
      <c r="FZ47" s="395">
        <f t="shared" si="322"/>
        <v>0</v>
      </c>
      <c r="GA47" s="395">
        <f t="shared" si="323"/>
        <v>0</v>
      </c>
      <c r="GB47" s="159"/>
      <c r="GC47" s="159">
        <f>IFERROR(SUMIFS('PO Tracker'!$J$44:$J$1433,'PO Tracker'!$K$44:$K$1433,$FY$6,'PO Tracker'!$L$44:$L$1433,'Capex breakup'!$B47),0)</f>
        <v>0</v>
      </c>
      <c r="GD47" s="605" t="str">
        <f t="shared" si="324"/>
        <v/>
      </c>
      <c r="GE47" s="118"/>
      <c r="GF47" s="151"/>
      <c r="GG47" s="151">
        <f t="shared" si="325"/>
        <v>0</v>
      </c>
      <c r="GH47" s="151">
        <f>GG47/GG2</f>
        <v>0</v>
      </c>
      <c r="GI47" s="159"/>
      <c r="GJ47" s="395">
        <f t="shared" si="326"/>
        <v>0</v>
      </c>
      <c r="GK47" s="395">
        <f t="shared" si="327"/>
        <v>0</v>
      </c>
      <c r="GL47" s="159"/>
      <c r="GM47" s="159">
        <f>IFERROR(SUMIFS('PO Tracker'!$J$44:$J$1433,'PO Tracker'!$K$44:$K$1433,$GI$6,'PO Tracker'!$L$44:$L$1433,'Capex breakup'!$B47),0)</f>
        <v>0</v>
      </c>
      <c r="GN47" s="605" t="str">
        <f t="shared" si="328"/>
        <v/>
      </c>
      <c r="GO47" s="118"/>
      <c r="GP47" s="151"/>
      <c r="GQ47" s="151">
        <f t="shared" si="329"/>
        <v>0</v>
      </c>
      <c r="GR47" s="151">
        <f>GQ47/GQ2</f>
        <v>0</v>
      </c>
      <c r="GS47" s="159">
        <v>0</v>
      </c>
      <c r="GT47" s="395">
        <v>0</v>
      </c>
      <c r="GU47" s="159">
        <v>0</v>
      </c>
      <c r="GV47" s="159">
        <f>IFERROR(SUMIFS('PO Tracker'!$J$44:$J$1433,'PO Tracker'!$K$44:$K$1433,$GS$6,'PO Tracker'!$L$44:$L$1433,'Capex breakup'!$B47),0)</f>
        <v>0</v>
      </c>
      <c r="GW47" s="605" t="str">
        <f t="shared" si="330"/>
        <v/>
      </c>
      <c r="GX47" s="118"/>
      <c r="GY47" s="151"/>
      <c r="GZ47" s="151"/>
      <c r="HA47" s="133"/>
      <c r="HB47" s="159">
        <v>300</v>
      </c>
      <c r="HC47" s="395">
        <f t="shared" si="331"/>
        <v>1001568.672</v>
      </c>
      <c r="HD47" s="159">
        <f t="shared" si="332"/>
        <v>1181851.03296</v>
      </c>
      <c r="HE47" s="159"/>
      <c r="HF47" s="159">
        <f>IFERROR(SUMIFS('PO Tracker'!$J$44:$J$1433,'PO Tracker'!$K$44:$K$1433,$HB$6,'PO Tracker'!$L$44:$L$1433,'Capex breakup'!$B47),0)</f>
        <v>0</v>
      </c>
      <c r="HG47" s="605">
        <f t="shared" si="333"/>
        <v>0</v>
      </c>
      <c r="HH47" s="118"/>
      <c r="HI47" s="151"/>
      <c r="HJ47" s="151"/>
      <c r="HK47" s="133"/>
      <c r="HL47" s="159">
        <v>300</v>
      </c>
      <c r="HM47" s="395">
        <f t="shared" si="334"/>
        <v>1018812.6</v>
      </c>
      <c r="HN47" s="159">
        <f t="shared" si="335"/>
        <v>1202198.868</v>
      </c>
      <c r="HO47" s="159">
        <f>IFERROR(SUMIFS('PO Tracker'!$J$44:$J$1433,'PO Tracker'!$K$44:$K$1433,$HL$6,'PO Tracker'!$L$44:$L$1433,'Capex breakup'!$B47),0)</f>
        <v>0</v>
      </c>
      <c r="HP47" s="605">
        <f t="shared" si="336"/>
        <v>0</v>
      </c>
      <c r="HQ47" s="118"/>
      <c r="HR47" s="364"/>
      <c r="HS47" s="364"/>
      <c r="HT47" s="364"/>
      <c r="HU47" s="364"/>
    </row>
    <row r="48" spans="1:229">
      <c r="A48" s="18">
        <v>3</v>
      </c>
      <c r="B48" s="19" t="s">
        <v>47</v>
      </c>
      <c r="C48" s="118"/>
      <c r="D48" s="151">
        <v>116810.56</v>
      </c>
      <c r="E48" s="151">
        <f t="shared" si="250"/>
        <v>98992</v>
      </c>
      <c r="F48" s="151">
        <f>E48/E2</f>
        <v>400</v>
      </c>
      <c r="G48" s="159">
        <v>700</v>
      </c>
      <c r="H48" s="395">
        <f t="shared" si="252"/>
        <v>307193.79599999997</v>
      </c>
      <c r="I48" s="395">
        <f t="shared" si="253"/>
        <v>362488.67927999992</v>
      </c>
      <c r="J48" s="159"/>
      <c r="K48" s="159">
        <f>IFERROR(SUMIFS('PO Tracker'!$J$44:$J$1433,'PO Tracker'!$K$44:$K$1433,$G$6,'PO Tracker'!$L$44:$L$1433,'Capex breakup'!$B48),0)</f>
        <v>288156</v>
      </c>
      <c r="L48" s="605">
        <f t="shared" si="254"/>
        <v>0.7949379290198948</v>
      </c>
      <c r="M48" s="118"/>
      <c r="N48" s="151">
        <v>116810.56</v>
      </c>
      <c r="O48" s="151">
        <f t="shared" si="255"/>
        <v>98992</v>
      </c>
      <c r="P48" s="151">
        <f>O48/O2</f>
        <v>400</v>
      </c>
      <c r="Q48" s="159">
        <v>1000</v>
      </c>
      <c r="R48" s="395">
        <f t="shared" si="256"/>
        <v>1016444.52</v>
      </c>
      <c r="S48" s="395">
        <f t="shared" si="257"/>
        <v>1199404.5336</v>
      </c>
      <c r="T48" s="159"/>
      <c r="U48" s="159">
        <f>IFERROR(SUMIFS('PO Tracker'!$J$44:$J$1433,'PO Tracker'!$K$44:$K$1433,$Q$6,'PO Tracker'!$L$44:$L$1433,'Capex breakup'!$B48),0)</f>
        <v>777423.34</v>
      </c>
      <c r="V48" s="605">
        <f t="shared" si="258"/>
        <v>0.64817442174123863</v>
      </c>
      <c r="W48" s="118"/>
      <c r="X48" s="151">
        <v>1456000.0000000002</v>
      </c>
      <c r="Y48" s="151">
        <f t="shared" si="259"/>
        <v>1300000</v>
      </c>
      <c r="Z48" s="133">
        <f t="shared" si="260"/>
        <v>493.1340565966164</v>
      </c>
      <c r="AA48" s="159">
        <v>1100</v>
      </c>
      <c r="AB48" s="395">
        <f>AA48*$AB$2</f>
        <v>2060229.5999999999</v>
      </c>
      <c r="AC48" s="395">
        <f t="shared" si="261"/>
        <v>2431070.9279999998</v>
      </c>
      <c r="AD48" s="159"/>
      <c r="AE48" s="159">
        <f>IFERROR(SUMIFS('PO Tracker'!$J$44:$J$1433,'PO Tracker'!$K$44:$K$1433,$AA$6,'PO Tracker'!$L$44:$L$1433,'Capex breakup'!$B48),0)</f>
        <v>0</v>
      </c>
      <c r="AF48" s="605">
        <f t="shared" si="262"/>
        <v>0</v>
      </c>
      <c r="AG48" s="118"/>
      <c r="AH48" s="151">
        <v>116810.56</v>
      </c>
      <c r="AI48" s="151">
        <f t="shared" si="263"/>
        <v>98992</v>
      </c>
      <c r="AJ48" s="151">
        <f>AI48/AI2</f>
        <v>400</v>
      </c>
      <c r="AK48" s="159">
        <v>3500</v>
      </c>
      <c r="AL48" s="395">
        <f t="shared" si="264"/>
        <v>1418049.3599999999</v>
      </c>
      <c r="AM48" s="395">
        <f t="shared" si="265"/>
        <v>1673298.2447999998</v>
      </c>
      <c r="AN48" s="159"/>
      <c r="AO48" s="159">
        <f>IFERROR(SUMIFS('PO Tracker'!$J$44:$J$1433,'PO Tracker'!$K$44:$K$1433,$AK$6,'PO Tracker'!$L$44:$L$1433,'Capex breakup'!$B48),0)</f>
        <v>0</v>
      </c>
      <c r="AP48" s="605">
        <f t="shared" si="266"/>
        <v>0</v>
      </c>
      <c r="AQ48" s="118"/>
      <c r="AR48" s="287"/>
      <c r="AS48" s="287">
        <f t="shared" si="267"/>
        <v>0</v>
      </c>
      <c r="AT48" s="288">
        <f t="shared" si="268"/>
        <v>0</v>
      </c>
      <c r="AU48" s="159">
        <v>500</v>
      </c>
      <c r="AV48" s="395">
        <f t="shared" si="269"/>
        <v>509944.49999999994</v>
      </c>
      <c r="AW48" s="395">
        <f t="shared" si="270"/>
        <v>601734.50999999989</v>
      </c>
      <c r="AX48" s="159"/>
      <c r="AY48" s="159">
        <f>IFERROR(SUMIFS('PO Tracker'!$J$44:$J$1433,'PO Tracker'!$K$44:$K$1433,$AU$6,'PO Tracker'!$L$44:$L$1433,'Capex breakup'!$B48),0)</f>
        <v>0</v>
      </c>
      <c r="AZ48" s="605">
        <f t="shared" si="271"/>
        <v>0</v>
      </c>
      <c r="BA48" s="118"/>
      <c r="BB48" s="151"/>
      <c r="BC48" s="151">
        <f t="shared" si="272"/>
        <v>0</v>
      </c>
      <c r="BD48" s="151">
        <f>BC48/BC2</f>
        <v>0</v>
      </c>
      <c r="BE48" s="159">
        <v>0</v>
      </c>
      <c r="BF48" s="395">
        <f t="shared" si="273"/>
        <v>0</v>
      </c>
      <c r="BG48" s="395">
        <f t="shared" si="274"/>
        <v>0</v>
      </c>
      <c r="BH48" s="159"/>
      <c r="BI48" s="159">
        <f>IFERROR(SUMIFS('PO Tracker'!$J$44:$J$1433,'PO Tracker'!$K$44:$K$1433,$BE$6,'PO Tracker'!$L$44:$L$1433,'Capex breakup'!$B48),0)</f>
        <v>0</v>
      </c>
      <c r="BJ48" s="605" t="str">
        <f t="shared" si="275"/>
        <v/>
      </c>
      <c r="BK48" s="118"/>
      <c r="BL48" s="151"/>
      <c r="BM48" s="151"/>
      <c r="BN48" s="151"/>
      <c r="BO48" s="159">
        <v>1200</v>
      </c>
      <c r="BP48" s="395">
        <f t="shared" si="276"/>
        <v>686140.41599999985</v>
      </c>
      <c r="BQ48" s="395">
        <f t="shared" si="277"/>
        <v>809645.69087999978</v>
      </c>
      <c r="BR48" s="159"/>
      <c r="BS48" s="159">
        <f>IFERROR(SUMIFS('PO Tracker'!$J$44:$J$1433,'PO Tracker'!$K$44:$K$1433,$BO$6,'PO Tracker'!$L$44:$L$1433,'Capex breakup'!$B48),0)</f>
        <v>0</v>
      </c>
      <c r="BT48" s="605">
        <f t="shared" si="278"/>
        <v>0</v>
      </c>
      <c r="BU48" s="118"/>
      <c r="BV48" s="151"/>
      <c r="BW48" s="151">
        <f t="shared" si="279"/>
        <v>0</v>
      </c>
      <c r="BX48" s="151">
        <f>BW48/BW2</f>
        <v>0</v>
      </c>
      <c r="BY48" s="159">
        <v>0</v>
      </c>
      <c r="BZ48" s="395">
        <f t="shared" si="280"/>
        <v>0</v>
      </c>
      <c r="CA48" s="395">
        <f t="shared" si="281"/>
        <v>0</v>
      </c>
      <c r="CB48" s="159"/>
      <c r="CC48" s="159">
        <f>IFERROR(SUMIFS('PO Tracker'!$J$44:$J$1433,'PO Tracker'!$K$44:$K$1433,$BY$6,'PO Tracker'!$L$44:$L$1433,'Capex breakup'!$B48),0)</f>
        <v>0</v>
      </c>
      <c r="CD48" s="605" t="str">
        <f t="shared" si="282"/>
        <v/>
      </c>
      <c r="CE48" s="118"/>
      <c r="CF48" s="151">
        <v>158356</v>
      </c>
      <c r="CG48" s="151">
        <f t="shared" si="283"/>
        <v>134200</v>
      </c>
      <c r="CH48" s="151">
        <f>CG48/CG2</f>
        <v>402.32641803573568</v>
      </c>
      <c r="CI48" s="159">
        <v>0</v>
      </c>
      <c r="CJ48" s="395">
        <f t="shared" si="284"/>
        <v>0</v>
      </c>
      <c r="CK48" s="395">
        <f t="shared" si="285"/>
        <v>0</v>
      </c>
      <c r="CL48" s="159"/>
      <c r="CM48" s="159">
        <f>IFERROR(SUMIFS('PO Tracker'!$J$44:$J$1433,'PO Tracker'!$K$44:$K$1433,$CI$6,'PO Tracker'!$L$44:$L$1433,'Capex breakup'!$B48),0)</f>
        <v>0</v>
      </c>
      <c r="CN48" s="605" t="str">
        <f t="shared" si="286"/>
        <v/>
      </c>
      <c r="CO48" s="118"/>
      <c r="CP48" s="151"/>
      <c r="CQ48" s="151">
        <f t="shared" si="287"/>
        <v>0</v>
      </c>
      <c r="CR48" s="151"/>
      <c r="CS48" s="159"/>
      <c r="CT48" s="395">
        <f t="shared" si="288"/>
        <v>0</v>
      </c>
      <c r="CU48" s="395">
        <f t="shared" si="289"/>
        <v>0</v>
      </c>
      <c r="CV48" s="159"/>
      <c r="CW48" s="159">
        <f>IFERROR(SUMIFS('PO Tracker'!$J$44:$J$1433,'PO Tracker'!$K$44:$K$1433,$CS$6,'PO Tracker'!$L$44:$L$1433,'Capex breakup'!$B48),0)</f>
        <v>0</v>
      </c>
      <c r="CX48" s="605" t="str">
        <f t="shared" si="290"/>
        <v/>
      </c>
      <c r="CY48" s="118"/>
      <c r="CZ48" s="151">
        <v>158356</v>
      </c>
      <c r="DA48" s="151">
        <f t="shared" si="291"/>
        <v>134200</v>
      </c>
      <c r="DB48" s="151">
        <f>DA48/DA2</f>
        <v>402.32641803573568</v>
      </c>
      <c r="DC48" s="159">
        <v>0</v>
      </c>
      <c r="DD48" s="395">
        <f t="shared" si="292"/>
        <v>0</v>
      </c>
      <c r="DE48" s="395">
        <f t="shared" si="293"/>
        <v>0</v>
      </c>
      <c r="DF48" s="159"/>
      <c r="DG48" s="159">
        <f>IFERROR(SUMIFS('PO Tracker'!$J$44:$J$1433,'PO Tracker'!$K$44:$K$1433,$DC$6,'PO Tracker'!$L$44:$L$1433,'Capex breakup'!$B48),0)</f>
        <v>343773.34</v>
      </c>
      <c r="DH48" s="605" t="str">
        <f t="shared" si="294"/>
        <v/>
      </c>
      <c r="DI48" s="118"/>
      <c r="DJ48" s="151"/>
      <c r="DK48" s="151">
        <f t="shared" si="295"/>
        <v>0</v>
      </c>
      <c r="DL48" s="151">
        <f>DK48/DK2</f>
        <v>0</v>
      </c>
      <c r="DM48" s="159"/>
      <c r="DN48" s="395">
        <f t="shared" si="296"/>
        <v>0</v>
      </c>
      <c r="DO48" s="159">
        <f t="shared" si="297"/>
        <v>0</v>
      </c>
      <c r="DP48" s="159">
        <f>IFERROR(SUMIFS('PO Tracker'!$J$44:$J$1433,'PO Tracker'!$K$44:$K$1433,$DM$6,'PO Tracker'!$L$44:$L$1433,'Capex breakup'!$B48),0)</f>
        <v>0</v>
      </c>
      <c r="DQ48" s="605" t="str">
        <f t="shared" si="298"/>
        <v/>
      </c>
      <c r="DR48" s="118"/>
      <c r="DS48" s="151">
        <v>158356</v>
      </c>
      <c r="DT48" s="151">
        <f t="shared" si="299"/>
        <v>134200</v>
      </c>
      <c r="DU48" s="151">
        <f>DT48/DT2</f>
        <v>402.32641803573568</v>
      </c>
      <c r="DV48" s="159">
        <v>600</v>
      </c>
      <c r="DW48" s="395">
        <f>DV48*$DW$2</f>
        <v>784049.75999999989</v>
      </c>
      <c r="DX48" s="395">
        <f t="shared" si="301"/>
        <v>925178.71679999982</v>
      </c>
      <c r="DY48" s="159"/>
      <c r="DZ48" s="159">
        <f>IFERROR(SUMIFS('PO Tracker'!$J$44:$J$1433,'PO Tracker'!$K$44:$K$1433,$DV$6,'PO Tracker'!$L$44:$L$1433,'Capex breakup'!$B48),0)</f>
        <v>0</v>
      </c>
      <c r="EA48" s="605">
        <f t="shared" si="302"/>
        <v>0</v>
      </c>
      <c r="EB48" s="118"/>
      <c r="EC48" s="151">
        <v>158356</v>
      </c>
      <c r="ED48" s="151">
        <f t="shared" si="303"/>
        <v>134200</v>
      </c>
      <c r="EE48" s="151">
        <f>ED48/ED2</f>
        <v>402.32641803573568</v>
      </c>
      <c r="EF48" s="159">
        <v>1000</v>
      </c>
      <c r="EG48" s="395">
        <f t="shared" si="304"/>
        <v>384705.36</v>
      </c>
      <c r="EH48" s="395">
        <f t="shared" si="305"/>
        <v>453952.32479999994</v>
      </c>
      <c r="EI48" s="159"/>
      <c r="EJ48" s="159">
        <f>IFERROR(SUMIFS('PO Tracker'!$J$44:$J$1433,'PO Tracker'!$K$44:$K$1433,$EF$6,'PO Tracker'!$L$44:$L$1433,'Capex breakup'!$B48),0)</f>
        <v>0</v>
      </c>
      <c r="EK48" s="605">
        <f t="shared" si="306"/>
        <v>0</v>
      </c>
      <c r="EL48" s="118"/>
      <c r="EM48" s="151"/>
      <c r="EN48" s="151"/>
      <c r="EO48" s="151"/>
      <c r="EP48" s="159">
        <v>1300</v>
      </c>
      <c r="EQ48" s="395">
        <f t="shared" si="307"/>
        <v>500116.96799999999</v>
      </c>
      <c r="ER48" s="395">
        <f t="shared" si="308"/>
        <v>590138.02223999996</v>
      </c>
      <c r="ES48" s="159"/>
      <c r="ET48" s="159">
        <f>IFERROR(SUMIFS('PO Tracker'!$J$44:$J$1433,'PO Tracker'!$K$44:$K$1433,$EP$6,'PO Tracker'!$L$44:$L$1433,'Capex breakup'!$B48),0)</f>
        <v>0</v>
      </c>
      <c r="EU48" s="605">
        <f t="shared" si="309"/>
        <v>0</v>
      </c>
      <c r="EV48" s="118"/>
      <c r="EW48" s="151"/>
      <c r="EX48" s="151"/>
      <c r="EY48" s="151"/>
      <c r="EZ48" s="159">
        <v>900</v>
      </c>
      <c r="FA48" s="395">
        <f t="shared" si="310"/>
        <v>1152727.5239999997</v>
      </c>
      <c r="FB48" s="395">
        <f t="shared" si="311"/>
        <v>1360218.4783199995</v>
      </c>
      <c r="FC48" s="159"/>
      <c r="FD48" s="159">
        <f>IFERROR(SUMIFS('PO Tracker'!$J$44:$J$1433,'PO Tracker'!$K$44:$K$1433,$EZ$6,'PO Tracker'!$L$44:$L$1433,'Capex breakup'!$B48),0)</f>
        <v>0</v>
      </c>
      <c r="FE48" s="605">
        <f t="shared" si="312"/>
        <v>0</v>
      </c>
      <c r="FF48" s="118"/>
      <c r="FG48" s="318">
        <v>1456000.0000000002</v>
      </c>
      <c r="FH48" s="151">
        <f t="shared" si="313"/>
        <v>1300000</v>
      </c>
      <c r="FI48" s="133">
        <f t="shared" si="314"/>
        <v>493.1340565966164</v>
      </c>
      <c r="FJ48" s="159">
        <v>900</v>
      </c>
      <c r="FK48" s="395">
        <f t="shared" si="316"/>
        <v>2358639.9720000001</v>
      </c>
      <c r="FL48" s="159">
        <f t="shared" si="317"/>
        <v>2783195.1669600001</v>
      </c>
      <c r="FM48" s="684"/>
      <c r="FN48" s="159"/>
      <c r="FO48" s="685"/>
      <c r="FP48" s="684"/>
      <c r="FQ48" s="159">
        <f t="shared" si="318"/>
        <v>2358639.9720000001</v>
      </c>
      <c r="FR48" s="685">
        <f t="shared" si="319"/>
        <v>2783195.1669600001</v>
      </c>
      <c r="FS48" s="662">
        <f>IFERROR(SUMIFS('PO Tracker'!$J$44:$J$1433,'PO Tracker'!$K$44:$K$1433,$FJ$6,'PO Tracker'!$L$44:$L$1433,'Capex breakup'!$B48),0)</f>
        <v>0</v>
      </c>
      <c r="FT48" s="736">
        <f t="shared" si="320"/>
        <v>0</v>
      </c>
      <c r="FU48" s="709"/>
      <c r="FV48" s="151">
        <v>158356</v>
      </c>
      <c r="FW48" s="151">
        <f t="shared" si="321"/>
        <v>134200</v>
      </c>
      <c r="FX48" s="151">
        <f>FW48/FW2</f>
        <v>402.32641803573568</v>
      </c>
      <c r="FY48" s="159">
        <v>0</v>
      </c>
      <c r="FZ48" s="395">
        <f t="shared" si="322"/>
        <v>0</v>
      </c>
      <c r="GA48" s="395">
        <f t="shared" si="323"/>
        <v>0</v>
      </c>
      <c r="GB48" s="159"/>
      <c r="GC48" s="159">
        <f>IFERROR(SUMIFS('PO Tracker'!$J$44:$J$1433,'PO Tracker'!$K$44:$K$1433,$FY$6,'PO Tracker'!$L$44:$L$1433,'Capex breakup'!$B48),0)</f>
        <v>0</v>
      </c>
      <c r="GD48" s="605" t="str">
        <f t="shared" si="324"/>
        <v/>
      </c>
      <c r="GE48" s="118"/>
      <c r="GF48" s="151"/>
      <c r="GG48" s="151">
        <f t="shared" si="325"/>
        <v>0</v>
      </c>
      <c r="GH48" s="151">
        <f>GG48/GG2</f>
        <v>0</v>
      </c>
      <c r="GI48" s="159"/>
      <c r="GJ48" s="395">
        <f t="shared" si="326"/>
        <v>0</v>
      </c>
      <c r="GK48" s="395">
        <f t="shared" si="327"/>
        <v>0</v>
      </c>
      <c r="GL48" s="159"/>
      <c r="GM48" s="159">
        <f>IFERROR(SUMIFS('PO Tracker'!$J$44:$J$1433,'PO Tracker'!$K$44:$K$1433,$GI$6,'PO Tracker'!$L$44:$L$1433,'Capex breakup'!$B48),0)</f>
        <v>779783.34</v>
      </c>
      <c r="GN48" s="605" t="str">
        <f t="shared" si="328"/>
        <v/>
      </c>
      <c r="GO48" s="118"/>
      <c r="GP48" s="151"/>
      <c r="GQ48" s="151">
        <f t="shared" si="329"/>
        <v>0</v>
      </c>
      <c r="GR48" s="151">
        <f>GQ48/GQ2</f>
        <v>0</v>
      </c>
      <c r="GS48" s="159"/>
      <c r="GT48" s="395">
        <v>0</v>
      </c>
      <c r="GU48" s="159">
        <v>0</v>
      </c>
      <c r="GV48" s="159">
        <f>IFERROR(SUMIFS('PO Tracker'!$J$44:$J$1433,'PO Tracker'!$K$44:$K$1433,$GS$6,'PO Tracker'!$L$44:$L$1433,'Capex breakup'!$B48),0)</f>
        <v>0</v>
      </c>
      <c r="GW48" s="605" t="str">
        <f t="shared" si="330"/>
        <v/>
      </c>
      <c r="GX48" s="118"/>
      <c r="GY48" s="151"/>
      <c r="GZ48" s="151"/>
      <c r="HA48" s="133"/>
      <c r="HB48" s="159">
        <v>1200</v>
      </c>
      <c r="HC48" s="395">
        <f t="shared" si="331"/>
        <v>4006274.6880000001</v>
      </c>
      <c r="HD48" s="159">
        <f t="shared" si="332"/>
        <v>4727404.1318399999</v>
      </c>
      <c r="HE48" s="159"/>
      <c r="HF48" s="159">
        <f>IFERROR(SUMIFS('PO Tracker'!$J$44:$J$1433,'PO Tracker'!$K$44:$K$1433,$HB$6,'PO Tracker'!$L$44:$L$1433,'Capex breakup'!$B48),0)</f>
        <v>4291070</v>
      </c>
      <c r="HG48" s="605">
        <f t="shared" si="333"/>
        <v>0.9077011146770374</v>
      </c>
      <c r="HH48" s="118"/>
      <c r="HI48" s="151"/>
      <c r="HJ48" s="151"/>
      <c r="HK48" s="133"/>
      <c r="HL48" s="159">
        <v>1200</v>
      </c>
      <c r="HM48" s="395">
        <f t="shared" si="334"/>
        <v>4075250.4</v>
      </c>
      <c r="HN48" s="159">
        <f t="shared" si="335"/>
        <v>4808795.4720000001</v>
      </c>
      <c r="HO48" s="159">
        <f>IFERROR(SUMIFS('PO Tracker'!$J$44:$J$1433,'PO Tracker'!$K$44:$K$1433,$HL$6,'PO Tracker'!$L$44:$L$1433,'Capex breakup'!$B48),0)</f>
        <v>0</v>
      </c>
      <c r="HP48" s="605">
        <f t="shared" si="336"/>
        <v>0</v>
      </c>
      <c r="HQ48" s="118"/>
      <c r="HR48" s="364"/>
      <c r="HS48" s="364"/>
      <c r="HT48" s="364"/>
      <c r="HU48" s="364"/>
    </row>
    <row r="49" spans="1:229">
      <c r="A49" s="18">
        <v>4</v>
      </c>
      <c r="B49" s="19" t="s">
        <v>48</v>
      </c>
      <c r="C49" s="118"/>
      <c r="D49" s="151">
        <v>146013.19999999998</v>
      </c>
      <c r="E49" s="151">
        <f t="shared" si="250"/>
        <v>123739.99999999999</v>
      </c>
      <c r="F49" s="151">
        <f>E49/E2</f>
        <v>499.99999999999994</v>
      </c>
      <c r="G49" s="159">
        <v>300</v>
      </c>
      <c r="H49" s="395">
        <f t="shared" si="252"/>
        <v>131654.484</v>
      </c>
      <c r="I49" s="395">
        <f t="shared" si="253"/>
        <v>155352.29111999998</v>
      </c>
      <c r="J49" s="159"/>
      <c r="K49" s="159">
        <f>IFERROR(SUMIFS('PO Tracker'!$J$44:$J$1433,'PO Tracker'!$K$44:$K$1433,$G$6,'PO Tracker'!$L$44:$L$1433,'Capex breakup'!$B49),0)</f>
        <v>86966</v>
      </c>
      <c r="L49" s="605">
        <f t="shared" si="254"/>
        <v>0.55979863169719313</v>
      </c>
      <c r="M49" s="118"/>
      <c r="N49" s="151">
        <v>146013.19999999998</v>
      </c>
      <c r="O49" s="151">
        <f t="shared" si="255"/>
        <v>123739.99999999999</v>
      </c>
      <c r="P49" s="151">
        <f>O49/O2</f>
        <v>499.99999999999994</v>
      </c>
      <c r="Q49" s="159">
        <v>120</v>
      </c>
      <c r="R49" s="395">
        <f t="shared" si="256"/>
        <v>121973.34239999999</v>
      </c>
      <c r="S49" s="395">
        <f t="shared" si="257"/>
        <v>143928.54403199998</v>
      </c>
      <c r="T49" s="159"/>
      <c r="U49" s="159">
        <f>IFERROR(SUMIFS('PO Tracker'!$J$44:$J$1433,'PO Tracker'!$K$44:$K$1433,$Q$6,'PO Tracker'!$L$44:$L$1433,'Capex breakup'!$B49),0)</f>
        <v>0</v>
      </c>
      <c r="V49" s="605">
        <f t="shared" si="258"/>
        <v>0</v>
      </c>
      <c r="W49" s="118"/>
      <c r="X49" s="151">
        <v>1680000.0000000002</v>
      </c>
      <c r="Y49" s="151">
        <f t="shared" si="259"/>
        <v>1500000</v>
      </c>
      <c r="Z49" s="133">
        <f t="shared" si="260"/>
        <v>569.00083453455738</v>
      </c>
      <c r="AA49" s="159">
        <v>450</v>
      </c>
      <c r="AB49" s="395">
        <f>AA49*$AB$2</f>
        <v>842821.2</v>
      </c>
      <c r="AC49" s="395">
        <f t="shared" si="261"/>
        <v>994529.01599999995</v>
      </c>
      <c r="AD49" s="159"/>
      <c r="AE49" s="159">
        <f>IFERROR(SUMIFS('PO Tracker'!$J$44:$J$1433,'PO Tracker'!$K$44:$K$1433,$AA$6,'PO Tracker'!$L$44:$L$1433,'Capex breakup'!$B49),0)</f>
        <v>610151.51</v>
      </c>
      <c r="AF49" s="605">
        <f t="shared" si="262"/>
        <v>0.61350800246535997</v>
      </c>
      <c r="AG49" s="118"/>
      <c r="AH49" s="151">
        <v>146013.19999999998</v>
      </c>
      <c r="AI49" s="151">
        <f t="shared" si="263"/>
        <v>123739.99999999999</v>
      </c>
      <c r="AJ49" s="151">
        <f>AI49/AI2</f>
        <v>499.99999999999994</v>
      </c>
      <c r="AK49" s="159">
        <v>600</v>
      </c>
      <c r="AL49" s="395">
        <f t="shared" si="264"/>
        <v>243094.17599999998</v>
      </c>
      <c r="AM49" s="395">
        <f t="shared" si="265"/>
        <v>286851.12767999998</v>
      </c>
      <c r="AN49" s="159"/>
      <c r="AO49" s="159">
        <f>IFERROR(SUMIFS('PO Tracker'!$J$44:$J$1433,'PO Tracker'!$K$44:$K$1433,$AK$6,'PO Tracker'!$L$44:$L$1433,'Capex breakup'!$B49),0)</f>
        <v>0</v>
      </c>
      <c r="AP49" s="605">
        <f t="shared" si="266"/>
        <v>0</v>
      </c>
      <c r="AQ49" s="118"/>
      <c r="AR49" s="287">
        <v>141600</v>
      </c>
      <c r="AS49" s="287">
        <f t="shared" si="267"/>
        <v>120000</v>
      </c>
      <c r="AT49" s="288">
        <f t="shared" si="268"/>
        <v>110.41996392947846</v>
      </c>
      <c r="AU49" s="159">
        <v>400</v>
      </c>
      <c r="AV49" s="395">
        <f t="shared" si="269"/>
        <v>407955.6</v>
      </c>
      <c r="AW49" s="395">
        <f t="shared" si="270"/>
        <v>481387.60799999995</v>
      </c>
      <c r="AX49" s="159"/>
      <c r="AY49" s="159">
        <f>IFERROR(SUMIFS('PO Tracker'!$J$44:$J$1433,'PO Tracker'!$K$44:$K$1433,$AU$6,'PO Tracker'!$L$44:$L$1433,'Capex breakup'!$B49),0)</f>
        <v>0</v>
      </c>
      <c r="AZ49" s="605">
        <f t="shared" si="271"/>
        <v>0</v>
      </c>
      <c r="BA49" s="118"/>
      <c r="BB49" s="151">
        <v>88500</v>
      </c>
      <c r="BC49" s="151">
        <f t="shared" si="272"/>
        <v>75000</v>
      </c>
      <c r="BD49" s="151">
        <f>BC49/BC2</f>
        <v>120.17690039738494</v>
      </c>
      <c r="BE49" s="159">
        <v>130</v>
      </c>
      <c r="BF49" s="395">
        <f t="shared" si="273"/>
        <v>101058.89039999999</v>
      </c>
      <c r="BG49" s="395">
        <f t="shared" si="274"/>
        <v>119249.49067199999</v>
      </c>
      <c r="BH49" s="159"/>
      <c r="BI49" s="159">
        <f>IFERROR(SUMIFS('PO Tracker'!$J$44:$J$1433,'PO Tracker'!$K$44:$K$1433,$BE$6,'PO Tracker'!$L$44:$L$1433,'Capex breakup'!$B49),0)</f>
        <v>0</v>
      </c>
      <c r="BJ49" s="605">
        <f t="shared" si="275"/>
        <v>0</v>
      </c>
      <c r="BK49" s="118"/>
      <c r="BL49" s="151"/>
      <c r="BM49" s="151"/>
      <c r="BN49" s="151"/>
      <c r="BO49" s="159">
        <v>250</v>
      </c>
      <c r="BP49" s="395">
        <f t="shared" si="276"/>
        <v>142945.91999999998</v>
      </c>
      <c r="BQ49" s="395">
        <f t="shared" si="277"/>
        <v>168676.18559999997</v>
      </c>
      <c r="BR49" s="159"/>
      <c r="BS49" s="159">
        <f>IFERROR(SUMIFS('PO Tracker'!$J$44:$J$1433,'PO Tracker'!$K$44:$K$1433,$BO$6,'PO Tracker'!$L$44:$L$1433,'Capex breakup'!$B49),0)</f>
        <v>0</v>
      </c>
      <c r="BT49" s="605">
        <f t="shared" si="278"/>
        <v>0</v>
      </c>
      <c r="BU49" s="118"/>
      <c r="BV49" s="151">
        <v>59000</v>
      </c>
      <c r="BW49" s="151">
        <f t="shared" si="279"/>
        <v>50000</v>
      </c>
      <c r="BX49" s="151">
        <f>BW49/BW2</f>
        <v>51.072522982635341</v>
      </c>
      <c r="BY49" s="159">
        <v>250</v>
      </c>
      <c r="BZ49" s="395">
        <f t="shared" si="280"/>
        <v>93270.059999999983</v>
      </c>
      <c r="CA49" s="395">
        <f t="shared" si="281"/>
        <v>110058.67079999998</v>
      </c>
      <c r="CB49" s="159"/>
      <c r="CC49" s="159">
        <f>IFERROR(SUMIFS('PO Tracker'!$J$44:$J$1433,'PO Tracker'!$K$44:$K$1433,$BY$6,'PO Tracker'!$L$44:$L$1433,'Capex breakup'!$B49),0)</f>
        <v>0</v>
      </c>
      <c r="CD49" s="605">
        <f t="shared" si="282"/>
        <v>0</v>
      </c>
      <c r="CE49" s="118"/>
      <c r="CF49" s="151">
        <v>66953.2</v>
      </c>
      <c r="CG49" s="151">
        <f t="shared" si="283"/>
        <v>56740</v>
      </c>
      <c r="CH49" s="151">
        <f>CG49/CG2</f>
        <v>170.10432905624177</v>
      </c>
      <c r="CI49" s="159">
        <v>600</v>
      </c>
      <c r="CJ49" s="395">
        <f t="shared" si="284"/>
        <v>116251.19999999998</v>
      </c>
      <c r="CK49" s="395">
        <f t="shared" si="285"/>
        <v>137176.41599999997</v>
      </c>
      <c r="CL49" s="159"/>
      <c r="CM49" s="159">
        <f>IFERROR(SUMIFS('PO Tracker'!$J$44:$J$1433,'PO Tracker'!$K$44:$K$1433,$CI$6,'PO Tracker'!$L$44:$L$1433,'Capex breakup'!$B49),0)</f>
        <v>0</v>
      </c>
      <c r="CN49" s="605">
        <f t="shared" si="286"/>
        <v>0</v>
      </c>
      <c r="CO49" s="118"/>
      <c r="CP49" s="151"/>
      <c r="CQ49" s="151">
        <f t="shared" si="287"/>
        <v>0</v>
      </c>
      <c r="CR49" s="151"/>
      <c r="CS49" s="159"/>
      <c r="CT49" s="395">
        <f t="shared" si="288"/>
        <v>0</v>
      </c>
      <c r="CU49" s="395">
        <f t="shared" si="289"/>
        <v>0</v>
      </c>
      <c r="CV49" s="159"/>
      <c r="CW49" s="159">
        <f>IFERROR(SUMIFS('PO Tracker'!$J$44:$J$1433,'PO Tracker'!$K$44:$K$1433,$CS$6,'PO Tracker'!$L$44:$L$1433,'Capex breakup'!$B49),0)</f>
        <v>0</v>
      </c>
      <c r="CX49" s="605" t="str">
        <f t="shared" si="290"/>
        <v/>
      </c>
      <c r="CY49" s="118"/>
      <c r="CZ49" s="151">
        <v>66953.2</v>
      </c>
      <c r="DA49" s="151">
        <f t="shared" si="291"/>
        <v>56740</v>
      </c>
      <c r="DB49" s="151">
        <f>DA49/DA2</f>
        <v>170.10432905624177</v>
      </c>
      <c r="DC49" s="159">
        <v>600</v>
      </c>
      <c r="DD49" s="395">
        <f t="shared" si="292"/>
        <v>129167.99999999999</v>
      </c>
      <c r="DE49" s="395">
        <f t="shared" si="293"/>
        <v>152418.23999999996</v>
      </c>
      <c r="DF49" s="159"/>
      <c r="DG49" s="159">
        <f>IFERROR(SUMIFS('PO Tracker'!$J$44:$J$1433,'PO Tracker'!$K$44:$K$1433,$DC$6,'PO Tracker'!$L$44:$L$1433,'Capex breakup'!$B49),0)</f>
        <v>35990</v>
      </c>
      <c r="DH49" s="605">
        <f t="shared" si="294"/>
        <v>0.23612659482224704</v>
      </c>
      <c r="DI49" s="118"/>
      <c r="DJ49" s="151"/>
      <c r="DK49" s="151">
        <f t="shared" si="295"/>
        <v>0</v>
      </c>
      <c r="DL49" s="151">
        <f>DK49/DK2</f>
        <v>0</v>
      </c>
      <c r="DM49" s="159"/>
      <c r="DN49" s="395">
        <f t="shared" si="296"/>
        <v>0</v>
      </c>
      <c r="DO49" s="159">
        <f t="shared" si="297"/>
        <v>0</v>
      </c>
      <c r="DP49" s="159">
        <f>IFERROR(SUMIFS('PO Tracker'!$J$44:$J$1433,'PO Tracker'!$K$44:$K$1433,$DM$6,'PO Tracker'!$L$44:$L$1433,'Capex breakup'!$B49),0)</f>
        <v>0</v>
      </c>
      <c r="DQ49" s="605" t="str">
        <f t="shared" si="298"/>
        <v/>
      </c>
      <c r="DR49" s="118"/>
      <c r="DS49" s="151">
        <v>66953.2</v>
      </c>
      <c r="DT49" s="151">
        <f t="shared" si="299"/>
        <v>56740</v>
      </c>
      <c r="DU49" s="151">
        <f>DT49/DT2</f>
        <v>170.10432905624177</v>
      </c>
      <c r="DV49" s="159">
        <v>100</v>
      </c>
      <c r="DW49" s="395">
        <f>DV49*$DW$2</f>
        <v>130674.95999999999</v>
      </c>
      <c r="DX49" s="395">
        <f t="shared" si="301"/>
        <v>154196.45279999997</v>
      </c>
      <c r="DY49" s="159"/>
      <c r="DZ49" s="159">
        <f>IFERROR(SUMIFS('PO Tracker'!$J$44:$J$1433,'PO Tracker'!$K$44:$K$1433,$DV$6,'PO Tracker'!$L$44:$L$1433,'Capex breakup'!$B49),0)</f>
        <v>18455.2</v>
      </c>
      <c r="EA49" s="605">
        <f t="shared" si="302"/>
        <v>0.11968628113603405</v>
      </c>
      <c r="EB49" s="118"/>
      <c r="EC49" s="151">
        <v>66953.2</v>
      </c>
      <c r="ED49" s="151">
        <f t="shared" si="303"/>
        <v>56740</v>
      </c>
      <c r="EE49" s="151">
        <f>ED49/ED2</f>
        <v>170.10432905624177</v>
      </c>
      <c r="EF49" s="159">
        <v>220</v>
      </c>
      <c r="EG49" s="395">
        <f t="shared" si="304"/>
        <v>84635.179199999999</v>
      </c>
      <c r="EH49" s="395">
        <f t="shared" si="305"/>
        <v>99869.511455999993</v>
      </c>
      <c r="EI49" s="159"/>
      <c r="EJ49" s="159">
        <f>IFERROR(SUMIFS('PO Tracker'!$J$44:$J$1433,'PO Tracker'!$K$44:$K$1433,$EF$6,'PO Tracker'!$L$44:$L$1433,'Capex breakup'!$B49),0)</f>
        <v>131334</v>
      </c>
      <c r="EK49" s="605">
        <f t="shared" si="306"/>
        <v>1.3150559974238232</v>
      </c>
      <c r="EL49" s="118"/>
      <c r="EM49" s="151"/>
      <c r="EN49" s="151"/>
      <c r="EO49" s="151"/>
      <c r="EP49" s="159">
        <v>400</v>
      </c>
      <c r="EQ49" s="395">
        <f t="shared" si="307"/>
        <v>153882.144</v>
      </c>
      <c r="ER49" s="395">
        <f t="shared" si="308"/>
        <v>181580.92992</v>
      </c>
      <c r="ES49" s="159"/>
      <c r="ET49" s="159">
        <f>IFERROR(SUMIFS('PO Tracker'!$J$44:$J$1433,'PO Tracker'!$K$44:$K$1433,$EP$6,'PO Tracker'!$L$44:$L$1433,'Capex breakup'!$B49),0)</f>
        <v>114495.4</v>
      </c>
      <c r="EU49" s="605">
        <f t="shared" si="309"/>
        <v>0.63054749224185491</v>
      </c>
      <c r="EV49" s="118"/>
      <c r="EW49" s="151"/>
      <c r="EX49" s="151"/>
      <c r="EY49" s="151"/>
      <c r="EZ49" s="159">
        <v>240</v>
      </c>
      <c r="FA49" s="395">
        <f t="shared" si="310"/>
        <v>307394.00639999995</v>
      </c>
      <c r="FB49" s="395">
        <f t="shared" si="311"/>
        <v>362724.92755199992</v>
      </c>
      <c r="FC49" s="159"/>
      <c r="FD49" s="159">
        <f>IFERROR(SUMIFS('PO Tracker'!$J$44:$J$1433,'PO Tracker'!$K$44:$K$1433,$EZ$6,'PO Tracker'!$L$44:$L$1433,'Capex breakup'!$B49),0)</f>
        <v>348985</v>
      </c>
      <c r="FE49" s="605">
        <f t="shared" si="312"/>
        <v>0.96212025557567948</v>
      </c>
      <c r="FF49" s="118"/>
      <c r="FG49" s="318">
        <v>1680000.0000000002</v>
      </c>
      <c r="FH49" s="151">
        <f t="shared" si="313"/>
        <v>1500000</v>
      </c>
      <c r="FI49" s="133">
        <f t="shared" si="314"/>
        <v>569.00083453455738</v>
      </c>
      <c r="FJ49" s="159">
        <f t="shared" si="315"/>
        <v>569.00083453455738</v>
      </c>
      <c r="FK49" s="395">
        <f t="shared" si="316"/>
        <v>1491186.7915939612</v>
      </c>
      <c r="FL49" s="159">
        <f t="shared" si="317"/>
        <v>1759600.4140808741</v>
      </c>
      <c r="FM49" s="684"/>
      <c r="FN49" s="614">
        <f>FK49</f>
        <v>1491186.7915939612</v>
      </c>
      <c r="FO49" s="685">
        <f>FN49*1.18</f>
        <v>1759600.4140808741</v>
      </c>
      <c r="FP49" s="684"/>
      <c r="FQ49" s="159">
        <f t="shared" si="318"/>
        <v>0</v>
      </c>
      <c r="FR49" s="685">
        <f t="shared" si="319"/>
        <v>0</v>
      </c>
      <c r="FS49" s="662">
        <f>IFERROR(SUMIFS('PO Tracker'!$J$44:$J$1433,'PO Tracker'!$K$44:$K$1433,$FJ$6,'PO Tracker'!$L$44:$L$1433,'Capex breakup'!$B49),0)</f>
        <v>0</v>
      </c>
      <c r="FT49" s="736" t="str">
        <f t="shared" si="320"/>
        <v/>
      </c>
      <c r="FU49" s="709"/>
      <c r="FV49" s="151">
        <v>66953.2</v>
      </c>
      <c r="FW49" s="151">
        <f t="shared" si="321"/>
        <v>56740</v>
      </c>
      <c r="FX49" s="151">
        <f>FW49/FW2</f>
        <v>170.10432905624177</v>
      </c>
      <c r="FY49" s="159">
        <v>350</v>
      </c>
      <c r="FZ49" s="395">
        <f t="shared" si="322"/>
        <v>77909.831999999995</v>
      </c>
      <c r="GA49" s="395">
        <f t="shared" si="323"/>
        <v>91933.60175999999</v>
      </c>
      <c r="GB49" s="159"/>
      <c r="GC49" s="159">
        <f>IFERROR(SUMIFS('PO Tracker'!$J$44:$J$1433,'PO Tracker'!$K$44:$K$1433,$FY$6,'PO Tracker'!$L$44:$L$1433,'Capex breakup'!$B49),0)</f>
        <v>187679</v>
      </c>
      <c r="GD49" s="605">
        <f t="shared" si="324"/>
        <v>2.0414624947464914</v>
      </c>
      <c r="GE49" s="118"/>
      <c r="GF49" s="151"/>
      <c r="GG49" s="151">
        <f t="shared" si="325"/>
        <v>0</v>
      </c>
      <c r="GH49" s="151">
        <f>GG49/GG2</f>
        <v>0</v>
      </c>
      <c r="GI49" s="159">
        <v>300</v>
      </c>
      <c r="GJ49" s="395">
        <f t="shared" si="326"/>
        <v>45208.800000000003</v>
      </c>
      <c r="GK49" s="395">
        <f t="shared" si="327"/>
        <v>53346.383999999998</v>
      </c>
      <c r="GL49" s="159"/>
      <c r="GM49" s="159">
        <f>IFERROR(SUMIFS('PO Tracker'!$J$44:$J$1433,'PO Tracker'!$K$44:$K$1433,$GI$6,'PO Tracker'!$L$44:$L$1433,'Capex breakup'!$B49),0)</f>
        <v>238124</v>
      </c>
      <c r="GN49" s="605">
        <f t="shared" si="328"/>
        <v>4.4637327246022895</v>
      </c>
      <c r="GO49" s="118"/>
      <c r="GP49" s="151"/>
      <c r="GQ49" s="151">
        <f t="shared" si="329"/>
        <v>0</v>
      </c>
      <c r="GR49" s="151">
        <f>GQ49/GQ2</f>
        <v>0</v>
      </c>
      <c r="GS49" s="159"/>
      <c r="GT49" s="395">
        <v>0</v>
      </c>
      <c r="GU49" s="159">
        <v>0</v>
      </c>
      <c r="GV49" s="159">
        <f>IFERROR(SUMIFS('PO Tracker'!$J$44:$J$1433,'PO Tracker'!$K$44:$K$1433,$GS$6,'PO Tracker'!$L$44:$L$1433,'Capex breakup'!$B49),0)</f>
        <v>0</v>
      </c>
      <c r="GW49" s="605" t="str">
        <f t="shared" si="330"/>
        <v/>
      </c>
      <c r="GX49" s="118"/>
      <c r="GY49" s="151"/>
      <c r="GZ49" s="151"/>
      <c r="HA49" s="133"/>
      <c r="HB49" s="159">
        <v>580</v>
      </c>
      <c r="HC49" s="395">
        <f t="shared" si="331"/>
        <v>1936366.0992000001</v>
      </c>
      <c r="HD49" s="159">
        <f t="shared" si="332"/>
        <v>2284911.9970559999</v>
      </c>
      <c r="HE49" s="159"/>
      <c r="HF49" s="159">
        <f>IFERROR(SUMIFS('PO Tracker'!$J$44:$J$1433,'PO Tracker'!$K$44:$K$1433,$HB$6,'PO Tracker'!$L$44:$L$1433,'Capex breakup'!$B49),0)</f>
        <v>2248466.4</v>
      </c>
      <c r="HG49" s="605">
        <f t="shared" si="333"/>
        <v>0.98404945262532717</v>
      </c>
      <c r="HH49" s="118"/>
      <c r="HI49" s="151"/>
      <c r="HJ49" s="151"/>
      <c r="HK49" s="133"/>
      <c r="HL49" s="159">
        <v>500</v>
      </c>
      <c r="HM49" s="395">
        <f t="shared" si="334"/>
        <v>1698021</v>
      </c>
      <c r="HN49" s="159">
        <f t="shared" si="335"/>
        <v>2003664.7799999998</v>
      </c>
      <c r="HO49" s="159">
        <f>IFERROR(SUMIFS('PO Tracker'!$J$44:$J$1433,'PO Tracker'!$K$44:$K$1433,$HL$6,'PO Tracker'!$L$44:$L$1433,'Capex breakup'!$B49),0)</f>
        <v>0</v>
      </c>
      <c r="HP49" s="605">
        <f t="shared" si="336"/>
        <v>0</v>
      </c>
      <c r="HQ49" s="118"/>
      <c r="HR49" s="364"/>
      <c r="HS49" s="364"/>
      <c r="HT49" s="364"/>
      <c r="HU49" s="364"/>
    </row>
    <row r="50" spans="1:229">
      <c r="A50" s="18">
        <v>5</v>
      </c>
      <c r="B50" s="19" t="s">
        <v>49</v>
      </c>
      <c r="C50" s="118"/>
      <c r="D50" s="151">
        <v>0</v>
      </c>
      <c r="E50" s="151">
        <f t="shared" si="250"/>
        <v>0</v>
      </c>
      <c r="F50" s="151">
        <f>E50/E2</f>
        <v>0</v>
      </c>
      <c r="G50" s="159">
        <f t="shared" si="251"/>
        <v>0</v>
      </c>
      <c r="H50" s="395">
        <f t="shared" si="252"/>
        <v>0</v>
      </c>
      <c r="I50" s="395">
        <f t="shared" si="253"/>
        <v>0</v>
      </c>
      <c r="J50" s="159"/>
      <c r="K50" s="159">
        <f>IFERROR(SUMIFS('PO Tracker'!$J$44:$J$1433,'PO Tracker'!$K$44:$K$1433,$G$6,'PO Tracker'!$L$44:$L$1433,'Capex breakup'!$B50),0)</f>
        <v>0</v>
      </c>
      <c r="L50" s="605" t="str">
        <f t="shared" si="254"/>
        <v/>
      </c>
      <c r="M50" s="118"/>
      <c r="N50" s="151">
        <v>0</v>
      </c>
      <c r="O50" s="151">
        <f t="shared" si="255"/>
        <v>0</v>
      </c>
      <c r="P50" s="151">
        <f>O50/O2</f>
        <v>0</v>
      </c>
      <c r="Q50" s="159">
        <f>+P50</f>
        <v>0</v>
      </c>
      <c r="R50" s="395">
        <f t="shared" si="256"/>
        <v>0</v>
      </c>
      <c r="S50" s="395">
        <f t="shared" si="257"/>
        <v>0</v>
      </c>
      <c r="T50" s="159"/>
      <c r="U50" s="159">
        <f>IFERROR(SUMIFS('PO Tracker'!$J$44:$J$1433,'PO Tracker'!$K$44:$K$1433,$Q$6,'PO Tracker'!$L$44:$L$1433,'Capex breakup'!$B50),0)</f>
        <v>0</v>
      </c>
      <c r="V50" s="605" t="str">
        <f t="shared" si="258"/>
        <v/>
      </c>
      <c r="W50" s="118"/>
      <c r="X50" s="151"/>
      <c r="Y50" s="151">
        <f t="shared" si="259"/>
        <v>0</v>
      </c>
      <c r="Z50" s="133">
        <f t="shared" si="260"/>
        <v>0</v>
      </c>
      <c r="AA50" s="159">
        <v>0</v>
      </c>
      <c r="AB50" s="395">
        <v>0</v>
      </c>
      <c r="AC50" s="395">
        <f t="shared" si="261"/>
        <v>0</v>
      </c>
      <c r="AD50" s="159"/>
      <c r="AE50" s="159">
        <f>IFERROR(SUMIFS('PO Tracker'!$J$44:$J$1433,'PO Tracker'!$K$44:$K$1433,$AA$6,'PO Tracker'!$L$44:$L$1433,'Capex breakup'!$B50),0)</f>
        <v>0</v>
      </c>
      <c r="AF50" s="605" t="str">
        <f t="shared" si="262"/>
        <v/>
      </c>
      <c r="AG50" s="118"/>
      <c r="AH50" s="151">
        <v>0</v>
      </c>
      <c r="AI50" s="151">
        <f t="shared" si="263"/>
        <v>0</v>
      </c>
      <c r="AJ50" s="151">
        <f>AI50/AI2</f>
        <v>0</v>
      </c>
      <c r="AK50" s="159">
        <f>+AJ50</f>
        <v>0</v>
      </c>
      <c r="AL50" s="395">
        <f t="shared" si="264"/>
        <v>0</v>
      </c>
      <c r="AM50" s="395">
        <f t="shared" si="265"/>
        <v>0</v>
      </c>
      <c r="AN50" s="159"/>
      <c r="AO50" s="159">
        <f>IFERROR(SUMIFS('PO Tracker'!$J$44:$J$1433,'PO Tracker'!$K$44:$K$1433,$AK$6,'PO Tracker'!$L$44:$L$1433,'Capex breakup'!$B50),0)</f>
        <v>0</v>
      </c>
      <c r="AP50" s="605" t="str">
        <f t="shared" si="266"/>
        <v/>
      </c>
      <c r="AQ50" s="118"/>
      <c r="AR50" s="287"/>
      <c r="AS50" s="287">
        <f t="shared" si="267"/>
        <v>0</v>
      </c>
      <c r="AT50" s="288">
        <f t="shared" si="268"/>
        <v>0</v>
      </c>
      <c r="AU50" s="159">
        <f>+AT50</f>
        <v>0</v>
      </c>
      <c r="AV50" s="395">
        <f t="shared" si="269"/>
        <v>0</v>
      </c>
      <c r="AW50" s="395">
        <f t="shared" si="270"/>
        <v>0</v>
      </c>
      <c r="AX50" s="159"/>
      <c r="AY50" s="159">
        <f>IFERROR(SUMIFS('PO Tracker'!$J$44:$J$1433,'PO Tracker'!$K$44:$K$1433,$AU$6,'PO Tracker'!$L$44:$L$1433,'Capex breakup'!$B50),0)</f>
        <v>0</v>
      </c>
      <c r="AZ50" s="605" t="str">
        <f t="shared" si="271"/>
        <v/>
      </c>
      <c r="BA50" s="118"/>
      <c r="BB50" s="151"/>
      <c r="BC50" s="151">
        <f t="shared" si="272"/>
        <v>0</v>
      </c>
      <c r="BD50" s="151">
        <f>BC50/BC2</f>
        <v>0</v>
      </c>
      <c r="BE50" s="159">
        <f>+BD50</f>
        <v>0</v>
      </c>
      <c r="BF50" s="395">
        <f t="shared" si="273"/>
        <v>0</v>
      </c>
      <c r="BG50" s="395">
        <f t="shared" si="274"/>
        <v>0</v>
      </c>
      <c r="BH50" s="159"/>
      <c r="BI50" s="159">
        <f>IFERROR(SUMIFS('PO Tracker'!$J$44:$J$1433,'PO Tracker'!$K$44:$K$1433,$BE$6,'PO Tracker'!$L$44:$L$1433,'Capex breakup'!$B50),0)</f>
        <v>0</v>
      </c>
      <c r="BJ50" s="605" t="str">
        <f t="shared" si="275"/>
        <v/>
      </c>
      <c r="BK50" s="118"/>
      <c r="BL50" s="151"/>
      <c r="BM50" s="151"/>
      <c r="BN50" s="151"/>
      <c r="BO50" s="159">
        <f>+BN50</f>
        <v>0</v>
      </c>
      <c r="BP50" s="395">
        <f t="shared" si="276"/>
        <v>0</v>
      </c>
      <c r="BQ50" s="395">
        <f t="shared" si="277"/>
        <v>0</v>
      </c>
      <c r="BR50" s="159"/>
      <c r="BS50" s="159">
        <f>IFERROR(SUMIFS('PO Tracker'!$J$44:$J$1433,'PO Tracker'!$K$44:$K$1433,$BO$6,'PO Tracker'!$L$44:$L$1433,'Capex breakup'!$B50),0)</f>
        <v>0</v>
      </c>
      <c r="BT50" s="605" t="str">
        <f t="shared" si="278"/>
        <v/>
      </c>
      <c r="BU50" s="118"/>
      <c r="BV50" s="151"/>
      <c r="BW50" s="151">
        <f t="shared" si="279"/>
        <v>0</v>
      </c>
      <c r="BX50" s="151">
        <f>BW50/BW2</f>
        <v>0</v>
      </c>
      <c r="BY50" s="159">
        <f>+BX50</f>
        <v>0</v>
      </c>
      <c r="BZ50" s="395">
        <f t="shared" si="280"/>
        <v>0</v>
      </c>
      <c r="CA50" s="395">
        <f t="shared" si="281"/>
        <v>0</v>
      </c>
      <c r="CB50" s="159"/>
      <c r="CC50" s="159">
        <f>IFERROR(SUMIFS('PO Tracker'!$J$44:$J$1433,'PO Tracker'!$K$44:$K$1433,$BY$6,'PO Tracker'!$L$44:$L$1433,'Capex breakup'!$B50),0)</f>
        <v>0</v>
      </c>
      <c r="CD50" s="605" t="str">
        <f t="shared" si="282"/>
        <v/>
      </c>
      <c r="CE50" s="118"/>
      <c r="CF50" s="151"/>
      <c r="CG50" s="151">
        <f t="shared" si="283"/>
        <v>0</v>
      </c>
      <c r="CH50" s="151">
        <f>CG50/CG2</f>
        <v>0</v>
      </c>
      <c r="CI50" s="159">
        <f>+CH50</f>
        <v>0</v>
      </c>
      <c r="CJ50" s="395">
        <f t="shared" si="284"/>
        <v>0</v>
      </c>
      <c r="CK50" s="395">
        <f t="shared" si="285"/>
        <v>0</v>
      </c>
      <c r="CL50" s="159"/>
      <c r="CM50" s="159">
        <f>IFERROR(SUMIFS('PO Tracker'!$J$44:$J$1433,'PO Tracker'!$K$44:$K$1433,$CI$6,'PO Tracker'!$L$44:$L$1433,'Capex breakup'!$B50),0)</f>
        <v>0</v>
      </c>
      <c r="CN50" s="605" t="str">
        <f t="shared" si="286"/>
        <v/>
      </c>
      <c r="CO50" s="118"/>
      <c r="CP50" s="151"/>
      <c r="CQ50" s="151">
        <f t="shared" si="287"/>
        <v>0</v>
      </c>
      <c r="CR50" s="151"/>
      <c r="CS50" s="159"/>
      <c r="CT50" s="395">
        <f t="shared" si="288"/>
        <v>0</v>
      </c>
      <c r="CU50" s="395">
        <f t="shared" si="289"/>
        <v>0</v>
      </c>
      <c r="CV50" s="159"/>
      <c r="CW50" s="159">
        <f>IFERROR(SUMIFS('PO Tracker'!$J$44:$J$1433,'PO Tracker'!$K$44:$K$1433,$CS$6,'PO Tracker'!$L$44:$L$1433,'Capex breakup'!$B50),0)</f>
        <v>0</v>
      </c>
      <c r="CX50" s="605" t="str">
        <f t="shared" si="290"/>
        <v/>
      </c>
      <c r="CY50" s="118"/>
      <c r="CZ50" s="151"/>
      <c r="DA50" s="151">
        <f t="shared" si="291"/>
        <v>0</v>
      </c>
      <c r="DB50" s="151">
        <f>DA50/DA2</f>
        <v>0</v>
      </c>
      <c r="DC50" s="159">
        <f>+DB50</f>
        <v>0</v>
      </c>
      <c r="DD50" s="395">
        <f t="shared" si="292"/>
        <v>0</v>
      </c>
      <c r="DE50" s="395">
        <f t="shared" si="293"/>
        <v>0</v>
      </c>
      <c r="DF50" s="159"/>
      <c r="DG50" s="159">
        <f>IFERROR(SUMIFS('PO Tracker'!$J$44:$J$1433,'PO Tracker'!$K$44:$K$1433,$DC$6,'PO Tracker'!$L$44:$L$1433,'Capex breakup'!$B50),0)</f>
        <v>0</v>
      </c>
      <c r="DH50" s="605" t="str">
        <f t="shared" si="294"/>
        <v/>
      </c>
      <c r="DI50" s="118"/>
      <c r="DJ50" s="151"/>
      <c r="DK50" s="151">
        <f t="shared" si="295"/>
        <v>0</v>
      </c>
      <c r="DL50" s="151">
        <f>DK50/DK2</f>
        <v>0</v>
      </c>
      <c r="DM50" s="159"/>
      <c r="DN50" s="395">
        <f t="shared" si="296"/>
        <v>0</v>
      </c>
      <c r="DO50" s="159">
        <f t="shared" si="297"/>
        <v>0</v>
      </c>
      <c r="DP50" s="159">
        <f>IFERROR(SUMIFS('PO Tracker'!$J$44:$J$1433,'PO Tracker'!$K$44:$K$1433,$DM$6,'PO Tracker'!$L$44:$L$1433,'Capex breakup'!$B50),0)</f>
        <v>0</v>
      </c>
      <c r="DQ50" s="605" t="str">
        <f t="shared" si="298"/>
        <v/>
      </c>
      <c r="DR50" s="118"/>
      <c r="DS50" s="151"/>
      <c r="DT50" s="151">
        <f t="shared" si="299"/>
        <v>0</v>
      </c>
      <c r="DU50" s="151">
        <f>DT50/DT2</f>
        <v>0</v>
      </c>
      <c r="DV50" s="159">
        <v>0</v>
      </c>
      <c r="DW50" s="395">
        <f t="shared" si="300"/>
        <v>0</v>
      </c>
      <c r="DX50" s="395">
        <f t="shared" si="301"/>
        <v>0</v>
      </c>
      <c r="DY50" s="159"/>
      <c r="DZ50" s="159">
        <f>IFERROR(SUMIFS('PO Tracker'!$J$44:$J$1433,'PO Tracker'!$K$44:$K$1433,$DV$6,'PO Tracker'!$L$44:$L$1433,'Capex breakup'!$B50),0)</f>
        <v>0</v>
      </c>
      <c r="EA50" s="605" t="str">
        <f t="shared" si="302"/>
        <v/>
      </c>
      <c r="EB50" s="118"/>
      <c r="EC50" s="151"/>
      <c r="ED50" s="151">
        <f t="shared" si="303"/>
        <v>0</v>
      </c>
      <c r="EE50" s="151">
        <f>ED50/ED2</f>
        <v>0</v>
      </c>
      <c r="EF50" s="159">
        <f>+EE50</f>
        <v>0</v>
      </c>
      <c r="EG50" s="395">
        <f t="shared" si="304"/>
        <v>0</v>
      </c>
      <c r="EH50" s="395">
        <f t="shared" si="305"/>
        <v>0</v>
      </c>
      <c r="EI50" s="159"/>
      <c r="EJ50" s="159">
        <f>IFERROR(SUMIFS('PO Tracker'!$J$44:$J$1433,'PO Tracker'!$K$44:$K$1433,$EF$6,'PO Tracker'!$L$44:$L$1433,'Capex breakup'!$B50),0)</f>
        <v>0</v>
      </c>
      <c r="EK50" s="605" t="str">
        <f t="shared" si="306"/>
        <v/>
      </c>
      <c r="EL50" s="118"/>
      <c r="EM50" s="151"/>
      <c r="EN50" s="151"/>
      <c r="EO50" s="151"/>
      <c r="EP50" s="159">
        <f>+EO50</f>
        <v>0</v>
      </c>
      <c r="EQ50" s="395">
        <f t="shared" si="307"/>
        <v>0</v>
      </c>
      <c r="ER50" s="395">
        <f t="shared" si="308"/>
        <v>0</v>
      </c>
      <c r="ES50" s="159"/>
      <c r="ET50" s="159">
        <f>IFERROR(SUMIFS('PO Tracker'!$J$44:$J$1433,'PO Tracker'!$K$44:$K$1433,$EP$6,'PO Tracker'!$L$44:$L$1433,'Capex breakup'!$B50),0)</f>
        <v>0</v>
      </c>
      <c r="EU50" s="605" t="str">
        <f t="shared" si="309"/>
        <v/>
      </c>
      <c r="EV50" s="118"/>
      <c r="EW50" s="151"/>
      <c r="EX50" s="151"/>
      <c r="EY50" s="151"/>
      <c r="EZ50" s="159">
        <f>+EY50</f>
        <v>0</v>
      </c>
      <c r="FA50" s="395">
        <f t="shared" si="310"/>
        <v>0</v>
      </c>
      <c r="FB50" s="395">
        <f t="shared" si="311"/>
        <v>0</v>
      </c>
      <c r="FC50" s="159"/>
      <c r="FD50" s="159">
        <f>IFERROR(SUMIFS('PO Tracker'!$J$44:$J$1433,'PO Tracker'!$K$44:$K$1433,$EZ$6,'PO Tracker'!$L$44:$L$1433,'Capex breakup'!$B50),0)</f>
        <v>0</v>
      </c>
      <c r="FE50" s="605" t="str">
        <f t="shared" si="312"/>
        <v/>
      </c>
      <c r="FF50" s="118"/>
      <c r="FG50" s="318"/>
      <c r="FH50" s="151">
        <f t="shared" si="313"/>
        <v>0</v>
      </c>
      <c r="FI50" s="133">
        <f t="shared" si="314"/>
        <v>0</v>
      </c>
      <c r="FJ50" s="159">
        <f t="shared" si="315"/>
        <v>0</v>
      </c>
      <c r="FK50" s="395">
        <f t="shared" si="316"/>
        <v>0</v>
      </c>
      <c r="FL50" s="159">
        <f t="shared" si="317"/>
        <v>0</v>
      </c>
      <c r="FM50" s="684"/>
      <c r="FN50" s="159"/>
      <c r="FO50" s="685"/>
      <c r="FP50" s="684"/>
      <c r="FQ50" s="159">
        <f t="shared" si="318"/>
        <v>0</v>
      </c>
      <c r="FR50" s="685">
        <f t="shared" si="319"/>
        <v>0</v>
      </c>
      <c r="FS50" s="662">
        <f>IFERROR(SUMIFS('PO Tracker'!$J$44:$J$1433,'PO Tracker'!$K$44:$K$1433,$FJ$6,'PO Tracker'!$L$44:$L$1433,'Capex breakup'!$B50),0)</f>
        <v>0</v>
      </c>
      <c r="FT50" s="736" t="str">
        <f t="shared" si="320"/>
        <v/>
      </c>
      <c r="FU50" s="709"/>
      <c r="FV50" s="151"/>
      <c r="FW50" s="151">
        <f t="shared" si="321"/>
        <v>0</v>
      </c>
      <c r="FX50" s="151">
        <f>FW50/FW2</f>
        <v>0</v>
      </c>
      <c r="FY50" s="159">
        <f>+FX50</f>
        <v>0</v>
      </c>
      <c r="FZ50" s="395">
        <f t="shared" si="322"/>
        <v>0</v>
      </c>
      <c r="GA50" s="395">
        <f t="shared" si="323"/>
        <v>0</v>
      </c>
      <c r="GB50" s="159"/>
      <c r="GC50" s="159">
        <f>IFERROR(SUMIFS('PO Tracker'!$J$44:$J$1433,'PO Tracker'!$K$44:$K$1433,$FY$6,'PO Tracker'!$L$44:$L$1433,'Capex breakup'!$B50),0)</f>
        <v>0</v>
      </c>
      <c r="GD50" s="605" t="str">
        <f t="shared" si="324"/>
        <v/>
      </c>
      <c r="GE50" s="118"/>
      <c r="GF50" s="151"/>
      <c r="GG50" s="151">
        <f t="shared" si="325"/>
        <v>0</v>
      </c>
      <c r="GH50" s="151">
        <f>GG50/GG2</f>
        <v>0</v>
      </c>
      <c r="GI50" s="159"/>
      <c r="GJ50" s="395">
        <f t="shared" si="326"/>
        <v>0</v>
      </c>
      <c r="GK50" s="395">
        <f t="shared" si="327"/>
        <v>0</v>
      </c>
      <c r="GL50" s="159"/>
      <c r="GM50" s="159">
        <f>IFERROR(SUMIFS('PO Tracker'!$J$44:$J$1433,'PO Tracker'!$K$44:$K$1433,$GI$6,'PO Tracker'!$L$44:$L$1433,'Capex breakup'!$B50),0)</f>
        <v>0</v>
      </c>
      <c r="GN50" s="605" t="str">
        <f t="shared" si="328"/>
        <v/>
      </c>
      <c r="GO50" s="118"/>
      <c r="GP50" s="151"/>
      <c r="GQ50" s="151">
        <f t="shared" si="329"/>
        <v>0</v>
      </c>
      <c r="GR50" s="151">
        <f>GQ50/GQ2</f>
        <v>0</v>
      </c>
      <c r="GS50" s="159"/>
      <c r="GT50" s="395">
        <v>0</v>
      </c>
      <c r="GU50" s="159">
        <v>0</v>
      </c>
      <c r="GV50" s="159">
        <f>IFERROR(SUMIFS('PO Tracker'!$J$44:$J$1433,'PO Tracker'!$K$44:$K$1433,$GS$6,'PO Tracker'!$L$44:$L$1433,'Capex breakup'!$B50),0)</f>
        <v>0</v>
      </c>
      <c r="GW50" s="605" t="str">
        <f t="shared" si="330"/>
        <v/>
      </c>
      <c r="GX50" s="118"/>
      <c r="GY50" s="151"/>
      <c r="GZ50" s="151"/>
      <c r="HA50" s="133"/>
      <c r="HB50" s="159">
        <f>+HA50</f>
        <v>0</v>
      </c>
      <c r="HC50" s="395">
        <f t="shared" si="331"/>
        <v>0</v>
      </c>
      <c r="HD50" s="159">
        <f t="shared" si="332"/>
        <v>0</v>
      </c>
      <c r="HE50" s="159"/>
      <c r="HF50" s="159">
        <f>IFERROR(SUMIFS('PO Tracker'!$J$44:$J$1433,'PO Tracker'!$K$44:$K$1433,$HB$6,'PO Tracker'!$L$44:$L$1433,'Capex breakup'!$B50),0)</f>
        <v>0</v>
      </c>
      <c r="HG50" s="605" t="str">
        <f t="shared" si="333"/>
        <v/>
      </c>
      <c r="HH50" s="118"/>
      <c r="HI50" s="151"/>
      <c r="HJ50" s="151"/>
      <c r="HK50" s="133"/>
      <c r="HL50" s="159">
        <f>+HK50</f>
        <v>0</v>
      </c>
      <c r="HM50" s="395">
        <f t="shared" si="334"/>
        <v>0</v>
      </c>
      <c r="HN50" s="159">
        <f t="shared" si="335"/>
        <v>0</v>
      </c>
      <c r="HO50" s="159">
        <f>IFERROR(SUMIFS('PO Tracker'!$J$44:$J$1433,'PO Tracker'!$K$44:$K$1433,$HL$6,'PO Tracker'!$L$44:$L$1433,'Capex breakup'!$B50),0)</f>
        <v>0</v>
      </c>
      <c r="HP50" s="605" t="str">
        <f t="shared" si="336"/>
        <v/>
      </c>
      <c r="HQ50" s="118"/>
      <c r="HR50" s="364"/>
      <c r="HS50" s="364"/>
      <c r="HT50" s="364"/>
      <c r="HU50" s="364"/>
    </row>
    <row r="51" spans="1:229">
      <c r="A51" s="18">
        <v>6</v>
      </c>
      <c r="B51" s="19" t="s">
        <v>50</v>
      </c>
      <c r="C51" s="118"/>
      <c r="D51" s="151">
        <v>43803.96</v>
      </c>
      <c r="E51" s="151">
        <f t="shared" si="250"/>
        <v>37122</v>
      </c>
      <c r="F51" s="151">
        <f>E51/E2</f>
        <v>150</v>
      </c>
      <c r="G51" s="159">
        <v>50</v>
      </c>
      <c r="H51" s="395">
        <f t="shared" si="252"/>
        <v>21942.414000000001</v>
      </c>
      <c r="I51" s="395">
        <f t="shared" si="253"/>
        <v>25892.04852</v>
      </c>
      <c r="J51" s="159"/>
      <c r="K51" s="159">
        <f>IFERROR(SUMIFS('PO Tracker'!$J$44:$J$1433,'PO Tracker'!$K$44:$K$1433,$G$6,'PO Tracker'!$L$44:$L$1433,'Capex breakup'!$B51),0)</f>
        <v>0</v>
      </c>
      <c r="L51" s="605">
        <f t="shared" si="254"/>
        <v>0</v>
      </c>
      <c r="M51" s="118"/>
      <c r="N51" s="151">
        <v>43803.96</v>
      </c>
      <c r="O51" s="151">
        <f t="shared" si="255"/>
        <v>37122</v>
      </c>
      <c r="P51" s="151">
        <f>O51/O2</f>
        <v>150</v>
      </c>
      <c r="Q51" s="159">
        <v>50</v>
      </c>
      <c r="R51" s="395">
        <f t="shared" si="256"/>
        <v>50822.226000000002</v>
      </c>
      <c r="S51" s="395">
        <f t="shared" si="257"/>
        <v>59970.22668</v>
      </c>
      <c r="T51" s="159"/>
      <c r="U51" s="159">
        <f>IFERROR(SUMIFS('PO Tracker'!$J$44:$J$1433,'PO Tracker'!$K$44:$K$1433,$Q$6,'PO Tracker'!$L$44:$L$1433,'Capex breakup'!$B51),0)</f>
        <v>0</v>
      </c>
      <c r="V51" s="605">
        <f t="shared" si="258"/>
        <v>0</v>
      </c>
      <c r="W51" s="118"/>
      <c r="X51" s="151"/>
      <c r="Y51" s="151">
        <f t="shared" si="259"/>
        <v>0</v>
      </c>
      <c r="Z51" s="133">
        <f t="shared" si="260"/>
        <v>0</v>
      </c>
      <c r="AA51" s="159">
        <v>203.30459770114945</v>
      </c>
      <c r="AB51" s="395">
        <f>AA51*$AB$2</f>
        <v>380776.5</v>
      </c>
      <c r="AC51" s="395">
        <f t="shared" si="261"/>
        <v>449316.26999999996</v>
      </c>
      <c r="AD51" s="159"/>
      <c r="AE51" s="159">
        <f>IFERROR(SUMIFS('PO Tracker'!$J$44:$J$1433,'PO Tracker'!$K$44:$K$1433,$AA$6,'PO Tracker'!$L$44:$L$1433,'Capex breakup'!$B51),0)</f>
        <v>0</v>
      </c>
      <c r="AF51" s="605">
        <f t="shared" si="262"/>
        <v>0</v>
      </c>
      <c r="AG51" s="118"/>
      <c r="AH51" s="151">
        <v>43803.96</v>
      </c>
      <c r="AI51" s="151">
        <f t="shared" si="263"/>
        <v>37122</v>
      </c>
      <c r="AJ51" s="151">
        <f>AI51/AI2</f>
        <v>150</v>
      </c>
      <c r="AK51" s="159">
        <v>100</v>
      </c>
      <c r="AL51" s="395">
        <f t="shared" si="264"/>
        <v>40515.695999999996</v>
      </c>
      <c r="AM51" s="395">
        <f t="shared" si="265"/>
        <v>47808.521279999994</v>
      </c>
      <c r="AN51" s="159"/>
      <c r="AO51" s="159">
        <f>IFERROR(SUMIFS('PO Tracker'!$J$44:$J$1433,'PO Tracker'!$K$44:$K$1433,$AK$6,'PO Tracker'!$L$44:$L$1433,'Capex breakup'!$B51),0)</f>
        <v>0</v>
      </c>
      <c r="AP51" s="605">
        <f t="shared" si="266"/>
        <v>0</v>
      </c>
      <c r="AQ51" s="118"/>
      <c r="AR51" s="287"/>
      <c r="AS51" s="287">
        <f t="shared" si="267"/>
        <v>0</v>
      </c>
      <c r="AT51" s="288">
        <f t="shared" si="268"/>
        <v>0</v>
      </c>
      <c r="AU51" s="159">
        <v>100</v>
      </c>
      <c r="AV51" s="395">
        <f t="shared" si="269"/>
        <v>101988.9</v>
      </c>
      <c r="AW51" s="395">
        <f t="shared" si="270"/>
        <v>120346.90199999999</v>
      </c>
      <c r="AX51" s="159"/>
      <c r="AY51" s="159">
        <f>IFERROR(SUMIFS('PO Tracker'!$J$44:$J$1433,'PO Tracker'!$K$44:$K$1433,$AU$6,'PO Tracker'!$L$44:$L$1433,'Capex breakup'!$B51),0)</f>
        <v>0</v>
      </c>
      <c r="AZ51" s="605">
        <f t="shared" si="271"/>
        <v>0</v>
      </c>
      <c r="BA51" s="118"/>
      <c r="BB51" s="151"/>
      <c r="BC51" s="151">
        <f t="shared" si="272"/>
        <v>0</v>
      </c>
      <c r="BD51" s="151">
        <f>BC51/BC2</f>
        <v>0</v>
      </c>
      <c r="BE51" s="159"/>
      <c r="BF51" s="395">
        <f t="shared" si="273"/>
        <v>0</v>
      </c>
      <c r="BG51" s="395">
        <f t="shared" si="274"/>
        <v>0</v>
      </c>
      <c r="BH51" s="159"/>
      <c r="BI51" s="159">
        <f>IFERROR(SUMIFS('PO Tracker'!$J$44:$J$1433,'PO Tracker'!$K$44:$K$1433,$BE$6,'PO Tracker'!$L$44:$L$1433,'Capex breakup'!$B51),0)</f>
        <v>0</v>
      </c>
      <c r="BJ51" s="605" t="str">
        <f t="shared" si="275"/>
        <v/>
      </c>
      <c r="BK51" s="118"/>
      <c r="BL51" s="151"/>
      <c r="BM51" s="151"/>
      <c r="BN51" s="151"/>
      <c r="BO51" s="159">
        <v>200</v>
      </c>
      <c r="BP51" s="395">
        <f t="shared" si="276"/>
        <v>114356.73599999998</v>
      </c>
      <c r="BQ51" s="395">
        <f t="shared" si="277"/>
        <v>134940.94847999996</v>
      </c>
      <c r="BR51" s="159"/>
      <c r="BS51" s="159">
        <f>IFERROR(SUMIFS('PO Tracker'!$J$44:$J$1433,'PO Tracker'!$K$44:$K$1433,$BO$6,'PO Tracker'!$L$44:$L$1433,'Capex breakup'!$B51),0)</f>
        <v>0</v>
      </c>
      <c r="BT51" s="605">
        <f t="shared" si="278"/>
        <v>0</v>
      </c>
      <c r="BU51" s="118"/>
      <c r="BV51" s="151"/>
      <c r="BW51" s="151">
        <f t="shared" si="279"/>
        <v>0</v>
      </c>
      <c r="BX51" s="151">
        <f>BW51/BW2</f>
        <v>0</v>
      </c>
      <c r="BY51" s="159"/>
      <c r="BZ51" s="395">
        <f t="shared" si="280"/>
        <v>0</v>
      </c>
      <c r="CA51" s="395">
        <f t="shared" si="281"/>
        <v>0</v>
      </c>
      <c r="CB51" s="159"/>
      <c r="CC51" s="159">
        <f>IFERROR(SUMIFS('PO Tracker'!$J$44:$J$1433,'PO Tracker'!$K$44:$K$1433,$BY$6,'PO Tracker'!$L$44:$L$1433,'Capex breakup'!$B51),0)</f>
        <v>0</v>
      </c>
      <c r="CD51" s="605" t="str">
        <f t="shared" si="282"/>
        <v/>
      </c>
      <c r="CE51" s="118"/>
      <c r="CF51" s="151"/>
      <c r="CG51" s="151">
        <f t="shared" si="283"/>
        <v>0</v>
      </c>
      <c r="CH51" s="151">
        <f>CG51/CG2</f>
        <v>0</v>
      </c>
      <c r="CI51" s="159"/>
      <c r="CJ51" s="395">
        <f t="shared" si="284"/>
        <v>0</v>
      </c>
      <c r="CK51" s="395">
        <f t="shared" si="285"/>
        <v>0</v>
      </c>
      <c r="CL51" s="159"/>
      <c r="CM51" s="159">
        <f>IFERROR(SUMIFS('PO Tracker'!$J$44:$J$1433,'PO Tracker'!$K$44:$K$1433,$CI$6,'PO Tracker'!$L$44:$L$1433,'Capex breakup'!$B51),0)</f>
        <v>0</v>
      </c>
      <c r="CN51" s="605" t="str">
        <f t="shared" si="286"/>
        <v/>
      </c>
      <c r="CO51" s="118"/>
      <c r="CP51" s="151"/>
      <c r="CQ51" s="151">
        <f t="shared" si="287"/>
        <v>0</v>
      </c>
      <c r="CR51" s="151"/>
      <c r="CS51" s="159"/>
      <c r="CT51" s="395">
        <f t="shared" si="288"/>
        <v>0</v>
      </c>
      <c r="CU51" s="395">
        <f t="shared" si="289"/>
        <v>0</v>
      </c>
      <c r="CV51" s="159"/>
      <c r="CW51" s="159">
        <f>IFERROR(SUMIFS('PO Tracker'!$J$44:$J$1433,'PO Tracker'!$K$44:$K$1433,$CS$6,'PO Tracker'!$L$44:$L$1433,'Capex breakup'!$B51),0)</f>
        <v>0</v>
      </c>
      <c r="CX51" s="605" t="str">
        <f t="shared" si="290"/>
        <v/>
      </c>
      <c r="CY51" s="118"/>
      <c r="CZ51" s="151"/>
      <c r="DA51" s="151">
        <f t="shared" si="291"/>
        <v>0</v>
      </c>
      <c r="DB51" s="151">
        <f>DA51/DA2</f>
        <v>0</v>
      </c>
      <c r="DC51" s="159"/>
      <c r="DD51" s="395">
        <f t="shared" si="292"/>
        <v>0</v>
      </c>
      <c r="DE51" s="395">
        <f t="shared" si="293"/>
        <v>0</v>
      </c>
      <c r="DF51" s="159"/>
      <c r="DG51" s="159">
        <f>IFERROR(SUMIFS('PO Tracker'!$J$44:$J$1433,'PO Tracker'!$K$44:$K$1433,$DC$6,'PO Tracker'!$L$44:$L$1433,'Capex breakup'!$B51),0)</f>
        <v>0</v>
      </c>
      <c r="DH51" s="605" t="str">
        <f t="shared" si="294"/>
        <v/>
      </c>
      <c r="DI51" s="118"/>
      <c r="DJ51" s="151"/>
      <c r="DK51" s="151">
        <f t="shared" si="295"/>
        <v>0</v>
      </c>
      <c r="DL51" s="151">
        <f>DK51/DK2</f>
        <v>0</v>
      </c>
      <c r="DM51" s="159"/>
      <c r="DN51" s="395">
        <f t="shared" si="296"/>
        <v>0</v>
      </c>
      <c r="DO51" s="159">
        <f t="shared" si="297"/>
        <v>0</v>
      </c>
      <c r="DP51" s="159">
        <f>IFERROR(SUMIFS('PO Tracker'!$J$44:$J$1433,'PO Tracker'!$K$44:$K$1433,$DM$6,'PO Tracker'!$L$44:$L$1433,'Capex breakup'!$B51),0)</f>
        <v>0</v>
      </c>
      <c r="DQ51" s="605" t="str">
        <f t="shared" si="298"/>
        <v/>
      </c>
      <c r="DR51" s="118"/>
      <c r="DS51" s="151"/>
      <c r="DT51" s="151">
        <f t="shared" si="299"/>
        <v>0</v>
      </c>
      <c r="DU51" s="151">
        <f>DT51/DT2</f>
        <v>0</v>
      </c>
      <c r="DV51" s="159"/>
      <c r="DW51" s="395">
        <f t="shared" si="300"/>
        <v>0</v>
      </c>
      <c r="DX51" s="395">
        <f t="shared" si="301"/>
        <v>0</v>
      </c>
      <c r="DY51" s="159"/>
      <c r="DZ51" s="159">
        <f>IFERROR(SUMIFS('PO Tracker'!$J$44:$J$1433,'PO Tracker'!$K$44:$K$1433,$DV$6,'PO Tracker'!$L$44:$L$1433,'Capex breakup'!$B51),0)</f>
        <v>0</v>
      </c>
      <c r="EA51" s="605" t="str">
        <f t="shared" si="302"/>
        <v/>
      </c>
      <c r="EB51" s="118"/>
      <c r="EC51" s="151"/>
      <c r="ED51" s="151">
        <f t="shared" si="303"/>
        <v>0</v>
      </c>
      <c r="EE51" s="151">
        <f>ED51/ED2</f>
        <v>0</v>
      </c>
      <c r="EF51" s="159"/>
      <c r="EG51" s="395">
        <f t="shared" si="304"/>
        <v>0</v>
      </c>
      <c r="EH51" s="395">
        <f t="shared" si="305"/>
        <v>0</v>
      </c>
      <c r="EI51" s="159"/>
      <c r="EJ51" s="159">
        <f>IFERROR(SUMIFS('PO Tracker'!$J$44:$J$1433,'PO Tracker'!$K$44:$K$1433,$EF$6,'PO Tracker'!$L$44:$L$1433,'Capex breakup'!$B51),0)</f>
        <v>0</v>
      </c>
      <c r="EK51" s="605" t="str">
        <f t="shared" si="306"/>
        <v/>
      </c>
      <c r="EL51" s="118"/>
      <c r="EM51" s="151"/>
      <c r="EN51" s="151"/>
      <c r="EO51" s="151"/>
      <c r="EP51" s="159">
        <v>100</v>
      </c>
      <c r="EQ51" s="395">
        <f t="shared" si="307"/>
        <v>38470.536</v>
      </c>
      <c r="ER51" s="395">
        <f t="shared" si="308"/>
        <v>45395.232479999999</v>
      </c>
      <c r="ES51" s="159"/>
      <c r="ET51" s="159">
        <f>IFERROR(SUMIFS('PO Tracker'!$J$44:$J$1433,'PO Tracker'!$K$44:$K$1433,$EP$6,'PO Tracker'!$L$44:$L$1433,'Capex breakup'!$B51),0)</f>
        <v>0</v>
      </c>
      <c r="EU51" s="605">
        <f t="shared" si="309"/>
        <v>0</v>
      </c>
      <c r="EV51" s="118"/>
      <c r="EW51" s="151"/>
      <c r="EX51" s="151"/>
      <c r="EY51" s="151"/>
      <c r="EZ51" s="159">
        <v>100</v>
      </c>
      <c r="FA51" s="395">
        <f t="shared" si="310"/>
        <v>128080.83599999998</v>
      </c>
      <c r="FB51" s="395">
        <f t="shared" si="311"/>
        <v>151135.38647999996</v>
      </c>
      <c r="FC51" s="159"/>
      <c r="FD51" s="159">
        <f>IFERROR(SUMIFS('PO Tracker'!$J$44:$J$1433,'PO Tracker'!$K$44:$K$1433,$EZ$6,'PO Tracker'!$L$44:$L$1433,'Capex breakup'!$B51),0)</f>
        <v>0</v>
      </c>
      <c r="FE51" s="605">
        <f t="shared" si="312"/>
        <v>0</v>
      </c>
      <c r="FF51" s="118"/>
      <c r="FG51" s="318"/>
      <c r="FH51" s="151">
        <f t="shared" si="313"/>
        <v>0</v>
      </c>
      <c r="FI51" s="133">
        <f t="shared" si="314"/>
        <v>0</v>
      </c>
      <c r="FJ51" s="159">
        <f t="shared" si="315"/>
        <v>0</v>
      </c>
      <c r="FK51" s="395">
        <f t="shared" si="316"/>
        <v>0</v>
      </c>
      <c r="FL51" s="159">
        <f t="shared" si="317"/>
        <v>0</v>
      </c>
      <c r="FM51" s="684"/>
      <c r="FN51" s="159"/>
      <c r="FO51" s="685"/>
      <c r="FP51" s="684"/>
      <c r="FQ51" s="159">
        <f t="shared" si="318"/>
        <v>0</v>
      </c>
      <c r="FR51" s="685">
        <f t="shared" si="319"/>
        <v>0</v>
      </c>
      <c r="FS51" s="662">
        <f>IFERROR(SUMIFS('PO Tracker'!$J$44:$J$1433,'PO Tracker'!$K$44:$K$1433,$FJ$6,'PO Tracker'!$L$44:$L$1433,'Capex breakup'!$B51),0)</f>
        <v>0</v>
      </c>
      <c r="FT51" s="736" t="str">
        <f t="shared" si="320"/>
        <v/>
      </c>
      <c r="FU51" s="709"/>
      <c r="FV51" s="151"/>
      <c r="FW51" s="151">
        <f t="shared" si="321"/>
        <v>0</v>
      </c>
      <c r="FX51" s="151">
        <f>FW51/FW2</f>
        <v>0</v>
      </c>
      <c r="FY51" s="159"/>
      <c r="FZ51" s="395">
        <f t="shared" si="322"/>
        <v>0</v>
      </c>
      <c r="GA51" s="395">
        <f t="shared" si="323"/>
        <v>0</v>
      </c>
      <c r="GB51" s="159"/>
      <c r="GC51" s="159">
        <f>IFERROR(SUMIFS('PO Tracker'!$J$44:$J$1433,'PO Tracker'!$K$44:$K$1433,$FY$6,'PO Tracker'!$L$44:$L$1433,'Capex breakup'!$B51),0)</f>
        <v>0</v>
      </c>
      <c r="GD51" s="605" t="str">
        <f t="shared" si="324"/>
        <v/>
      </c>
      <c r="GE51" s="118"/>
      <c r="GF51" s="151"/>
      <c r="GG51" s="151">
        <f t="shared" si="325"/>
        <v>0</v>
      </c>
      <c r="GH51" s="151">
        <f>GG51/GG2</f>
        <v>0</v>
      </c>
      <c r="GI51" s="159"/>
      <c r="GJ51" s="395">
        <f t="shared" si="326"/>
        <v>0</v>
      </c>
      <c r="GK51" s="395">
        <f t="shared" si="327"/>
        <v>0</v>
      </c>
      <c r="GL51" s="159"/>
      <c r="GM51" s="159">
        <f>IFERROR(SUMIFS('PO Tracker'!$J$44:$J$1433,'PO Tracker'!$K$44:$K$1433,$GI$6,'PO Tracker'!$L$44:$L$1433,'Capex breakup'!$B51),0)</f>
        <v>0</v>
      </c>
      <c r="GN51" s="605" t="str">
        <f t="shared" si="328"/>
        <v/>
      </c>
      <c r="GO51" s="118"/>
      <c r="GP51" s="151"/>
      <c r="GQ51" s="151">
        <f t="shared" si="329"/>
        <v>0</v>
      </c>
      <c r="GR51" s="151">
        <f>GQ51/GQ2</f>
        <v>0</v>
      </c>
      <c r="GS51" s="159"/>
      <c r="GT51" s="395">
        <v>0</v>
      </c>
      <c r="GU51" s="159">
        <v>0</v>
      </c>
      <c r="GV51" s="159">
        <f>IFERROR(SUMIFS('PO Tracker'!$J$44:$J$1433,'PO Tracker'!$K$44:$K$1433,$GS$6,'PO Tracker'!$L$44:$L$1433,'Capex breakup'!$B51),0)</f>
        <v>0</v>
      </c>
      <c r="GW51" s="605" t="str">
        <f t="shared" si="330"/>
        <v/>
      </c>
      <c r="GX51" s="118"/>
      <c r="GY51" s="151"/>
      <c r="GZ51" s="151"/>
      <c r="HA51" s="133"/>
      <c r="HB51" s="159">
        <v>100</v>
      </c>
      <c r="HC51" s="395">
        <f t="shared" si="331"/>
        <v>333856.22400000005</v>
      </c>
      <c r="HD51" s="159">
        <f t="shared" si="332"/>
        <v>393950.34432000003</v>
      </c>
      <c r="HE51" s="159"/>
      <c r="HF51" s="159">
        <f>IFERROR(SUMIFS('PO Tracker'!$J$44:$J$1433,'PO Tracker'!$K$44:$K$1433,$HB$6,'PO Tracker'!$L$44:$L$1433,'Capex breakup'!$B51),0)</f>
        <v>0</v>
      </c>
      <c r="HG51" s="605">
        <f t="shared" si="333"/>
        <v>0</v>
      </c>
      <c r="HH51" s="118"/>
      <c r="HI51" s="151"/>
      <c r="HJ51" s="151"/>
      <c r="HK51" s="133"/>
      <c r="HL51" s="159">
        <v>150</v>
      </c>
      <c r="HM51" s="395">
        <f t="shared" si="334"/>
        <v>509406.3</v>
      </c>
      <c r="HN51" s="159">
        <f t="shared" si="335"/>
        <v>601099.43400000001</v>
      </c>
      <c r="HO51" s="159">
        <f>IFERROR(SUMIFS('PO Tracker'!$J$44:$J$1433,'PO Tracker'!$K$44:$K$1433,$HL$6,'PO Tracker'!$L$44:$L$1433,'Capex breakup'!$B51),0)</f>
        <v>0</v>
      </c>
      <c r="HP51" s="605">
        <f t="shared" si="336"/>
        <v>0</v>
      </c>
      <c r="HQ51" s="118"/>
      <c r="HR51" s="364"/>
      <c r="HS51" s="364"/>
      <c r="HT51" s="364"/>
      <c r="HU51" s="364"/>
    </row>
    <row r="52" spans="1:229">
      <c r="A52" s="18">
        <v>7</v>
      </c>
      <c r="B52" s="19" t="s">
        <v>51</v>
      </c>
      <c r="C52" s="118"/>
      <c r="D52" s="151">
        <v>175215.84</v>
      </c>
      <c r="E52" s="151">
        <f t="shared" si="250"/>
        <v>148488</v>
      </c>
      <c r="F52" s="151">
        <f>E52/E2</f>
        <v>600</v>
      </c>
      <c r="G52" s="159">
        <v>0</v>
      </c>
      <c r="H52" s="395">
        <f t="shared" si="252"/>
        <v>0</v>
      </c>
      <c r="I52" s="395">
        <f t="shared" si="253"/>
        <v>0</v>
      </c>
      <c r="J52" s="159"/>
      <c r="K52" s="159">
        <f>IFERROR(SUMIFS('PO Tracker'!$J$44:$J$1433,'PO Tracker'!$K$44:$K$1433,$G$6,'PO Tracker'!$L$44:$L$1433,'Capex breakup'!$B52),0)</f>
        <v>0</v>
      </c>
      <c r="L52" s="605" t="str">
        <f t="shared" si="254"/>
        <v/>
      </c>
      <c r="M52" s="118"/>
      <c r="N52" s="151">
        <v>175215.84</v>
      </c>
      <c r="O52" s="151">
        <f t="shared" si="255"/>
        <v>148488</v>
      </c>
      <c r="P52" s="151">
        <f>O52/O2</f>
        <v>600</v>
      </c>
      <c r="Q52" s="159">
        <v>0</v>
      </c>
      <c r="R52" s="395">
        <f t="shared" si="256"/>
        <v>0</v>
      </c>
      <c r="S52" s="395">
        <f t="shared" si="257"/>
        <v>0</v>
      </c>
      <c r="T52" s="159"/>
      <c r="U52" s="159">
        <f>IFERROR(SUMIFS('PO Tracker'!$J$44:$J$1433,'PO Tracker'!$K$44:$K$1433,$Q$6,'PO Tracker'!$L$44:$L$1433,'Capex breakup'!$B52),0)</f>
        <v>0</v>
      </c>
      <c r="V52" s="605" t="str">
        <f t="shared" si="258"/>
        <v/>
      </c>
      <c r="W52" s="118"/>
      <c r="X52" s="151"/>
      <c r="Y52" s="151">
        <f t="shared" si="259"/>
        <v>0</v>
      </c>
      <c r="Z52" s="133">
        <f t="shared" si="260"/>
        <v>0</v>
      </c>
      <c r="AA52" s="159">
        <v>162.64367816091956</v>
      </c>
      <c r="AB52" s="395">
        <f>AA52*$AB$2</f>
        <v>304621.2</v>
      </c>
      <c r="AC52" s="395">
        <f t="shared" si="261"/>
        <v>359453.016</v>
      </c>
      <c r="AD52" s="159"/>
      <c r="AE52" s="159">
        <f>IFERROR(SUMIFS('PO Tracker'!$J$44:$J$1433,'PO Tracker'!$K$44:$K$1433,$AA$6,'PO Tracker'!$L$44:$L$1433,'Capex breakup'!$B52),0)</f>
        <v>0</v>
      </c>
      <c r="AF52" s="605">
        <f t="shared" si="262"/>
        <v>0</v>
      </c>
      <c r="AG52" s="118"/>
      <c r="AH52" s="151">
        <v>175215.84</v>
      </c>
      <c r="AI52" s="151">
        <f t="shared" si="263"/>
        <v>148488</v>
      </c>
      <c r="AJ52" s="151">
        <f>AI52/AI2</f>
        <v>600</v>
      </c>
      <c r="AK52" s="159">
        <v>80</v>
      </c>
      <c r="AL52" s="395">
        <f t="shared" si="264"/>
        <v>32412.556799999998</v>
      </c>
      <c r="AM52" s="395">
        <f t="shared" si="265"/>
        <v>38246.817023999996</v>
      </c>
      <c r="AN52" s="159"/>
      <c r="AO52" s="159">
        <f>IFERROR(SUMIFS('PO Tracker'!$J$44:$J$1433,'PO Tracker'!$K$44:$K$1433,$AK$6,'PO Tracker'!$L$44:$L$1433,'Capex breakup'!$B52),0)</f>
        <v>0</v>
      </c>
      <c r="AP52" s="605">
        <f t="shared" si="266"/>
        <v>0</v>
      </c>
      <c r="AQ52" s="118"/>
      <c r="AR52" s="287"/>
      <c r="AS52" s="287">
        <f t="shared" si="267"/>
        <v>0</v>
      </c>
      <c r="AT52" s="288">
        <f t="shared" si="268"/>
        <v>0</v>
      </c>
      <c r="AU52" s="159">
        <v>80</v>
      </c>
      <c r="AV52" s="395">
        <f t="shared" si="269"/>
        <v>81591.12</v>
      </c>
      <c r="AW52" s="395">
        <f t="shared" si="270"/>
        <v>96277.521599999993</v>
      </c>
      <c r="AX52" s="159"/>
      <c r="AY52" s="159">
        <f>IFERROR(SUMIFS('PO Tracker'!$J$44:$J$1433,'PO Tracker'!$K$44:$K$1433,$AU$6,'PO Tracker'!$L$44:$L$1433,'Capex breakup'!$B52),0)</f>
        <v>0</v>
      </c>
      <c r="AZ52" s="605">
        <f t="shared" si="271"/>
        <v>0</v>
      </c>
      <c r="BA52" s="118"/>
      <c r="BB52" s="151"/>
      <c r="BC52" s="151">
        <f t="shared" si="272"/>
        <v>0</v>
      </c>
      <c r="BD52" s="151">
        <f>BC52/BC2</f>
        <v>0</v>
      </c>
      <c r="BE52" s="159"/>
      <c r="BF52" s="395">
        <f t="shared" si="273"/>
        <v>0</v>
      </c>
      <c r="BG52" s="395">
        <f t="shared" si="274"/>
        <v>0</v>
      </c>
      <c r="BH52" s="159"/>
      <c r="BI52" s="159">
        <f>IFERROR(SUMIFS('PO Tracker'!$J$44:$J$1433,'PO Tracker'!$K$44:$K$1433,$BE$6,'PO Tracker'!$L$44:$L$1433,'Capex breakup'!$B52),0)</f>
        <v>0</v>
      </c>
      <c r="BJ52" s="605" t="str">
        <f t="shared" si="275"/>
        <v/>
      </c>
      <c r="BK52" s="118"/>
      <c r="BL52" s="151"/>
      <c r="BM52" s="151"/>
      <c r="BN52" s="151"/>
      <c r="BO52" s="159">
        <v>0</v>
      </c>
      <c r="BP52" s="395">
        <f t="shared" si="276"/>
        <v>0</v>
      </c>
      <c r="BQ52" s="395">
        <f t="shared" si="277"/>
        <v>0</v>
      </c>
      <c r="BR52" s="159"/>
      <c r="BS52" s="159">
        <f>IFERROR(SUMIFS('PO Tracker'!$J$44:$J$1433,'PO Tracker'!$K$44:$K$1433,$BO$6,'PO Tracker'!$L$44:$L$1433,'Capex breakup'!$B52),0)</f>
        <v>0</v>
      </c>
      <c r="BT52" s="605" t="str">
        <f t="shared" si="278"/>
        <v/>
      </c>
      <c r="BU52" s="118"/>
      <c r="BV52" s="151"/>
      <c r="BW52" s="151">
        <f t="shared" si="279"/>
        <v>0</v>
      </c>
      <c r="BX52" s="151">
        <f>BW52/BW2</f>
        <v>0</v>
      </c>
      <c r="BY52" s="159"/>
      <c r="BZ52" s="395">
        <f t="shared" si="280"/>
        <v>0</v>
      </c>
      <c r="CA52" s="395">
        <f t="shared" si="281"/>
        <v>0</v>
      </c>
      <c r="CB52" s="159"/>
      <c r="CC52" s="159">
        <f>IFERROR(SUMIFS('PO Tracker'!$J$44:$J$1433,'PO Tracker'!$K$44:$K$1433,$BY$6,'PO Tracker'!$L$44:$L$1433,'Capex breakup'!$B52),0)</f>
        <v>0</v>
      </c>
      <c r="CD52" s="605" t="str">
        <f t="shared" si="282"/>
        <v/>
      </c>
      <c r="CE52" s="118"/>
      <c r="CF52" s="151"/>
      <c r="CG52" s="151">
        <f t="shared" si="283"/>
        <v>0</v>
      </c>
      <c r="CH52" s="151">
        <f>CG52/CG2</f>
        <v>0</v>
      </c>
      <c r="CI52" s="159"/>
      <c r="CJ52" s="395">
        <f t="shared" si="284"/>
        <v>0</v>
      </c>
      <c r="CK52" s="395">
        <f t="shared" si="285"/>
        <v>0</v>
      </c>
      <c r="CL52" s="159"/>
      <c r="CM52" s="159">
        <f>IFERROR(SUMIFS('PO Tracker'!$J$44:$J$1433,'PO Tracker'!$K$44:$K$1433,$CI$6,'PO Tracker'!$L$44:$L$1433,'Capex breakup'!$B52),0)</f>
        <v>0</v>
      </c>
      <c r="CN52" s="605" t="str">
        <f t="shared" si="286"/>
        <v/>
      </c>
      <c r="CO52" s="118"/>
      <c r="CP52" s="151"/>
      <c r="CQ52" s="151">
        <f t="shared" si="287"/>
        <v>0</v>
      </c>
      <c r="CR52" s="151"/>
      <c r="CS52" s="159"/>
      <c r="CT52" s="395">
        <f t="shared" si="288"/>
        <v>0</v>
      </c>
      <c r="CU52" s="395">
        <f t="shared" si="289"/>
        <v>0</v>
      </c>
      <c r="CV52" s="159"/>
      <c r="CW52" s="159">
        <f>IFERROR(SUMIFS('PO Tracker'!$J$44:$J$1433,'PO Tracker'!$K$44:$K$1433,$CS$6,'PO Tracker'!$L$44:$L$1433,'Capex breakup'!$B52),0)</f>
        <v>0</v>
      </c>
      <c r="CX52" s="605" t="str">
        <f t="shared" si="290"/>
        <v/>
      </c>
      <c r="CY52" s="118"/>
      <c r="CZ52" s="151"/>
      <c r="DA52" s="151">
        <f t="shared" si="291"/>
        <v>0</v>
      </c>
      <c r="DB52" s="151">
        <f>DA52/DA2</f>
        <v>0</v>
      </c>
      <c r="DC52" s="159"/>
      <c r="DD52" s="395">
        <f t="shared" si="292"/>
        <v>0</v>
      </c>
      <c r="DE52" s="395">
        <f t="shared" si="293"/>
        <v>0</v>
      </c>
      <c r="DF52" s="159"/>
      <c r="DG52" s="159">
        <f>IFERROR(SUMIFS('PO Tracker'!$J$44:$J$1433,'PO Tracker'!$K$44:$K$1433,$DC$6,'PO Tracker'!$L$44:$L$1433,'Capex breakup'!$B52),0)</f>
        <v>0</v>
      </c>
      <c r="DH52" s="605" t="str">
        <f t="shared" si="294"/>
        <v/>
      </c>
      <c r="DI52" s="118"/>
      <c r="DJ52" s="151"/>
      <c r="DK52" s="151">
        <f t="shared" si="295"/>
        <v>0</v>
      </c>
      <c r="DL52" s="151">
        <f>DK52/DK2</f>
        <v>0</v>
      </c>
      <c r="DM52" s="159"/>
      <c r="DN52" s="395">
        <f t="shared" si="296"/>
        <v>0</v>
      </c>
      <c r="DO52" s="159">
        <f t="shared" si="297"/>
        <v>0</v>
      </c>
      <c r="DP52" s="159">
        <f>IFERROR(SUMIFS('PO Tracker'!$J$44:$J$1433,'PO Tracker'!$K$44:$K$1433,$DM$6,'PO Tracker'!$L$44:$L$1433,'Capex breakup'!$B52),0)</f>
        <v>0</v>
      </c>
      <c r="DQ52" s="605" t="str">
        <f t="shared" si="298"/>
        <v/>
      </c>
      <c r="DR52" s="118"/>
      <c r="DS52" s="151"/>
      <c r="DT52" s="151">
        <f t="shared" si="299"/>
        <v>0</v>
      </c>
      <c r="DU52" s="151">
        <f>DT52/DT2</f>
        <v>0</v>
      </c>
      <c r="DV52" s="159"/>
      <c r="DW52" s="395">
        <f t="shared" si="300"/>
        <v>0</v>
      </c>
      <c r="DX52" s="395">
        <f t="shared" si="301"/>
        <v>0</v>
      </c>
      <c r="DY52" s="159"/>
      <c r="DZ52" s="159">
        <f>IFERROR(SUMIFS('PO Tracker'!$J$44:$J$1433,'PO Tracker'!$K$44:$K$1433,$DV$6,'PO Tracker'!$L$44:$L$1433,'Capex breakup'!$B52),0)</f>
        <v>0</v>
      </c>
      <c r="EA52" s="605" t="str">
        <f t="shared" si="302"/>
        <v/>
      </c>
      <c r="EB52" s="118"/>
      <c r="EC52" s="151"/>
      <c r="ED52" s="151">
        <f t="shared" si="303"/>
        <v>0</v>
      </c>
      <c r="EE52" s="151">
        <f>ED52/ED2</f>
        <v>0</v>
      </c>
      <c r="EF52" s="159"/>
      <c r="EG52" s="395">
        <f t="shared" si="304"/>
        <v>0</v>
      </c>
      <c r="EH52" s="395">
        <f t="shared" si="305"/>
        <v>0</v>
      </c>
      <c r="EI52" s="159"/>
      <c r="EJ52" s="159">
        <f>IFERROR(SUMIFS('PO Tracker'!$J$44:$J$1433,'PO Tracker'!$K$44:$K$1433,$EF$6,'PO Tracker'!$L$44:$L$1433,'Capex breakup'!$B52),0)</f>
        <v>0</v>
      </c>
      <c r="EK52" s="605" t="str">
        <f t="shared" si="306"/>
        <v/>
      </c>
      <c r="EL52" s="118"/>
      <c r="EM52" s="151"/>
      <c r="EN52" s="151"/>
      <c r="EO52" s="151"/>
      <c r="EP52" s="159">
        <v>80</v>
      </c>
      <c r="EQ52" s="395">
        <f t="shared" si="307"/>
        <v>30776.428799999998</v>
      </c>
      <c r="ER52" s="395">
        <f t="shared" si="308"/>
        <v>36316.185983999996</v>
      </c>
      <c r="ES52" s="159"/>
      <c r="ET52" s="159">
        <f>IFERROR(SUMIFS('PO Tracker'!$J$44:$J$1433,'PO Tracker'!$K$44:$K$1433,$EP$6,'PO Tracker'!$L$44:$L$1433,'Capex breakup'!$B52),0)</f>
        <v>0</v>
      </c>
      <c r="EU52" s="605">
        <f t="shared" si="309"/>
        <v>0</v>
      </c>
      <c r="EV52" s="118"/>
      <c r="EW52" s="151"/>
      <c r="EX52" s="151"/>
      <c r="EY52" s="151"/>
      <c r="EZ52" s="159">
        <v>80</v>
      </c>
      <c r="FA52" s="395">
        <f t="shared" si="310"/>
        <v>102464.66879999998</v>
      </c>
      <c r="FB52" s="395">
        <f t="shared" si="311"/>
        <v>120908.30918399997</v>
      </c>
      <c r="FC52" s="159"/>
      <c r="FD52" s="159">
        <f>IFERROR(SUMIFS('PO Tracker'!$J$44:$J$1433,'PO Tracker'!$K$44:$K$1433,$EZ$6,'PO Tracker'!$L$44:$L$1433,'Capex breakup'!$B52),0)</f>
        <v>0</v>
      </c>
      <c r="FE52" s="605">
        <f t="shared" si="312"/>
        <v>0</v>
      </c>
      <c r="FF52" s="118"/>
      <c r="FG52" s="318"/>
      <c r="FH52" s="151">
        <f t="shared" si="313"/>
        <v>0</v>
      </c>
      <c r="FI52" s="133">
        <f t="shared" si="314"/>
        <v>0</v>
      </c>
      <c r="FJ52" s="159">
        <f t="shared" si="315"/>
        <v>0</v>
      </c>
      <c r="FK52" s="395">
        <f t="shared" si="316"/>
        <v>0</v>
      </c>
      <c r="FL52" s="159">
        <f t="shared" si="317"/>
        <v>0</v>
      </c>
      <c r="FM52" s="684"/>
      <c r="FN52" s="159"/>
      <c r="FO52" s="685"/>
      <c r="FP52" s="684"/>
      <c r="FQ52" s="159">
        <f t="shared" si="318"/>
        <v>0</v>
      </c>
      <c r="FR52" s="685">
        <f t="shared" si="319"/>
        <v>0</v>
      </c>
      <c r="FS52" s="662">
        <f>IFERROR(SUMIFS('PO Tracker'!$J$44:$J$1433,'PO Tracker'!$K$44:$K$1433,$FJ$6,'PO Tracker'!$L$44:$L$1433,'Capex breakup'!$B52),0)</f>
        <v>0</v>
      </c>
      <c r="FT52" s="736" t="str">
        <f t="shared" si="320"/>
        <v/>
      </c>
      <c r="FU52" s="709"/>
      <c r="FV52" s="151"/>
      <c r="FW52" s="151">
        <f t="shared" si="321"/>
        <v>0</v>
      </c>
      <c r="FX52" s="151">
        <f>FW52/FW2</f>
        <v>0</v>
      </c>
      <c r="FY52" s="159"/>
      <c r="FZ52" s="395">
        <f t="shared" si="322"/>
        <v>0</v>
      </c>
      <c r="GA52" s="395">
        <f t="shared" si="323"/>
        <v>0</v>
      </c>
      <c r="GB52" s="159"/>
      <c r="GC52" s="159">
        <f>IFERROR(SUMIFS('PO Tracker'!$J$44:$J$1433,'PO Tracker'!$K$44:$K$1433,$FY$6,'PO Tracker'!$L$44:$L$1433,'Capex breakup'!$B52),0)</f>
        <v>0</v>
      </c>
      <c r="GD52" s="605" t="str">
        <f t="shared" si="324"/>
        <v/>
      </c>
      <c r="GE52" s="118"/>
      <c r="GF52" s="151"/>
      <c r="GG52" s="151">
        <f t="shared" si="325"/>
        <v>0</v>
      </c>
      <c r="GH52" s="151">
        <f>GG52/GG2</f>
        <v>0</v>
      </c>
      <c r="GI52" s="159"/>
      <c r="GJ52" s="395">
        <f t="shared" si="326"/>
        <v>0</v>
      </c>
      <c r="GK52" s="395">
        <f t="shared" si="327"/>
        <v>0</v>
      </c>
      <c r="GL52" s="159"/>
      <c r="GM52" s="159">
        <f>IFERROR(SUMIFS('PO Tracker'!$J$44:$J$1433,'PO Tracker'!$K$44:$K$1433,$GI$6,'PO Tracker'!$L$44:$L$1433,'Capex breakup'!$B52),0)</f>
        <v>0</v>
      </c>
      <c r="GN52" s="605" t="str">
        <f t="shared" si="328"/>
        <v/>
      </c>
      <c r="GO52" s="118"/>
      <c r="GP52" s="151"/>
      <c r="GQ52" s="151">
        <f t="shared" si="329"/>
        <v>0</v>
      </c>
      <c r="GR52" s="151">
        <f>GQ52/GQ2</f>
        <v>0</v>
      </c>
      <c r="GS52" s="159"/>
      <c r="GT52" s="395">
        <v>0</v>
      </c>
      <c r="GU52" s="159">
        <v>0</v>
      </c>
      <c r="GV52" s="159">
        <f>IFERROR(SUMIFS('PO Tracker'!$J$44:$J$1433,'PO Tracker'!$K$44:$K$1433,$GS$6,'PO Tracker'!$L$44:$L$1433,'Capex breakup'!$B52),0)</f>
        <v>0</v>
      </c>
      <c r="GW52" s="605" t="str">
        <f t="shared" si="330"/>
        <v/>
      </c>
      <c r="GX52" s="118"/>
      <c r="GY52" s="151"/>
      <c r="GZ52" s="151"/>
      <c r="HA52" s="133"/>
      <c r="HB52" s="159">
        <v>100</v>
      </c>
      <c r="HC52" s="395">
        <f t="shared" si="331"/>
        <v>333856.22400000005</v>
      </c>
      <c r="HD52" s="159">
        <f t="shared" si="332"/>
        <v>393950.34432000003</v>
      </c>
      <c r="HE52" s="159"/>
      <c r="HF52" s="159">
        <f>IFERROR(SUMIFS('PO Tracker'!$J$44:$J$1433,'PO Tracker'!$K$44:$K$1433,$HB$6,'PO Tracker'!$L$44:$L$1433,'Capex breakup'!$B52),0)</f>
        <v>0</v>
      </c>
      <c r="HG52" s="605">
        <f t="shared" si="333"/>
        <v>0</v>
      </c>
      <c r="HH52" s="118"/>
      <c r="HI52" s="151"/>
      <c r="HJ52" s="151"/>
      <c r="HK52" s="133"/>
      <c r="HL52" s="159">
        <v>150</v>
      </c>
      <c r="HM52" s="395">
        <f t="shared" si="334"/>
        <v>509406.3</v>
      </c>
      <c r="HN52" s="159">
        <f t="shared" si="335"/>
        <v>601099.43400000001</v>
      </c>
      <c r="HO52" s="159">
        <f>IFERROR(SUMIFS('PO Tracker'!$J$44:$J$1433,'PO Tracker'!$K$44:$K$1433,$HL$6,'PO Tracker'!$L$44:$L$1433,'Capex breakup'!$B52),0)</f>
        <v>0</v>
      </c>
      <c r="HP52" s="605">
        <f t="shared" si="336"/>
        <v>0</v>
      </c>
      <c r="HQ52" s="118"/>
      <c r="HR52" s="364"/>
      <c r="HS52" s="364"/>
      <c r="HT52" s="364"/>
      <c r="HU52" s="364"/>
    </row>
    <row r="53" spans="1:229">
      <c r="A53" s="18">
        <v>8</v>
      </c>
      <c r="B53" s="19" t="s">
        <v>52</v>
      </c>
      <c r="C53" s="118"/>
      <c r="D53" s="151">
        <v>87607.92</v>
      </c>
      <c r="E53" s="151">
        <f t="shared" si="250"/>
        <v>74244</v>
      </c>
      <c r="F53" s="151">
        <f>E53/E2</f>
        <v>300</v>
      </c>
      <c r="G53" s="159"/>
      <c r="H53" s="395">
        <f t="shared" si="252"/>
        <v>0</v>
      </c>
      <c r="I53" s="395">
        <f t="shared" si="253"/>
        <v>0</v>
      </c>
      <c r="J53" s="159"/>
      <c r="K53" s="159">
        <f>IFERROR(SUMIFS('PO Tracker'!$J$44:$J$1433,'PO Tracker'!$K$44:$K$1433,$G$6,'PO Tracker'!$L$44:$L$1433,'Capex breakup'!$B53),0)</f>
        <v>0</v>
      </c>
      <c r="L53" s="605" t="str">
        <f t="shared" si="254"/>
        <v/>
      </c>
      <c r="M53" s="118"/>
      <c r="N53" s="151">
        <v>87607.92</v>
      </c>
      <c r="O53" s="151">
        <f t="shared" si="255"/>
        <v>74244</v>
      </c>
      <c r="P53" s="151">
        <f>O53/O2</f>
        <v>300</v>
      </c>
      <c r="Q53" s="159">
        <v>0</v>
      </c>
      <c r="R53" s="395">
        <f t="shared" si="256"/>
        <v>0</v>
      </c>
      <c r="S53" s="395">
        <f t="shared" si="257"/>
        <v>0</v>
      </c>
      <c r="T53" s="159"/>
      <c r="U53" s="159">
        <f>IFERROR(SUMIFS('PO Tracker'!$J$44:$J$1433,'PO Tracker'!$K$44:$K$1433,$Q$6,'PO Tracker'!$L$44:$L$1433,'Capex breakup'!$B53),0)</f>
        <v>0</v>
      </c>
      <c r="V53" s="605" t="str">
        <f t="shared" si="258"/>
        <v/>
      </c>
      <c r="W53" s="118"/>
      <c r="X53" s="151"/>
      <c r="Y53" s="151">
        <f t="shared" si="259"/>
        <v>0</v>
      </c>
      <c r="Z53" s="133">
        <f t="shared" si="260"/>
        <v>0</v>
      </c>
      <c r="AA53" s="159">
        <v>203.30459770114945</v>
      </c>
      <c r="AB53" s="395">
        <f>AA53*$AB$2</f>
        <v>380776.5</v>
      </c>
      <c r="AC53" s="395">
        <f t="shared" si="261"/>
        <v>449316.26999999996</v>
      </c>
      <c r="AD53" s="159"/>
      <c r="AE53" s="159">
        <f>IFERROR(SUMIFS('PO Tracker'!$J$44:$J$1433,'PO Tracker'!$K$44:$K$1433,$AA$6,'PO Tracker'!$L$44:$L$1433,'Capex breakup'!$B53),0)</f>
        <v>0</v>
      </c>
      <c r="AF53" s="605">
        <f t="shared" si="262"/>
        <v>0</v>
      </c>
      <c r="AG53" s="118"/>
      <c r="AH53" s="151">
        <v>87607.92</v>
      </c>
      <c r="AI53" s="151">
        <f t="shared" si="263"/>
        <v>74244</v>
      </c>
      <c r="AJ53" s="151">
        <f>AI53/AI2</f>
        <v>300</v>
      </c>
      <c r="AK53" s="159">
        <v>0</v>
      </c>
      <c r="AL53" s="395">
        <f t="shared" si="264"/>
        <v>0</v>
      </c>
      <c r="AM53" s="395">
        <f t="shared" si="265"/>
        <v>0</v>
      </c>
      <c r="AN53" s="159"/>
      <c r="AO53" s="159">
        <f>IFERROR(SUMIFS('PO Tracker'!$J$44:$J$1433,'PO Tracker'!$K$44:$K$1433,$AK$6,'PO Tracker'!$L$44:$L$1433,'Capex breakup'!$B53),0)</f>
        <v>0</v>
      </c>
      <c r="AP53" s="605" t="str">
        <f t="shared" si="266"/>
        <v/>
      </c>
      <c r="AQ53" s="118"/>
      <c r="AR53" s="287"/>
      <c r="AS53" s="287">
        <f t="shared" si="267"/>
        <v>0</v>
      </c>
      <c r="AT53" s="288">
        <f t="shared" si="268"/>
        <v>0</v>
      </c>
      <c r="AU53" s="159">
        <v>0</v>
      </c>
      <c r="AV53" s="395">
        <f t="shared" si="269"/>
        <v>0</v>
      </c>
      <c r="AW53" s="395">
        <f t="shared" si="270"/>
        <v>0</v>
      </c>
      <c r="AX53" s="159"/>
      <c r="AY53" s="159">
        <f>IFERROR(SUMIFS('PO Tracker'!$J$44:$J$1433,'PO Tracker'!$K$44:$K$1433,$AU$6,'PO Tracker'!$L$44:$L$1433,'Capex breakup'!$B53),0)</f>
        <v>0</v>
      </c>
      <c r="AZ53" s="605" t="str">
        <f t="shared" si="271"/>
        <v/>
      </c>
      <c r="BA53" s="118"/>
      <c r="BB53" s="151">
        <v>179360</v>
      </c>
      <c r="BC53" s="151">
        <f t="shared" si="272"/>
        <v>152000</v>
      </c>
      <c r="BD53" s="151">
        <f>BC53/BC2</f>
        <v>243.55851813870015</v>
      </c>
      <c r="BE53" s="159">
        <v>0</v>
      </c>
      <c r="BF53" s="395">
        <f t="shared" si="273"/>
        <v>0</v>
      </c>
      <c r="BG53" s="395">
        <f t="shared" si="274"/>
        <v>0</v>
      </c>
      <c r="BH53" s="159"/>
      <c r="BI53" s="159">
        <f>IFERROR(SUMIFS('PO Tracker'!$J$44:$J$1433,'PO Tracker'!$K$44:$K$1433,$BE$6,'PO Tracker'!$L$44:$L$1433,'Capex breakup'!$B53),0)</f>
        <v>0</v>
      </c>
      <c r="BJ53" s="605" t="str">
        <f t="shared" si="275"/>
        <v/>
      </c>
      <c r="BK53" s="118"/>
      <c r="BL53" s="151"/>
      <c r="BM53" s="151"/>
      <c r="BN53" s="151"/>
      <c r="BO53" s="159">
        <v>0</v>
      </c>
      <c r="BP53" s="395">
        <f t="shared" si="276"/>
        <v>0</v>
      </c>
      <c r="BQ53" s="395">
        <f t="shared" si="277"/>
        <v>0</v>
      </c>
      <c r="BR53" s="159"/>
      <c r="BS53" s="159">
        <f>IFERROR(SUMIFS('PO Tracker'!$J$44:$J$1433,'PO Tracker'!$K$44:$K$1433,$BO$6,'PO Tracker'!$L$44:$L$1433,'Capex breakup'!$B53),0)</f>
        <v>0</v>
      </c>
      <c r="BT53" s="605" t="str">
        <f t="shared" si="278"/>
        <v/>
      </c>
      <c r="BU53" s="118"/>
      <c r="BV53" s="151"/>
      <c r="BW53" s="151">
        <f t="shared" si="279"/>
        <v>0</v>
      </c>
      <c r="BX53" s="151">
        <f>BW53/BW2</f>
        <v>0</v>
      </c>
      <c r="BY53" s="159">
        <v>0</v>
      </c>
      <c r="BZ53" s="395">
        <f t="shared" si="280"/>
        <v>0</v>
      </c>
      <c r="CA53" s="395">
        <f t="shared" si="281"/>
        <v>0</v>
      </c>
      <c r="CB53" s="159"/>
      <c r="CC53" s="159">
        <f>IFERROR(SUMIFS('PO Tracker'!$J$44:$J$1433,'PO Tracker'!$K$44:$K$1433,$BY$6,'PO Tracker'!$L$44:$L$1433,'Capex breakup'!$B53),0)</f>
        <v>0</v>
      </c>
      <c r="CD53" s="605" t="str">
        <f t="shared" si="282"/>
        <v/>
      </c>
      <c r="CE53" s="118"/>
      <c r="CF53" s="151"/>
      <c r="CG53" s="151">
        <f t="shared" si="283"/>
        <v>0</v>
      </c>
      <c r="CH53" s="151">
        <f>CG53/CG2</f>
        <v>0</v>
      </c>
      <c r="CI53" s="159">
        <v>0</v>
      </c>
      <c r="CJ53" s="395">
        <f t="shared" si="284"/>
        <v>0</v>
      </c>
      <c r="CK53" s="395">
        <f t="shared" si="285"/>
        <v>0</v>
      </c>
      <c r="CL53" s="159"/>
      <c r="CM53" s="159">
        <f>IFERROR(SUMIFS('PO Tracker'!$J$44:$J$1433,'PO Tracker'!$K$44:$K$1433,$CI$6,'PO Tracker'!$L$44:$L$1433,'Capex breakup'!$B53),0)</f>
        <v>0</v>
      </c>
      <c r="CN53" s="605" t="str">
        <f t="shared" si="286"/>
        <v/>
      </c>
      <c r="CO53" s="118"/>
      <c r="CP53" s="151"/>
      <c r="CQ53" s="151">
        <f t="shared" si="287"/>
        <v>0</v>
      </c>
      <c r="CR53" s="151"/>
      <c r="CS53" s="159">
        <v>0</v>
      </c>
      <c r="CT53" s="395">
        <f t="shared" si="288"/>
        <v>0</v>
      </c>
      <c r="CU53" s="395">
        <f t="shared" si="289"/>
        <v>0</v>
      </c>
      <c r="CV53" s="159"/>
      <c r="CW53" s="159">
        <f>IFERROR(SUMIFS('PO Tracker'!$J$44:$J$1433,'PO Tracker'!$K$44:$K$1433,$CS$6,'PO Tracker'!$L$44:$L$1433,'Capex breakup'!$B53),0)</f>
        <v>0</v>
      </c>
      <c r="CX53" s="605" t="str">
        <f t="shared" si="290"/>
        <v/>
      </c>
      <c r="CY53" s="118"/>
      <c r="CZ53" s="151"/>
      <c r="DA53" s="151">
        <f t="shared" si="291"/>
        <v>0</v>
      </c>
      <c r="DB53" s="151">
        <f>DA53/DA2</f>
        <v>0</v>
      </c>
      <c r="DC53" s="159">
        <v>0</v>
      </c>
      <c r="DD53" s="395">
        <f t="shared" si="292"/>
        <v>0</v>
      </c>
      <c r="DE53" s="395">
        <f t="shared" si="293"/>
        <v>0</v>
      </c>
      <c r="DF53" s="159"/>
      <c r="DG53" s="159">
        <f>IFERROR(SUMIFS('PO Tracker'!$J$44:$J$1433,'PO Tracker'!$K$44:$K$1433,$DC$6,'PO Tracker'!$L$44:$L$1433,'Capex breakup'!$B53),0)</f>
        <v>0</v>
      </c>
      <c r="DH53" s="605" t="str">
        <f t="shared" si="294"/>
        <v/>
      </c>
      <c r="DI53" s="118"/>
      <c r="DJ53" s="151"/>
      <c r="DK53" s="151">
        <f t="shared" si="295"/>
        <v>0</v>
      </c>
      <c r="DL53" s="151">
        <f>DK53/DK2</f>
        <v>0</v>
      </c>
      <c r="DM53" s="159"/>
      <c r="DN53" s="395">
        <f t="shared" si="296"/>
        <v>0</v>
      </c>
      <c r="DO53" s="159">
        <f t="shared" si="297"/>
        <v>0</v>
      </c>
      <c r="DP53" s="159">
        <f>IFERROR(SUMIFS('PO Tracker'!$J$44:$J$1433,'PO Tracker'!$K$44:$K$1433,$DM$6,'PO Tracker'!$L$44:$L$1433,'Capex breakup'!$B53),0)</f>
        <v>0</v>
      </c>
      <c r="DQ53" s="605" t="str">
        <f t="shared" si="298"/>
        <v/>
      </c>
      <c r="DR53" s="118"/>
      <c r="DS53" s="151"/>
      <c r="DT53" s="151">
        <f t="shared" si="299"/>
        <v>0</v>
      </c>
      <c r="DU53" s="151">
        <f>DT53/DT2</f>
        <v>0</v>
      </c>
      <c r="DV53" s="159">
        <v>0</v>
      </c>
      <c r="DW53" s="395">
        <f t="shared" si="300"/>
        <v>0</v>
      </c>
      <c r="DX53" s="395">
        <f t="shared" si="301"/>
        <v>0</v>
      </c>
      <c r="DY53" s="159"/>
      <c r="DZ53" s="159">
        <f>IFERROR(SUMIFS('PO Tracker'!$J$44:$J$1433,'PO Tracker'!$K$44:$K$1433,$DV$6,'PO Tracker'!$L$44:$L$1433,'Capex breakup'!$B53),0)</f>
        <v>0</v>
      </c>
      <c r="EA53" s="605" t="str">
        <f t="shared" si="302"/>
        <v/>
      </c>
      <c r="EB53" s="118"/>
      <c r="EC53" s="151"/>
      <c r="ED53" s="151">
        <f t="shared" si="303"/>
        <v>0</v>
      </c>
      <c r="EE53" s="151">
        <f>ED53/ED2</f>
        <v>0</v>
      </c>
      <c r="EF53" s="159">
        <v>0</v>
      </c>
      <c r="EG53" s="395">
        <f t="shared" si="304"/>
        <v>0</v>
      </c>
      <c r="EH53" s="395">
        <f t="shared" si="305"/>
        <v>0</v>
      </c>
      <c r="EI53" s="159"/>
      <c r="EJ53" s="159">
        <f>IFERROR(SUMIFS('PO Tracker'!$J$44:$J$1433,'PO Tracker'!$K$44:$K$1433,$EF$6,'PO Tracker'!$L$44:$L$1433,'Capex breakup'!$B53),0)</f>
        <v>0</v>
      </c>
      <c r="EK53" s="605" t="str">
        <f t="shared" si="306"/>
        <v/>
      </c>
      <c r="EL53" s="118"/>
      <c r="EM53" s="151"/>
      <c r="EN53" s="151"/>
      <c r="EO53" s="151"/>
      <c r="EP53" s="159">
        <v>0</v>
      </c>
      <c r="EQ53" s="395">
        <f t="shared" si="307"/>
        <v>0</v>
      </c>
      <c r="ER53" s="395">
        <f t="shared" si="308"/>
        <v>0</v>
      </c>
      <c r="ES53" s="159"/>
      <c r="ET53" s="159">
        <f>IFERROR(SUMIFS('PO Tracker'!$J$44:$J$1433,'PO Tracker'!$K$44:$K$1433,$EP$6,'PO Tracker'!$L$44:$L$1433,'Capex breakup'!$B53),0)</f>
        <v>0</v>
      </c>
      <c r="EU53" s="605" t="str">
        <f t="shared" si="309"/>
        <v/>
      </c>
      <c r="EV53" s="118"/>
      <c r="EW53" s="151"/>
      <c r="EX53" s="151"/>
      <c r="EY53" s="151"/>
      <c r="EZ53" s="159">
        <v>0</v>
      </c>
      <c r="FA53" s="395">
        <f t="shared" si="310"/>
        <v>0</v>
      </c>
      <c r="FB53" s="395">
        <f t="shared" si="311"/>
        <v>0</v>
      </c>
      <c r="FC53" s="159"/>
      <c r="FD53" s="159">
        <f>IFERROR(SUMIFS('PO Tracker'!$J$44:$J$1433,'PO Tracker'!$K$44:$K$1433,$EZ$6,'PO Tracker'!$L$44:$L$1433,'Capex breakup'!$B53),0)</f>
        <v>0</v>
      </c>
      <c r="FE53" s="605" t="str">
        <f t="shared" si="312"/>
        <v/>
      </c>
      <c r="FF53" s="118"/>
      <c r="FG53" s="318"/>
      <c r="FH53" s="151">
        <f t="shared" si="313"/>
        <v>0</v>
      </c>
      <c r="FI53" s="133">
        <f t="shared" si="314"/>
        <v>0</v>
      </c>
      <c r="FJ53" s="159">
        <f t="shared" si="315"/>
        <v>0</v>
      </c>
      <c r="FK53" s="395">
        <f t="shared" si="316"/>
        <v>0</v>
      </c>
      <c r="FL53" s="159">
        <f t="shared" si="317"/>
        <v>0</v>
      </c>
      <c r="FM53" s="684"/>
      <c r="FN53" s="159"/>
      <c r="FO53" s="685"/>
      <c r="FP53" s="684"/>
      <c r="FQ53" s="159">
        <f t="shared" si="318"/>
        <v>0</v>
      </c>
      <c r="FR53" s="685">
        <f t="shared" si="319"/>
        <v>0</v>
      </c>
      <c r="FS53" s="662">
        <f>IFERROR(SUMIFS('PO Tracker'!$J$44:$J$1433,'PO Tracker'!$K$44:$K$1433,$FJ$6,'PO Tracker'!$L$44:$L$1433,'Capex breakup'!$B53),0)</f>
        <v>0</v>
      </c>
      <c r="FT53" s="736" t="str">
        <f t="shared" si="320"/>
        <v/>
      </c>
      <c r="FU53" s="709"/>
      <c r="FV53" s="151"/>
      <c r="FW53" s="151">
        <f t="shared" si="321"/>
        <v>0</v>
      </c>
      <c r="FX53" s="151">
        <f>FW53/FW2</f>
        <v>0</v>
      </c>
      <c r="FY53" s="159">
        <v>0</v>
      </c>
      <c r="FZ53" s="395">
        <f t="shared" si="322"/>
        <v>0</v>
      </c>
      <c r="GA53" s="395">
        <f t="shared" si="323"/>
        <v>0</v>
      </c>
      <c r="GB53" s="159"/>
      <c r="GC53" s="159">
        <f>IFERROR(SUMIFS('PO Tracker'!$J$44:$J$1433,'PO Tracker'!$K$44:$K$1433,$FY$6,'PO Tracker'!$L$44:$L$1433,'Capex breakup'!$B53),0)</f>
        <v>0</v>
      </c>
      <c r="GD53" s="605" t="str">
        <f t="shared" si="324"/>
        <v/>
      </c>
      <c r="GE53" s="118"/>
      <c r="GF53" s="151"/>
      <c r="GG53" s="151">
        <f t="shared" si="325"/>
        <v>0</v>
      </c>
      <c r="GH53" s="151">
        <f>GG53/GG2</f>
        <v>0</v>
      </c>
      <c r="GI53" s="159"/>
      <c r="GJ53" s="395">
        <f t="shared" si="326"/>
        <v>0</v>
      </c>
      <c r="GK53" s="395">
        <f t="shared" si="327"/>
        <v>0</v>
      </c>
      <c r="GL53" s="159"/>
      <c r="GM53" s="159">
        <f>IFERROR(SUMIFS('PO Tracker'!$J$44:$J$1433,'PO Tracker'!$K$44:$K$1433,$GI$6,'PO Tracker'!$L$44:$L$1433,'Capex breakup'!$B53),0)</f>
        <v>0</v>
      </c>
      <c r="GN53" s="605" t="str">
        <f t="shared" si="328"/>
        <v/>
      </c>
      <c r="GO53" s="118"/>
      <c r="GP53" s="151"/>
      <c r="GQ53" s="151">
        <f t="shared" si="329"/>
        <v>0</v>
      </c>
      <c r="GR53" s="151">
        <f>GQ53/GQ2</f>
        <v>0</v>
      </c>
      <c r="GS53" s="159"/>
      <c r="GT53" s="395">
        <v>0</v>
      </c>
      <c r="GU53" s="159">
        <v>0</v>
      </c>
      <c r="GV53" s="159">
        <f>IFERROR(SUMIFS('PO Tracker'!$J$44:$J$1433,'PO Tracker'!$K$44:$K$1433,$GS$6,'PO Tracker'!$L$44:$L$1433,'Capex breakup'!$B53),0)</f>
        <v>0</v>
      </c>
      <c r="GW53" s="605" t="str">
        <f t="shared" si="330"/>
        <v/>
      </c>
      <c r="GX53" s="118"/>
      <c r="GY53" s="151"/>
      <c r="GZ53" s="151"/>
      <c r="HA53" s="133"/>
      <c r="HB53" s="159">
        <v>200</v>
      </c>
      <c r="HC53" s="395">
        <f t="shared" si="331"/>
        <v>667712.44800000009</v>
      </c>
      <c r="HD53" s="159">
        <f t="shared" si="332"/>
        <v>787900.68864000007</v>
      </c>
      <c r="HE53" s="159"/>
      <c r="HF53" s="159">
        <f>IFERROR(SUMIFS('PO Tracker'!$J$44:$J$1433,'PO Tracker'!$K$44:$K$1433,$HB$6,'PO Tracker'!$L$44:$L$1433,'Capex breakup'!$B53),0)</f>
        <v>0</v>
      </c>
      <c r="HG53" s="605">
        <f t="shared" si="333"/>
        <v>0</v>
      </c>
      <c r="HH53" s="118"/>
      <c r="HI53" s="151"/>
      <c r="HJ53" s="151"/>
      <c r="HK53" s="133"/>
      <c r="HL53" s="159">
        <v>200</v>
      </c>
      <c r="HM53" s="395">
        <f t="shared" si="334"/>
        <v>679208.4</v>
      </c>
      <c r="HN53" s="159">
        <f t="shared" si="335"/>
        <v>801465.91200000001</v>
      </c>
      <c r="HO53" s="159">
        <f>IFERROR(SUMIFS('PO Tracker'!$J$44:$J$1433,'PO Tracker'!$K$44:$K$1433,$HL$6,'PO Tracker'!$L$44:$L$1433,'Capex breakup'!$B53),0)</f>
        <v>0</v>
      </c>
      <c r="HP53" s="605">
        <f t="shared" si="336"/>
        <v>0</v>
      </c>
      <c r="HQ53" s="118"/>
      <c r="HR53" s="364"/>
      <c r="HS53" s="364"/>
      <c r="HT53" s="364"/>
      <c r="HU53" s="364"/>
    </row>
    <row r="54" spans="1:229">
      <c r="A54" s="18"/>
      <c r="B54" s="19" t="s">
        <v>87</v>
      </c>
      <c r="C54" s="118"/>
      <c r="D54" s="387">
        <v>29202.639999999999</v>
      </c>
      <c r="E54" s="151"/>
      <c r="F54" s="151"/>
      <c r="G54" s="159">
        <v>200</v>
      </c>
      <c r="H54" s="395">
        <f t="shared" si="252"/>
        <v>87769.656000000003</v>
      </c>
      <c r="I54" s="395">
        <f t="shared" si="253"/>
        <v>103568.19408</v>
      </c>
      <c r="J54" s="159"/>
      <c r="K54" s="159">
        <f>IFERROR(SUMIFS('PO Tracker'!$J$44:$J$1433,'PO Tracker'!$K$44:$K$1433,$G$6,'PO Tracker'!$L$44:$L$1433,'Capex breakup'!$B54),0)</f>
        <v>0</v>
      </c>
      <c r="L54" s="605">
        <f t="shared" si="254"/>
        <v>0</v>
      </c>
      <c r="M54" s="118"/>
      <c r="N54" s="387">
        <v>29202.639999999999</v>
      </c>
      <c r="O54" s="151"/>
      <c r="P54" s="151"/>
      <c r="Q54" s="159">
        <v>100</v>
      </c>
      <c r="R54" s="395">
        <f t="shared" si="256"/>
        <v>101644.452</v>
      </c>
      <c r="S54" s="395">
        <f t="shared" si="257"/>
        <v>119940.45336</v>
      </c>
      <c r="T54" s="159"/>
      <c r="U54" s="159">
        <f>IFERROR(SUMIFS('PO Tracker'!$J$44:$J$1433,'PO Tracker'!$K$44:$K$1433,$Q$6,'PO Tracker'!$L$44:$L$1433,'Capex breakup'!$B54),0)</f>
        <v>0</v>
      </c>
      <c r="V54" s="605">
        <f t="shared" si="258"/>
        <v>0</v>
      </c>
      <c r="W54" s="118"/>
      <c r="X54" s="151"/>
      <c r="Y54" s="151"/>
      <c r="Z54" s="133">
        <f t="shared" si="260"/>
        <v>0</v>
      </c>
      <c r="AA54" s="159">
        <v>100</v>
      </c>
      <c r="AB54" s="395">
        <f>AA54*$AB$2</f>
        <v>187293.6</v>
      </c>
      <c r="AC54" s="395">
        <f t="shared" si="261"/>
        <v>221006.448</v>
      </c>
      <c r="AD54" s="159"/>
      <c r="AE54" s="159">
        <f>IFERROR(SUMIFS('PO Tracker'!$J$44:$J$1433,'PO Tracker'!$K$44:$K$1433,$AA$6,'PO Tracker'!$L$44:$L$1433,'Capex breakup'!$B54),0)</f>
        <v>0</v>
      </c>
      <c r="AF54" s="605">
        <f t="shared" si="262"/>
        <v>0</v>
      </c>
      <c r="AG54" s="118"/>
      <c r="AH54" s="387">
        <v>29202.639999999999</v>
      </c>
      <c r="AI54" s="151"/>
      <c r="AJ54" s="151"/>
      <c r="AK54" s="159">
        <v>500</v>
      </c>
      <c r="AL54" s="395">
        <f t="shared" si="264"/>
        <v>202578.47999999998</v>
      </c>
      <c r="AM54" s="395">
        <f t="shared" si="265"/>
        <v>239042.60639999996</v>
      </c>
      <c r="AN54" s="159"/>
      <c r="AO54" s="159">
        <f>IFERROR(SUMIFS('PO Tracker'!$J$44:$J$1433,'PO Tracker'!$K$44:$K$1433,$AK$6,'PO Tracker'!$L$44:$L$1433,'Capex breakup'!$B54),0)</f>
        <v>0</v>
      </c>
      <c r="AP54" s="605">
        <f t="shared" si="266"/>
        <v>0</v>
      </c>
      <c r="AQ54" s="118"/>
      <c r="AR54" s="287"/>
      <c r="AS54" s="287"/>
      <c r="AT54" s="288"/>
      <c r="AU54" s="159">
        <v>200</v>
      </c>
      <c r="AV54" s="395">
        <f t="shared" si="269"/>
        <v>203977.8</v>
      </c>
      <c r="AW54" s="395">
        <f t="shared" si="270"/>
        <v>240693.80399999997</v>
      </c>
      <c r="AX54" s="159"/>
      <c r="AY54" s="159">
        <f>IFERROR(SUMIFS('PO Tracker'!$J$44:$J$1433,'PO Tracker'!$K$44:$K$1433,$AU$6,'PO Tracker'!$L$44:$L$1433,'Capex breakup'!$B54),0)</f>
        <v>0</v>
      </c>
      <c r="AZ54" s="605">
        <f t="shared" si="271"/>
        <v>0</v>
      </c>
      <c r="BA54" s="118"/>
      <c r="BB54" s="151"/>
      <c r="BC54" s="151"/>
      <c r="BD54" s="151"/>
      <c r="BE54" s="159">
        <v>200</v>
      </c>
      <c r="BF54" s="395">
        <f t="shared" si="273"/>
        <v>155475.21599999999</v>
      </c>
      <c r="BG54" s="395">
        <f t="shared" si="274"/>
        <v>183460.75487999996</v>
      </c>
      <c r="BH54" s="159"/>
      <c r="BI54" s="159">
        <f>IFERROR(SUMIFS('PO Tracker'!$J$44:$J$1433,'PO Tracker'!$K$44:$K$1433,$BE$6,'PO Tracker'!$L$44:$L$1433,'Capex breakup'!$B54),0)</f>
        <v>0</v>
      </c>
      <c r="BJ54" s="605">
        <f t="shared" si="275"/>
        <v>0</v>
      </c>
      <c r="BK54" s="118"/>
      <c r="BL54" s="151"/>
      <c r="BM54" s="151"/>
      <c r="BN54" s="151"/>
      <c r="BO54" s="159">
        <v>100</v>
      </c>
      <c r="BP54" s="395">
        <f t="shared" si="276"/>
        <v>57178.367999999988</v>
      </c>
      <c r="BQ54" s="395">
        <f t="shared" si="277"/>
        <v>67470.474239999981</v>
      </c>
      <c r="BR54" s="159"/>
      <c r="BS54" s="159">
        <f>IFERROR(SUMIFS('PO Tracker'!$J$44:$J$1433,'PO Tracker'!$K$44:$K$1433,$BO$6,'PO Tracker'!$L$44:$L$1433,'Capex breakup'!$B54),0)</f>
        <v>0</v>
      </c>
      <c r="BT54" s="605">
        <f t="shared" si="278"/>
        <v>0</v>
      </c>
      <c r="BU54" s="118"/>
      <c r="BV54" s="151"/>
      <c r="BW54" s="151"/>
      <c r="BX54" s="151"/>
      <c r="BY54" s="159">
        <v>500</v>
      </c>
      <c r="BZ54" s="395">
        <f t="shared" si="280"/>
        <v>186540.11999999997</v>
      </c>
      <c r="CA54" s="395">
        <f t="shared" si="281"/>
        <v>220117.34159999996</v>
      </c>
      <c r="CB54" s="159"/>
      <c r="CC54" s="159">
        <f>IFERROR(SUMIFS('PO Tracker'!$J$44:$J$1433,'PO Tracker'!$K$44:$K$1433,$BY$6,'PO Tracker'!$L$44:$L$1433,'Capex breakup'!$B54),0)</f>
        <v>0</v>
      </c>
      <c r="CD54" s="605">
        <f t="shared" si="282"/>
        <v>0</v>
      </c>
      <c r="CE54" s="118"/>
      <c r="CF54" s="151"/>
      <c r="CG54" s="151"/>
      <c r="CH54" s="151"/>
      <c r="CI54" s="159">
        <v>200</v>
      </c>
      <c r="CJ54" s="395">
        <f t="shared" si="284"/>
        <v>38750.399999999994</v>
      </c>
      <c r="CK54" s="395">
        <f t="shared" si="285"/>
        <v>45725.471999999994</v>
      </c>
      <c r="CL54" s="159"/>
      <c r="CM54" s="159">
        <f>IFERROR(SUMIFS('PO Tracker'!$J$44:$J$1433,'PO Tracker'!$K$44:$K$1433,$CI$6,'PO Tracker'!$L$44:$L$1433,'Capex breakup'!$B54),0)</f>
        <v>0</v>
      </c>
      <c r="CN54" s="605">
        <f t="shared" si="286"/>
        <v>0</v>
      </c>
      <c r="CO54" s="118"/>
      <c r="CP54" s="151"/>
      <c r="CQ54" s="151"/>
      <c r="CR54" s="151"/>
      <c r="CS54" s="159">
        <v>100</v>
      </c>
      <c r="CT54" s="395">
        <f t="shared" si="288"/>
        <v>18298.8</v>
      </c>
      <c r="CU54" s="395">
        <f t="shared" si="289"/>
        <v>21592.583999999999</v>
      </c>
      <c r="CV54" s="159"/>
      <c r="CW54" s="159">
        <f>IFERROR(SUMIFS('PO Tracker'!$J$44:$J$1433,'PO Tracker'!$K$44:$K$1433,$CS$6,'PO Tracker'!$L$44:$L$1433,'Capex breakup'!$B54),0)</f>
        <v>0</v>
      </c>
      <c r="CX54" s="605">
        <f t="shared" si="290"/>
        <v>0</v>
      </c>
      <c r="CY54" s="118"/>
      <c r="CZ54" s="151"/>
      <c r="DA54" s="151"/>
      <c r="DB54" s="151"/>
      <c r="DC54" s="159">
        <v>200</v>
      </c>
      <c r="DD54" s="395">
        <f t="shared" si="292"/>
        <v>43055.999999999993</v>
      </c>
      <c r="DE54" s="395">
        <f t="shared" si="293"/>
        <v>50806.079999999987</v>
      </c>
      <c r="DF54" s="159"/>
      <c r="DG54" s="159">
        <f>IFERROR(SUMIFS('PO Tracker'!$J$44:$J$1433,'PO Tracker'!$K$44:$K$1433,$DC$6,'PO Tracker'!$L$44:$L$1433,'Capex breakup'!$B54),0)</f>
        <v>0</v>
      </c>
      <c r="DH54" s="605">
        <f t="shared" si="294"/>
        <v>0</v>
      </c>
      <c r="DI54" s="118"/>
      <c r="DJ54" s="151"/>
      <c r="DK54" s="151"/>
      <c r="DL54" s="151"/>
      <c r="DM54" s="159"/>
      <c r="DN54" s="395">
        <f t="shared" si="296"/>
        <v>0</v>
      </c>
      <c r="DO54" s="159"/>
      <c r="DP54" s="159">
        <f>IFERROR(SUMIFS('PO Tracker'!$J$44:$J$1433,'PO Tracker'!$K$44:$K$1433,$DM$6,'PO Tracker'!$L$44:$L$1433,'Capex breakup'!$B54),0)</f>
        <v>0</v>
      </c>
      <c r="DQ54" s="605" t="str">
        <f t="shared" si="298"/>
        <v/>
      </c>
      <c r="DR54" s="118"/>
      <c r="DS54" s="151"/>
      <c r="DT54" s="151"/>
      <c r="DU54" s="151"/>
      <c r="DV54" s="159">
        <v>41.729818780889616</v>
      </c>
      <c r="DW54" s="395">
        <f>DV54*$DW$2</f>
        <v>54530.423999999985</v>
      </c>
      <c r="DX54" s="395">
        <f t="shared" si="301"/>
        <v>64345.900319999979</v>
      </c>
      <c r="DY54" s="159"/>
      <c r="DZ54" s="159">
        <f>IFERROR(SUMIFS('PO Tracker'!$J$44:$J$1433,'PO Tracker'!$K$44:$K$1433,$DV$6,'PO Tracker'!$L$44:$L$1433,'Capex breakup'!$B54),0)</f>
        <v>0</v>
      </c>
      <c r="EA54" s="605">
        <f t="shared" si="302"/>
        <v>0</v>
      </c>
      <c r="EB54" s="118"/>
      <c r="EC54" s="151"/>
      <c r="ED54" s="151"/>
      <c r="EE54" s="151"/>
      <c r="EF54" s="159">
        <v>100</v>
      </c>
      <c r="EG54" s="395">
        <f t="shared" si="304"/>
        <v>38470.536</v>
      </c>
      <c r="EH54" s="395">
        <f t="shared" si="305"/>
        <v>45395.232479999999</v>
      </c>
      <c r="EI54" s="159"/>
      <c r="EJ54" s="159">
        <f>IFERROR(SUMIFS('PO Tracker'!$J$44:$J$1433,'PO Tracker'!$K$44:$K$1433,$EF$6,'PO Tracker'!$L$44:$L$1433,'Capex breakup'!$B54),0)</f>
        <v>0</v>
      </c>
      <c r="EK54" s="605">
        <f t="shared" si="306"/>
        <v>0</v>
      </c>
      <c r="EL54" s="118"/>
      <c r="EM54" s="387"/>
      <c r="EN54" s="151"/>
      <c r="EO54" s="151"/>
      <c r="EP54" s="159">
        <v>200</v>
      </c>
      <c r="EQ54" s="395">
        <f t="shared" si="307"/>
        <v>76941.072</v>
      </c>
      <c r="ER54" s="395">
        <f t="shared" si="308"/>
        <v>90790.464959999998</v>
      </c>
      <c r="ES54" s="159"/>
      <c r="ET54" s="159">
        <f>IFERROR(SUMIFS('PO Tracker'!$J$44:$J$1433,'PO Tracker'!$K$44:$K$1433,$EP$6,'PO Tracker'!$L$44:$L$1433,'Capex breakup'!$B54),0)</f>
        <v>0</v>
      </c>
      <c r="EU54" s="605">
        <f t="shared" si="309"/>
        <v>0</v>
      </c>
      <c r="EV54" s="118"/>
      <c r="EW54" s="387"/>
      <c r="EX54" s="151"/>
      <c r="EY54" s="151"/>
      <c r="EZ54" s="159">
        <v>100</v>
      </c>
      <c r="FA54" s="395">
        <f t="shared" si="310"/>
        <v>128080.83599999998</v>
      </c>
      <c r="FB54" s="395">
        <f t="shared" si="311"/>
        <v>151135.38647999996</v>
      </c>
      <c r="FC54" s="159"/>
      <c r="FD54" s="159">
        <f>IFERROR(SUMIFS('PO Tracker'!$J$44:$J$1433,'PO Tracker'!$K$44:$K$1433,$EZ$6,'PO Tracker'!$L$44:$L$1433,'Capex breakup'!$B54),0)</f>
        <v>0</v>
      </c>
      <c r="FE54" s="605">
        <f t="shared" si="312"/>
        <v>0</v>
      </c>
      <c r="FF54" s="118"/>
      <c r="FG54" s="318"/>
      <c r="FH54" s="151"/>
      <c r="FI54" s="133">
        <f t="shared" si="314"/>
        <v>0</v>
      </c>
      <c r="FJ54" s="159"/>
      <c r="FK54" s="395">
        <f t="shared" si="316"/>
        <v>0</v>
      </c>
      <c r="FL54" s="159"/>
      <c r="FM54" s="684"/>
      <c r="FN54" s="159"/>
      <c r="FO54" s="685"/>
      <c r="FP54" s="684"/>
      <c r="FQ54" s="159">
        <f t="shared" si="318"/>
        <v>0</v>
      </c>
      <c r="FR54" s="685">
        <f t="shared" si="319"/>
        <v>0</v>
      </c>
      <c r="FS54" s="662">
        <f>IFERROR(SUMIFS('PO Tracker'!$J$44:$J$1433,'PO Tracker'!$K$44:$K$1433,$FJ$6,'PO Tracker'!$L$44:$L$1433,'Capex breakup'!$B54),0)</f>
        <v>0</v>
      </c>
      <c r="FT54" s="736" t="str">
        <f t="shared" si="320"/>
        <v/>
      </c>
      <c r="FU54" s="709"/>
      <c r="FV54" s="151"/>
      <c r="FW54" s="151"/>
      <c r="FX54" s="151"/>
      <c r="FY54" s="159">
        <v>200</v>
      </c>
      <c r="FZ54" s="395">
        <f t="shared" si="322"/>
        <v>44519.903999999995</v>
      </c>
      <c r="GA54" s="395">
        <f t="shared" si="323"/>
        <v>52533.486719999994</v>
      </c>
      <c r="GB54" s="159"/>
      <c r="GC54" s="159">
        <f>IFERROR(SUMIFS('PO Tracker'!$J$44:$J$1433,'PO Tracker'!$K$44:$K$1433,$FY$6,'PO Tracker'!$L$44:$L$1433,'Capex breakup'!$B54),0)</f>
        <v>0</v>
      </c>
      <c r="GD54" s="605">
        <f t="shared" si="324"/>
        <v>0</v>
      </c>
      <c r="GE54" s="118"/>
      <c r="GF54" s="151"/>
      <c r="GG54" s="151"/>
      <c r="GH54" s="151"/>
      <c r="GI54" s="159">
        <v>100</v>
      </c>
      <c r="GJ54" s="395">
        <f t="shared" si="326"/>
        <v>15069.6</v>
      </c>
      <c r="GK54" s="395">
        <f t="shared" si="327"/>
        <v>17782.128000000001</v>
      </c>
      <c r="GL54" s="159"/>
      <c r="GM54" s="159">
        <f>IFERROR(SUMIFS('PO Tracker'!$J$44:$J$1433,'PO Tracker'!$K$44:$K$1433,$GI$6,'PO Tracker'!$L$44:$L$1433,'Capex breakup'!$B54),0)</f>
        <v>0</v>
      </c>
      <c r="GN54" s="605">
        <f t="shared" si="328"/>
        <v>0</v>
      </c>
      <c r="GO54" s="118"/>
      <c r="GP54" s="151"/>
      <c r="GQ54" s="151"/>
      <c r="GR54" s="151"/>
      <c r="GS54" s="159"/>
      <c r="GT54" s="395">
        <v>0</v>
      </c>
      <c r="GU54" s="159"/>
      <c r="GV54" s="159">
        <f>IFERROR(SUMIFS('PO Tracker'!$J$44:$J$1433,'PO Tracker'!$K$44:$K$1433,$GS$6,'PO Tracker'!$L$44:$L$1433,'Capex breakup'!$B54),0)</f>
        <v>0</v>
      </c>
      <c r="GW54" s="605" t="str">
        <f t="shared" si="330"/>
        <v/>
      </c>
      <c r="GX54" s="118"/>
      <c r="GY54" s="151"/>
      <c r="GZ54" s="151"/>
      <c r="HA54" s="133"/>
      <c r="HB54" s="159">
        <v>100</v>
      </c>
      <c r="HC54" s="395">
        <f t="shared" si="331"/>
        <v>333856.22400000005</v>
      </c>
      <c r="HD54" s="159">
        <f t="shared" si="332"/>
        <v>393950.34432000003</v>
      </c>
      <c r="HE54" s="159"/>
      <c r="HF54" s="159">
        <f>IFERROR(SUMIFS('PO Tracker'!$J$44:$J$1433,'PO Tracker'!$K$44:$K$1433,$HB$6,'PO Tracker'!$L$44:$L$1433,'Capex breakup'!$B54),0)</f>
        <v>0</v>
      </c>
      <c r="HG54" s="605">
        <f t="shared" si="333"/>
        <v>0</v>
      </c>
      <c r="HH54" s="118"/>
      <c r="HI54" s="151"/>
      <c r="HJ54" s="151"/>
      <c r="HK54" s="133"/>
      <c r="HL54" s="159">
        <v>200</v>
      </c>
      <c r="HM54" s="395">
        <f t="shared" si="334"/>
        <v>679208.4</v>
      </c>
      <c r="HN54" s="159">
        <f t="shared" si="335"/>
        <v>801465.91200000001</v>
      </c>
      <c r="HO54" s="159">
        <f>IFERROR(SUMIFS('PO Tracker'!$J$44:$J$1433,'PO Tracker'!$K$44:$K$1433,$HL$6,'PO Tracker'!$L$44:$L$1433,'Capex breakup'!$B54),0)</f>
        <v>0</v>
      </c>
      <c r="HP54" s="605">
        <f t="shared" si="336"/>
        <v>0</v>
      </c>
      <c r="HQ54" s="118"/>
      <c r="HR54" s="364"/>
      <c r="HS54" s="364"/>
      <c r="HT54" s="364"/>
      <c r="HU54" s="364"/>
    </row>
    <row r="55" spans="1:229" s="26" customFormat="1" ht="15">
      <c r="A55" s="334"/>
      <c r="B55" s="23" t="s">
        <v>60</v>
      </c>
      <c r="C55" s="121"/>
      <c r="D55" s="154">
        <f>SUM(D46:D54)</f>
        <v>642458.08000000007</v>
      </c>
      <c r="E55" s="154">
        <f>SUM(E46:E54)</f>
        <v>519708</v>
      </c>
      <c r="F55" s="152"/>
      <c r="G55" s="77"/>
      <c r="H55" s="396">
        <f>SUM(H46:H54)</f>
        <v>592445.17799999996</v>
      </c>
      <c r="I55" s="396">
        <f>SUM(I46:I54)</f>
        <v>699085.31003999989</v>
      </c>
      <c r="J55" s="78"/>
      <c r="K55" s="396">
        <f>SUM(K46:K54)</f>
        <v>375122</v>
      </c>
      <c r="L55" s="605">
        <f t="shared" si="254"/>
        <v>0.53658973320228465</v>
      </c>
      <c r="M55" s="121"/>
      <c r="N55" s="154">
        <f>SUM(N46:N54)</f>
        <v>642458.08000000007</v>
      </c>
      <c r="O55" s="154">
        <f>SUM(O46:O54)</f>
        <v>519708</v>
      </c>
      <c r="P55" s="152"/>
      <c r="Q55" s="77"/>
      <c r="R55" s="396">
        <f>SUM(R46:R54)</f>
        <v>1402693.4376000001</v>
      </c>
      <c r="S55" s="396">
        <f>SUM(S46:S54)</f>
        <v>1655178.2563680001</v>
      </c>
      <c r="T55" s="78"/>
      <c r="U55" s="396">
        <f>SUM(U46:U54)</f>
        <v>777423.34</v>
      </c>
      <c r="V55" s="605">
        <f t="shared" si="258"/>
        <v>0.46969160995741926</v>
      </c>
      <c r="W55" s="121"/>
      <c r="X55" s="151">
        <v>224000.00000000003</v>
      </c>
      <c r="Y55" s="151">
        <f>X55/112%</f>
        <v>200000</v>
      </c>
      <c r="Z55" s="133">
        <f t="shared" si="260"/>
        <v>75.866777937940981</v>
      </c>
      <c r="AA55" s="77"/>
      <c r="AB55" s="396">
        <f>SUM(AB46:AB54)</f>
        <v>5561220.5999999996</v>
      </c>
      <c r="AC55" s="396">
        <f>SUM(AC46:AC54)</f>
        <v>6562240.3079999983</v>
      </c>
      <c r="AD55" s="78"/>
      <c r="AE55" s="396">
        <f>SUM(AE46:AE54)</f>
        <v>758300.51</v>
      </c>
      <c r="AF55" s="605">
        <f t="shared" si="262"/>
        <v>0.11555512666544064</v>
      </c>
      <c r="AG55" s="121"/>
      <c r="AH55" s="154">
        <f>SUM(AH46:AH54)</f>
        <v>642458.08000000007</v>
      </c>
      <c r="AI55" s="154">
        <f>SUM(AI46:AI54)</f>
        <v>519708</v>
      </c>
      <c r="AJ55" s="152"/>
      <c r="AK55" s="77"/>
      <c r="AL55" s="396">
        <f>SUM(AL46:AL54)</f>
        <v>2058197.3567999997</v>
      </c>
      <c r="AM55" s="396">
        <f>SUM(AM46:AM54)</f>
        <v>2428672.8810239998</v>
      </c>
      <c r="AN55" s="78"/>
      <c r="AO55" s="396">
        <f>SUM(AO46:AO54)</f>
        <v>94252.5</v>
      </c>
      <c r="AP55" s="605">
        <f t="shared" si="266"/>
        <v>3.8808231745174497E-2</v>
      </c>
      <c r="AQ55" s="121"/>
      <c r="AR55" s="290">
        <f>SUM(AR46:AR53)</f>
        <v>141600</v>
      </c>
      <c r="AS55" s="290">
        <f>SUM(AS46:AS53)</f>
        <v>120000</v>
      </c>
      <c r="AT55" s="289"/>
      <c r="AU55" s="77"/>
      <c r="AV55" s="396">
        <f>SUM(AV46:AV54)</f>
        <v>1356452.3699999999</v>
      </c>
      <c r="AW55" s="396">
        <f>SUM(AW46:AW54)</f>
        <v>1600613.7966</v>
      </c>
      <c r="AX55" s="78"/>
      <c r="AY55" s="396">
        <f>SUM(AY46:AY54)</f>
        <v>0</v>
      </c>
      <c r="AZ55" s="605">
        <f t="shared" si="271"/>
        <v>0</v>
      </c>
      <c r="BA55" s="121"/>
      <c r="BB55" s="154">
        <f>SUM(BB46:BB53)</f>
        <v>417860.42</v>
      </c>
      <c r="BC55" s="154">
        <f>SUM(BC46:BC53)</f>
        <v>354119</v>
      </c>
      <c r="BD55" s="152"/>
      <c r="BE55" s="77"/>
      <c r="BF55" s="396">
        <f>SUM(BF46:BF54)</f>
        <v>256534.10639999999</v>
      </c>
      <c r="BG55" s="396">
        <f>SUM(BG46:BG54)</f>
        <v>302710.24555199995</v>
      </c>
      <c r="BH55" s="78"/>
      <c r="BI55" s="396">
        <f>SUM(BI46:BI54)</f>
        <v>0</v>
      </c>
      <c r="BJ55" s="605">
        <f t="shared" si="275"/>
        <v>0</v>
      </c>
      <c r="BK55" s="121"/>
      <c r="BL55" s="154"/>
      <c r="BM55" s="154"/>
      <c r="BN55" s="152"/>
      <c r="BO55" s="77"/>
      <c r="BP55" s="396">
        <f>SUM(BP46:BP54)</f>
        <v>1000621.44</v>
      </c>
      <c r="BQ55" s="396">
        <f>SUM(BQ46:BQ54)</f>
        <v>1180733.2991999995</v>
      </c>
      <c r="BR55" s="78"/>
      <c r="BS55" s="396">
        <f>SUM(BS46:BS54)</f>
        <v>0</v>
      </c>
      <c r="BT55" s="605">
        <f t="shared" si="278"/>
        <v>0</v>
      </c>
      <c r="BU55" s="121"/>
      <c r="BV55" s="154">
        <f>SUM(BV46:BV53)</f>
        <v>59000</v>
      </c>
      <c r="BW55" s="154">
        <f>SUM(BW46:BW53)</f>
        <v>50000</v>
      </c>
      <c r="BX55" s="152"/>
      <c r="BY55" s="77"/>
      <c r="BZ55" s="396">
        <f>SUM(BZ46:BZ54)</f>
        <v>279810.17999999993</v>
      </c>
      <c r="CA55" s="396">
        <f>SUM(CA46:CA54)</f>
        <v>330176.01239999995</v>
      </c>
      <c r="CB55" s="78"/>
      <c r="CC55" s="396">
        <f>SUM(CC46:CC54)</f>
        <v>0</v>
      </c>
      <c r="CD55" s="605">
        <f t="shared" si="282"/>
        <v>0</v>
      </c>
      <c r="CE55" s="121"/>
      <c r="CF55" s="154">
        <f>SUM(CF46:CF53)</f>
        <v>225309.2</v>
      </c>
      <c r="CG55" s="154">
        <f>SUM(CG46:CG53)</f>
        <v>190940</v>
      </c>
      <c r="CH55" s="152"/>
      <c r="CI55" s="77"/>
      <c r="CJ55" s="396">
        <f>SUM(CJ46:CJ54)</f>
        <v>155001.59999999998</v>
      </c>
      <c r="CK55" s="396">
        <f>SUM(CK46:CK54)</f>
        <v>182901.88799999998</v>
      </c>
      <c r="CL55" s="78"/>
      <c r="CM55" s="396">
        <f>SUM(CM46:CM54)</f>
        <v>0</v>
      </c>
      <c r="CN55" s="605">
        <f t="shared" si="286"/>
        <v>0</v>
      </c>
      <c r="CO55" s="121"/>
      <c r="CP55" s="154">
        <f>SUM(CP46:CP53)</f>
        <v>0</v>
      </c>
      <c r="CQ55" s="154">
        <f>SUM(CQ46:CQ53)</f>
        <v>0</v>
      </c>
      <c r="CR55" s="152"/>
      <c r="CS55" s="77"/>
      <c r="CT55" s="396">
        <f>SUM(CT46:CT54)</f>
        <v>18298.8</v>
      </c>
      <c r="CU55" s="396">
        <f>SUM(CU46:CU54)</f>
        <v>21592.583999999999</v>
      </c>
      <c r="CV55" s="78"/>
      <c r="CW55" s="396">
        <f>SUM(CW46:CW54)</f>
        <v>0</v>
      </c>
      <c r="CX55" s="605">
        <f t="shared" si="290"/>
        <v>0</v>
      </c>
      <c r="CY55" s="121"/>
      <c r="CZ55" s="154">
        <f>SUM(CZ46:CZ53)</f>
        <v>225309.2</v>
      </c>
      <c r="DA55" s="154">
        <f>SUM(DA46:DA53)</f>
        <v>190940</v>
      </c>
      <c r="DB55" s="152"/>
      <c r="DC55" s="77"/>
      <c r="DD55" s="396">
        <f>SUM(DD46:DD54)</f>
        <v>172223.99999999997</v>
      </c>
      <c r="DE55" s="396">
        <f>SUM(DE46:DE54)</f>
        <v>203224.31999999995</v>
      </c>
      <c r="DF55" s="78"/>
      <c r="DG55" s="396">
        <f>SUM(DG46:DG54)</f>
        <v>447613.34</v>
      </c>
      <c r="DH55" s="605">
        <f t="shared" si="294"/>
        <v>2.2025579418841215</v>
      </c>
      <c r="DI55" s="121"/>
      <c r="DJ55" s="154">
        <f>SUM(DJ46:DJ53)</f>
        <v>0</v>
      </c>
      <c r="DK55" s="154">
        <f>SUM(DK46:DK53)</f>
        <v>0</v>
      </c>
      <c r="DL55" s="152"/>
      <c r="DM55" s="77"/>
      <c r="DN55" s="396">
        <f>SUM(DN46:DN54)</f>
        <v>0</v>
      </c>
      <c r="DO55" s="396">
        <f>SUM(DO46:DO54)</f>
        <v>0</v>
      </c>
      <c r="DP55" s="396">
        <f>SUM(DP46:DP54)</f>
        <v>0</v>
      </c>
      <c r="DQ55" s="605" t="str">
        <f t="shared" si="298"/>
        <v/>
      </c>
      <c r="DR55" s="121"/>
      <c r="DS55" s="154">
        <f>SUM(DS46:DS53)</f>
        <v>225309.2</v>
      </c>
      <c r="DT55" s="154">
        <f>SUM(DT46:DT53)</f>
        <v>190940</v>
      </c>
      <c r="DU55" s="152"/>
      <c r="DV55" s="77"/>
      <c r="DW55" s="396">
        <f>SUM(DW46:DW54)</f>
        <v>969255.14399999985</v>
      </c>
      <c r="DX55" s="396">
        <f>SUM(DX46:DX54)</f>
        <v>1143721.0699199997</v>
      </c>
      <c r="DY55" s="78"/>
      <c r="DZ55" s="396">
        <f>SUM(DZ46:DZ54)</f>
        <v>19635.2</v>
      </c>
      <c r="EA55" s="605">
        <f t="shared" si="302"/>
        <v>1.7167822222050551E-2</v>
      </c>
      <c r="EB55" s="121"/>
      <c r="EC55" s="154">
        <f>SUM(EC46:EC53)</f>
        <v>225309.2</v>
      </c>
      <c r="ED55" s="154">
        <f>SUM(ED46:ED53)</f>
        <v>190940</v>
      </c>
      <c r="EE55" s="152"/>
      <c r="EF55" s="77"/>
      <c r="EG55" s="396">
        <f>SUM(EG46:EG54)</f>
        <v>507811.07520000002</v>
      </c>
      <c r="EH55" s="396">
        <f>SUM(EH46:EH54)</f>
        <v>599217.06873599999</v>
      </c>
      <c r="EI55" s="78"/>
      <c r="EJ55" s="396">
        <f>SUM(EJ46:EJ54)</f>
        <v>199184</v>
      </c>
      <c r="EK55" s="605">
        <f t="shared" si="306"/>
        <v>0.33240708650066086</v>
      </c>
      <c r="EL55" s="121"/>
      <c r="EM55" s="154">
        <f>SUM(EM46:EM54)</f>
        <v>0</v>
      </c>
      <c r="EN55" s="154">
        <f>SUM(EN46:EN54)</f>
        <v>0</v>
      </c>
      <c r="EO55" s="152"/>
      <c r="EP55" s="77"/>
      <c r="EQ55" s="396">
        <f>SUM(EQ46:EQ54)</f>
        <v>819422.41680000001</v>
      </c>
      <c r="ER55" s="396">
        <f>SUM(ER46:ER54)</f>
        <v>966918.45182399999</v>
      </c>
      <c r="ES55" s="78"/>
      <c r="ET55" s="396">
        <f>SUM(ET46:ET54)</f>
        <v>114495.4</v>
      </c>
      <c r="EU55" s="605">
        <f t="shared" si="309"/>
        <v>0.11841267459940936</v>
      </c>
      <c r="EV55" s="121"/>
      <c r="EW55" s="154">
        <f>SUM(EW46:EW54)</f>
        <v>0</v>
      </c>
      <c r="EX55" s="154">
        <f>SUM(EX46:EX54)</f>
        <v>0</v>
      </c>
      <c r="EY55" s="152"/>
      <c r="EZ55" s="77"/>
      <c r="FA55" s="396">
        <f>SUM(FA46:FA54)</f>
        <v>1882788.2891999993</v>
      </c>
      <c r="FB55" s="396">
        <f>SUM(FB46:FB54)</f>
        <v>2221690.181255999</v>
      </c>
      <c r="FC55" s="78"/>
      <c r="FD55" s="396">
        <f>SUM(FD46:FD54)</f>
        <v>348985</v>
      </c>
      <c r="FE55" s="605">
        <f t="shared" si="312"/>
        <v>0.15708085805317221</v>
      </c>
      <c r="FF55" s="122"/>
      <c r="FG55" s="318">
        <v>224000.00000000003</v>
      </c>
      <c r="FH55" s="151">
        <f>FG55/112%</f>
        <v>200000</v>
      </c>
      <c r="FI55" s="133">
        <f t="shared" si="314"/>
        <v>75.866777937940981</v>
      </c>
      <c r="FJ55" s="77"/>
      <c r="FK55" s="396">
        <f>SUM(FK46:FK54)</f>
        <v>6235725.630144299</v>
      </c>
      <c r="FL55" s="390">
        <f>SUM(FL46:FL54)</f>
        <v>7358156.2435702728</v>
      </c>
      <c r="FM55" s="692"/>
      <c r="FN55" s="396">
        <f>SUM(FN46:FN54)</f>
        <v>1491186.7915939612</v>
      </c>
      <c r="FO55" s="687">
        <f>SUM(FO46:FO54)</f>
        <v>1759600.4140808741</v>
      </c>
      <c r="FP55" s="692"/>
      <c r="FQ55" s="396">
        <f>SUM(FQ46:FQ54)</f>
        <v>4744538.8385503376</v>
      </c>
      <c r="FR55" s="687">
        <f>SUM(FR46:FR54)</f>
        <v>5598555.8294893987</v>
      </c>
      <c r="FS55" s="665">
        <f>SUM(FS46:FS54)</f>
        <v>0</v>
      </c>
      <c r="FT55" s="736">
        <f t="shared" si="320"/>
        <v>0</v>
      </c>
      <c r="FU55" s="712"/>
      <c r="FV55" s="154">
        <f>SUM(FV46:FV53)</f>
        <v>225309.2</v>
      </c>
      <c r="FW55" s="154">
        <f>SUM(FW46:FW53)</f>
        <v>190940</v>
      </c>
      <c r="FX55" s="152"/>
      <c r="FY55" s="77"/>
      <c r="FZ55" s="396">
        <f>SUM(FZ46:FZ54)</f>
        <v>122429.73599999999</v>
      </c>
      <c r="GA55" s="396">
        <f>SUM(GA46:GA54)</f>
        <v>144467.08847999998</v>
      </c>
      <c r="GB55" s="78"/>
      <c r="GC55" s="396">
        <f>SUM(GC46:GC54)</f>
        <v>187679</v>
      </c>
      <c r="GD55" s="605">
        <f t="shared" si="324"/>
        <v>1.2991124966568581</v>
      </c>
      <c r="GE55" s="121"/>
      <c r="GF55" s="154">
        <f>SUM(GF46:GF53)</f>
        <v>0</v>
      </c>
      <c r="GG55" s="154">
        <f>SUM(GG46:GG53)</f>
        <v>0</v>
      </c>
      <c r="GH55" s="152"/>
      <c r="GI55" s="77"/>
      <c r="GJ55" s="396">
        <f>SUM(GJ46:GJ54)</f>
        <v>60278.400000000001</v>
      </c>
      <c r="GK55" s="396">
        <f>SUM(GK46:GK54)</f>
        <v>71128.512000000002</v>
      </c>
      <c r="GL55" s="78"/>
      <c r="GM55" s="396">
        <f>SUM(GM46:GM54)</f>
        <v>1017907.34</v>
      </c>
      <c r="GN55" s="605">
        <f t="shared" si="328"/>
        <v>14.310820111068821</v>
      </c>
      <c r="GO55" s="121"/>
      <c r="GP55" s="154">
        <f>SUM(GP46:GP53)</f>
        <v>0</v>
      </c>
      <c r="GQ55" s="154">
        <f>SUM(GQ46:GQ53)</f>
        <v>0</v>
      </c>
      <c r="GR55" s="152"/>
      <c r="GS55" s="77"/>
      <c r="GT55" s="396">
        <v>0</v>
      </c>
      <c r="GU55" s="396">
        <v>0</v>
      </c>
      <c r="GV55" s="396">
        <f>SUM(GV46:GV54)</f>
        <v>0</v>
      </c>
      <c r="GW55" s="605" t="str">
        <f t="shared" si="330"/>
        <v/>
      </c>
      <c r="GX55" s="121"/>
      <c r="GY55" s="151"/>
      <c r="GZ55" s="151"/>
      <c r="HA55" s="133"/>
      <c r="HB55" s="77"/>
      <c r="HC55" s="396">
        <f>SUM(HC46:HC54)</f>
        <v>9281203.0272000004</v>
      </c>
      <c r="HD55" s="396">
        <f>SUM(HD46:HD54)</f>
        <v>10951819.572095998</v>
      </c>
      <c r="HE55" s="396"/>
      <c r="HF55" s="396">
        <f>SUM(HF46:HF54)</f>
        <v>6539536.4000000004</v>
      </c>
      <c r="HG55" s="605">
        <f t="shared" si="333"/>
        <v>0.59711871227882551</v>
      </c>
      <c r="HH55" s="121"/>
      <c r="HI55" s="151"/>
      <c r="HJ55" s="151"/>
      <c r="HK55" s="133"/>
      <c r="HL55" s="77"/>
      <c r="HM55" s="396">
        <f>SUM(HM46:HM54)</f>
        <v>9169313.4000000004</v>
      </c>
      <c r="HN55" s="396">
        <f>SUM(HN46:HN54)</f>
        <v>10819789.812000001</v>
      </c>
      <c r="HO55" s="396">
        <f>SUM(HO46:HO54)</f>
        <v>0</v>
      </c>
      <c r="HP55" s="605">
        <f t="shared" si="336"/>
        <v>0</v>
      </c>
      <c r="HQ55" s="121"/>
      <c r="HR55" s="23"/>
      <c r="HS55" s="23"/>
      <c r="HT55" s="23"/>
      <c r="HU55" s="23"/>
    </row>
    <row r="56" spans="1:229" ht="15">
      <c r="A56" s="18"/>
      <c r="B56" s="19"/>
      <c r="C56" s="118"/>
      <c r="D56" s="148"/>
      <c r="E56" s="148"/>
      <c r="F56" s="151"/>
      <c r="G56" s="159"/>
      <c r="H56" s="395"/>
      <c r="I56" s="395"/>
      <c r="J56" s="159"/>
      <c r="K56" s="159"/>
      <c r="L56" s="159"/>
      <c r="M56" s="118"/>
      <c r="N56" s="148"/>
      <c r="O56" s="148"/>
      <c r="P56" s="151"/>
      <c r="Q56" s="159"/>
      <c r="R56" s="395"/>
      <c r="S56" s="395"/>
      <c r="T56" s="159"/>
      <c r="U56" s="159"/>
      <c r="V56" s="605"/>
      <c r="W56" s="118"/>
      <c r="X56" s="154">
        <f>SUM(X46:X55)</f>
        <v>6048000</v>
      </c>
      <c r="Y56" s="154">
        <f>SUM(Y46:Y55)</f>
        <v>5400000</v>
      </c>
      <c r="Z56" s="152"/>
      <c r="AA56" s="159"/>
      <c r="AB56" s="395"/>
      <c r="AC56" s="395"/>
      <c r="AD56" s="159"/>
      <c r="AE56" s="159"/>
      <c r="AF56" s="605"/>
      <c r="AG56" s="118"/>
      <c r="AH56" s="148"/>
      <c r="AI56" s="148"/>
      <c r="AJ56" s="151"/>
      <c r="AK56" s="159"/>
      <c r="AL56" s="395"/>
      <c r="AM56" s="395"/>
      <c r="AN56" s="159"/>
      <c r="AO56" s="159"/>
      <c r="AP56" s="605"/>
      <c r="AQ56" s="118"/>
      <c r="AR56" s="292"/>
      <c r="AS56" s="292"/>
      <c r="AT56" s="287"/>
      <c r="AU56" s="159"/>
      <c r="AV56" s="395"/>
      <c r="AW56" s="395"/>
      <c r="AX56" s="159"/>
      <c r="AY56" s="159"/>
      <c r="AZ56" s="605"/>
      <c r="BA56" s="118"/>
      <c r="BB56" s="148"/>
      <c r="BC56" s="148"/>
      <c r="BD56" s="151"/>
      <c r="BE56" s="159"/>
      <c r="BF56" s="395"/>
      <c r="BG56" s="395"/>
      <c r="BH56" s="159"/>
      <c r="BI56" s="159"/>
      <c r="BJ56" s="605"/>
      <c r="BK56" s="118"/>
      <c r="BL56" s="148"/>
      <c r="BM56" s="148"/>
      <c r="BN56" s="151"/>
      <c r="BO56" s="159"/>
      <c r="BP56" s="395"/>
      <c r="BQ56" s="395"/>
      <c r="BR56" s="159"/>
      <c r="BS56" s="159"/>
      <c r="BT56" s="605"/>
      <c r="BU56" s="118"/>
      <c r="BV56" s="148"/>
      <c r="BW56" s="148"/>
      <c r="BX56" s="151"/>
      <c r="BY56" s="159"/>
      <c r="BZ56" s="395"/>
      <c r="CA56" s="395"/>
      <c r="CB56" s="159"/>
      <c r="CC56" s="159"/>
      <c r="CD56" s="605"/>
      <c r="CE56" s="118"/>
      <c r="CF56" s="148"/>
      <c r="CG56" s="148"/>
      <c r="CH56" s="151"/>
      <c r="CI56" s="159"/>
      <c r="CJ56" s="395"/>
      <c r="CK56" s="395"/>
      <c r="CL56" s="159"/>
      <c r="CM56" s="159"/>
      <c r="CN56" s="605"/>
      <c r="CO56" s="118"/>
      <c r="CP56" s="148"/>
      <c r="CQ56" s="148"/>
      <c r="CR56" s="151"/>
      <c r="CS56" s="159"/>
      <c r="CT56" s="395"/>
      <c r="CU56" s="395"/>
      <c r="CV56" s="159"/>
      <c r="CW56" s="159"/>
      <c r="CX56" s="605"/>
      <c r="CY56" s="118"/>
      <c r="CZ56" s="148"/>
      <c r="DA56" s="148"/>
      <c r="DB56" s="151"/>
      <c r="DC56" s="159"/>
      <c r="DD56" s="395"/>
      <c r="DE56" s="395"/>
      <c r="DF56" s="159"/>
      <c r="DG56" s="159"/>
      <c r="DH56" s="605"/>
      <c r="DI56" s="118"/>
      <c r="DJ56" s="148"/>
      <c r="DK56" s="148"/>
      <c r="DL56" s="151"/>
      <c r="DM56" s="159"/>
      <c r="DN56" s="395"/>
      <c r="DO56" s="159"/>
      <c r="DP56" s="159"/>
      <c r="DQ56" s="605"/>
      <c r="DR56" s="118"/>
      <c r="DS56" s="148"/>
      <c r="DT56" s="148"/>
      <c r="DU56" s="151"/>
      <c r="DV56" s="159"/>
      <c r="DW56" s="395"/>
      <c r="DX56" s="395"/>
      <c r="DY56" s="159"/>
      <c r="DZ56" s="159"/>
      <c r="EA56" s="605"/>
      <c r="EB56" s="118"/>
      <c r="EC56" s="148"/>
      <c r="ED56" s="148"/>
      <c r="EE56" s="151"/>
      <c r="EF56" s="159"/>
      <c r="EG56" s="395"/>
      <c r="EH56" s="395"/>
      <c r="EI56" s="159"/>
      <c r="EJ56" s="159"/>
      <c r="EK56" s="605"/>
      <c r="EL56" s="118"/>
      <c r="EM56" s="148"/>
      <c r="EN56" s="148"/>
      <c r="EO56" s="151"/>
      <c r="EP56" s="159"/>
      <c r="EQ56" s="395"/>
      <c r="ER56" s="395"/>
      <c r="ES56" s="159"/>
      <c r="ET56" s="159"/>
      <c r="EU56" s="605"/>
      <c r="EV56" s="118"/>
      <c r="EW56" s="148"/>
      <c r="EX56" s="148"/>
      <c r="EY56" s="151"/>
      <c r="EZ56" s="159"/>
      <c r="FA56" s="395"/>
      <c r="FB56" s="395"/>
      <c r="FC56" s="159"/>
      <c r="FD56" s="159"/>
      <c r="FE56" s="605"/>
      <c r="FF56" s="118"/>
      <c r="FG56" s="739">
        <f>SUM(FG46:FG55)</f>
        <v>6048000</v>
      </c>
      <c r="FH56" s="154">
        <f>SUM(FH46:FH55)</f>
        <v>5400000</v>
      </c>
      <c r="FI56" s="152"/>
      <c r="FJ56" s="159"/>
      <c r="FK56" s="395"/>
      <c r="FL56" s="159"/>
      <c r="FM56" s="684"/>
      <c r="FN56" s="159"/>
      <c r="FO56" s="685"/>
      <c r="FP56" s="684"/>
      <c r="FQ56" s="159"/>
      <c r="FR56" s="685"/>
      <c r="FS56" s="662"/>
      <c r="FT56" s="736"/>
      <c r="FU56" s="709"/>
      <c r="FV56" s="148"/>
      <c r="FW56" s="148"/>
      <c r="FX56" s="151"/>
      <c r="FY56" s="159"/>
      <c r="FZ56" s="395"/>
      <c r="GA56" s="395"/>
      <c r="GB56" s="159"/>
      <c r="GC56" s="159"/>
      <c r="GD56" s="605"/>
      <c r="GE56" s="118"/>
      <c r="GF56" s="148"/>
      <c r="GG56" s="148"/>
      <c r="GH56" s="151"/>
      <c r="GI56" s="159"/>
      <c r="GJ56" s="395"/>
      <c r="GK56" s="395"/>
      <c r="GL56" s="159"/>
      <c r="GM56" s="159"/>
      <c r="GN56" s="605"/>
      <c r="GO56" s="118"/>
      <c r="GP56" s="148"/>
      <c r="GQ56" s="148"/>
      <c r="GR56" s="151"/>
      <c r="GS56" s="159"/>
      <c r="GT56" s="395"/>
      <c r="GU56" s="159"/>
      <c r="GV56" s="159"/>
      <c r="GW56" s="605"/>
      <c r="GX56" s="118"/>
      <c r="GY56" s="154">
        <f>SUM(GY46:GY55)</f>
        <v>0</v>
      </c>
      <c r="GZ56" s="154">
        <f>SUM(GZ46:GZ55)</f>
        <v>0</v>
      </c>
      <c r="HA56" s="152"/>
      <c r="HB56" s="159"/>
      <c r="HC56" s="395"/>
      <c r="HD56" s="159"/>
      <c r="HE56" s="159"/>
      <c r="HF56" s="159"/>
      <c r="HG56" s="605"/>
      <c r="HH56" s="118"/>
      <c r="HI56" s="154">
        <f>SUM(HI46:HI55)</f>
        <v>0</v>
      </c>
      <c r="HJ56" s="154">
        <f>SUM(HJ46:HJ55)</f>
        <v>0</v>
      </c>
      <c r="HK56" s="152"/>
      <c r="HL56" s="159"/>
      <c r="HM56" s="395"/>
      <c r="HN56" s="159"/>
      <c r="HO56" s="159"/>
      <c r="HP56" s="605"/>
      <c r="HQ56" s="118"/>
      <c r="HR56" s="364"/>
      <c r="HS56" s="364"/>
      <c r="HT56" s="364"/>
      <c r="HU56" s="364"/>
    </row>
    <row r="57" spans="1:229" ht="15">
      <c r="A57" s="13" t="s">
        <v>56</v>
      </c>
      <c r="B57" s="14" t="s">
        <v>68</v>
      </c>
      <c r="C57" s="123"/>
      <c r="D57" s="153"/>
      <c r="E57" s="153"/>
      <c r="F57" s="153"/>
      <c r="G57" s="153"/>
      <c r="H57" s="397"/>
      <c r="I57" s="397"/>
      <c r="J57" s="153"/>
      <c r="K57" s="608"/>
      <c r="L57" s="608"/>
      <c r="M57" s="123"/>
      <c r="N57" s="153"/>
      <c r="O57" s="153"/>
      <c r="P57" s="153"/>
      <c r="Q57" s="153"/>
      <c r="R57" s="397"/>
      <c r="S57" s="397"/>
      <c r="T57" s="153"/>
      <c r="U57" s="608"/>
      <c r="V57" s="620"/>
      <c r="W57" s="123"/>
      <c r="X57" s="153"/>
      <c r="Y57" s="153"/>
      <c r="Z57" s="153"/>
      <c r="AA57" s="153"/>
      <c r="AB57" s="397"/>
      <c r="AC57" s="397"/>
      <c r="AD57" s="153"/>
      <c r="AE57" s="608"/>
      <c r="AF57" s="620"/>
      <c r="AG57" s="123"/>
      <c r="AH57" s="153"/>
      <c r="AI57" s="153"/>
      <c r="AJ57" s="153"/>
      <c r="AK57" s="153"/>
      <c r="AL57" s="397"/>
      <c r="AM57" s="397"/>
      <c r="AN57" s="153"/>
      <c r="AO57" s="608"/>
      <c r="AP57" s="620"/>
      <c r="AQ57" s="123"/>
      <c r="AR57" s="293"/>
      <c r="AS57" s="293"/>
      <c r="AT57" s="293"/>
      <c r="AU57" s="153"/>
      <c r="AV57" s="397"/>
      <c r="AW57" s="397"/>
      <c r="AX57" s="153"/>
      <c r="AY57" s="608"/>
      <c r="AZ57" s="620"/>
      <c r="BA57" s="123"/>
      <c r="BB57" s="153"/>
      <c r="BC57" s="153"/>
      <c r="BD57" s="153"/>
      <c r="BE57" s="153"/>
      <c r="BF57" s="397"/>
      <c r="BG57" s="397"/>
      <c r="BH57" s="153"/>
      <c r="BI57" s="608"/>
      <c r="BJ57" s="620"/>
      <c r="BK57" s="123"/>
      <c r="BL57" s="153"/>
      <c r="BM57" s="153"/>
      <c r="BN57" s="153"/>
      <c r="BO57" s="153"/>
      <c r="BP57" s="397"/>
      <c r="BQ57" s="397"/>
      <c r="BR57" s="153"/>
      <c r="BS57" s="608"/>
      <c r="BT57" s="620"/>
      <c r="BU57" s="123"/>
      <c r="BV57" s="153"/>
      <c r="BW57" s="153"/>
      <c r="BX57" s="153"/>
      <c r="BY57" s="153"/>
      <c r="BZ57" s="397"/>
      <c r="CA57" s="397"/>
      <c r="CB57" s="153"/>
      <c r="CC57" s="608"/>
      <c r="CD57" s="620"/>
      <c r="CE57" s="123"/>
      <c r="CF57" s="153"/>
      <c r="CG57" s="153"/>
      <c r="CH57" s="153"/>
      <c r="CI57" s="153"/>
      <c r="CJ57" s="397"/>
      <c r="CK57" s="397"/>
      <c r="CL57" s="153"/>
      <c r="CM57" s="608"/>
      <c r="CN57" s="620"/>
      <c r="CO57" s="123"/>
      <c r="CP57" s="153"/>
      <c r="CQ57" s="153"/>
      <c r="CR57" s="153"/>
      <c r="CS57" s="153"/>
      <c r="CT57" s="397"/>
      <c r="CU57" s="397"/>
      <c r="CV57" s="153"/>
      <c r="CW57" s="608"/>
      <c r="CX57" s="620"/>
      <c r="CY57" s="123"/>
      <c r="CZ57" s="153"/>
      <c r="DA57" s="153"/>
      <c r="DB57" s="153"/>
      <c r="DC57" s="153"/>
      <c r="DD57" s="397"/>
      <c r="DE57" s="397"/>
      <c r="DF57" s="153"/>
      <c r="DG57" s="608"/>
      <c r="DH57" s="620"/>
      <c r="DI57" s="123"/>
      <c r="DJ57" s="153"/>
      <c r="DK57" s="153"/>
      <c r="DL57" s="153"/>
      <c r="DM57" s="153"/>
      <c r="DN57" s="397"/>
      <c r="DO57" s="153"/>
      <c r="DP57" s="608"/>
      <c r="DQ57" s="620"/>
      <c r="DR57" s="123"/>
      <c r="DS57" s="153"/>
      <c r="DT57" s="153"/>
      <c r="DU57" s="153"/>
      <c r="DV57" s="153"/>
      <c r="DW57" s="397"/>
      <c r="DX57" s="397"/>
      <c r="DY57" s="153"/>
      <c r="DZ57" s="608"/>
      <c r="EA57" s="620"/>
      <c r="EB57" s="123"/>
      <c r="EC57" s="153"/>
      <c r="ED57" s="153"/>
      <c r="EE57" s="153"/>
      <c r="EF57" s="153"/>
      <c r="EG57" s="397"/>
      <c r="EH57" s="397"/>
      <c r="EI57" s="153"/>
      <c r="EJ57" s="608"/>
      <c r="EK57" s="620"/>
      <c r="EL57" s="123"/>
      <c r="EM57" s="153"/>
      <c r="EN57" s="153"/>
      <c r="EO57" s="153"/>
      <c r="EP57" s="153"/>
      <c r="EQ57" s="397"/>
      <c r="ER57" s="397"/>
      <c r="ES57" s="153"/>
      <c r="ET57" s="608"/>
      <c r="EU57" s="620"/>
      <c r="EV57" s="123"/>
      <c r="EW57" s="153"/>
      <c r="EX57" s="153"/>
      <c r="EY57" s="153"/>
      <c r="EZ57" s="153"/>
      <c r="FA57" s="397"/>
      <c r="FB57" s="397"/>
      <c r="FC57" s="153"/>
      <c r="FD57" s="608"/>
      <c r="FE57" s="620"/>
      <c r="FF57" s="123"/>
      <c r="FG57" s="323"/>
      <c r="FH57" s="608"/>
      <c r="FI57" s="608"/>
      <c r="FJ57" s="608"/>
      <c r="FK57" s="397"/>
      <c r="FL57" s="608"/>
      <c r="FM57" s="323"/>
      <c r="FN57" s="608"/>
      <c r="FO57" s="41"/>
      <c r="FP57" s="323"/>
      <c r="FQ57" s="608"/>
      <c r="FR57" s="41"/>
      <c r="FS57" s="666"/>
      <c r="FT57" s="738"/>
      <c r="FU57" s="714"/>
      <c r="FV57" s="153"/>
      <c r="FW57" s="153"/>
      <c r="FX57" s="153"/>
      <c r="FY57" s="153"/>
      <c r="FZ57" s="397"/>
      <c r="GA57" s="397"/>
      <c r="GB57" s="153"/>
      <c r="GC57" s="608"/>
      <c r="GD57" s="620"/>
      <c r="GE57" s="123"/>
      <c r="GF57" s="153"/>
      <c r="GG57" s="153"/>
      <c r="GH57" s="153"/>
      <c r="GI57" s="153"/>
      <c r="GJ57" s="397"/>
      <c r="GK57" s="397"/>
      <c r="GL57" s="153"/>
      <c r="GM57" s="608"/>
      <c r="GN57" s="620"/>
      <c r="GO57" s="123"/>
      <c r="GP57" s="153"/>
      <c r="GQ57" s="153"/>
      <c r="GR57" s="153"/>
      <c r="GS57" s="153"/>
      <c r="GT57" s="397"/>
      <c r="GU57" s="153"/>
      <c r="GV57" s="608"/>
      <c r="GW57" s="620"/>
      <c r="GX57" s="123"/>
      <c r="GY57" s="153"/>
      <c r="GZ57" s="153"/>
      <c r="HA57" s="153"/>
      <c r="HB57" s="153"/>
      <c r="HC57" s="397"/>
      <c r="HD57" s="153"/>
      <c r="HE57" s="153"/>
      <c r="HF57" s="608"/>
      <c r="HG57" s="620"/>
      <c r="HH57" s="123"/>
      <c r="HI57" s="153"/>
      <c r="HJ57" s="153"/>
      <c r="HK57" s="153"/>
      <c r="HL57" s="153"/>
      <c r="HM57" s="397"/>
      <c r="HN57" s="153"/>
      <c r="HO57" s="608"/>
      <c r="HP57" s="620"/>
      <c r="HQ57" s="123"/>
      <c r="HR57" s="150"/>
      <c r="HS57" s="150"/>
      <c r="HT57" s="150"/>
      <c r="HU57" s="150"/>
    </row>
    <row r="58" spans="1:229">
      <c r="A58" s="18">
        <v>1</v>
      </c>
      <c r="B58" s="19" t="s">
        <v>53</v>
      </c>
      <c r="C58" s="118"/>
      <c r="D58" s="151">
        <v>191891.75871985152</v>
      </c>
      <c r="E58" s="151">
        <f>D58/118%</f>
        <v>162620.13450834877</v>
      </c>
      <c r="F58" s="151">
        <f>E58/E2</f>
        <v>657.10414784365923</v>
      </c>
      <c r="G58" s="159">
        <v>0</v>
      </c>
      <c r="H58" s="395">
        <f>G58*H$2</f>
        <v>0</v>
      </c>
      <c r="I58" s="395">
        <f>H58*118%</f>
        <v>0</v>
      </c>
      <c r="J58" s="159" t="s">
        <v>384</v>
      </c>
      <c r="K58" s="159">
        <f>IFERROR(SUMIFS('PO Tracker'!$J$44:$J$1433,'PO Tracker'!$K$44:$K$1433,$G$6,'PO Tracker'!$L$44:$L$1433,'Capex breakup'!$B58),0)</f>
        <v>0</v>
      </c>
      <c r="L58" s="605" t="str">
        <f>IFERROR(K58/I58,"")</f>
        <v/>
      </c>
      <c r="M58" s="118"/>
      <c r="N58" s="151">
        <v>191891.75871985152</v>
      </c>
      <c r="O58" s="151">
        <f>N58/118%</f>
        <v>162620.13450834877</v>
      </c>
      <c r="P58" s="151">
        <f>O58/O2</f>
        <v>657.10414784365923</v>
      </c>
      <c r="Q58" s="159">
        <v>0</v>
      </c>
      <c r="R58" s="395">
        <f>Q58*R$2</f>
        <v>0</v>
      </c>
      <c r="S58" s="395">
        <f>R58*118%</f>
        <v>0</v>
      </c>
      <c r="T58" s="159" t="s">
        <v>384</v>
      </c>
      <c r="U58" s="159">
        <f>IFERROR(SUMIFS('PO Tracker'!$J$44:$J$1433,'PO Tracker'!$K$44:$K$1433,$Q$6,'PO Tracker'!$L$44:$L$1433,'Capex breakup'!$B58),0)</f>
        <v>0</v>
      </c>
      <c r="V58" s="605" t="str">
        <f>IFERROR(U58/S58,"")</f>
        <v/>
      </c>
      <c r="W58" s="118"/>
      <c r="X58" s="151">
        <v>654511.20000000007</v>
      </c>
      <c r="Y58" s="151">
        <f>X58/112%</f>
        <v>584385</v>
      </c>
      <c r="Z58" s="133">
        <f>Y58/$Y$2</f>
        <v>221.6770351263182</v>
      </c>
      <c r="AA58" s="159">
        <v>0</v>
      </c>
      <c r="AB58" s="395">
        <v>0</v>
      </c>
      <c r="AC58" s="395">
        <f>AB58*118%</f>
        <v>0</v>
      </c>
      <c r="AD58" s="159" t="s">
        <v>384</v>
      </c>
      <c r="AE58" s="159">
        <f>IFERROR(SUMIFS('PO Tracker'!$J$44:$J$1433,'PO Tracker'!$K$44:$K$1433,$AA$6,'PO Tracker'!$L$44:$L$1433,'Capex breakup'!$B58),0)</f>
        <v>0</v>
      </c>
      <c r="AF58" s="605" t="str">
        <f>IFERROR(AE58/AC58,"")</f>
        <v/>
      </c>
      <c r="AG58" s="118"/>
      <c r="AH58" s="151">
        <v>191891.75871985152</v>
      </c>
      <c r="AI58" s="151">
        <f>AH58/118%</f>
        <v>162620.13450834877</v>
      </c>
      <c r="AJ58" s="151">
        <f>AI58/AI2</f>
        <v>657.10414784365923</v>
      </c>
      <c r="AK58" s="159">
        <v>0</v>
      </c>
      <c r="AL58" s="395">
        <f>AK58*AL$2</f>
        <v>0</v>
      </c>
      <c r="AM58" s="395">
        <f>AL58*118%</f>
        <v>0</v>
      </c>
      <c r="AN58" s="159" t="s">
        <v>384</v>
      </c>
      <c r="AO58" s="159">
        <f>IFERROR(SUMIFS('PO Tracker'!$J$44:$J$1433,'PO Tracker'!$K$44:$K$1433,$AK$6,'PO Tracker'!$L$44:$L$1433,'Capex breakup'!$B58),0)</f>
        <v>0</v>
      </c>
      <c r="AP58" s="605" t="str">
        <f>IFERROR(AO58/AM58,"")</f>
        <v/>
      </c>
      <c r="AQ58" s="118"/>
      <c r="AR58" s="291"/>
      <c r="AS58" s="291"/>
      <c r="AT58" s="291"/>
      <c r="AU58" s="159">
        <v>0</v>
      </c>
      <c r="AV58" s="395">
        <f>AU58*AV$2</f>
        <v>0</v>
      </c>
      <c r="AW58" s="395">
        <f>AV58*118%</f>
        <v>0</v>
      </c>
      <c r="AX58" s="159" t="s">
        <v>384</v>
      </c>
      <c r="AY58" s="159">
        <f>IFERROR(SUMIFS('PO Tracker'!$J$44:$J$1433,'PO Tracker'!$K$44:$K$1433,$AU$6,'PO Tracker'!$L$44:$L$1433,'Capex breakup'!$B58),0)</f>
        <v>0</v>
      </c>
      <c r="AZ58" s="605" t="str">
        <f>IFERROR(AY58/AW58,"")</f>
        <v/>
      </c>
      <c r="BA58" s="118"/>
      <c r="BB58" s="151">
        <v>544067.32000000007</v>
      </c>
      <c r="BC58" s="151">
        <f>BB58/118%</f>
        <v>461074.00000000006</v>
      </c>
      <c r="BD58" s="151">
        <f>BC58/BC2</f>
        <v>738.80592231765161</v>
      </c>
      <c r="BE58" s="159">
        <v>0</v>
      </c>
      <c r="BF58" s="395">
        <f>BE58*BF$2</f>
        <v>0</v>
      </c>
      <c r="BG58" s="395">
        <f>BF58*118%</f>
        <v>0</v>
      </c>
      <c r="BH58" s="159" t="s">
        <v>384</v>
      </c>
      <c r="BI58" s="159">
        <f>IFERROR(SUMIFS('PO Tracker'!$J$44:$J$1433,'PO Tracker'!$K$44:$K$1433,$BE$6,'PO Tracker'!$L$44:$L$1433,'Capex breakup'!$B58),0)</f>
        <v>0</v>
      </c>
      <c r="BJ58" s="605" t="str">
        <f>IFERROR(BI58/BG58,"")</f>
        <v/>
      </c>
      <c r="BK58" s="118"/>
      <c r="BL58" s="151"/>
      <c r="BM58" s="151"/>
      <c r="BN58" s="151"/>
      <c r="BO58" s="159">
        <v>0</v>
      </c>
      <c r="BP58" s="395">
        <f>BO58*BP$2</f>
        <v>0</v>
      </c>
      <c r="BQ58" s="395">
        <f>BP58*118%</f>
        <v>0</v>
      </c>
      <c r="BR58" s="159" t="s">
        <v>384</v>
      </c>
      <c r="BS58" s="159">
        <f>IFERROR(SUMIFS('PO Tracker'!$J$44:$J$1433,'PO Tracker'!$K$44:$K$1433,$BO$6,'PO Tracker'!$L$44:$L$1433,'Capex breakup'!$B58),0)</f>
        <v>0</v>
      </c>
      <c r="BT58" s="605" t="str">
        <f>IFERROR(BS58/BQ58,"")</f>
        <v/>
      </c>
      <c r="BU58" s="118"/>
      <c r="BV58" s="151">
        <v>544067.32000000007</v>
      </c>
      <c r="BW58" s="151">
        <f>BV58/118%</f>
        <v>461074.00000000006</v>
      </c>
      <c r="BX58" s="151">
        <f>BW58/BW2</f>
        <v>470.9642492339122</v>
      </c>
      <c r="BY58" s="159">
        <v>0</v>
      </c>
      <c r="BZ58" s="395">
        <f>BY58*BZ$2</f>
        <v>0</v>
      </c>
      <c r="CA58" s="395">
        <f>BZ58*118%</f>
        <v>0</v>
      </c>
      <c r="CB58" s="159" t="s">
        <v>384</v>
      </c>
      <c r="CC58" s="159">
        <f>IFERROR(SUMIFS('PO Tracker'!$J$44:$J$1433,'PO Tracker'!$K$44:$K$1433,$BY$6,'PO Tracker'!$L$44:$L$1433,'Capex breakup'!$B58),0)</f>
        <v>0</v>
      </c>
      <c r="CD58" s="605" t="str">
        <f>IFERROR(CC58/CA58,"")</f>
        <v/>
      </c>
      <c r="CE58" s="118"/>
      <c r="CF58" s="151"/>
      <c r="CG58" s="151">
        <f>CF58/118%</f>
        <v>0</v>
      </c>
      <c r="CH58" s="151">
        <f>CG58/CG2</f>
        <v>0</v>
      </c>
      <c r="CI58" s="159">
        <v>0</v>
      </c>
      <c r="CJ58" s="395">
        <f>CI58*CJ$2</f>
        <v>0</v>
      </c>
      <c r="CK58" s="395">
        <f>CJ58*118%</f>
        <v>0</v>
      </c>
      <c r="CL58" s="159" t="s">
        <v>384</v>
      </c>
      <c r="CM58" s="159">
        <f>IFERROR(SUMIFS('PO Tracker'!$J$44:$J$1433,'PO Tracker'!$K$44:$K$1433,$CI$6,'PO Tracker'!$L$44:$L$1433,'Capex breakup'!$B58),0)</f>
        <v>0</v>
      </c>
      <c r="CN58" s="605" t="str">
        <f>IFERROR(CM58/CK58,"")</f>
        <v/>
      </c>
      <c r="CO58" s="118"/>
      <c r="CP58" s="151"/>
      <c r="CQ58" s="151">
        <f>CP58/118%</f>
        <v>0</v>
      </c>
      <c r="CR58" s="151"/>
      <c r="CS58" s="159">
        <v>0</v>
      </c>
      <c r="CT58" s="395">
        <f>CS58*CT$2</f>
        <v>0</v>
      </c>
      <c r="CU58" s="395">
        <f>CT58*118%</f>
        <v>0</v>
      </c>
      <c r="CV58" s="159" t="s">
        <v>384</v>
      </c>
      <c r="CW58" s="159">
        <f>IFERROR(SUMIFS('PO Tracker'!$J$44:$J$1433,'PO Tracker'!$K$44:$K$1433,$CS$6,'PO Tracker'!$L$44:$L$1433,'Capex breakup'!$B58),0)</f>
        <v>0</v>
      </c>
      <c r="CX58" s="605" t="str">
        <f>IFERROR(CW58/CU58,"")</f>
        <v/>
      </c>
      <c r="CY58" s="118"/>
      <c r="CZ58" s="151"/>
      <c r="DA58" s="151">
        <f>CZ58/118%</f>
        <v>0</v>
      </c>
      <c r="DB58" s="151">
        <f>DA58/DA2</f>
        <v>0</v>
      </c>
      <c r="DC58" s="159">
        <v>0</v>
      </c>
      <c r="DD58" s="395">
        <f>DC58*DD$2</f>
        <v>0</v>
      </c>
      <c r="DE58" s="395">
        <f>DD58*118%</f>
        <v>0</v>
      </c>
      <c r="DF58" s="159" t="s">
        <v>384</v>
      </c>
      <c r="DG58" s="159">
        <f>IFERROR(SUMIFS('PO Tracker'!$J$44:$J$1433,'PO Tracker'!$K$44:$K$1433,$DC$6,'PO Tracker'!$L$44:$L$1433,'Capex breakup'!$B58),0)</f>
        <v>0</v>
      </c>
      <c r="DH58" s="605" t="str">
        <f>IFERROR(DG58/DE58,"")</f>
        <v/>
      </c>
      <c r="DI58" s="118"/>
      <c r="DJ58" s="151"/>
      <c r="DK58" s="151">
        <f>DJ58/118%</f>
        <v>0</v>
      </c>
      <c r="DL58" s="151">
        <f>DK58/DK2</f>
        <v>0</v>
      </c>
      <c r="DM58" s="159"/>
      <c r="DN58" s="395">
        <f t="shared" ref="DN58:DN61" si="337">GT58</f>
        <v>0</v>
      </c>
      <c r="DO58" s="159">
        <f>DN58*118%</f>
        <v>0</v>
      </c>
      <c r="DP58" s="159">
        <f>IFERROR(SUMIFS('PO Tracker'!$J$44:$J$1433,'PO Tracker'!$K$44:$K$1433,$DM$6,'PO Tracker'!$L$44:$L$1433,'Capex breakup'!$B58),0)</f>
        <v>0</v>
      </c>
      <c r="DQ58" s="605" t="str">
        <f>IFERROR(DP58/DN58,"")</f>
        <v/>
      </c>
      <c r="DR58" s="118"/>
      <c r="DS58" s="151"/>
      <c r="DT58" s="151">
        <f>DS58/118%</f>
        <v>0</v>
      </c>
      <c r="DU58" s="151">
        <f>DT58/DT2</f>
        <v>0</v>
      </c>
      <c r="DV58" s="159">
        <v>0</v>
      </c>
      <c r="DW58" s="395">
        <f>DV58*DW$2</f>
        <v>0</v>
      </c>
      <c r="DX58" s="395">
        <f>DW58*118%</f>
        <v>0</v>
      </c>
      <c r="DY58" s="159" t="s">
        <v>384</v>
      </c>
      <c r="DZ58" s="159">
        <f>IFERROR(SUMIFS('PO Tracker'!$J$44:$J$1433,'PO Tracker'!$K$44:$K$1433,$DV$6,'PO Tracker'!$L$44:$L$1433,'Capex breakup'!$B58),0)</f>
        <v>0</v>
      </c>
      <c r="EA58" s="605" t="str">
        <f>IFERROR(DZ58/DX58,"")</f>
        <v/>
      </c>
      <c r="EB58" s="118"/>
      <c r="EC58" s="151"/>
      <c r="ED58" s="151">
        <f>EC58/118%</f>
        <v>0</v>
      </c>
      <c r="EE58" s="151">
        <f>ED58/ED2</f>
        <v>0</v>
      </c>
      <c r="EF58" s="159">
        <v>0</v>
      </c>
      <c r="EG58" s="395">
        <f>EF58*EG$2</f>
        <v>0</v>
      </c>
      <c r="EH58" s="395">
        <f>EG58*118%</f>
        <v>0</v>
      </c>
      <c r="EI58" s="159" t="s">
        <v>384</v>
      </c>
      <c r="EJ58" s="159">
        <f>IFERROR(SUMIFS('PO Tracker'!$J$44:$J$1433,'PO Tracker'!$K$44:$K$1433,$EF$6,'PO Tracker'!$L$44:$L$1433,'Capex breakup'!$B58),0)</f>
        <v>0</v>
      </c>
      <c r="EK58" s="605" t="str">
        <f>IFERROR(EJ58/EH58,"")</f>
        <v/>
      </c>
      <c r="EL58" s="118"/>
      <c r="EM58" s="151"/>
      <c r="EN58" s="151"/>
      <c r="EO58" s="151"/>
      <c r="EP58" s="159">
        <v>0</v>
      </c>
      <c r="EQ58" s="395">
        <f>EP58*EQ$2</f>
        <v>0</v>
      </c>
      <c r="ER58" s="395">
        <f>EQ58*118%</f>
        <v>0</v>
      </c>
      <c r="ES58" s="159" t="s">
        <v>384</v>
      </c>
      <c r="ET58" s="159">
        <f>IFERROR(SUMIFS('PO Tracker'!$J$44:$J$1433,'PO Tracker'!$K$44:$K$1433,$EP$6,'PO Tracker'!$L$44:$L$1433,'Capex breakup'!$B58),0)</f>
        <v>0</v>
      </c>
      <c r="EU58" s="605" t="str">
        <f>IFERROR(ET58/ER58,"")</f>
        <v/>
      </c>
      <c r="EV58" s="118"/>
      <c r="EW58" s="151"/>
      <c r="EX58" s="151"/>
      <c r="EY58" s="151"/>
      <c r="EZ58" s="159">
        <v>0</v>
      </c>
      <c r="FA58" s="395">
        <f>EZ58*FA$2</f>
        <v>0</v>
      </c>
      <c r="FB58" s="395">
        <f>FA58*118%</f>
        <v>0</v>
      </c>
      <c r="FC58" s="159" t="s">
        <v>384</v>
      </c>
      <c r="FD58" s="159">
        <f>IFERROR(SUMIFS('PO Tracker'!$J$44:$J$1433,'PO Tracker'!$K$44:$K$1433,$EZ$6,'PO Tracker'!$L$44:$L$1433,'Capex breakup'!$B58),0)</f>
        <v>0</v>
      </c>
      <c r="FE58" s="605" t="str">
        <f>IFERROR(FD58/FB58,"")</f>
        <v/>
      </c>
      <c r="FF58" s="118"/>
      <c r="FG58" s="318">
        <v>654511.20000000007</v>
      </c>
      <c r="FH58" s="151">
        <f>FG58/112%</f>
        <v>584385</v>
      </c>
      <c r="FI58" s="133">
        <f>FH58/$FH$2</f>
        <v>221.6770351263182</v>
      </c>
      <c r="FJ58" s="159">
        <f>+FI58</f>
        <v>221.6770351263182</v>
      </c>
      <c r="FK58" s="395">
        <f>FJ58*FK$2</f>
        <v>580951.46213709132</v>
      </c>
      <c r="FL58" s="159">
        <f>FK58*118%</f>
        <v>685522.72532176774</v>
      </c>
      <c r="FM58" s="684"/>
      <c r="FN58" s="614">
        <f>FK58</f>
        <v>580951.46213709132</v>
      </c>
      <c r="FO58" s="685">
        <f>FN58*1.18</f>
        <v>685522.72532176774</v>
      </c>
      <c r="FP58" s="684"/>
      <c r="FQ58" s="159">
        <f>FK58-FN58</f>
        <v>0</v>
      </c>
      <c r="FR58" s="685">
        <f>FQ58*1.18</f>
        <v>0</v>
      </c>
      <c r="FS58" s="662">
        <f>IFERROR(SUMIFS('PO Tracker'!$J$44:$J$1433,'PO Tracker'!$K$44:$K$1433,$FJ$6,'PO Tracker'!$L$44:$L$1433,'Capex breakup'!$B58),0)</f>
        <v>0</v>
      </c>
      <c r="FT58" s="736" t="str">
        <f>IFERROR(FS58/FQ58,"")</f>
        <v/>
      </c>
      <c r="FU58" s="709"/>
      <c r="FV58" s="151"/>
      <c r="FW58" s="151">
        <f>FV58/118%</f>
        <v>0</v>
      </c>
      <c r="FX58" s="151">
        <f>FW58/FW2</f>
        <v>0</v>
      </c>
      <c r="FY58" s="159">
        <v>0</v>
      </c>
      <c r="FZ58" s="395">
        <f>FY58*FZ$2</f>
        <v>0</v>
      </c>
      <c r="GA58" s="395">
        <f>FZ58*118%</f>
        <v>0</v>
      </c>
      <c r="GB58" s="159" t="s">
        <v>384</v>
      </c>
      <c r="GC58" s="159">
        <f>IFERROR(SUMIFS('PO Tracker'!$J$44:$J$1433,'PO Tracker'!$K$44:$K$1433,$FY$6,'PO Tracker'!$L$44:$L$1433,'Capex breakup'!$B58),0)</f>
        <v>0</v>
      </c>
      <c r="GD58" s="605" t="str">
        <f>IFERROR(GC58/GA58,"")</f>
        <v/>
      </c>
      <c r="GE58" s="118"/>
      <c r="GF58" s="151"/>
      <c r="GG58" s="151">
        <f>GF58/118%</f>
        <v>0</v>
      </c>
      <c r="GH58" s="151">
        <f>GG58/GG2</f>
        <v>0</v>
      </c>
      <c r="GI58" s="159">
        <v>0</v>
      </c>
      <c r="GJ58" s="395">
        <f>GI58*GJ$2</f>
        <v>0</v>
      </c>
      <c r="GK58" s="395">
        <f>GJ58*118%</f>
        <v>0</v>
      </c>
      <c r="GL58" s="159" t="s">
        <v>384</v>
      </c>
      <c r="GM58" s="159">
        <f>IFERROR(SUMIFS('PO Tracker'!$J$44:$J$1433,'PO Tracker'!$K$44:$K$1433,$GI$6,'PO Tracker'!$L$44:$L$1433,'Capex breakup'!$B58),0)</f>
        <v>0</v>
      </c>
      <c r="GN58" s="605" t="str">
        <f>IFERROR(GM58/GK58,"")</f>
        <v/>
      </c>
      <c r="GO58" s="118"/>
      <c r="GP58" s="151"/>
      <c r="GQ58" s="151">
        <f>GP58/118%</f>
        <v>0</v>
      </c>
      <c r="GR58" s="151">
        <f>GQ58/GQ2</f>
        <v>0</v>
      </c>
      <c r="GS58" s="159"/>
      <c r="GT58" s="395">
        <v>0</v>
      </c>
      <c r="GU58" s="159">
        <v>0</v>
      </c>
      <c r="GV58" s="159">
        <f>IFERROR(SUMIFS('PO Tracker'!$J$44:$J$1433,'PO Tracker'!$K$44:$K$1433,$GS$6,'PO Tracker'!$L$44:$L$1433,'Capex breakup'!$B58),0)</f>
        <v>0</v>
      </c>
      <c r="GW58" s="605" t="str">
        <f>IFERROR(GV58/GT58,"")</f>
        <v/>
      </c>
      <c r="GX58" s="118"/>
      <c r="GY58" s="151"/>
      <c r="GZ58" s="151"/>
      <c r="HA58" s="133"/>
      <c r="HB58" s="159">
        <v>400</v>
      </c>
      <c r="HC58" s="395">
        <f>HB58*HC$2</f>
        <v>1335424.8960000002</v>
      </c>
      <c r="HD58" s="159">
        <f>HC58*118%</f>
        <v>1575801.3772800001</v>
      </c>
      <c r="HE58" s="159" t="s">
        <v>480</v>
      </c>
      <c r="HF58" s="159">
        <f>IFERROR(SUMIFS('PO Tracker'!$J$44:$J$1433,'PO Tracker'!$K$44:$K$1433,$HB$6,'PO Tracker'!$L$44:$L$1433,'Capex breakup'!$B58),0)</f>
        <v>0</v>
      </c>
      <c r="HG58" s="605">
        <f>IFERROR(HF58/HD58,"")</f>
        <v>0</v>
      </c>
      <c r="HH58" s="118"/>
      <c r="HI58" s="151"/>
      <c r="HJ58" s="151"/>
      <c r="HK58" s="133"/>
      <c r="HL58" s="159">
        <v>200</v>
      </c>
      <c r="HM58" s="395">
        <f>HL58*HM$2</f>
        <v>679208.4</v>
      </c>
      <c r="HN58" s="159">
        <f>HM58*118%</f>
        <v>801465.91200000001</v>
      </c>
      <c r="HO58" s="159">
        <f>IFERROR(SUMIFS('PO Tracker'!$J$44:$J$1433,'PO Tracker'!$K$44:$K$1433,$HL$6,'PO Tracker'!$L$44:$L$1433,'Capex breakup'!$B58),0)</f>
        <v>0</v>
      </c>
      <c r="HP58" s="605">
        <f>IFERROR(HO58/HM58,"")</f>
        <v>0</v>
      </c>
      <c r="HQ58" s="118"/>
      <c r="HR58" s="364"/>
      <c r="HS58" s="364"/>
      <c r="HT58" s="364"/>
      <c r="HU58" s="364"/>
    </row>
    <row r="59" spans="1:229">
      <c r="A59" s="18">
        <v>2</v>
      </c>
      <c r="B59" s="19" t="s">
        <v>54</v>
      </c>
      <c r="C59" s="118"/>
      <c r="D59" s="151">
        <v>262823.76</v>
      </c>
      <c r="E59" s="151">
        <f>D59/118%</f>
        <v>222732.00000000003</v>
      </c>
      <c r="F59" s="151">
        <f>E59/E2</f>
        <v>900.00000000000011</v>
      </c>
      <c r="G59" s="159">
        <v>800</v>
      </c>
      <c r="H59" s="395">
        <f>G59*H$2</f>
        <v>351078.62400000001</v>
      </c>
      <c r="I59" s="395">
        <f>H59*118%</f>
        <v>414272.77632</v>
      </c>
      <c r="J59" s="159"/>
      <c r="K59" s="159">
        <f>IFERROR(SUMIFS('PO Tracker'!$J$44:$J$1433,'PO Tracker'!$K$44:$K$1433,$G$6,'PO Tracker'!$L$44:$L$1433,'Capex breakup'!$B59),0)</f>
        <v>162366</v>
      </c>
      <c r="L59" s="605">
        <f>IFERROR(K59/I59,"")</f>
        <v>0.39193017084613435</v>
      </c>
      <c r="M59" s="118"/>
      <c r="N59" s="151">
        <v>262823.76</v>
      </c>
      <c r="O59" s="151">
        <f>N59/118%</f>
        <v>222732.00000000003</v>
      </c>
      <c r="P59" s="151">
        <f>O59/O2</f>
        <v>900.00000000000011</v>
      </c>
      <c r="Q59" s="159">
        <v>350</v>
      </c>
      <c r="R59" s="395">
        <f>Q59*R$2</f>
        <v>355755.58199999999</v>
      </c>
      <c r="S59" s="395">
        <f>R59*118%</f>
        <v>419791.58675999998</v>
      </c>
      <c r="T59" s="159"/>
      <c r="U59" s="159">
        <f>IFERROR(SUMIFS('PO Tracker'!$J$44:$J$1433,'PO Tracker'!$K$44:$K$1433,$Q$6,'PO Tracker'!$L$44:$L$1433,'Capex breakup'!$B59),0)</f>
        <v>479961</v>
      </c>
      <c r="V59" s="605">
        <f>IFERROR(U59/S59,"")</f>
        <v>1.1433316320233917</v>
      </c>
      <c r="W59" s="118"/>
      <c r="X59" s="151">
        <v>448000.00000000006</v>
      </c>
      <c r="Y59" s="151">
        <f>X59/112%</f>
        <v>400000</v>
      </c>
      <c r="Z59" s="133">
        <f>Y59/$Y$2</f>
        <v>151.73355587588196</v>
      </c>
      <c r="AA59" s="159">
        <v>500</v>
      </c>
      <c r="AB59" s="395">
        <f>AA59*$AB$2</f>
        <v>936468</v>
      </c>
      <c r="AC59" s="395">
        <f>AB59*118%</f>
        <v>1105032.24</v>
      </c>
      <c r="AD59" s="159"/>
      <c r="AE59" s="159">
        <f>IFERROR(SUMIFS('PO Tracker'!$J$44:$J$1433,'PO Tracker'!$K$44:$K$1433,$AA$6,'PO Tracker'!$L$44:$L$1433,'Capex breakup'!$B59),0)</f>
        <v>135228</v>
      </c>
      <c r="AF59" s="605">
        <f>IFERROR(AE59/AC59,"")</f>
        <v>0.12237471008085701</v>
      </c>
      <c r="AG59" s="118"/>
      <c r="AH59" s="151">
        <v>262823.76</v>
      </c>
      <c r="AI59" s="151">
        <f>AH59/118%</f>
        <v>222732.00000000003</v>
      </c>
      <c r="AJ59" s="151">
        <f>AI59/AI2</f>
        <v>900.00000000000011</v>
      </c>
      <c r="AK59" s="159">
        <v>900</v>
      </c>
      <c r="AL59" s="395">
        <f>AK59*AL$2</f>
        <v>364641.26399999997</v>
      </c>
      <c r="AM59" s="395">
        <f>AL59*118%</f>
        <v>430276.69151999993</v>
      </c>
      <c r="AN59" s="159"/>
      <c r="AO59" s="159">
        <f>IFERROR(SUMIFS('PO Tracker'!$J$44:$J$1433,'PO Tracker'!$K$44:$K$1433,$AK$6,'PO Tracker'!$L$44:$L$1433,'Capex breakup'!$B59),0)</f>
        <v>218572.85</v>
      </c>
      <c r="AP59" s="605">
        <f>IFERROR(AO59/AM59,"")</f>
        <v>0.50798208294264624</v>
      </c>
      <c r="AQ59" s="118"/>
      <c r="AR59" s="287">
        <v>754067.20000000007</v>
      </c>
      <c r="AS59" s="287">
        <f>AR59/118%</f>
        <v>639040.00000000012</v>
      </c>
      <c r="AT59" s="288">
        <f>AS59/AS$2</f>
        <v>588.02311457911605</v>
      </c>
      <c r="AU59" s="159">
        <v>700</v>
      </c>
      <c r="AV59" s="395">
        <f>AU59*AV$2</f>
        <v>713922.29999999993</v>
      </c>
      <c r="AW59" s="395">
        <f>AV59*118%</f>
        <v>842428.3139999999</v>
      </c>
      <c r="AX59" s="159"/>
      <c r="AY59" s="159">
        <f>IFERROR(SUMIFS('PO Tracker'!$J$44:$J$1433,'PO Tracker'!$K$44:$K$1433,$AU$6,'PO Tracker'!$L$44:$L$1433,'Capex breakup'!$B59),0)</f>
        <v>0</v>
      </c>
      <c r="AZ59" s="605">
        <f>IFERROR(AY59/AW59,"")</f>
        <v>0</v>
      </c>
      <c r="BA59" s="118"/>
      <c r="BB59" s="151"/>
      <c r="BC59" s="151">
        <f>BB59/118%</f>
        <v>0</v>
      </c>
      <c r="BD59" s="151">
        <f>BC59/BC2</f>
        <v>0</v>
      </c>
      <c r="BE59" s="159">
        <v>800</v>
      </c>
      <c r="BF59" s="395">
        <f>BE59*BF$2</f>
        <v>621900.86399999994</v>
      </c>
      <c r="BG59" s="395">
        <f>BF59*118%</f>
        <v>733843.01951999986</v>
      </c>
      <c r="BH59" s="159"/>
      <c r="BI59" s="159">
        <f>IFERROR(SUMIFS('PO Tracker'!$J$44:$J$1433,'PO Tracker'!$K$44:$K$1433,$BE$6,'PO Tracker'!$L$44:$L$1433,'Capex breakup'!$B59),0)</f>
        <v>248832</v>
      </c>
      <c r="BJ59" s="605">
        <f>IFERROR(BI59/BG59,"")</f>
        <v>0.33908069352864972</v>
      </c>
      <c r="BK59" s="118"/>
      <c r="BL59" s="151"/>
      <c r="BM59" s="151"/>
      <c r="BN59" s="151"/>
      <c r="BO59" s="159">
        <v>0</v>
      </c>
      <c r="BP59" s="395">
        <f>BO59*BP$2</f>
        <v>0</v>
      </c>
      <c r="BQ59" s="395">
        <f>BP59*118%</f>
        <v>0</v>
      </c>
      <c r="BR59" s="159"/>
      <c r="BS59" s="159">
        <f>IFERROR(SUMIFS('PO Tracker'!$J$44:$J$1433,'PO Tracker'!$K$44:$K$1433,$BO$6,'PO Tracker'!$L$44:$L$1433,'Capex breakup'!$B59),0)</f>
        <v>0</v>
      </c>
      <c r="BT59" s="605" t="str">
        <f>IFERROR(BS59/BQ59,"")</f>
        <v/>
      </c>
      <c r="BU59" s="118"/>
      <c r="BV59" s="151"/>
      <c r="BW59" s="151">
        <f>BV59/118%</f>
        <v>0</v>
      </c>
      <c r="BX59" s="151">
        <f>BW59/BW2</f>
        <v>0</v>
      </c>
      <c r="BY59" s="159">
        <v>1000</v>
      </c>
      <c r="BZ59" s="395">
        <f>BY59*BZ$2</f>
        <v>373080.23999999993</v>
      </c>
      <c r="CA59" s="395">
        <f>BZ59*118%</f>
        <v>440234.68319999991</v>
      </c>
      <c r="CB59" s="159"/>
      <c r="CC59" s="159">
        <f>IFERROR(SUMIFS('PO Tracker'!$J$44:$J$1433,'PO Tracker'!$K$44:$K$1433,$BY$6,'PO Tracker'!$L$44:$L$1433,'Capex breakup'!$B59),0)</f>
        <v>0</v>
      </c>
      <c r="CD59" s="605">
        <f>IFERROR(CC59/CA59,"")</f>
        <v>0</v>
      </c>
      <c r="CE59" s="118"/>
      <c r="CF59" s="151">
        <v>180398.2</v>
      </c>
      <c r="CG59" s="151">
        <f>CF59/118%</f>
        <v>152879.83050847458</v>
      </c>
      <c r="CH59" s="151">
        <f>CG59/CG2</f>
        <v>458.32782860197437</v>
      </c>
      <c r="CI59" s="159">
        <v>1700</v>
      </c>
      <c r="CJ59" s="395">
        <f>CI59*CJ$2</f>
        <v>329378.39999999997</v>
      </c>
      <c r="CK59" s="395">
        <f>CJ59*118%</f>
        <v>388666.51199999993</v>
      </c>
      <c r="CL59" s="159"/>
      <c r="CM59" s="159">
        <f>IFERROR(SUMIFS('PO Tracker'!$J$44:$J$1433,'PO Tracker'!$K$44:$K$1433,$CI$6,'PO Tracker'!$L$44:$L$1433,'Capex breakup'!$B59),0)</f>
        <v>59648</v>
      </c>
      <c r="CN59" s="605">
        <f>IFERROR(CM59/CK59,"")</f>
        <v>0.15346832865291984</v>
      </c>
      <c r="CO59" s="118"/>
      <c r="CP59" s="151"/>
      <c r="CQ59" s="151">
        <f>CP59/118%</f>
        <v>0</v>
      </c>
      <c r="CR59" s="151"/>
      <c r="CS59" s="159"/>
      <c r="CT59" s="395">
        <f>CS59*CT$2</f>
        <v>0</v>
      </c>
      <c r="CU59" s="395">
        <f>CT59*118%</f>
        <v>0</v>
      </c>
      <c r="CV59" s="159"/>
      <c r="CW59" s="159">
        <f>IFERROR(SUMIFS('PO Tracker'!$J$44:$J$1433,'PO Tracker'!$K$44:$K$1433,$CS$6,'PO Tracker'!$L$44:$L$1433,'Capex breakup'!$B59),0)</f>
        <v>0</v>
      </c>
      <c r="CX59" s="605" t="str">
        <f>IFERROR(CW59/CU59,"")</f>
        <v/>
      </c>
      <c r="CY59" s="118"/>
      <c r="CZ59" s="151">
        <v>180398.2</v>
      </c>
      <c r="DA59" s="151">
        <f>CZ59/118%</f>
        <v>152879.83050847458</v>
      </c>
      <c r="DB59" s="151">
        <f>DA59/DA2</f>
        <v>458.32782860197437</v>
      </c>
      <c r="DC59" s="159">
        <v>1500</v>
      </c>
      <c r="DD59" s="395">
        <f>DC59*DD$2</f>
        <v>322919.99999999994</v>
      </c>
      <c r="DE59" s="395">
        <f>DD59*118%</f>
        <v>381045.59999999992</v>
      </c>
      <c r="DF59" s="159"/>
      <c r="DG59" s="159">
        <f>IFERROR(SUMIFS('PO Tracker'!$J$44:$J$1433,'PO Tracker'!$K$44:$K$1433,$DC$6,'PO Tracker'!$L$44:$L$1433,'Capex breakup'!$B59),0)</f>
        <v>250915.20000000001</v>
      </c>
      <c r="DH59" s="605">
        <f>IFERROR(DG59/DE59,"")</f>
        <v>0.65849126718691953</v>
      </c>
      <c r="DI59" s="118"/>
      <c r="DJ59" s="151">
        <v>118000</v>
      </c>
      <c r="DK59" s="151">
        <f>DJ59/118%</f>
        <v>100000</v>
      </c>
      <c r="DL59" s="151">
        <f>DK59/DK2</f>
        <v>1000</v>
      </c>
      <c r="DM59" s="159"/>
      <c r="DN59" s="395">
        <v>180000</v>
      </c>
      <c r="DO59" s="159">
        <f>DN59*118%</f>
        <v>212400</v>
      </c>
      <c r="DP59" s="159">
        <f>IFERROR(SUMIFS('PO Tracker'!$J$44:$J$1433,'PO Tracker'!$K$44:$K$1433,$DM$6,'PO Tracker'!$L$44:$L$1433,'Capex breakup'!$B59),0)</f>
        <v>111958.39999999999</v>
      </c>
      <c r="DQ59" s="605">
        <f>IFERROR(DP59/DO59,"")</f>
        <v>0.52711111111111109</v>
      </c>
      <c r="DR59" s="118"/>
      <c r="DS59" s="151">
        <v>180398.2</v>
      </c>
      <c r="DT59" s="151">
        <f>DS59/118%</f>
        <v>152879.83050847458</v>
      </c>
      <c r="DU59" s="151">
        <f>DT59/DT2</f>
        <v>458.32782860197437</v>
      </c>
      <c r="DV59" s="159">
        <v>200</v>
      </c>
      <c r="DW59" s="395">
        <f>DV59*$DW$2</f>
        <v>261349.91999999998</v>
      </c>
      <c r="DX59" s="395">
        <f>DW59*118%</f>
        <v>308392.90559999994</v>
      </c>
      <c r="DY59" s="159"/>
      <c r="DZ59" s="159">
        <f>IFERROR(SUMIFS('PO Tracker'!$J$44:$J$1433,'PO Tracker'!$K$44:$K$1433,$DV$6,'PO Tracker'!$L$44:$L$1433,'Capex breakup'!$B59),0)</f>
        <v>149386</v>
      </c>
      <c r="EA59" s="605">
        <f>IFERROR(DZ59/DX59,"")</f>
        <v>0.48440154519559747</v>
      </c>
      <c r="EB59" s="118"/>
      <c r="EC59" s="151">
        <v>180398.2</v>
      </c>
      <c r="ED59" s="151">
        <f>EC59/118%</f>
        <v>152879.83050847458</v>
      </c>
      <c r="EE59" s="151">
        <f>ED59/ED2</f>
        <v>458.32782860197437</v>
      </c>
      <c r="EF59" s="159">
        <v>1200</v>
      </c>
      <c r="EG59" s="395">
        <f>EF59*EG$2</f>
        <v>461646.43199999997</v>
      </c>
      <c r="EH59" s="395">
        <f>EG59*118%</f>
        <v>544742.78975999996</v>
      </c>
      <c r="EI59" s="159"/>
      <c r="EJ59" s="159">
        <f>IFERROR(SUMIFS('PO Tracker'!$J$44:$J$1433,'PO Tracker'!$K$44:$K$1433,$EF$6,'PO Tracker'!$L$44:$L$1433,'Capex breakup'!$B59),0)</f>
        <v>234938</v>
      </c>
      <c r="EK59" s="605">
        <f>IFERROR(EJ59/EH59,"")</f>
        <v>0.43128244084425205</v>
      </c>
      <c r="EL59" s="118"/>
      <c r="EM59" s="151"/>
      <c r="EN59" s="151"/>
      <c r="EO59" s="151"/>
      <c r="EP59" s="159">
        <v>400</v>
      </c>
      <c r="EQ59" s="395">
        <f>EP59*EQ$2</f>
        <v>153882.144</v>
      </c>
      <c r="ER59" s="395">
        <f>EQ59*118%</f>
        <v>181580.92992</v>
      </c>
      <c r="ES59" s="159"/>
      <c r="ET59" s="159">
        <f>IFERROR(SUMIFS('PO Tracker'!$J$44:$J$1433,'PO Tracker'!$K$44:$K$1433,$EP$6,'PO Tracker'!$L$44:$L$1433,'Capex breakup'!$B59),0)</f>
        <v>59135.7</v>
      </c>
      <c r="EU59" s="605">
        <f>IFERROR(ET59/ER59,"")</f>
        <v>0.32567131375554526</v>
      </c>
      <c r="EV59" s="118"/>
      <c r="EW59" s="151"/>
      <c r="EX59" s="151"/>
      <c r="EY59" s="151"/>
      <c r="EZ59" s="159">
        <v>500</v>
      </c>
      <c r="FA59" s="395">
        <f>EZ59*FA$2</f>
        <v>640404.17999999993</v>
      </c>
      <c r="FB59" s="395">
        <f>FA59*118%</f>
        <v>755676.93239999993</v>
      </c>
      <c r="FC59" s="159"/>
      <c r="FD59" s="159">
        <f>IFERROR(SUMIFS('PO Tracker'!$J$44:$J$1433,'PO Tracker'!$K$44:$K$1433,$EZ$6,'PO Tracker'!$L$44:$L$1433,'Capex breakup'!$B59),0)</f>
        <v>592711</v>
      </c>
      <c r="FE59" s="605">
        <f>IFERROR(FD59/FB59,"")</f>
        <v>0.78434443951805355</v>
      </c>
      <c r="FF59" s="118"/>
      <c r="FG59" s="318">
        <v>448000.00000000006</v>
      </c>
      <c r="FH59" s="151">
        <f>FG59/112%</f>
        <v>400000</v>
      </c>
      <c r="FI59" s="133">
        <f>FH59/$FH$2</f>
        <v>151.73355587588196</v>
      </c>
      <c r="FJ59" s="159">
        <f>+FI59</f>
        <v>151.73355587588196</v>
      </c>
      <c r="FK59" s="395">
        <f>FJ59*FK$2</f>
        <v>397649.81109172298</v>
      </c>
      <c r="FL59" s="159">
        <f>FK59*118%</f>
        <v>469226.7770882331</v>
      </c>
      <c r="FM59" s="684"/>
      <c r="FN59" s="159"/>
      <c r="FO59" s="685"/>
      <c r="FP59" s="684"/>
      <c r="FQ59" s="159">
        <f>FK59-FN59</f>
        <v>397649.81109172298</v>
      </c>
      <c r="FR59" s="685">
        <f>FQ59*1.18</f>
        <v>469226.7770882331</v>
      </c>
      <c r="FS59" s="662">
        <f>IFERROR(SUMIFS('PO Tracker'!$J$44:$J$1433,'PO Tracker'!$K$44:$K$1433,$FJ$6,'PO Tracker'!$L$44:$L$1433,'Capex breakup'!$B59),0)</f>
        <v>0</v>
      </c>
      <c r="FT59" s="736">
        <f>IFERROR(FS59/FQ59,"")</f>
        <v>0</v>
      </c>
      <c r="FU59" s="709"/>
      <c r="FV59" s="151">
        <v>180398.2</v>
      </c>
      <c r="FW59" s="151">
        <f>FV59/118%</f>
        <v>152879.83050847458</v>
      </c>
      <c r="FX59" s="151">
        <f>FW59/FW2</f>
        <v>458.32782860197437</v>
      </c>
      <c r="FY59" s="159">
        <v>1000</v>
      </c>
      <c r="FZ59" s="395">
        <f>FY59*FZ$2</f>
        <v>222599.52</v>
      </c>
      <c r="GA59" s="395">
        <f>FZ59*118%</f>
        <v>262667.43359999999</v>
      </c>
      <c r="GB59" s="159"/>
      <c r="GC59" s="159">
        <f>IFERROR(SUMIFS('PO Tracker'!$J$44:$J$1433,'PO Tracker'!$K$44:$K$1433,$FY$6,'PO Tracker'!$L$44:$L$1433,'Capex breakup'!$B59),0)</f>
        <v>160232.35999999999</v>
      </c>
      <c r="GD59" s="605">
        <f>IFERROR(GC59/GA59,"")</f>
        <v>0.61001989399267498</v>
      </c>
      <c r="GE59" s="118"/>
      <c r="GF59" s="151">
        <v>118000</v>
      </c>
      <c r="GG59" s="151">
        <f>GF59/118%</f>
        <v>100000</v>
      </c>
      <c r="GH59" s="151">
        <f>GG59/GG2</f>
        <v>1000</v>
      </c>
      <c r="GI59" s="159">
        <v>2600</v>
      </c>
      <c r="GJ59" s="395">
        <f>GI59*GJ$2</f>
        <v>391809.6</v>
      </c>
      <c r="GK59" s="395">
        <f>GJ59*118%</f>
        <v>462335.32799999992</v>
      </c>
      <c r="GL59" s="159"/>
      <c r="GM59" s="159">
        <f>IFERROR(SUMIFS('PO Tracker'!$J$44:$J$1433,'PO Tracker'!$K$44:$K$1433,$GI$6,'PO Tracker'!$L$44:$L$1433,'Capex breakup'!$B59),0)</f>
        <v>466265.2</v>
      </c>
      <c r="GN59" s="605">
        <f>IFERROR(GM59/GK59,"")</f>
        <v>1.0085000469615857</v>
      </c>
      <c r="GO59" s="118"/>
      <c r="GP59" s="151">
        <v>118000</v>
      </c>
      <c r="GQ59" s="151">
        <f>GP59/118%</f>
        <v>100000</v>
      </c>
      <c r="GR59" s="151">
        <f>GQ59/GQ2</f>
        <v>1000</v>
      </c>
      <c r="GS59" s="159">
        <v>1600</v>
      </c>
      <c r="GT59" s="395">
        <f>GS59*$GT$2</f>
        <v>155001.59999999998</v>
      </c>
      <c r="GU59" s="159">
        <f>GT59*1.18</f>
        <v>182901.88799999998</v>
      </c>
      <c r="GV59" s="159">
        <f>IFERROR(SUMIFS('PO Tracker'!$J$44:$J$1433,'PO Tracker'!$K$44:$K$1433,$GS$6,'PO Tracker'!$L$44:$L$1433,'Capex breakup'!$B59),0)</f>
        <v>74576</v>
      </c>
      <c r="GW59" s="605">
        <f>IFERROR(GV59/GT59,"")</f>
        <v>0.48113051736240148</v>
      </c>
      <c r="GX59" s="118"/>
      <c r="GY59" s="151"/>
      <c r="GZ59" s="151"/>
      <c r="HA59" s="133"/>
      <c r="HB59" s="159">
        <v>150</v>
      </c>
      <c r="HC59" s="395">
        <f>HB59*HC$2</f>
        <v>500784.33600000001</v>
      </c>
      <c r="HD59" s="159">
        <f>HC59*118%</f>
        <v>590925.51647999999</v>
      </c>
      <c r="HE59" s="159"/>
      <c r="HF59" s="159">
        <f>IFERROR(SUMIFS('PO Tracker'!$J$44:$J$1433,'PO Tracker'!$K$44:$K$1433,$HB$6,'PO Tracker'!$L$44:$L$1433,'Capex breakup'!$B59),0)</f>
        <v>0</v>
      </c>
      <c r="HG59" s="605">
        <f>IFERROR(HF59/HD59,"")</f>
        <v>0</v>
      </c>
      <c r="HH59" s="118"/>
      <c r="HI59" s="151"/>
      <c r="HJ59" s="151"/>
      <c r="HK59" s="133"/>
      <c r="HL59" s="159">
        <v>150</v>
      </c>
      <c r="HM59" s="395">
        <f>HL59*HM$2</f>
        <v>509406.3</v>
      </c>
      <c r="HN59" s="159">
        <f>HM59*118%</f>
        <v>601099.43400000001</v>
      </c>
      <c r="HO59" s="159">
        <f>IFERROR(SUMIFS('PO Tracker'!$J$44:$J$1433,'PO Tracker'!$K$44:$K$1433,$HL$6,'PO Tracker'!$L$44:$L$1433,'Capex breakup'!$B59),0)</f>
        <v>356224</v>
      </c>
      <c r="HP59" s="605">
        <f>IFERROR(HO59/HM59,"")</f>
        <v>0.69929249010073102</v>
      </c>
      <c r="HQ59" s="118"/>
      <c r="HR59" s="364"/>
      <c r="HS59" s="364"/>
      <c r="HT59" s="364"/>
      <c r="HU59" s="364"/>
    </row>
    <row r="60" spans="1:229">
      <c r="A60" s="18">
        <v>3</v>
      </c>
      <c r="B60" s="19" t="s">
        <v>55</v>
      </c>
      <c r="C60" s="118"/>
      <c r="D60" s="151">
        <v>175215.84</v>
      </c>
      <c r="E60" s="151">
        <f>D60/118%</f>
        <v>148488</v>
      </c>
      <c r="F60" s="151">
        <f>E60/E2</f>
        <v>600</v>
      </c>
      <c r="G60" s="159">
        <v>400</v>
      </c>
      <c r="H60" s="395">
        <f>G60*H$2</f>
        <v>175539.31200000001</v>
      </c>
      <c r="I60" s="395">
        <f>H60*118%</f>
        <v>207136.38816</v>
      </c>
      <c r="J60" s="159"/>
      <c r="K60" s="159">
        <f>IFERROR(SUMIFS('PO Tracker'!$J$44:$J$1433,'PO Tracker'!$K$44:$K$1433,$G$6,'PO Tracker'!$L$44:$L$1433,'Capex breakup'!$B60),0)</f>
        <v>0</v>
      </c>
      <c r="L60" s="605">
        <f>IFERROR(K60/I60,"")</f>
        <v>0</v>
      </c>
      <c r="M60" s="118"/>
      <c r="N60" s="151">
        <v>175215.84</v>
      </c>
      <c r="O60" s="151">
        <f>N60/118%</f>
        <v>148488</v>
      </c>
      <c r="P60" s="151">
        <f>O60/O2</f>
        <v>600</v>
      </c>
      <c r="Q60" s="159">
        <v>300</v>
      </c>
      <c r="R60" s="395">
        <f>Q60*R$2</f>
        <v>304933.35600000003</v>
      </c>
      <c r="S60" s="395">
        <f>R60*118%</f>
        <v>359821.36008000001</v>
      </c>
      <c r="T60" s="159"/>
      <c r="U60" s="159">
        <f>IFERROR(SUMIFS('PO Tracker'!$J$44:$J$1433,'PO Tracker'!$K$44:$K$1433,$Q$6,'PO Tracker'!$L$44:$L$1433,'Capex breakup'!$B60),0)</f>
        <v>48214</v>
      </c>
      <c r="V60" s="605">
        <f>IFERROR(U60/S60,"")</f>
        <v>0.13399426868177158</v>
      </c>
      <c r="W60" s="118"/>
      <c r="X60" s="151">
        <v>672000.00000000012</v>
      </c>
      <c r="Y60" s="151">
        <f>X60/112%</f>
        <v>600000</v>
      </c>
      <c r="Z60" s="133">
        <f>Y60/$Y$2</f>
        <v>227.60033381382294</v>
      </c>
      <c r="AA60" s="159">
        <v>700</v>
      </c>
      <c r="AB60" s="395">
        <f>AA60*$AB$2</f>
        <v>1311055.2</v>
      </c>
      <c r="AC60" s="395">
        <f>AB60*118%</f>
        <v>1547045.1359999999</v>
      </c>
      <c r="AD60" s="159"/>
      <c r="AE60" s="159">
        <f>IFERROR(SUMIFS('PO Tracker'!$J$44:$J$1433,'PO Tracker'!$K$44:$K$1433,$AA$6,'PO Tracker'!$L$44:$L$1433,'Capex breakup'!$B60),0)</f>
        <v>0</v>
      </c>
      <c r="AF60" s="605">
        <f>IFERROR(AE60/AC60,"")</f>
        <v>0</v>
      </c>
      <c r="AG60" s="118"/>
      <c r="AH60" s="151">
        <v>175215.84</v>
      </c>
      <c r="AI60" s="151">
        <f>AH60/118%</f>
        <v>148488</v>
      </c>
      <c r="AJ60" s="151">
        <f>AI60/AI2</f>
        <v>600</v>
      </c>
      <c r="AK60" s="159">
        <v>1100</v>
      </c>
      <c r="AL60" s="395">
        <f>AK60*AL$2</f>
        <v>445672.65599999996</v>
      </c>
      <c r="AM60" s="395">
        <f>AL60*118%</f>
        <v>525893.73407999997</v>
      </c>
      <c r="AN60" s="159"/>
      <c r="AO60" s="159">
        <f>IFERROR(SUMIFS('PO Tracker'!$J$44:$J$1433,'PO Tracker'!$K$44:$K$1433,$AK$6,'PO Tracker'!$L$44:$L$1433,'Capex breakup'!$B60),0)</f>
        <v>857268.34</v>
      </c>
      <c r="AP60" s="605">
        <f>IFERROR(AO60/AM60,"")</f>
        <v>1.6301170454135714</v>
      </c>
      <c r="AQ60" s="118"/>
      <c r="AR60" s="287">
        <v>482598.75999999995</v>
      </c>
      <c r="AS60" s="287">
        <f>AR60/118%</f>
        <v>408982</v>
      </c>
      <c r="AT60" s="288">
        <f>AS60/AS$2</f>
        <v>376.33148073171628</v>
      </c>
      <c r="AU60" s="159">
        <v>700</v>
      </c>
      <c r="AV60" s="395">
        <f>AU60*AV$2</f>
        <v>713922.29999999993</v>
      </c>
      <c r="AW60" s="395">
        <f>AV60*118%</f>
        <v>842428.3139999999</v>
      </c>
      <c r="AX60" s="159"/>
      <c r="AY60" s="159">
        <f>IFERROR(SUMIFS('PO Tracker'!$J$44:$J$1433,'PO Tracker'!$K$44:$K$1433,$AU$6,'PO Tracker'!$L$44:$L$1433,'Capex breakup'!$B60),0)</f>
        <v>0</v>
      </c>
      <c r="AZ60" s="605">
        <f>IFERROR(AY60/AW60,"")</f>
        <v>0</v>
      </c>
      <c r="BA60" s="118"/>
      <c r="BB60" s="151"/>
      <c r="BC60" s="151">
        <f>BB60/118%</f>
        <v>0</v>
      </c>
      <c r="BD60" s="151">
        <f>BC60/BC2</f>
        <v>0</v>
      </c>
      <c r="BE60" s="159">
        <v>400</v>
      </c>
      <c r="BF60" s="395">
        <f>BE60*BF$2</f>
        <v>310950.43199999997</v>
      </c>
      <c r="BG60" s="395">
        <f>BF60*118%</f>
        <v>366921.50975999993</v>
      </c>
      <c r="BH60" s="159"/>
      <c r="BI60" s="159">
        <f>IFERROR(SUMIFS('PO Tracker'!$J$44:$J$1433,'PO Tracker'!$K$44:$K$1433,$BE$6,'PO Tracker'!$L$44:$L$1433,'Capex breakup'!$B60),0)</f>
        <v>0</v>
      </c>
      <c r="BJ60" s="605">
        <f>IFERROR(BI60/BG60,"")</f>
        <v>0</v>
      </c>
      <c r="BK60" s="118"/>
      <c r="BL60" s="151"/>
      <c r="BM60" s="151"/>
      <c r="BN60" s="151"/>
      <c r="BO60" s="159">
        <v>0</v>
      </c>
      <c r="BP60" s="395">
        <f>BO60*BP$2</f>
        <v>0</v>
      </c>
      <c r="BQ60" s="395">
        <f>BP60*118%</f>
        <v>0</v>
      </c>
      <c r="BR60" s="159"/>
      <c r="BS60" s="159">
        <f>IFERROR(SUMIFS('PO Tracker'!$J$44:$J$1433,'PO Tracker'!$K$44:$K$1433,$BO$6,'PO Tracker'!$L$44:$L$1433,'Capex breakup'!$B60),0)</f>
        <v>0</v>
      </c>
      <c r="BT60" s="605" t="str">
        <f>IFERROR(BS60/BQ60,"")</f>
        <v/>
      </c>
      <c r="BU60" s="118"/>
      <c r="BV60" s="151"/>
      <c r="BW60" s="151">
        <f>BV60/118%</f>
        <v>0</v>
      </c>
      <c r="BX60" s="151">
        <f>BW60/BW2</f>
        <v>0</v>
      </c>
      <c r="BY60" s="159">
        <v>350</v>
      </c>
      <c r="BZ60" s="395">
        <f>BY60*BZ$2</f>
        <v>130578.08399999999</v>
      </c>
      <c r="CA60" s="395">
        <f>BZ60*118%</f>
        <v>154082.13911999998</v>
      </c>
      <c r="CB60" s="159"/>
      <c r="CC60" s="159">
        <f>IFERROR(SUMIFS('PO Tracker'!$J$44:$J$1433,'PO Tracker'!$K$44:$K$1433,$BY$6,'PO Tracker'!$L$44:$L$1433,'Capex breakup'!$B60),0)</f>
        <v>0</v>
      </c>
      <c r="CD60" s="605">
        <f>IFERROR(CC60/CA60,"")</f>
        <v>0</v>
      </c>
      <c r="CE60" s="118"/>
      <c r="CF60" s="151">
        <v>99253.733333333337</v>
      </c>
      <c r="CG60" s="151">
        <f>CF60/118%</f>
        <v>84113.333333333343</v>
      </c>
      <c r="CH60" s="151">
        <f>CG60/CG2</f>
        <v>252.16852540272617</v>
      </c>
      <c r="CI60" s="159">
        <v>900</v>
      </c>
      <c r="CJ60" s="395">
        <f>CI60*CJ$2</f>
        <v>174376.8</v>
      </c>
      <c r="CK60" s="395">
        <f>CJ60*118%</f>
        <v>205764.62399999998</v>
      </c>
      <c r="CL60" s="159"/>
      <c r="CM60" s="159">
        <f>IFERROR(SUMIFS('PO Tracker'!$J$44:$J$1433,'PO Tracker'!$K$44:$K$1433,$CI$6,'PO Tracker'!$L$44:$L$1433,'Capex breakup'!$B60),0)</f>
        <v>0</v>
      </c>
      <c r="CN60" s="605">
        <f>IFERROR(CM60/CK60,"")</f>
        <v>0</v>
      </c>
      <c r="CO60" s="118"/>
      <c r="CP60" s="151"/>
      <c r="CQ60" s="151">
        <f>CP60/118%</f>
        <v>0</v>
      </c>
      <c r="CR60" s="151"/>
      <c r="CS60" s="159"/>
      <c r="CT60" s="395">
        <f>CS60*CT$2</f>
        <v>0</v>
      </c>
      <c r="CU60" s="395">
        <f>CT60*118%</f>
        <v>0</v>
      </c>
      <c r="CV60" s="159"/>
      <c r="CW60" s="159">
        <f>IFERROR(SUMIFS('PO Tracker'!$J$44:$J$1433,'PO Tracker'!$K$44:$K$1433,$CS$6,'PO Tracker'!$L$44:$L$1433,'Capex breakup'!$B60),0)</f>
        <v>0</v>
      </c>
      <c r="CX60" s="605" t="str">
        <f>IFERROR(CW60/CU60,"")</f>
        <v/>
      </c>
      <c r="CY60" s="118"/>
      <c r="CZ60" s="151">
        <v>99253.733333333337</v>
      </c>
      <c r="DA60" s="151">
        <f>CZ60/118%</f>
        <v>84113.333333333343</v>
      </c>
      <c r="DB60" s="151">
        <f>DA60/DA2</f>
        <v>252.16852540272617</v>
      </c>
      <c r="DC60" s="159">
        <v>450</v>
      </c>
      <c r="DD60" s="395">
        <f>DC60*DD$2</f>
        <v>96875.999999999985</v>
      </c>
      <c r="DE60" s="395">
        <f>DD60*118%</f>
        <v>114313.67999999998</v>
      </c>
      <c r="DF60" s="159"/>
      <c r="DG60" s="159">
        <f>IFERROR(SUMIFS('PO Tracker'!$J$44:$J$1433,'PO Tracker'!$K$44:$K$1433,$DC$6,'PO Tracker'!$L$44:$L$1433,'Capex breakup'!$B60),0)</f>
        <v>184071.15</v>
      </c>
      <c r="DH60" s="605">
        <f>IFERROR(DG60/DE60,"")</f>
        <v>1.610228539576366</v>
      </c>
      <c r="DI60" s="118"/>
      <c r="DJ60" s="151"/>
      <c r="DK60" s="151">
        <f>DJ60/118%</f>
        <v>0</v>
      </c>
      <c r="DL60" s="151">
        <f>DK60/DK2</f>
        <v>0</v>
      </c>
      <c r="DM60" s="159">
        <f>+DL60</f>
        <v>0</v>
      </c>
      <c r="DN60" s="395">
        <f t="shared" si="337"/>
        <v>0</v>
      </c>
      <c r="DO60" s="159">
        <f>DN60*118%</f>
        <v>0</v>
      </c>
      <c r="DP60" s="159">
        <f>IFERROR(SUMIFS('PO Tracker'!$J$44:$J$1433,'PO Tracker'!$K$44:$K$1433,$DM$6,'PO Tracker'!$L$44:$L$1433,'Capex breakup'!$B60),0)</f>
        <v>0</v>
      </c>
      <c r="DQ60" s="605" t="str">
        <f>IFERROR(DP60/DN60,"")</f>
        <v/>
      </c>
      <c r="DR60" s="118"/>
      <c r="DS60" s="151">
        <v>99253.733333333337</v>
      </c>
      <c r="DT60" s="151">
        <f>DS60/118%</f>
        <v>84113.333333333343</v>
      </c>
      <c r="DU60" s="151">
        <f>DT60/DT2</f>
        <v>252.16852540272617</v>
      </c>
      <c r="DV60" s="159">
        <v>250</v>
      </c>
      <c r="DW60" s="395">
        <f>DV60*$DW$2</f>
        <v>326687.39999999997</v>
      </c>
      <c r="DX60" s="395">
        <f>DW60*118%</f>
        <v>385491.13199999993</v>
      </c>
      <c r="DY60" s="159"/>
      <c r="DZ60" s="159">
        <f>IFERROR(SUMIFS('PO Tracker'!$J$44:$J$1433,'PO Tracker'!$K$44:$K$1433,$DV$6,'PO Tracker'!$L$44:$L$1433,'Capex breakup'!$B60),0)</f>
        <v>0</v>
      </c>
      <c r="EA60" s="605">
        <f>IFERROR(DZ60/DX60,"")</f>
        <v>0</v>
      </c>
      <c r="EB60" s="118"/>
      <c r="EC60" s="151">
        <v>99253.733333333337</v>
      </c>
      <c r="ED60" s="151">
        <f>EC60/118%</f>
        <v>84113.333333333343</v>
      </c>
      <c r="EE60" s="151">
        <f>ED60/ED2</f>
        <v>252.16852540272617</v>
      </c>
      <c r="EF60" s="159">
        <v>250</v>
      </c>
      <c r="EG60" s="395">
        <f>EF60*EG$2</f>
        <v>96176.34</v>
      </c>
      <c r="EH60" s="395">
        <f>EG60*118%</f>
        <v>113488.08119999999</v>
      </c>
      <c r="EI60" s="159"/>
      <c r="EJ60" s="159">
        <f>IFERROR(SUMIFS('PO Tracker'!$J$44:$J$1433,'PO Tracker'!$K$44:$K$1433,$EF$6,'PO Tracker'!$L$44:$L$1433,'Capex breakup'!$B60),0)</f>
        <v>184071.15</v>
      </c>
      <c r="EK60" s="605">
        <f>IFERROR(EJ60/EH60,"")</f>
        <v>1.6219425692431217</v>
      </c>
      <c r="EL60" s="118"/>
      <c r="EM60" s="151"/>
      <c r="EN60" s="151"/>
      <c r="EO60" s="151"/>
      <c r="EP60" s="159">
        <v>300</v>
      </c>
      <c r="EQ60" s="395">
        <f>EP60*EQ$2</f>
        <v>115411.60799999999</v>
      </c>
      <c r="ER60" s="395">
        <f>EQ60*118%</f>
        <v>136185.69743999999</v>
      </c>
      <c r="ES60" s="159"/>
      <c r="ET60" s="159">
        <f>IFERROR(SUMIFS('PO Tracker'!$J$44:$J$1433,'PO Tracker'!$K$44:$K$1433,$EP$6,'PO Tracker'!$L$44:$L$1433,'Capex breakup'!$B60),0)</f>
        <v>69952.740000000005</v>
      </c>
      <c r="EU60" s="605">
        <f>IFERROR(ET60/ER60,"")</f>
        <v>0.5136570235712119</v>
      </c>
      <c r="EV60" s="118"/>
      <c r="EW60" s="151"/>
      <c r="EX60" s="151"/>
      <c r="EY60" s="151"/>
      <c r="EZ60" s="159">
        <v>300</v>
      </c>
      <c r="FA60" s="395">
        <f>EZ60*FA$2</f>
        <v>384242.50799999991</v>
      </c>
      <c r="FB60" s="395">
        <f>FA60*118%</f>
        <v>453406.1594399999</v>
      </c>
      <c r="FC60" s="159"/>
      <c r="FD60" s="159">
        <f>IFERROR(SUMIFS('PO Tracker'!$J$44:$J$1433,'PO Tracker'!$K$44:$K$1433,$EZ$6,'PO Tracker'!$L$44:$L$1433,'Capex breakup'!$B60),0)</f>
        <v>0</v>
      </c>
      <c r="FE60" s="605">
        <f>IFERROR(FD60/FB60,"")</f>
        <v>0</v>
      </c>
      <c r="FF60" s="118"/>
      <c r="FG60" s="318">
        <v>672000.00000000012</v>
      </c>
      <c r="FH60" s="151">
        <f>FG60/112%</f>
        <v>600000</v>
      </c>
      <c r="FI60" s="133">
        <f>FH60/$FH$2</f>
        <v>227.60033381382294</v>
      </c>
      <c r="FJ60" s="159">
        <f>+FI60</f>
        <v>227.60033381382294</v>
      </c>
      <c r="FK60" s="395">
        <f>FJ60*FK$2</f>
        <v>596474.7166375845</v>
      </c>
      <c r="FL60" s="159">
        <f>FK60*118%</f>
        <v>703840.16563234967</v>
      </c>
      <c r="FM60" s="684"/>
      <c r="FN60" s="159"/>
      <c r="FO60" s="685"/>
      <c r="FP60" s="684"/>
      <c r="FQ60" s="159">
        <f>FK60-FN60</f>
        <v>596474.7166375845</v>
      </c>
      <c r="FR60" s="685">
        <f>FQ60*1.18</f>
        <v>703840.16563234967</v>
      </c>
      <c r="FS60" s="662">
        <f>IFERROR(SUMIFS('PO Tracker'!$J$44:$J$1433,'PO Tracker'!$K$44:$K$1433,$FJ$6,'PO Tracker'!$L$44:$L$1433,'Capex breakup'!$B60),0)</f>
        <v>0</v>
      </c>
      <c r="FT60" s="736">
        <f>IFERROR(FS60/FQ60,"")</f>
        <v>0</v>
      </c>
      <c r="FU60" s="709"/>
      <c r="FV60" s="151">
        <v>99253.733333333337</v>
      </c>
      <c r="FW60" s="151">
        <f>FV60/118%</f>
        <v>84113.333333333343</v>
      </c>
      <c r="FX60" s="151">
        <f>FW60/FW2</f>
        <v>252.16852540272617</v>
      </c>
      <c r="FY60" s="159">
        <v>700</v>
      </c>
      <c r="FZ60" s="395">
        <f>FY60*FZ$2</f>
        <v>155819.66399999999</v>
      </c>
      <c r="GA60" s="395">
        <f>FZ60*118%</f>
        <v>183867.20351999998</v>
      </c>
      <c r="GB60" s="159"/>
      <c r="GC60" s="159">
        <f>IFERROR(SUMIFS('PO Tracker'!$J$44:$J$1433,'PO Tracker'!$K$44:$K$1433,$FY$6,'PO Tracker'!$L$44:$L$1433,'Capex breakup'!$B60),0)</f>
        <v>0</v>
      </c>
      <c r="GD60" s="605">
        <f>IFERROR(GC60/GA60,"")</f>
        <v>0</v>
      </c>
      <c r="GE60" s="118"/>
      <c r="GF60" s="151"/>
      <c r="GG60" s="151">
        <f>GF60/118%</f>
        <v>0</v>
      </c>
      <c r="GH60" s="151">
        <f>GG60/GG2</f>
        <v>0</v>
      </c>
      <c r="GI60" s="159">
        <v>0</v>
      </c>
      <c r="GJ60" s="395">
        <f>GI60*GJ$2</f>
        <v>0</v>
      </c>
      <c r="GK60" s="395">
        <f>GJ60*118%</f>
        <v>0</v>
      </c>
      <c r="GL60" s="159"/>
      <c r="GM60" s="159">
        <f>IFERROR(SUMIFS('PO Tracker'!$J$44:$J$1433,'PO Tracker'!$K$44:$K$1433,$GI$6,'PO Tracker'!$L$44:$L$1433,'Capex breakup'!$B60),0)</f>
        <v>0</v>
      </c>
      <c r="GN60" s="605" t="str">
        <f>IFERROR(GM60/GK60,"")</f>
        <v/>
      </c>
      <c r="GO60" s="118"/>
      <c r="GP60" s="151"/>
      <c r="GQ60" s="151">
        <f>GP60/118%</f>
        <v>0</v>
      </c>
      <c r="GR60" s="151">
        <f>GQ60/GQ2</f>
        <v>0</v>
      </c>
      <c r="GS60" s="159">
        <v>0</v>
      </c>
      <c r="GT60" s="395">
        <v>0</v>
      </c>
      <c r="GU60" s="159">
        <v>0</v>
      </c>
      <c r="GV60" s="159">
        <f>IFERROR(SUMIFS('PO Tracker'!$J$44:$J$1433,'PO Tracker'!$K$44:$K$1433,$GS$6,'PO Tracker'!$L$44:$L$1433,'Capex breakup'!$B60),0)</f>
        <v>0</v>
      </c>
      <c r="GW60" s="605" t="str">
        <f>IFERROR(GV60/GT60,"")</f>
        <v/>
      </c>
      <c r="GX60" s="118"/>
      <c r="GY60" s="151"/>
      <c r="GZ60" s="151"/>
      <c r="HA60" s="133"/>
      <c r="HB60" s="159">
        <v>230</v>
      </c>
      <c r="HC60" s="395">
        <f>HB60*HC$2</f>
        <v>767869.31520000007</v>
      </c>
      <c r="HD60" s="159">
        <f>HC60*118%</f>
        <v>906085.79193599999</v>
      </c>
      <c r="HE60" s="159"/>
      <c r="HF60" s="159">
        <f>IFERROR(SUMIFS('PO Tracker'!$J$44:$J$1433,'PO Tracker'!$K$44:$K$1433,$HB$6,'PO Tracker'!$L$44:$L$1433,'Capex breakup'!$B60),0)</f>
        <v>0</v>
      </c>
      <c r="HG60" s="605">
        <f>IFERROR(HF60/HD60,"")</f>
        <v>0</v>
      </c>
      <c r="HH60" s="118"/>
      <c r="HI60" s="151"/>
      <c r="HJ60" s="151"/>
      <c r="HK60" s="133"/>
      <c r="HL60" s="159">
        <v>250</v>
      </c>
      <c r="HM60" s="395">
        <f>HL60*HM$2</f>
        <v>849010.5</v>
      </c>
      <c r="HN60" s="159">
        <f>HM60*118%</f>
        <v>1001832.3899999999</v>
      </c>
      <c r="HO60" s="159">
        <f>IFERROR(SUMIFS('PO Tracker'!$J$44:$J$1433,'PO Tracker'!$K$44:$K$1433,$HL$6,'PO Tracker'!$L$44:$L$1433,'Capex breakup'!$B60),0)</f>
        <v>0</v>
      </c>
      <c r="HP60" s="605">
        <f>IFERROR(HO60/HM60,"")</f>
        <v>0</v>
      </c>
      <c r="HQ60" s="118"/>
      <c r="HR60" s="364"/>
      <c r="HS60" s="364"/>
      <c r="HT60" s="364"/>
      <c r="HU60" s="364"/>
    </row>
    <row r="61" spans="1:229">
      <c r="A61" s="18">
        <v>4</v>
      </c>
      <c r="B61" s="19" t="s">
        <v>87</v>
      </c>
      <c r="C61" s="118"/>
      <c r="D61" s="151"/>
      <c r="E61" s="151">
        <f>D61/118%</f>
        <v>0</v>
      </c>
      <c r="F61" s="151">
        <f>E61/E2</f>
        <v>0</v>
      </c>
      <c r="G61" s="159"/>
      <c r="H61" s="395">
        <f>G61*H$2</f>
        <v>0</v>
      </c>
      <c r="I61" s="395">
        <f>H61*118%</f>
        <v>0</v>
      </c>
      <c r="J61" s="159"/>
      <c r="K61" s="159">
        <f>IFERROR(SUMIFS('PO Tracker'!$J$44:$J$1433,'PO Tracker'!$K$44:$K$1433,$G$6,'PO Tracker'!$L$44:$L$1433,'Capex breakup'!$B61),0)</f>
        <v>0</v>
      </c>
      <c r="L61" s="605" t="str">
        <f>IFERROR(K61/I61,"")</f>
        <v/>
      </c>
      <c r="M61" s="118"/>
      <c r="N61" s="151"/>
      <c r="O61" s="151">
        <f>N61/118%</f>
        <v>0</v>
      </c>
      <c r="P61" s="151">
        <f>O61/O2</f>
        <v>0</v>
      </c>
      <c r="Q61" s="159"/>
      <c r="R61" s="395">
        <f>Q61*R$2</f>
        <v>0</v>
      </c>
      <c r="S61" s="395">
        <f>R61*118%</f>
        <v>0</v>
      </c>
      <c r="T61" s="159"/>
      <c r="U61" s="159">
        <f>IFERROR(SUMIFS('PO Tracker'!$J$44:$J$1433,'PO Tracker'!$K$44:$K$1433,$Q$6,'PO Tracker'!$L$44:$L$1433,'Capex breakup'!$B61),0)</f>
        <v>0</v>
      </c>
      <c r="V61" s="605" t="str">
        <f>IFERROR(U61/S61,"")</f>
        <v/>
      </c>
      <c r="W61" s="118"/>
      <c r="X61" s="151"/>
      <c r="Y61" s="151"/>
      <c r="Z61" s="133">
        <f>Y61/$Y$2</f>
        <v>0</v>
      </c>
      <c r="AA61" s="159"/>
      <c r="AB61" s="395">
        <f>AA61*AB$2</f>
        <v>0</v>
      </c>
      <c r="AC61" s="395">
        <f>AB61*118%</f>
        <v>0</v>
      </c>
      <c r="AD61" s="159"/>
      <c r="AE61" s="159">
        <f>IFERROR(SUMIFS('PO Tracker'!$J$44:$J$1433,'PO Tracker'!$K$44:$K$1433,$AA$6,'PO Tracker'!$L$44:$L$1433,'Capex breakup'!$B61),0)</f>
        <v>0</v>
      </c>
      <c r="AF61" s="605" t="str">
        <f>IFERROR(AE61/AC61,"")</f>
        <v/>
      </c>
      <c r="AG61" s="118"/>
      <c r="AH61" s="151"/>
      <c r="AI61" s="151">
        <f>AH61/118%</f>
        <v>0</v>
      </c>
      <c r="AJ61" s="151">
        <f>AI61/AI2</f>
        <v>0</v>
      </c>
      <c r="AK61" s="159"/>
      <c r="AL61" s="395">
        <f>AK61*AL$2</f>
        <v>0</v>
      </c>
      <c r="AM61" s="395">
        <f>AL61*118%</f>
        <v>0</v>
      </c>
      <c r="AN61" s="159"/>
      <c r="AO61" s="159">
        <f>IFERROR(SUMIFS('PO Tracker'!$J$44:$J$1433,'PO Tracker'!$K$44:$K$1433,$AK$6,'PO Tracker'!$L$44:$L$1433,'Capex breakup'!$B61),0)</f>
        <v>0</v>
      </c>
      <c r="AP61" s="605" t="str">
        <f>IFERROR(AO61/AM61,"")</f>
        <v/>
      </c>
      <c r="AQ61" s="118"/>
      <c r="AR61" s="287">
        <f>236000+59000</f>
        <v>295000</v>
      </c>
      <c r="AS61" s="287">
        <f>AR61/118%</f>
        <v>250000</v>
      </c>
      <c r="AT61" s="288">
        <f>AS61/AS$2</f>
        <v>230.04159151974676</v>
      </c>
      <c r="AU61" s="159"/>
      <c r="AV61" s="395">
        <f>AU61*AV$2</f>
        <v>0</v>
      </c>
      <c r="AW61" s="395">
        <f>AV61*118%</f>
        <v>0</v>
      </c>
      <c r="AX61" s="159"/>
      <c r="AY61" s="159">
        <f>IFERROR(SUMIFS('PO Tracker'!$J$44:$J$1433,'PO Tracker'!$K$44:$K$1433,$AU$6,'PO Tracker'!$L$44:$L$1433,'Capex breakup'!$B61),0)</f>
        <v>0</v>
      </c>
      <c r="AZ61" s="605" t="str">
        <f>IFERROR(AY61/AW61,"")</f>
        <v/>
      </c>
      <c r="BA61" s="118"/>
      <c r="BB61" s="151">
        <f>200000.56+59000</f>
        <v>259000.56</v>
      </c>
      <c r="BC61" s="151">
        <f>BB61/118%</f>
        <v>219492</v>
      </c>
      <c r="BD61" s="151">
        <f>BC61/BC2</f>
        <v>351.7049096269709</v>
      </c>
      <c r="BE61" s="159"/>
      <c r="BF61" s="395">
        <f>BE61*BF$2</f>
        <v>0</v>
      </c>
      <c r="BG61" s="395">
        <f>BF61*118%</f>
        <v>0</v>
      </c>
      <c r="BH61" s="159"/>
      <c r="BI61" s="159">
        <f>IFERROR(SUMIFS('PO Tracker'!$J$44:$J$1433,'PO Tracker'!$K$44:$K$1433,$BE$6,'PO Tracker'!$L$44:$L$1433,'Capex breakup'!$B61),0)</f>
        <v>0</v>
      </c>
      <c r="BJ61" s="605" t="str">
        <f>IFERROR(BI61/BG61,"")</f>
        <v/>
      </c>
      <c r="BK61" s="118"/>
      <c r="BL61" s="151"/>
      <c r="BM61" s="151"/>
      <c r="BN61" s="151"/>
      <c r="BO61" s="159"/>
      <c r="BP61" s="395">
        <f>BO61*BP$2</f>
        <v>0</v>
      </c>
      <c r="BQ61" s="395">
        <f>BP61*118%</f>
        <v>0</v>
      </c>
      <c r="BR61" s="159"/>
      <c r="BS61" s="159">
        <f>IFERROR(SUMIFS('PO Tracker'!$J$44:$J$1433,'PO Tracker'!$K$44:$K$1433,$BO$6,'PO Tracker'!$L$44:$L$1433,'Capex breakup'!$B61),0)</f>
        <v>0</v>
      </c>
      <c r="BT61" s="605" t="str">
        <f>IFERROR(BS61/BQ61,"")</f>
        <v/>
      </c>
      <c r="BU61" s="118"/>
      <c r="BV61" s="151">
        <f>59000*2</f>
        <v>118000</v>
      </c>
      <c r="BW61" s="151">
        <f>BV61/118%</f>
        <v>100000</v>
      </c>
      <c r="BX61" s="151">
        <f>BW61/BW2</f>
        <v>102.14504596527068</v>
      </c>
      <c r="BY61" s="159"/>
      <c r="BZ61" s="395">
        <f>BY61*BZ$2</f>
        <v>0</v>
      </c>
      <c r="CA61" s="395">
        <f>BZ61*118%</f>
        <v>0</v>
      </c>
      <c r="CB61" s="159"/>
      <c r="CC61" s="159">
        <f>IFERROR(SUMIFS('PO Tracker'!$J$44:$J$1433,'PO Tracker'!$K$44:$K$1433,$BY$6,'PO Tracker'!$L$44:$L$1433,'Capex breakup'!$B61),0)</f>
        <v>0</v>
      </c>
      <c r="CD61" s="605" t="str">
        <f>IFERROR(CC61/CA61,"")</f>
        <v/>
      </c>
      <c r="CE61" s="118"/>
      <c r="CF61" s="151"/>
      <c r="CG61" s="151">
        <f>CF61/118%</f>
        <v>0</v>
      </c>
      <c r="CH61" s="151">
        <f>CG61/CG2</f>
        <v>0</v>
      </c>
      <c r="CI61" s="159"/>
      <c r="CJ61" s="395">
        <f>CI61*CJ$2</f>
        <v>0</v>
      </c>
      <c r="CK61" s="395">
        <f>CJ61*118%</f>
        <v>0</v>
      </c>
      <c r="CL61" s="159"/>
      <c r="CM61" s="159">
        <f>IFERROR(SUMIFS('PO Tracker'!$J$44:$J$1433,'PO Tracker'!$K$44:$K$1433,$CI$6,'PO Tracker'!$L$44:$L$1433,'Capex breakup'!$B61),0)</f>
        <v>0</v>
      </c>
      <c r="CN61" s="605" t="str">
        <f>IFERROR(CM61/CK61,"")</f>
        <v/>
      </c>
      <c r="CO61" s="118"/>
      <c r="CP61" s="151"/>
      <c r="CQ61" s="151">
        <f>CP61/118%</f>
        <v>0</v>
      </c>
      <c r="CR61" s="151"/>
      <c r="CS61" s="159"/>
      <c r="CT61" s="395">
        <f>CS61*CT$2</f>
        <v>0</v>
      </c>
      <c r="CU61" s="395">
        <f>CT61*118%</f>
        <v>0</v>
      </c>
      <c r="CV61" s="159"/>
      <c r="CW61" s="159">
        <f>IFERROR(SUMIFS('PO Tracker'!$J$44:$J$1433,'PO Tracker'!$K$44:$K$1433,$CS$6,'PO Tracker'!$L$44:$L$1433,'Capex breakup'!$B61),0)</f>
        <v>0</v>
      </c>
      <c r="CX61" s="605" t="str">
        <f>IFERROR(CW61/CU61,"")</f>
        <v/>
      </c>
      <c r="CY61" s="118"/>
      <c r="CZ61" s="151"/>
      <c r="DA61" s="151">
        <f>CZ61/118%</f>
        <v>0</v>
      </c>
      <c r="DB61" s="151">
        <f>DA61/DA2</f>
        <v>0</v>
      </c>
      <c r="DC61" s="159"/>
      <c r="DD61" s="395">
        <f>DC61*DD$2</f>
        <v>0</v>
      </c>
      <c r="DE61" s="395">
        <f>DD61*118%</f>
        <v>0</v>
      </c>
      <c r="DF61" s="159"/>
      <c r="DG61" s="159">
        <f>IFERROR(SUMIFS('PO Tracker'!$J$44:$J$1433,'PO Tracker'!$K$44:$K$1433,$DC$6,'PO Tracker'!$L$44:$L$1433,'Capex breakup'!$B61),0)</f>
        <v>0</v>
      </c>
      <c r="DH61" s="605" t="str">
        <f>IFERROR(DG61/DE61,"")</f>
        <v/>
      </c>
      <c r="DI61" s="118"/>
      <c r="DJ61" s="151"/>
      <c r="DK61" s="151">
        <f>DJ61/118%</f>
        <v>0</v>
      </c>
      <c r="DL61" s="151">
        <f>DK61/DK2</f>
        <v>0</v>
      </c>
      <c r="DM61" s="159">
        <v>500</v>
      </c>
      <c r="DN61" s="395">
        <v>20000</v>
      </c>
      <c r="DO61" s="159">
        <f>DN61*118%</f>
        <v>23600</v>
      </c>
      <c r="DP61" s="159">
        <f>IFERROR(SUMIFS('PO Tracker'!$J$44:$J$1433,'PO Tracker'!$K$44:$K$1433,$DM$6,'PO Tracker'!$L$44:$L$1433,'Capex breakup'!$B61),0)</f>
        <v>0</v>
      </c>
      <c r="DQ61" s="605">
        <f>IFERROR(DP61/DO61,"")</f>
        <v>0</v>
      </c>
      <c r="DR61" s="118"/>
      <c r="DS61" s="151"/>
      <c r="DT61" s="151">
        <f>DS61/118%</f>
        <v>0</v>
      </c>
      <c r="DU61" s="151">
        <f>DT61/DT2</f>
        <v>0</v>
      </c>
      <c r="DV61" s="159"/>
      <c r="DW61" s="395">
        <f>DV61*DW$2</f>
        <v>0</v>
      </c>
      <c r="DX61" s="395">
        <f>DW61*118%</f>
        <v>0</v>
      </c>
      <c r="DY61" s="159"/>
      <c r="DZ61" s="159">
        <f>IFERROR(SUMIFS('PO Tracker'!$J$44:$J$1433,'PO Tracker'!$K$44:$K$1433,$DV$6,'PO Tracker'!$L$44:$L$1433,'Capex breakup'!$B61),0)</f>
        <v>0</v>
      </c>
      <c r="EA61" s="605" t="str">
        <f>IFERROR(DZ61/DX61,"")</f>
        <v/>
      </c>
      <c r="EB61" s="118"/>
      <c r="EC61" s="151"/>
      <c r="ED61" s="151">
        <f>EC61/118%</f>
        <v>0</v>
      </c>
      <c r="EE61" s="151">
        <f>ED61/ED2</f>
        <v>0</v>
      </c>
      <c r="EF61" s="159"/>
      <c r="EG61" s="395">
        <f>EF61*EG$2</f>
        <v>0</v>
      </c>
      <c r="EH61" s="395">
        <f>EG61*118%</f>
        <v>0</v>
      </c>
      <c r="EI61" s="159"/>
      <c r="EJ61" s="159">
        <f>IFERROR(SUMIFS('PO Tracker'!$J$44:$J$1433,'PO Tracker'!$K$44:$K$1433,$EF$6,'PO Tracker'!$L$44:$L$1433,'Capex breakup'!$B61),0)</f>
        <v>0</v>
      </c>
      <c r="EK61" s="605" t="str">
        <f>IFERROR(EJ61/EH61,"")</f>
        <v/>
      </c>
      <c r="EL61" s="118"/>
      <c r="EM61" s="151"/>
      <c r="EN61" s="151"/>
      <c r="EO61" s="151"/>
      <c r="EP61" s="159"/>
      <c r="EQ61" s="395">
        <f>EP61*EQ$2</f>
        <v>0</v>
      </c>
      <c r="ER61" s="395">
        <f>EQ61*118%</f>
        <v>0</v>
      </c>
      <c r="ES61" s="159"/>
      <c r="ET61" s="159">
        <f>IFERROR(SUMIFS('PO Tracker'!$J$44:$J$1433,'PO Tracker'!$K$44:$K$1433,$EP$6,'PO Tracker'!$L$44:$L$1433,'Capex breakup'!$B61),0)</f>
        <v>0</v>
      </c>
      <c r="EU61" s="605" t="str">
        <f>IFERROR(ET61/ER61,"")</f>
        <v/>
      </c>
      <c r="EV61" s="118"/>
      <c r="EW61" s="151"/>
      <c r="EX61" s="151"/>
      <c r="EY61" s="151"/>
      <c r="EZ61" s="159"/>
      <c r="FA61" s="395">
        <f>EZ61*FA$2</f>
        <v>0</v>
      </c>
      <c r="FB61" s="395">
        <f>FA61*118%</f>
        <v>0</v>
      </c>
      <c r="FC61" s="159"/>
      <c r="FD61" s="159">
        <f>IFERROR(SUMIFS('PO Tracker'!$J$44:$J$1433,'PO Tracker'!$K$44:$K$1433,$EZ$6,'PO Tracker'!$L$44:$L$1433,'Capex breakup'!$B61),0)</f>
        <v>0</v>
      </c>
      <c r="FE61" s="605" t="str">
        <f>IFERROR(FD61/FB61,"")</f>
        <v/>
      </c>
      <c r="FF61" s="118"/>
      <c r="FG61" s="318"/>
      <c r="FH61" s="151"/>
      <c r="FI61" s="133">
        <f>FH61/$FH$2</f>
        <v>0</v>
      </c>
      <c r="FJ61" s="159">
        <f>+FI61</f>
        <v>0</v>
      </c>
      <c r="FK61" s="395">
        <f>FJ61*FK$2</f>
        <v>0</v>
      </c>
      <c r="FL61" s="159">
        <f>FK61*118%</f>
        <v>0</v>
      </c>
      <c r="FM61" s="684"/>
      <c r="FN61" s="159"/>
      <c r="FO61" s="685"/>
      <c r="FP61" s="684"/>
      <c r="FQ61" s="159">
        <f>FK61-FN61</f>
        <v>0</v>
      </c>
      <c r="FR61" s="685">
        <f>FQ61*1.18</f>
        <v>0</v>
      </c>
      <c r="FS61" s="662">
        <f>IFERROR(SUMIFS('PO Tracker'!$J$44:$J$1433,'PO Tracker'!$K$44:$K$1433,$FJ$6,'PO Tracker'!$L$44:$L$1433,'Capex breakup'!$B61),0)</f>
        <v>0</v>
      </c>
      <c r="FT61" s="736" t="str">
        <f>IFERROR(FS61/FQ61,"")</f>
        <v/>
      </c>
      <c r="FU61" s="709"/>
      <c r="FV61" s="151"/>
      <c r="FW61" s="151">
        <f>FV61/118%</f>
        <v>0</v>
      </c>
      <c r="FX61" s="151">
        <f>FW61/FW2</f>
        <v>0</v>
      </c>
      <c r="FY61" s="159"/>
      <c r="FZ61" s="395">
        <f>FY61*FZ$2</f>
        <v>0</v>
      </c>
      <c r="GA61" s="395">
        <f>FZ61*118%</f>
        <v>0</v>
      </c>
      <c r="GB61" s="159"/>
      <c r="GC61" s="159">
        <f>IFERROR(SUMIFS('PO Tracker'!$J$44:$J$1433,'PO Tracker'!$K$44:$K$1433,$FY$6,'PO Tracker'!$L$44:$L$1433,'Capex breakup'!$B61),0)</f>
        <v>0</v>
      </c>
      <c r="GD61" s="605" t="str">
        <f>IFERROR(GC61/GA61,"")</f>
        <v/>
      </c>
      <c r="GE61" s="118"/>
      <c r="GF61" s="151"/>
      <c r="GG61" s="151">
        <f>GF61/118%</f>
        <v>0</v>
      </c>
      <c r="GH61" s="151">
        <f>GG61/GG2</f>
        <v>0</v>
      </c>
      <c r="GI61" s="159"/>
      <c r="GJ61" s="395">
        <f>GI61*GJ$2</f>
        <v>0</v>
      </c>
      <c r="GK61" s="395">
        <f>GJ61*118%</f>
        <v>0</v>
      </c>
      <c r="GL61" s="159"/>
      <c r="GM61" s="159">
        <f>IFERROR(SUMIFS('PO Tracker'!$J$44:$J$1433,'PO Tracker'!$K$44:$K$1433,$GI$6,'PO Tracker'!$L$44:$L$1433,'Capex breakup'!$B61),0)</f>
        <v>0</v>
      </c>
      <c r="GN61" s="605" t="str">
        <f>IFERROR(GM61/GK61,"")</f>
        <v/>
      </c>
      <c r="GO61" s="118"/>
      <c r="GP61" s="151"/>
      <c r="GQ61" s="151">
        <f>GP61/118%</f>
        <v>0</v>
      </c>
      <c r="GR61" s="151">
        <f>GQ61/GQ2</f>
        <v>0</v>
      </c>
      <c r="GS61" s="159">
        <v>0</v>
      </c>
      <c r="GT61" s="395">
        <v>20000</v>
      </c>
      <c r="GU61" s="159">
        <v>68588.207999999984</v>
      </c>
      <c r="GV61" s="159">
        <f>IFERROR(SUMIFS('PO Tracker'!$J$44:$J$1433,'PO Tracker'!$K$44:$K$1433,$GS$6,'PO Tracker'!$L$44:$L$1433,'Capex breakup'!$B61),0)</f>
        <v>0</v>
      </c>
      <c r="GW61" s="605">
        <f>IFERROR(GV61/GT61,"")</f>
        <v>0</v>
      </c>
      <c r="GX61" s="118"/>
      <c r="GY61" s="151"/>
      <c r="GZ61" s="151"/>
      <c r="HA61" s="133"/>
      <c r="HB61" s="159">
        <f>+HA61</f>
        <v>0</v>
      </c>
      <c r="HC61" s="395">
        <f>HB61*HC$2</f>
        <v>0</v>
      </c>
      <c r="HD61" s="159">
        <f>HC61*118%</f>
        <v>0</v>
      </c>
      <c r="HE61" s="159"/>
      <c r="HF61" s="159">
        <f>IFERROR(SUMIFS('PO Tracker'!$J$44:$J$1433,'PO Tracker'!$K$44:$K$1433,$HB$6,'PO Tracker'!$L$44:$L$1433,'Capex breakup'!$B61),0)</f>
        <v>0</v>
      </c>
      <c r="HG61" s="605" t="str">
        <f>IFERROR(HF61/HD61,"")</f>
        <v/>
      </c>
      <c r="HH61" s="118"/>
      <c r="HI61" s="151"/>
      <c r="HJ61" s="151"/>
      <c r="HK61" s="133"/>
      <c r="HL61" s="159">
        <f>+HK61</f>
        <v>0</v>
      </c>
      <c r="HM61" s="395">
        <f>HL61*HM$2</f>
        <v>0</v>
      </c>
      <c r="HN61" s="159">
        <f>HM61*118%</f>
        <v>0</v>
      </c>
      <c r="HO61" s="159">
        <f>IFERROR(SUMIFS('PO Tracker'!$J$44:$J$1433,'PO Tracker'!$K$44:$K$1433,$HL$6,'PO Tracker'!$L$44:$L$1433,'Capex breakup'!$B61),0)</f>
        <v>0</v>
      </c>
      <c r="HP61" s="605" t="str">
        <f>IFERROR(HO61/HM61,"")</f>
        <v/>
      </c>
      <c r="HQ61" s="118"/>
      <c r="HR61" s="364"/>
      <c r="HS61" s="364"/>
      <c r="HT61" s="364"/>
      <c r="HU61" s="364"/>
    </row>
    <row r="62" spans="1:229" s="26" customFormat="1" ht="15">
      <c r="A62" s="334"/>
      <c r="B62" s="23" t="s">
        <v>60</v>
      </c>
      <c r="C62" s="121"/>
      <c r="D62" s="154">
        <f>SUM(D58:D61)</f>
        <v>629931.35871985147</v>
      </c>
      <c r="E62" s="154">
        <f>SUM(E58:E61)</f>
        <v>533840.13450834877</v>
      </c>
      <c r="F62" s="152"/>
      <c r="G62" s="77"/>
      <c r="H62" s="396">
        <f>SUM(H58:H61)</f>
        <v>526617.93599999999</v>
      </c>
      <c r="I62" s="396">
        <f>SUM(I58:I61)</f>
        <v>621409.16448000004</v>
      </c>
      <c r="J62" s="78"/>
      <c r="K62" s="396">
        <f>SUM(K58:K61)</f>
        <v>162366</v>
      </c>
      <c r="L62" s="605">
        <f>IFERROR(K62/I62,"")</f>
        <v>0.26128678056408955</v>
      </c>
      <c r="M62" s="121"/>
      <c r="N62" s="154">
        <f>SUM(N58:N61)</f>
        <v>629931.35871985147</v>
      </c>
      <c r="O62" s="154">
        <f>SUM(O58:O61)</f>
        <v>533840.13450834877</v>
      </c>
      <c r="P62" s="152"/>
      <c r="Q62" s="77"/>
      <c r="R62" s="396">
        <f>SUM(R58:R61)</f>
        <v>660688.93800000008</v>
      </c>
      <c r="S62" s="396">
        <f>SUM(S58:S61)</f>
        <v>779612.94683999999</v>
      </c>
      <c r="T62" s="78"/>
      <c r="U62" s="396">
        <f>SUM(U58:U61)</f>
        <v>528175</v>
      </c>
      <c r="V62" s="605">
        <f>IFERROR(U62/S62,"")</f>
        <v>0.67748361817341318</v>
      </c>
      <c r="W62" s="121"/>
      <c r="X62" s="154">
        <f>SUM(X58:X61)</f>
        <v>1774511.2000000002</v>
      </c>
      <c r="Y62" s="154">
        <f>SUM(Y58:Y61)</f>
        <v>1584385</v>
      </c>
      <c r="Z62" s="152"/>
      <c r="AA62" s="77"/>
      <c r="AB62" s="396">
        <f>SUM(AB58:AB61)</f>
        <v>2247523.2000000002</v>
      </c>
      <c r="AC62" s="396">
        <f>SUM(AC58:AC61)</f>
        <v>2652077.3760000002</v>
      </c>
      <c r="AD62" s="78"/>
      <c r="AE62" s="396">
        <f>SUM(AE58:AE61)</f>
        <v>135228</v>
      </c>
      <c r="AF62" s="605">
        <f>IFERROR(AE62/AC62,"")</f>
        <v>5.0989462533690418E-2</v>
      </c>
      <c r="AG62" s="121"/>
      <c r="AH62" s="154">
        <f>SUM(AH58:AH61)</f>
        <v>629931.35871985147</v>
      </c>
      <c r="AI62" s="154">
        <f>SUM(AI58:AI61)</f>
        <v>533840.13450834877</v>
      </c>
      <c r="AJ62" s="152"/>
      <c r="AK62" s="77"/>
      <c r="AL62" s="396">
        <f>SUM(AL58:AL61)</f>
        <v>810313.91999999993</v>
      </c>
      <c r="AM62" s="396">
        <f>SUM(AM58:AM61)</f>
        <v>956170.42559999996</v>
      </c>
      <c r="AN62" s="78"/>
      <c r="AO62" s="396">
        <f>SUM(AO58:AO61)</f>
        <v>1075841.19</v>
      </c>
      <c r="AP62" s="605">
        <f>IFERROR(AO62/AM62,"")</f>
        <v>1.125156312301655</v>
      </c>
      <c r="AQ62" s="121"/>
      <c r="AR62" s="290">
        <f>SUM(AR59:AR61)</f>
        <v>1531665.96</v>
      </c>
      <c r="AS62" s="290">
        <f>SUM(AS59:AS61)</f>
        <v>1298022</v>
      </c>
      <c r="AT62" s="289"/>
      <c r="AU62" s="77"/>
      <c r="AV62" s="396">
        <f>SUM(AV58:AV61)</f>
        <v>1427844.5999999999</v>
      </c>
      <c r="AW62" s="396">
        <f>SUM(AW58:AW61)</f>
        <v>1684856.6279999998</v>
      </c>
      <c r="AX62" s="78"/>
      <c r="AY62" s="396">
        <f>SUM(AY58:AY61)</f>
        <v>0</v>
      </c>
      <c r="AZ62" s="605">
        <f>IFERROR(AY62/AW62,"")</f>
        <v>0</v>
      </c>
      <c r="BA62" s="121"/>
      <c r="BB62" s="154">
        <f>SUM(BB58:BB61)</f>
        <v>803067.88000000012</v>
      </c>
      <c r="BC62" s="154">
        <f>SUM(BC58:BC61)</f>
        <v>680566</v>
      </c>
      <c r="BD62" s="152"/>
      <c r="BE62" s="77"/>
      <c r="BF62" s="396">
        <f>SUM(BF58:BF61)</f>
        <v>932851.29599999986</v>
      </c>
      <c r="BG62" s="396">
        <f>SUM(BG58:BG61)</f>
        <v>1100764.5292799999</v>
      </c>
      <c r="BH62" s="78"/>
      <c r="BI62" s="396">
        <f>SUM(BI58:BI61)</f>
        <v>248832</v>
      </c>
      <c r="BJ62" s="605">
        <f>IFERROR(BI62/BG62,"")</f>
        <v>0.22605379568576647</v>
      </c>
      <c r="BK62" s="121"/>
      <c r="BL62" s="154"/>
      <c r="BM62" s="154"/>
      <c r="BN62" s="152"/>
      <c r="BO62" s="77"/>
      <c r="BP62" s="396">
        <f>SUM(BP58:BP61)</f>
        <v>0</v>
      </c>
      <c r="BQ62" s="396">
        <f>SUM(BQ58:BQ61)</f>
        <v>0</v>
      </c>
      <c r="BR62" s="78"/>
      <c r="BS62" s="396">
        <f>SUM(BS58:BS61)</f>
        <v>0</v>
      </c>
      <c r="BT62" s="605" t="str">
        <f>IFERROR(BS62/BQ62,"")</f>
        <v/>
      </c>
      <c r="BU62" s="121"/>
      <c r="BV62" s="154">
        <f>SUM(BV58:BV61)</f>
        <v>662067.32000000007</v>
      </c>
      <c r="BW62" s="154">
        <f>SUM(BW58:BW61)</f>
        <v>561074</v>
      </c>
      <c r="BX62" s="152"/>
      <c r="BY62" s="77"/>
      <c r="BZ62" s="396">
        <f>SUM(BZ58:BZ61)</f>
        <v>503658.32399999991</v>
      </c>
      <c r="CA62" s="396">
        <f>SUM(CA58:CA61)</f>
        <v>594316.82231999992</v>
      </c>
      <c r="CB62" s="78"/>
      <c r="CC62" s="396">
        <f>SUM(CC58:CC61)</f>
        <v>0</v>
      </c>
      <c r="CD62" s="605">
        <f>IFERROR(CC62/CA62,"")</f>
        <v>0</v>
      </c>
      <c r="CE62" s="121"/>
      <c r="CF62" s="154">
        <f>SUM(CF58:CF61)</f>
        <v>279651.93333333335</v>
      </c>
      <c r="CG62" s="154">
        <f>SUM(CG58:CG61)</f>
        <v>236993.16384180792</v>
      </c>
      <c r="CH62" s="152"/>
      <c r="CI62" s="77"/>
      <c r="CJ62" s="396">
        <f>SUM(CJ58:CJ61)</f>
        <v>503755.19999999995</v>
      </c>
      <c r="CK62" s="396">
        <f>SUM(CK58:CK61)</f>
        <v>594431.13599999994</v>
      </c>
      <c r="CL62" s="78"/>
      <c r="CM62" s="396">
        <f>SUM(CM58:CM61)</f>
        <v>59648</v>
      </c>
      <c r="CN62" s="605">
        <f>IFERROR(CM62/CK62,"")</f>
        <v>0.10034467642690911</v>
      </c>
      <c r="CO62" s="121"/>
      <c r="CP62" s="154">
        <f>SUM(CP58:CP61)</f>
        <v>0</v>
      </c>
      <c r="CQ62" s="154">
        <f>SUM(CQ58:CQ61)</f>
        <v>0</v>
      </c>
      <c r="CR62" s="152"/>
      <c r="CS62" s="77"/>
      <c r="CT62" s="396">
        <f>SUM(CT58:CT61)</f>
        <v>0</v>
      </c>
      <c r="CU62" s="396">
        <f>SUM(CU58:CU61)</f>
        <v>0</v>
      </c>
      <c r="CV62" s="78"/>
      <c r="CW62" s="396">
        <f>SUM(CW58:CW61)</f>
        <v>0</v>
      </c>
      <c r="CX62" s="605" t="str">
        <f>IFERROR(CW62/CU62,"")</f>
        <v/>
      </c>
      <c r="CY62" s="121"/>
      <c r="CZ62" s="154">
        <f>SUM(CZ58:CZ61)</f>
        <v>279651.93333333335</v>
      </c>
      <c r="DA62" s="154">
        <f>SUM(DA58:DA61)</f>
        <v>236993.16384180792</v>
      </c>
      <c r="DB62" s="152"/>
      <c r="DC62" s="77"/>
      <c r="DD62" s="396">
        <f>SUM(DD58:DD61)</f>
        <v>419795.99999999994</v>
      </c>
      <c r="DE62" s="396">
        <f>SUM(DE58:DE61)</f>
        <v>495359.27999999991</v>
      </c>
      <c r="DF62" s="78"/>
      <c r="DG62" s="396">
        <f>SUM(DG58:DG61)</f>
        <v>434986.35</v>
      </c>
      <c r="DH62" s="605">
        <f>IFERROR(DG62/DE62,"")</f>
        <v>0.87812294543063785</v>
      </c>
      <c r="DI62" s="121"/>
      <c r="DJ62" s="154">
        <f>SUM(DJ58:DJ61)</f>
        <v>118000</v>
      </c>
      <c r="DK62" s="154">
        <f>SUM(DK58:DK61)</f>
        <v>100000</v>
      </c>
      <c r="DL62" s="152"/>
      <c r="DM62" s="77"/>
      <c r="DN62" s="396">
        <f>SUM(DN58:DN61)</f>
        <v>200000</v>
      </c>
      <c r="DO62" s="78">
        <f>SUM(DO58:DO61)</f>
        <v>236000</v>
      </c>
      <c r="DP62" s="396">
        <f>SUM(DP58:DP61)</f>
        <v>111958.39999999999</v>
      </c>
      <c r="DQ62" s="605">
        <f>IFERROR(DP62/DN62,"")</f>
        <v>0.55979199999999996</v>
      </c>
      <c r="DR62" s="121"/>
      <c r="DS62" s="154">
        <f>SUM(DS58:DS61)</f>
        <v>279651.93333333335</v>
      </c>
      <c r="DT62" s="154">
        <f>SUM(DT58:DT61)</f>
        <v>236993.16384180792</v>
      </c>
      <c r="DU62" s="152"/>
      <c r="DV62" s="77"/>
      <c r="DW62" s="396">
        <f>SUM(DW58:DW61)</f>
        <v>588037.31999999995</v>
      </c>
      <c r="DX62" s="396">
        <f>SUM(DX58:DX61)</f>
        <v>693884.03759999992</v>
      </c>
      <c r="DY62" s="78"/>
      <c r="DZ62" s="396">
        <f>SUM(DZ58:DZ61)</f>
        <v>149386</v>
      </c>
      <c r="EA62" s="605">
        <f>IFERROR(DZ62/DX62,"")</f>
        <v>0.21528957564248774</v>
      </c>
      <c r="EB62" s="121"/>
      <c r="EC62" s="154">
        <f>SUM(EC58:EC61)</f>
        <v>279651.93333333335</v>
      </c>
      <c r="ED62" s="154">
        <f>SUM(ED58:ED61)</f>
        <v>236993.16384180792</v>
      </c>
      <c r="EE62" s="152"/>
      <c r="EF62" s="77"/>
      <c r="EG62" s="396">
        <f>SUM(EG58:EG61)</f>
        <v>557822.772</v>
      </c>
      <c r="EH62" s="396">
        <f>SUM(EH58:EH61)</f>
        <v>658230.87095999997</v>
      </c>
      <c r="EI62" s="78"/>
      <c r="EJ62" s="396">
        <f>SUM(EJ58:EJ61)</f>
        <v>419009.15</v>
      </c>
      <c r="EK62" s="605">
        <f>IFERROR(EJ62/EH62,"")</f>
        <v>0.63656866987853988</v>
      </c>
      <c r="EL62" s="121"/>
      <c r="EM62" s="154">
        <f>SUM(EM58:EM61)</f>
        <v>0</v>
      </c>
      <c r="EN62" s="154">
        <f>SUM(EN58:EN61)</f>
        <v>0</v>
      </c>
      <c r="EO62" s="152"/>
      <c r="EP62" s="77"/>
      <c r="EQ62" s="396">
        <f>SUM(EQ58:EQ61)</f>
        <v>269293.75199999998</v>
      </c>
      <c r="ER62" s="396">
        <f>SUM(ER58:ER61)</f>
        <v>317766.62735999998</v>
      </c>
      <c r="ES62" s="78"/>
      <c r="ET62" s="396">
        <f>SUM(ET58:ET61)</f>
        <v>129088.44</v>
      </c>
      <c r="EU62" s="605">
        <f>IFERROR(ET62/ER62,"")</f>
        <v>0.40623661796225952</v>
      </c>
      <c r="EV62" s="121"/>
      <c r="EW62" s="154">
        <f>SUM(EW58:EW61)</f>
        <v>0</v>
      </c>
      <c r="EX62" s="154">
        <f>SUM(EX58:EX61)</f>
        <v>0</v>
      </c>
      <c r="EY62" s="152"/>
      <c r="EZ62" s="77"/>
      <c r="FA62" s="396">
        <f>SUM(FA58:FA61)</f>
        <v>1024646.6879999998</v>
      </c>
      <c r="FB62" s="396">
        <f>SUM(FB58:FB61)</f>
        <v>1209083.0918399999</v>
      </c>
      <c r="FC62" s="78"/>
      <c r="FD62" s="396">
        <f>SUM(FD58:FD61)</f>
        <v>592711</v>
      </c>
      <c r="FE62" s="605">
        <f>IFERROR(FD62/FB62,"")</f>
        <v>0.49021527469878345</v>
      </c>
      <c r="FF62" s="122"/>
      <c r="FG62" s="739">
        <f>SUM(FG58:FG61)</f>
        <v>1774511.2000000002</v>
      </c>
      <c r="FH62" s="154">
        <f>SUM(FH58:FH61)</f>
        <v>1584385</v>
      </c>
      <c r="FI62" s="152"/>
      <c r="FJ62" s="77"/>
      <c r="FK62" s="396">
        <f>SUM(FK58:FK61)</f>
        <v>1575075.9898663987</v>
      </c>
      <c r="FL62" s="106">
        <f>SUM(FL58:FL61)</f>
        <v>1858589.6680423506</v>
      </c>
      <c r="FM62" s="689"/>
      <c r="FN62" s="78">
        <f>SUM(FN58:FN61)</f>
        <v>580951.46213709132</v>
      </c>
      <c r="FO62" s="690">
        <f>SUM(FO58:FO61)</f>
        <v>685522.72532176774</v>
      </c>
      <c r="FP62" s="689"/>
      <c r="FQ62" s="78">
        <f>SUM(FQ58:FQ61)</f>
        <v>994124.52772930753</v>
      </c>
      <c r="FR62" s="690">
        <f>SUM(FR58:FR61)</f>
        <v>1173066.9427205827</v>
      </c>
      <c r="FS62" s="665">
        <f>SUM(FS58:FS61)</f>
        <v>0</v>
      </c>
      <c r="FT62" s="736">
        <f>IFERROR(FS62/FQ62,"")</f>
        <v>0</v>
      </c>
      <c r="FU62" s="712"/>
      <c r="FV62" s="154">
        <f>SUM(FV58:FV61)</f>
        <v>279651.93333333335</v>
      </c>
      <c r="FW62" s="154">
        <f>SUM(FW58:FW61)</f>
        <v>236993.16384180792</v>
      </c>
      <c r="FX62" s="152"/>
      <c r="FY62" s="77"/>
      <c r="FZ62" s="396">
        <f>SUM(FZ58:FZ61)</f>
        <v>378419.18400000001</v>
      </c>
      <c r="GA62" s="396">
        <f>SUM(GA58:GA61)</f>
        <v>446534.63711999997</v>
      </c>
      <c r="GB62" s="78"/>
      <c r="GC62" s="396">
        <f>SUM(GC58:GC61)</f>
        <v>160232.35999999999</v>
      </c>
      <c r="GD62" s="605">
        <f>IFERROR(GC62/GA62,"")</f>
        <v>0.35883523176039706</v>
      </c>
      <c r="GE62" s="121"/>
      <c r="GF62" s="154">
        <f>SUM(GF58:GF61)</f>
        <v>118000</v>
      </c>
      <c r="GG62" s="154">
        <f>SUM(GG58:GG61)</f>
        <v>100000</v>
      </c>
      <c r="GH62" s="152"/>
      <c r="GI62" s="77"/>
      <c r="GJ62" s="396">
        <f>SUM(GJ58:GJ61)</f>
        <v>391809.6</v>
      </c>
      <c r="GK62" s="396">
        <f>SUM(GK58:GK61)</f>
        <v>462335.32799999992</v>
      </c>
      <c r="GL62" s="78"/>
      <c r="GM62" s="396">
        <f>SUM(GM58:GM61)</f>
        <v>466265.2</v>
      </c>
      <c r="GN62" s="605">
        <f>IFERROR(GM62/GK62,"")</f>
        <v>1.0085000469615857</v>
      </c>
      <c r="GO62" s="121"/>
      <c r="GP62" s="154">
        <f>SUM(GP58:GP61)</f>
        <v>118000</v>
      </c>
      <c r="GQ62" s="154">
        <f>SUM(GQ58:GQ61)</f>
        <v>100000</v>
      </c>
      <c r="GR62" s="152"/>
      <c r="GS62" s="77"/>
      <c r="GT62" s="396">
        <f t="shared" ref="GT62:GV62" si="338">SUM(GT58:GT61)</f>
        <v>175001.59999999998</v>
      </c>
      <c r="GU62" s="396">
        <f t="shared" si="338"/>
        <v>251490.09599999996</v>
      </c>
      <c r="GV62" s="396">
        <f t="shared" si="338"/>
        <v>74576</v>
      </c>
      <c r="GW62" s="605">
        <f>IFERROR(GV62/GT62,"")</f>
        <v>0.42614467524868349</v>
      </c>
      <c r="GX62" s="121"/>
      <c r="GY62" s="154">
        <f>SUM(GY58:GY61)</f>
        <v>0</v>
      </c>
      <c r="GZ62" s="154">
        <f>SUM(GZ58:GZ61)</f>
        <v>0</v>
      </c>
      <c r="HA62" s="152"/>
      <c r="HB62" s="77"/>
      <c r="HC62" s="396">
        <f>SUM(HC58:HC61)</f>
        <v>2604078.5472000004</v>
      </c>
      <c r="HD62" s="78">
        <f>SUM(HD58:HD61)</f>
        <v>3072812.6856960002</v>
      </c>
      <c r="HE62" s="78"/>
      <c r="HF62" s="396">
        <f>SUM(HF58:HF61)</f>
        <v>0</v>
      </c>
      <c r="HG62" s="605">
        <f>IFERROR(HF62/HD62,"")</f>
        <v>0</v>
      </c>
      <c r="HH62" s="121"/>
      <c r="HI62" s="154">
        <f>SUM(HI58:HI61)</f>
        <v>0</v>
      </c>
      <c r="HJ62" s="154">
        <f>SUM(HJ58:HJ61)</f>
        <v>0</v>
      </c>
      <c r="HK62" s="152"/>
      <c r="HL62" s="77"/>
      <c r="HM62" s="396">
        <f>SUM(HM58:HM61)</f>
        <v>2037625.2</v>
      </c>
      <c r="HN62" s="78">
        <f>SUM(HN58:HN61)</f>
        <v>2404397.7359999996</v>
      </c>
      <c r="HO62" s="396">
        <f>SUM(HO58:HO61)</f>
        <v>356224</v>
      </c>
      <c r="HP62" s="605">
        <f>IFERROR(HO62/HM62,"")</f>
        <v>0.17482312252518276</v>
      </c>
      <c r="HQ62" s="121"/>
      <c r="HR62" s="23"/>
      <c r="HS62" s="23"/>
      <c r="HT62" s="23"/>
      <c r="HU62" s="23"/>
    </row>
    <row r="63" spans="1:229">
      <c r="A63" s="37"/>
      <c r="B63" s="38"/>
      <c r="C63" s="124"/>
      <c r="D63" s="155"/>
      <c r="E63" s="155"/>
      <c r="F63" s="155"/>
      <c r="G63" s="79"/>
      <c r="H63" s="398"/>
      <c r="I63" s="398"/>
      <c r="J63" s="79"/>
      <c r="K63" s="79"/>
      <c r="L63" s="79"/>
      <c r="M63" s="124"/>
      <c r="N63" s="155"/>
      <c r="O63" s="155"/>
      <c r="P63" s="155"/>
      <c r="Q63" s="79"/>
      <c r="R63" s="398"/>
      <c r="S63" s="398"/>
      <c r="T63" s="79"/>
      <c r="U63" s="79"/>
      <c r="V63" s="621"/>
      <c r="W63" s="124"/>
      <c r="X63" s="155"/>
      <c r="Y63" s="155"/>
      <c r="Z63" s="155"/>
      <c r="AA63" s="79"/>
      <c r="AB63" s="398"/>
      <c r="AC63" s="398"/>
      <c r="AD63" s="79"/>
      <c r="AE63" s="79"/>
      <c r="AF63" s="621"/>
      <c r="AG63" s="124"/>
      <c r="AH63" s="155"/>
      <c r="AI63" s="155"/>
      <c r="AJ63" s="155"/>
      <c r="AK63" s="79"/>
      <c r="AL63" s="398"/>
      <c r="AM63" s="398"/>
      <c r="AN63" s="79"/>
      <c r="AO63" s="79"/>
      <c r="AP63" s="621"/>
      <c r="AQ63" s="124"/>
      <c r="AR63" s="287"/>
      <c r="AS63" s="287"/>
      <c r="AT63" s="287"/>
      <c r="AU63" s="79"/>
      <c r="AV63" s="398"/>
      <c r="AW63" s="398"/>
      <c r="AX63" s="79"/>
      <c r="AY63" s="79"/>
      <c r="AZ63" s="621"/>
      <c r="BA63" s="124"/>
      <c r="BB63" s="155"/>
      <c r="BC63" s="155"/>
      <c r="BD63" s="155"/>
      <c r="BE63" s="79"/>
      <c r="BF63" s="398"/>
      <c r="BG63" s="398"/>
      <c r="BH63" s="79"/>
      <c r="BI63" s="79"/>
      <c r="BJ63" s="621"/>
      <c r="BK63" s="124"/>
      <c r="BL63" s="155"/>
      <c r="BM63" s="155"/>
      <c r="BN63" s="155"/>
      <c r="BO63" s="79"/>
      <c r="BP63" s="398"/>
      <c r="BQ63" s="398"/>
      <c r="BR63" s="79"/>
      <c r="BS63" s="79"/>
      <c r="BT63" s="621"/>
      <c r="BU63" s="124"/>
      <c r="BV63" s="155"/>
      <c r="BW63" s="155"/>
      <c r="BX63" s="155"/>
      <c r="BY63" s="79"/>
      <c r="BZ63" s="398"/>
      <c r="CA63" s="398"/>
      <c r="CB63" s="79"/>
      <c r="CC63" s="79"/>
      <c r="CD63" s="621"/>
      <c r="CE63" s="124"/>
      <c r="CF63" s="155"/>
      <c r="CG63" s="155"/>
      <c r="CH63" s="155"/>
      <c r="CI63" s="79"/>
      <c r="CJ63" s="398"/>
      <c r="CK63" s="398"/>
      <c r="CL63" s="79"/>
      <c r="CM63" s="79"/>
      <c r="CN63" s="621"/>
      <c r="CO63" s="124"/>
      <c r="CP63" s="155"/>
      <c r="CQ63" s="155"/>
      <c r="CR63" s="155"/>
      <c r="CS63" s="79"/>
      <c r="CT63" s="398"/>
      <c r="CU63" s="398"/>
      <c r="CV63" s="79"/>
      <c r="CW63" s="79"/>
      <c r="CX63" s="621"/>
      <c r="CY63" s="124"/>
      <c r="CZ63" s="155"/>
      <c r="DA63" s="155"/>
      <c r="DB63" s="155"/>
      <c r="DC63" s="79"/>
      <c r="DD63" s="398"/>
      <c r="DE63" s="398"/>
      <c r="DF63" s="79"/>
      <c r="DG63" s="79"/>
      <c r="DH63" s="621"/>
      <c r="DI63" s="124"/>
      <c r="DJ63" s="155"/>
      <c r="DK63" s="155"/>
      <c r="DL63" s="155"/>
      <c r="DM63" s="79"/>
      <c r="DN63" s="398"/>
      <c r="DO63" s="79"/>
      <c r="DP63" s="79"/>
      <c r="DQ63" s="621"/>
      <c r="DR63" s="124"/>
      <c r="DS63" s="155"/>
      <c r="DT63" s="155"/>
      <c r="DU63" s="155"/>
      <c r="DV63" s="79"/>
      <c r="DW63" s="398"/>
      <c r="DX63" s="398"/>
      <c r="DY63" s="79"/>
      <c r="DZ63" s="79"/>
      <c r="EA63" s="621"/>
      <c r="EB63" s="124"/>
      <c r="EC63" s="155"/>
      <c r="ED63" s="155"/>
      <c r="EE63" s="155"/>
      <c r="EF63" s="79"/>
      <c r="EG63" s="398"/>
      <c r="EH63" s="398"/>
      <c r="EI63" s="79"/>
      <c r="EJ63" s="79"/>
      <c r="EK63" s="621"/>
      <c r="EL63" s="124"/>
      <c r="EM63" s="155"/>
      <c r="EN63" s="155"/>
      <c r="EO63" s="155"/>
      <c r="EP63" s="79"/>
      <c r="EQ63" s="398"/>
      <c r="ER63" s="398"/>
      <c r="ES63" s="79"/>
      <c r="ET63" s="79"/>
      <c r="EU63" s="621"/>
      <c r="EV63" s="124"/>
      <c r="EW63" s="155"/>
      <c r="EX63" s="155"/>
      <c r="EY63" s="155"/>
      <c r="EZ63" s="79"/>
      <c r="FA63" s="398"/>
      <c r="FB63" s="398"/>
      <c r="FC63" s="79"/>
      <c r="FD63" s="79"/>
      <c r="FE63" s="621"/>
      <c r="FF63" s="124"/>
      <c r="FG63" s="324"/>
      <c r="FH63" s="155"/>
      <c r="FI63" s="155"/>
      <c r="FJ63" s="79"/>
      <c r="FK63" s="398"/>
      <c r="FL63" s="79"/>
      <c r="FM63" s="693"/>
      <c r="FN63" s="79"/>
      <c r="FO63" s="694"/>
      <c r="FP63" s="693"/>
      <c r="FQ63" s="79"/>
      <c r="FR63" s="694"/>
      <c r="FS63" s="667"/>
      <c r="FT63" s="741"/>
      <c r="FU63" s="715"/>
      <c r="FV63" s="155"/>
      <c r="FW63" s="155"/>
      <c r="FX63" s="155"/>
      <c r="FY63" s="79"/>
      <c r="FZ63" s="398"/>
      <c r="GA63" s="398"/>
      <c r="GB63" s="79"/>
      <c r="GC63" s="79"/>
      <c r="GD63" s="621"/>
      <c r="GE63" s="124"/>
      <c r="GF63" s="155"/>
      <c r="GG63" s="155"/>
      <c r="GH63" s="155"/>
      <c r="GI63" s="79"/>
      <c r="GJ63" s="398"/>
      <c r="GK63" s="398"/>
      <c r="GL63" s="79"/>
      <c r="GM63" s="79"/>
      <c r="GN63" s="621"/>
      <c r="GO63" s="124"/>
      <c r="GP63" s="155"/>
      <c r="GQ63" s="155"/>
      <c r="GR63" s="155"/>
      <c r="GS63" s="79"/>
      <c r="GT63" s="398"/>
      <c r="GU63" s="79"/>
      <c r="GV63" s="79"/>
      <c r="GW63" s="621"/>
      <c r="GX63" s="124"/>
      <c r="GY63" s="155"/>
      <c r="GZ63" s="155"/>
      <c r="HA63" s="155"/>
      <c r="HB63" s="79"/>
      <c r="HC63" s="398"/>
      <c r="HD63" s="79"/>
      <c r="HE63" s="79"/>
      <c r="HF63" s="79"/>
      <c r="HG63" s="621"/>
      <c r="HH63" s="124"/>
      <c r="HI63" s="155"/>
      <c r="HJ63" s="155"/>
      <c r="HK63" s="155"/>
      <c r="HL63" s="79"/>
      <c r="HM63" s="398"/>
      <c r="HN63" s="79"/>
      <c r="HO63" s="79"/>
      <c r="HP63" s="621"/>
      <c r="HQ63" s="124"/>
      <c r="HR63" s="365"/>
      <c r="HS63" s="365"/>
      <c r="HT63" s="365"/>
      <c r="HU63" s="365"/>
    </row>
    <row r="64" spans="1:229" ht="15">
      <c r="A64" s="13" t="s">
        <v>67</v>
      </c>
      <c r="B64" s="14" t="s">
        <v>57</v>
      </c>
      <c r="C64" s="123"/>
      <c r="D64" s="153"/>
      <c r="E64" s="153"/>
      <c r="F64" s="153"/>
      <c r="G64" s="153"/>
      <c r="H64" s="397"/>
      <c r="I64" s="397"/>
      <c r="J64" s="153"/>
      <c r="K64" s="608"/>
      <c r="L64" s="608"/>
      <c r="M64" s="123"/>
      <c r="N64" s="153"/>
      <c r="O64" s="153"/>
      <c r="P64" s="153"/>
      <c r="Q64" s="153"/>
      <c r="R64" s="397"/>
      <c r="S64" s="397"/>
      <c r="T64" s="153"/>
      <c r="U64" s="608"/>
      <c r="V64" s="620"/>
      <c r="W64" s="123"/>
      <c r="X64" s="153"/>
      <c r="Y64" s="153"/>
      <c r="Z64" s="153"/>
      <c r="AA64" s="153"/>
      <c r="AB64" s="397"/>
      <c r="AC64" s="397"/>
      <c r="AD64" s="153"/>
      <c r="AE64" s="608"/>
      <c r="AF64" s="620"/>
      <c r="AG64" s="123"/>
      <c r="AH64" s="153"/>
      <c r="AI64" s="153"/>
      <c r="AJ64" s="153"/>
      <c r="AK64" s="153"/>
      <c r="AL64" s="397"/>
      <c r="AM64" s="397"/>
      <c r="AN64" s="153"/>
      <c r="AO64" s="608"/>
      <c r="AP64" s="620"/>
      <c r="AQ64" s="123"/>
      <c r="AR64" s="293"/>
      <c r="AS64" s="293"/>
      <c r="AT64" s="293"/>
      <c r="AU64" s="153"/>
      <c r="AV64" s="397"/>
      <c r="AW64" s="397"/>
      <c r="AX64" s="153"/>
      <c r="AY64" s="608"/>
      <c r="AZ64" s="620"/>
      <c r="BA64" s="123"/>
      <c r="BB64" s="153"/>
      <c r="BC64" s="153"/>
      <c r="BD64" s="153"/>
      <c r="BE64" s="153"/>
      <c r="BF64" s="397"/>
      <c r="BG64" s="397"/>
      <c r="BH64" s="153"/>
      <c r="BI64" s="608"/>
      <c r="BJ64" s="620"/>
      <c r="BK64" s="123"/>
      <c r="BL64" s="153"/>
      <c r="BM64" s="153"/>
      <c r="BN64" s="153"/>
      <c r="BO64" s="153"/>
      <c r="BP64" s="397"/>
      <c r="BQ64" s="397"/>
      <c r="BR64" s="153"/>
      <c r="BS64" s="608"/>
      <c r="BT64" s="620"/>
      <c r="BU64" s="123"/>
      <c r="BV64" s="153"/>
      <c r="BW64" s="153"/>
      <c r="BX64" s="153"/>
      <c r="BY64" s="153"/>
      <c r="BZ64" s="397"/>
      <c r="CA64" s="397"/>
      <c r="CB64" s="153"/>
      <c r="CC64" s="608"/>
      <c r="CD64" s="620"/>
      <c r="CE64" s="123"/>
      <c r="CF64" s="153"/>
      <c r="CG64" s="153"/>
      <c r="CH64" s="153"/>
      <c r="CI64" s="153"/>
      <c r="CJ64" s="397"/>
      <c r="CK64" s="397"/>
      <c r="CL64" s="153"/>
      <c r="CM64" s="608"/>
      <c r="CN64" s="620"/>
      <c r="CO64" s="123"/>
      <c r="CP64" s="153"/>
      <c r="CQ64" s="153"/>
      <c r="CR64" s="153"/>
      <c r="CS64" s="153"/>
      <c r="CT64" s="397"/>
      <c r="CU64" s="397"/>
      <c r="CV64" s="153"/>
      <c r="CW64" s="608"/>
      <c r="CX64" s="620"/>
      <c r="CY64" s="123"/>
      <c r="CZ64" s="153"/>
      <c r="DA64" s="153"/>
      <c r="DB64" s="153"/>
      <c r="DC64" s="153"/>
      <c r="DD64" s="397"/>
      <c r="DE64" s="397"/>
      <c r="DF64" s="153"/>
      <c r="DG64" s="608"/>
      <c r="DH64" s="620"/>
      <c r="DI64" s="123"/>
      <c r="DJ64" s="153"/>
      <c r="DK64" s="153"/>
      <c r="DL64" s="153"/>
      <c r="DM64" s="153"/>
      <c r="DN64" s="397"/>
      <c r="DO64" s="153"/>
      <c r="DP64" s="608"/>
      <c r="DQ64" s="620"/>
      <c r="DR64" s="123"/>
      <c r="DS64" s="153"/>
      <c r="DT64" s="153"/>
      <c r="DU64" s="153"/>
      <c r="DV64" s="153"/>
      <c r="DW64" s="397"/>
      <c r="DX64" s="397"/>
      <c r="DY64" s="153"/>
      <c r="DZ64" s="608"/>
      <c r="EA64" s="620"/>
      <c r="EB64" s="123"/>
      <c r="EC64" s="153"/>
      <c r="ED64" s="153"/>
      <c r="EE64" s="153"/>
      <c r="EF64" s="153"/>
      <c r="EG64" s="397"/>
      <c r="EH64" s="397"/>
      <c r="EI64" s="153"/>
      <c r="EJ64" s="608"/>
      <c r="EK64" s="620"/>
      <c r="EL64" s="123"/>
      <c r="EM64" s="153"/>
      <c r="EN64" s="153"/>
      <c r="EO64" s="153"/>
      <c r="EP64" s="153"/>
      <c r="EQ64" s="397"/>
      <c r="ER64" s="397"/>
      <c r="ES64" s="153"/>
      <c r="ET64" s="608"/>
      <c r="EU64" s="620"/>
      <c r="EV64" s="123"/>
      <c r="EW64" s="153"/>
      <c r="EX64" s="153"/>
      <c r="EY64" s="153"/>
      <c r="EZ64" s="153"/>
      <c r="FA64" s="397"/>
      <c r="FB64" s="397"/>
      <c r="FC64" s="153"/>
      <c r="FD64" s="608"/>
      <c r="FE64" s="620"/>
      <c r="FF64" s="123"/>
      <c r="FG64" s="323"/>
      <c r="FH64" s="608"/>
      <c r="FI64" s="608"/>
      <c r="FJ64" s="608"/>
      <c r="FK64" s="397"/>
      <c r="FL64" s="608"/>
      <c r="FM64" s="323"/>
      <c r="FN64" s="608"/>
      <c r="FO64" s="41"/>
      <c r="FP64" s="323"/>
      <c r="FQ64" s="608"/>
      <c r="FR64" s="41"/>
      <c r="FS64" s="666"/>
      <c r="FT64" s="738"/>
      <c r="FU64" s="714"/>
      <c r="FV64" s="153"/>
      <c r="FW64" s="153"/>
      <c r="FX64" s="153"/>
      <c r="FY64" s="153"/>
      <c r="FZ64" s="397"/>
      <c r="GA64" s="397"/>
      <c r="GB64" s="153"/>
      <c r="GC64" s="608"/>
      <c r="GD64" s="620"/>
      <c r="GE64" s="123"/>
      <c r="GF64" s="153"/>
      <c r="GG64" s="153"/>
      <c r="GH64" s="153"/>
      <c r="GI64" s="153"/>
      <c r="GJ64" s="397"/>
      <c r="GK64" s="397"/>
      <c r="GL64" s="153"/>
      <c r="GM64" s="608"/>
      <c r="GN64" s="620"/>
      <c r="GO64" s="123"/>
      <c r="GP64" s="153"/>
      <c r="GQ64" s="153"/>
      <c r="GR64" s="153"/>
      <c r="GS64" s="153"/>
      <c r="GT64" s="397"/>
      <c r="GU64" s="153"/>
      <c r="GV64" s="608"/>
      <c r="GW64" s="620"/>
      <c r="GX64" s="123"/>
      <c r="GY64" s="153"/>
      <c r="GZ64" s="153"/>
      <c r="HA64" s="153"/>
      <c r="HB64" s="153"/>
      <c r="HC64" s="397"/>
      <c r="HD64" s="153"/>
      <c r="HE64" s="153"/>
      <c r="HF64" s="608"/>
      <c r="HG64" s="620"/>
      <c r="HH64" s="123"/>
      <c r="HI64" s="153"/>
      <c r="HJ64" s="153"/>
      <c r="HK64" s="153"/>
      <c r="HL64" s="153"/>
      <c r="HM64" s="397"/>
      <c r="HN64" s="153"/>
      <c r="HO64" s="608"/>
      <c r="HP64" s="620"/>
      <c r="HQ64" s="123"/>
      <c r="HR64" s="150"/>
      <c r="HS64" s="150"/>
      <c r="HT64" s="150"/>
      <c r="HU64" s="150"/>
    </row>
    <row r="65" spans="1:229">
      <c r="A65" s="37">
        <v>1</v>
      </c>
      <c r="B65" s="38" t="s">
        <v>58</v>
      </c>
      <c r="C65" s="118"/>
      <c r="D65" s="151">
        <v>1692213.22</v>
      </c>
      <c r="E65" s="151">
        <f>D65/118%</f>
        <v>1434079</v>
      </c>
      <c r="F65" s="151">
        <f>E65/E2</f>
        <v>5794.7268466138685</v>
      </c>
      <c r="G65" s="159">
        <v>4200</v>
      </c>
      <c r="H65" s="395">
        <f>G65*H$2</f>
        <v>1843162.7759999998</v>
      </c>
      <c r="I65" s="395">
        <f>H65*118%</f>
        <v>2174932.0756799998</v>
      </c>
      <c r="J65" s="159"/>
      <c r="K65" s="159">
        <f>IFERROR(SUMIFS('PO Tracker'!$J$44:$J$1433,'PO Tracker'!$K$44:$K$1433,$G$6,'PO Tracker'!$L$44:$L$1433,'Capex breakup'!$B65),0)</f>
        <v>1867934.1</v>
      </c>
      <c r="L65" s="605">
        <f>IFERROR(K65/I65,"")</f>
        <v>0.85884709728968633</v>
      </c>
      <c r="M65" s="118"/>
      <c r="N65" s="151">
        <v>1692213.22</v>
      </c>
      <c r="O65" s="151">
        <f>N65/118%</f>
        <v>1434079</v>
      </c>
      <c r="P65" s="151">
        <f>O65/O2</f>
        <v>5794.7268466138685</v>
      </c>
      <c r="Q65" s="159">
        <v>3000</v>
      </c>
      <c r="R65" s="395">
        <f>Q65*R$2</f>
        <v>3049333.56</v>
      </c>
      <c r="S65" s="395">
        <f>R65*118%</f>
        <v>3598213.6007999997</v>
      </c>
      <c r="T65" s="159"/>
      <c r="U65" s="159">
        <f>IFERROR(SUMIFS('PO Tracker'!$J$44:$J$1433,'PO Tracker'!$K$44:$K$1433,$Q$6,'PO Tracker'!$L$44:$L$1433,'Capex breakup'!$B65),0)</f>
        <v>1432962.5</v>
      </c>
      <c r="V65" s="605">
        <f>IFERROR(U65/S65,"")</f>
        <v>0.39824275570561068</v>
      </c>
      <c r="W65" s="118"/>
      <c r="X65" s="151">
        <v>4256000</v>
      </c>
      <c r="Y65" s="151">
        <f>X65/112%</f>
        <v>3799999.9999999995</v>
      </c>
      <c r="Z65" s="133">
        <f>Y65/$Y$2</f>
        <v>1441.4687808208785</v>
      </c>
      <c r="AA65" s="159">
        <v>900</v>
      </c>
      <c r="AB65" s="395">
        <f>AA65*$AB$2</f>
        <v>1685642.4</v>
      </c>
      <c r="AC65" s="395">
        <f>AB65*118%</f>
        <v>1989058.0319999999</v>
      </c>
      <c r="AD65" s="159"/>
      <c r="AE65" s="159">
        <f>IFERROR(SUMIFS('PO Tracker'!$J$44:$J$1433,'PO Tracker'!$K$44:$K$1433,$AA$6,'PO Tracker'!$L$44:$L$1433,'Capex breakup'!$B65),0)</f>
        <v>1326454.8800000001</v>
      </c>
      <c r="AF65" s="605">
        <f>IFERROR(AE65/AC65,"")</f>
        <v>0.66687590741947755</v>
      </c>
      <c r="AG65" s="118"/>
      <c r="AH65" s="151">
        <v>1692213.22</v>
      </c>
      <c r="AI65" s="151">
        <f>AH65/118%</f>
        <v>1434079</v>
      </c>
      <c r="AJ65" s="151">
        <f>AI65/AI2</f>
        <v>5794.7268466138685</v>
      </c>
      <c r="AK65" s="159">
        <v>7500</v>
      </c>
      <c r="AL65" s="395">
        <f>AK65*AL$2</f>
        <v>3038677.1999999997</v>
      </c>
      <c r="AM65" s="395">
        <f>AL65*118%</f>
        <v>3585639.0959999994</v>
      </c>
      <c r="AN65" s="159"/>
      <c r="AO65" s="159">
        <f>IFERROR(SUMIFS('PO Tracker'!$J$44:$J$1433,'PO Tracker'!$K$44:$K$1433,$AK$6,'PO Tracker'!$L$44:$L$1433,'Capex breakup'!$B65),0)</f>
        <v>2414688.5</v>
      </c>
      <c r="AP65" s="605">
        <f>IFERROR(AO65/AM65,"")</f>
        <v>0.67343322497061497</v>
      </c>
      <c r="AQ65" s="118"/>
      <c r="AR65" s="287">
        <v>6726000</v>
      </c>
      <c r="AS65" s="287">
        <f>AR65/118%</f>
        <v>5700000</v>
      </c>
      <c r="AT65" s="288">
        <f>AS65/AS$2</f>
        <v>5244.9482866502267</v>
      </c>
      <c r="AU65" s="159">
        <v>8500</v>
      </c>
      <c r="AV65" s="395">
        <f>AU65*AV$2</f>
        <v>8669056.5</v>
      </c>
      <c r="AW65" s="395">
        <f>AV65*118%</f>
        <v>10229486.67</v>
      </c>
      <c r="AX65" s="159"/>
      <c r="AY65" s="159">
        <f>IFERROR(SUMIFS('PO Tracker'!$J$44:$J$1433,'PO Tracker'!$K$44:$K$1433,$AU$6,'PO Tracker'!$L$44:$L$1433,'Capex breakup'!$B65),0)</f>
        <v>9202344.4600000009</v>
      </c>
      <c r="AZ65" s="605">
        <f>IFERROR(AY65/AW65,"")</f>
        <v>0.89959005342738285</v>
      </c>
      <c r="BA65" s="118"/>
      <c r="BB65" s="151">
        <v>3540000</v>
      </c>
      <c r="BC65" s="151">
        <f>BB65/118%</f>
        <v>3000000</v>
      </c>
      <c r="BD65" s="151">
        <f>BC65/BC2</f>
        <v>4807.0760158953981</v>
      </c>
      <c r="BE65" s="159">
        <v>5200</v>
      </c>
      <c r="BF65" s="395">
        <f>BE65*BF$2</f>
        <v>4042355.6159999995</v>
      </c>
      <c r="BG65" s="395">
        <f>BF65*118%</f>
        <v>4769979.6268799994</v>
      </c>
      <c r="BH65" s="159"/>
      <c r="BI65" s="159">
        <f>IFERROR(SUMIFS('PO Tracker'!$J$44:$J$1433,'PO Tracker'!$K$44:$K$1433,$BE$6,'PO Tracker'!$L$44:$L$1433,'Capex breakup'!$B65),0)</f>
        <v>5038230.66</v>
      </c>
      <c r="BJ65" s="605">
        <f>IFERROR(BI65/BG65,"")</f>
        <v>1.0562373540566801</v>
      </c>
      <c r="BK65" s="118"/>
      <c r="BL65" s="151"/>
      <c r="BM65" s="151"/>
      <c r="BN65" s="151"/>
      <c r="BO65" s="159">
        <v>0</v>
      </c>
      <c r="BP65" s="395">
        <f>BO65*BP$2</f>
        <v>0</v>
      </c>
      <c r="BQ65" s="395">
        <f>BP65*118%</f>
        <v>0</v>
      </c>
      <c r="BR65" s="159"/>
      <c r="BS65" s="159">
        <f>IFERROR(SUMIFS('PO Tracker'!$J$44:$J$1433,'PO Tracker'!$K$44:$K$1433,$BO$6,'PO Tracker'!$L$44:$L$1433,'Capex breakup'!$B65),0)</f>
        <v>0</v>
      </c>
      <c r="BT65" s="605" t="str">
        <f>IFERROR(BS65/BQ65,"")</f>
        <v/>
      </c>
      <c r="BU65" s="118"/>
      <c r="BV65" s="151">
        <v>2714000</v>
      </c>
      <c r="BW65" s="151">
        <f>BV65/118%</f>
        <v>2300000</v>
      </c>
      <c r="BX65" s="151">
        <f>BW65/BW2</f>
        <v>2349.3360572012257</v>
      </c>
      <c r="BY65" s="159">
        <v>11000</v>
      </c>
      <c r="BZ65" s="395">
        <f>BY65*BZ$2</f>
        <v>4103882.6399999992</v>
      </c>
      <c r="CA65" s="395">
        <f>BZ65*118%</f>
        <v>4842581.5151999984</v>
      </c>
      <c r="CB65" s="159"/>
      <c r="CC65" s="159">
        <f>IFERROR(SUMIFS('PO Tracker'!$J$44:$J$1433,'PO Tracker'!$K$44:$K$1433,$BY$6,'PO Tracker'!$L$44:$L$1433,'Capex breakup'!$B65),0)</f>
        <v>3808841.1799999997</v>
      </c>
      <c r="CD65" s="605">
        <f>IFERROR(CC65/CA65,"")</f>
        <v>0.78653114419338688</v>
      </c>
      <c r="CE65" s="118"/>
      <c r="CF65" s="151">
        <f>1109027.72+200000</f>
        <v>1309027.72</v>
      </c>
      <c r="CG65" s="151">
        <f>CF65/118%</f>
        <v>1109345.5254237289</v>
      </c>
      <c r="CH65" s="151">
        <f>CG65/CG2</f>
        <v>3325.7750492377049</v>
      </c>
      <c r="CI65" s="159">
        <v>6500</v>
      </c>
      <c r="CJ65" s="395">
        <f>CI65*CJ$2</f>
        <v>1259387.9999999998</v>
      </c>
      <c r="CK65" s="395">
        <f>CJ65*118%</f>
        <v>1486077.8399999996</v>
      </c>
      <c r="CL65" s="159"/>
      <c r="CM65" s="159">
        <f>IFERROR(SUMIFS('PO Tracker'!$J$44:$J$1433,'PO Tracker'!$K$44:$K$1433,$CI$6,'PO Tracker'!$L$44:$L$1433,'Capex breakup'!$B65),0)</f>
        <v>0</v>
      </c>
      <c r="CN65" s="605">
        <f>IFERROR(CM65/CK65,"")</f>
        <v>0</v>
      </c>
      <c r="CO65" s="118"/>
      <c r="CP65" s="151"/>
      <c r="CQ65" s="151">
        <f>CP65/118%</f>
        <v>0</v>
      </c>
      <c r="CR65" s="151"/>
      <c r="CS65" s="159">
        <v>1000</v>
      </c>
      <c r="CT65" s="395">
        <f>CS65*CT$2</f>
        <v>182988</v>
      </c>
      <c r="CU65" s="395">
        <f>CT65*118%</f>
        <v>215925.84</v>
      </c>
      <c r="CV65" s="159"/>
      <c r="CW65" s="159">
        <f>IFERROR(SUMIFS('PO Tracker'!$J$44:$J$1433,'PO Tracker'!$K$44:$K$1433,$CS$6,'PO Tracker'!$L$44:$L$1433,'Capex breakup'!$B65),0)</f>
        <v>121245</v>
      </c>
      <c r="CX65" s="605">
        <f>IFERROR(CW65/CU65,"")</f>
        <v>0.56151223031018427</v>
      </c>
      <c r="CY65" s="118"/>
      <c r="CZ65" s="151">
        <f>1109027.72+200000</f>
        <v>1309027.72</v>
      </c>
      <c r="DA65" s="151">
        <f>CZ65/118%</f>
        <v>1109345.5254237289</v>
      </c>
      <c r="DB65" s="151">
        <f>DA65/DA2</f>
        <v>3325.7750492377049</v>
      </c>
      <c r="DC65" s="159">
        <v>5200</v>
      </c>
      <c r="DD65" s="395">
        <f>DC65*DD$2</f>
        <v>1119455.9999999998</v>
      </c>
      <c r="DE65" s="395">
        <f>DD65*118%</f>
        <v>1320958.0799999996</v>
      </c>
      <c r="DF65" s="159"/>
      <c r="DG65" s="159">
        <f>IFERROR(SUMIFS('PO Tracker'!$J$44:$J$1433,'PO Tracker'!$K$44:$K$1433,$DC$6,'PO Tracker'!$L$44:$L$1433,'Capex breakup'!$B65),0)</f>
        <v>1681028</v>
      </c>
      <c r="DH65" s="605">
        <f>IFERROR(DG65/DE65,"")</f>
        <v>1.2725823971643373</v>
      </c>
      <c r="DI65" s="118"/>
      <c r="DJ65" s="151">
        <v>590000</v>
      </c>
      <c r="DK65" s="151">
        <f>DJ65/118%</f>
        <v>500000</v>
      </c>
      <c r="DL65" s="151">
        <f>DK65/DK2</f>
        <v>5000</v>
      </c>
      <c r="DM65" s="159"/>
      <c r="DN65" s="395">
        <f>DM65*DN$2</f>
        <v>0</v>
      </c>
      <c r="DO65" s="159">
        <f>DN65*118%</f>
        <v>0</v>
      </c>
      <c r="DP65" s="159">
        <f>IFERROR(SUMIFS('PO Tracker'!$J$44:$J$1433,'PO Tracker'!$K$44:$K$1433,$DM$6,'PO Tracker'!$L$44:$L$1433,'Capex breakup'!$B65),0)</f>
        <v>0</v>
      </c>
      <c r="DQ65" s="605" t="str">
        <f>IFERROR(DP65/DN65,"")</f>
        <v/>
      </c>
      <c r="DR65" s="118"/>
      <c r="DS65" s="151">
        <f>1109027.72+200000</f>
        <v>1309027.72</v>
      </c>
      <c r="DT65" s="151">
        <f>DS65/118%</f>
        <v>1109345.5254237289</v>
      </c>
      <c r="DU65" s="151">
        <f>DT65/DT2</f>
        <v>3325.7750492377049</v>
      </c>
      <c r="DV65" s="159">
        <v>834.59637561779243</v>
      </c>
      <c r="DW65" s="395">
        <f>DV65*$DW$2</f>
        <v>1090608.48</v>
      </c>
      <c r="DX65" s="395">
        <f>DW65*118%</f>
        <v>1286918.0063999998</v>
      </c>
      <c r="DY65" s="159"/>
      <c r="DZ65" s="159">
        <f>IFERROR(SUMIFS('PO Tracker'!$J$44:$J$1433,'PO Tracker'!$K$44:$K$1433,$DV$6,'PO Tracker'!$L$44:$L$1433,'Capex breakup'!$B65),0)</f>
        <v>612571.20000000007</v>
      </c>
      <c r="EA65" s="605">
        <f>IFERROR(DZ65/DX65,"")</f>
        <v>0.47599862380789526</v>
      </c>
      <c r="EB65" s="118"/>
      <c r="EC65" s="151">
        <f>1109027.72+200000</f>
        <v>1309027.72</v>
      </c>
      <c r="ED65" s="151">
        <f>EC65/118%</f>
        <v>1109345.5254237289</v>
      </c>
      <c r="EE65" s="151">
        <f>ED65/ED2</f>
        <v>3325.7750492377049</v>
      </c>
      <c r="EF65" s="159">
        <v>2500</v>
      </c>
      <c r="EG65" s="395">
        <f>EF65*EG$2</f>
        <v>961763.39999999991</v>
      </c>
      <c r="EH65" s="395">
        <f>EG65*118%</f>
        <v>1134880.8119999999</v>
      </c>
      <c r="EI65" s="159"/>
      <c r="EJ65" s="159">
        <f>IFERROR(SUMIFS('PO Tracker'!$J$44:$J$1433,'PO Tracker'!$K$44:$K$1433,$EF$6,'PO Tracker'!$L$44:$L$1433,'Capex breakup'!$B65),0)</f>
        <v>83662</v>
      </c>
      <c r="EK65" s="605">
        <f>IFERROR(EJ65/EH65,"")</f>
        <v>7.3718754529440406E-2</v>
      </c>
      <c r="EL65" s="118"/>
      <c r="EM65" s="151"/>
      <c r="EN65" s="151"/>
      <c r="EO65" s="151"/>
      <c r="EP65" s="159">
        <v>2600</v>
      </c>
      <c r="EQ65" s="395">
        <f>EP65*EQ$2</f>
        <v>1000233.936</v>
      </c>
      <c r="ER65" s="395">
        <f>EQ65*118%</f>
        <v>1180276.0444799999</v>
      </c>
      <c r="ES65" s="159"/>
      <c r="ET65" s="159">
        <f>IFERROR(SUMIFS('PO Tracker'!$J$44:$J$1433,'PO Tracker'!$K$44:$K$1433,$EP$6,'PO Tracker'!$L$44:$L$1433,'Capex breakup'!$B65),0)</f>
        <v>544511</v>
      </c>
      <c r="EU65" s="605">
        <f>IFERROR(ET65/ER65,"")</f>
        <v>0.46134207548023048</v>
      </c>
      <c r="EV65" s="118"/>
      <c r="EW65" s="151"/>
      <c r="EX65" s="151"/>
      <c r="EY65" s="151"/>
      <c r="EZ65" s="159">
        <v>2600</v>
      </c>
      <c r="FA65" s="395">
        <f>EZ65*FA$2</f>
        <v>3330101.7359999996</v>
      </c>
      <c r="FB65" s="395">
        <f>FA65*118%</f>
        <v>3929520.0484799994</v>
      </c>
      <c r="FC65" s="159"/>
      <c r="FD65" s="159">
        <f>IFERROR(SUMIFS('PO Tracker'!$J$44:$J$1433,'PO Tracker'!$K$44:$K$1433,$EZ$6,'PO Tracker'!$L$44:$L$1433,'Capex breakup'!$B65),0)</f>
        <v>838174.38</v>
      </c>
      <c r="FE65" s="605">
        <f>IFERROR(FD65/FB65,"")</f>
        <v>0.21330197318225139</v>
      </c>
      <c r="FF65" s="118"/>
      <c r="FG65" s="318">
        <v>4256000</v>
      </c>
      <c r="FH65" s="151">
        <f>FG65/112%</f>
        <v>3799999.9999999995</v>
      </c>
      <c r="FI65" s="133">
        <f>FH65/$FH$2</f>
        <v>1441.4687808208785</v>
      </c>
      <c r="FJ65" s="159">
        <f>+FI65</f>
        <v>1441.4687808208785</v>
      </c>
      <c r="FK65" s="395">
        <f>FJ65*FK$2</f>
        <v>3777673.2053713677</v>
      </c>
      <c r="FL65" s="159">
        <f>FK65*118%</f>
        <v>4457654.3823382137</v>
      </c>
      <c r="FM65" s="684"/>
      <c r="FN65" s="614">
        <v>1918144.8</v>
      </c>
      <c r="FO65" s="685">
        <f>FN65*1.18</f>
        <v>2263410.8640000001</v>
      </c>
      <c r="FP65" s="684"/>
      <c r="FQ65" s="159">
        <f>FK65-FN65</f>
        <v>1859528.4053713677</v>
      </c>
      <c r="FR65" s="685">
        <f>FQ65*1.18</f>
        <v>2194243.5183382137</v>
      </c>
      <c r="FS65" s="662">
        <f>IFERROR(SUMIFS('PO Tracker'!$J$44:$J$1433,'PO Tracker'!$K$44:$K$1433,$FJ$6,'PO Tracker'!$L$44:$L$1433,'Capex breakup'!$B65),0)</f>
        <v>0</v>
      </c>
      <c r="FT65" s="736">
        <f>IFERROR(FS65/FQ65,"")</f>
        <v>0</v>
      </c>
      <c r="FU65" s="709"/>
      <c r="FV65" s="151">
        <f>1109027.72+200000</f>
        <v>1309027.72</v>
      </c>
      <c r="FW65" s="151">
        <f>FV65/118%</f>
        <v>1109345.5254237289</v>
      </c>
      <c r="FX65" s="151">
        <f>FW65/FW2</f>
        <v>3325.7750492377049</v>
      </c>
      <c r="FY65" s="159">
        <v>6000</v>
      </c>
      <c r="FZ65" s="395">
        <f>FY65*FZ$2</f>
        <v>1335597.1199999999</v>
      </c>
      <c r="GA65" s="395">
        <f>FZ65*118%</f>
        <v>1576004.6015999997</v>
      </c>
      <c r="GB65" s="159"/>
      <c r="GC65" s="159">
        <f>IFERROR(SUMIFS('PO Tracker'!$J$44:$J$1433,'PO Tracker'!$K$44:$K$1433,$FY$6,'PO Tracker'!$L$44:$L$1433,'Capex breakup'!$B65),0)</f>
        <v>371664.6</v>
      </c>
      <c r="GD65" s="605">
        <f>IFERROR(GC65/GA65,"")</f>
        <v>0.23582710331091464</v>
      </c>
      <c r="GE65" s="118"/>
      <c r="GF65" s="151">
        <v>590000</v>
      </c>
      <c r="GG65" s="151">
        <f>GF65/118%</f>
        <v>500000</v>
      </c>
      <c r="GH65" s="151">
        <f>GG65/GG2</f>
        <v>5000</v>
      </c>
      <c r="GI65" s="159">
        <v>5000</v>
      </c>
      <c r="GJ65" s="395">
        <f>GI65*GJ$2</f>
        <v>753480</v>
      </c>
      <c r="GK65" s="395">
        <f>GJ65*118%</f>
        <v>889106.39999999991</v>
      </c>
      <c r="GL65" s="159"/>
      <c r="GM65" s="159">
        <f>IFERROR(SUMIFS('PO Tracker'!$J$44:$J$1433,'PO Tracker'!$K$44:$K$1433,$GI$6,'PO Tracker'!$L$44:$L$1433,'Capex breakup'!$B65),0)</f>
        <v>345197.2</v>
      </c>
      <c r="GN65" s="605">
        <f>IFERROR(GM65/GK65,"")</f>
        <v>0.38825184477358393</v>
      </c>
      <c r="GO65" s="118"/>
      <c r="GP65" s="151">
        <v>590000</v>
      </c>
      <c r="GQ65" s="151">
        <f>GP65/118%</f>
        <v>500000</v>
      </c>
      <c r="GR65" s="151">
        <f>GQ65/GQ2</f>
        <v>5000</v>
      </c>
      <c r="GS65" s="159"/>
      <c r="GT65" s="395">
        <v>0</v>
      </c>
      <c r="GU65" s="159">
        <v>0</v>
      </c>
      <c r="GV65" s="159">
        <f>IFERROR(SUMIFS('PO Tracker'!$J$44:$J$1433,'PO Tracker'!$K$44:$K$1433,$GS$6,'PO Tracker'!$L$44:$L$1433,'Capex breakup'!$B65),0)</f>
        <v>0</v>
      </c>
      <c r="GW65" s="605" t="str">
        <f>IFERROR(GV65/GT65,"")</f>
        <v/>
      </c>
      <c r="GX65" s="118"/>
      <c r="GY65" s="151"/>
      <c r="GZ65" s="151"/>
      <c r="HA65" s="151"/>
      <c r="HB65" s="159">
        <v>1200</v>
      </c>
      <c r="HC65" s="395">
        <f>HB65*HC$2</f>
        <v>4006274.6880000001</v>
      </c>
      <c r="HD65" s="159">
        <f>HC65*118%</f>
        <v>4727404.1318399999</v>
      </c>
      <c r="HE65" s="159"/>
      <c r="HF65" s="159">
        <f>IFERROR(SUMIFS('PO Tracker'!$J$44:$J$1433,'PO Tracker'!$K$44:$K$1433,$HB$6,'PO Tracker'!$L$44:$L$1433,'Capex breakup'!$B65),0)</f>
        <v>3286725.08</v>
      </c>
      <c r="HG65" s="605">
        <f>IFERROR(HF65/HD65,"")</f>
        <v>0.69524944099093577</v>
      </c>
      <c r="HH65" s="118"/>
      <c r="HI65" s="151"/>
      <c r="HJ65" s="151"/>
      <c r="HK65" s="151"/>
      <c r="HL65" s="159">
        <v>1300</v>
      </c>
      <c r="HM65" s="395">
        <f>HL65*HM$2</f>
        <v>4414854.5999999996</v>
      </c>
      <c r="HN65" s="159">
        <f>HM65*118%</f>
        <v>5209528.4279999994</v>
      </c>
      <c r="HO65" s="159">
        <f>IFERROR(SUMIFS('PO Tracker'!$J$44:$J$1433,'PO Tracker'!$K$44:$K$1433,$HL$6,'PO Tracker'!$L$44:$L$1433,'Capex breakup'!$B65),0)</f>
        <v>0</v>
      </c>
      <c r="HP65" s="605">
        <f>IFERROR(HO65/HM65,"")</f>
        <v>0</v>
      </c>
      <c r="HQ65" s="118"/>
      <c r="HR65" s="365"/>
      <c r="HS65" s="365"/>
      <c r="HT65" s="365"/>
      <c r="HU65" s="365"/>
    </row>
    <row r="66" spans="1:229">
      <c r="A66" s="37">
        <v>2</v>
      </c>
      <c r="B66" s="38" t="s">
        <v>59</v>
      </c>
      <c r="C66" s="118"/>
      <c r="D66" s="151"/>
      <c r="E66" s="151">
        <f>D66/118%</f>
        <v>0</v>
      </c>
      <c r="F66" s="151">
        <f>E66/E2</f>
        <v>0</v>
      </c>
      <c r="G66" s="159">
        <f>+F66</f>
        <v>0</v>
      </c>
      <c r="H66" s="395">
        <f>G66*H$2</f>
        <v>0</v>
      </c>
      <c r="I66" s="395">
        <f>H66*118%</f>
        <v>0</v>
      </c>
      <c r="J66" s="159"/>
      <c r="K66" s="159">
        <f>IFERROR(SUMIFS('PO Tracker'!$J$44:$J$1433,'PO Tracker'!$K$44:$K$1433,$G$6,'PO Tracker'!$L$44:$L$1433,'Capex breakup'!$B66),0)</f>
        <v>0</v>
      </c>
      <c r="L66" s="605" t="str">
        <f>IFERROR(K66/I66,"")</f>
        <v/>
      </c>
      <c r="M66" s="118"/>
      <c r="N66" s="151"/>
      <c r="O66" s="151">
        <f>N66/118%</f>
        <v>0</v>
      </c>
      <c r="P66" s="151">
        <f>O66/O2</f>
        <v>0</v>
      </c>
      <c r="Q66" s="159">
        <f>+P66</f>
        <v>0</v>
      </c>
      <c r="R66" s="395">
        <f>Q66*R$2</f>
        <v>0</v>
      </c>
      <c r="S66" s="395">
        <f>R66*118%</f>
        <v>0</v>
      </c>
      <c r="T66" s="159"/>
      <c r="U66" s="159">
        <f>IFERROR(SUMIFS('PO Tracker'!$J$44:$J$1433,'PO Tracker'!$K$44:$K$1433,$Q$6,'PO Tracker'!$L$44:$L$1433,'Capex breakup'!$B66),0)</f>
        <v>0</v>
      </c>
      <c r="V66" s="605" t="str">
        <f>IFERROR(U66/S66,"")</f>
        <v/>
      </c>
      <c r="W66" s="118"/>
      <c r="X66" s="151"/>
      <c r="Y66" s="151">
        <f>X66/114%</f>
        <v>0</v>
      </c>
      <c r="Z66" s="133">
        <f>Y66/$Y$2</f>
        <v>0</v>
      </c>
      <c r="AA66" s="159">
        <v>0</v>
      </c>
      <c r="AB66" s="395">
        <f>AA66*AB$2</f>
        <v>0</v>
      </c>
      <c r="AC66" s="395">
        <f>AB66*118%</f>
        <v>0</v>
      </c>
      <c r="AD66" s="159"/>
      <c r="AE66" s="159">
        <f>IFERROR(SUMIFS('PO Tracker'!$J$44:$J$1433,'PO Tracker'!$K$44:$K$1433,$AA$6,'PO Tracker'!$L$44:$L$1433,'Capex breakup'!$B66),0)</f>
        <v>0</v>
      </c>
      <c r="AF66" s="605" t="str">
        <f>IFERROR(AE66/AC66,"")</f>
        <v/>
      </c>
      <c r="AG66" s="118"/>
      <c r="AH66" s="151"/>
      <c r="AI66" s="151">
        <f>AH66/118%</f>
        <v>0</v>
      </c>
      <c r="AJ66" s="151">
        <f>AI66/AI2</f>
        <v>0</v>
      </c>
      <c r="AK66" s="159">
        <f>+AJ66</f>
        <v>0</v>
      </c>
      <c r="AL66" s="395">
        <f>AK66*AL$2</f>
        <v>0</v>
      </c>
      <c r="AM66" s="395">
        <f>AL66*118%</f>
        <v>0</v>
      </c>
      <c r="AN66" s="159"/>
      <c r="AO66" s="159">
        <f>IFERROR(SUMIFS('PO Tracker'!$J$44:$J$1433,'PO Tracker'!$K$44:$K$1433,$AK$6,'PO Tracker'!$L$44:$L$1433,'Capex breakup'!$B66),0)</f>
        <v>0</v>
      </c>
      <c r="AP66" s="605" t="str">
        <f>IFERROR(AO66/AM66,"")</f>
        <v/>
      </c>
      <c r="AQ66" s="118"/>
      <c r="AR66" s="287"/>
      <c r="AS66" s="287">
        <f>AR66/118%</f>
        <v>0</v>
      </c>
      <c r="AT66" s="288">
        <f>AS66/AS$2</f>
        <v>0</v>
      </c>
      <c r="AU66" s="159">
        <f>+AT66</f>
        <v>0</v>
      </c>
      <c r="AV66" s="395">
        <f>AU66*AV$2</f>
        <v>0</v>
      </c>
      <c r="AW66" s="395">
        <f>AV66*118%</f>
        <v>0</v>
      </c>
      <c r="AX66" s="159"/>
      <c r="AY66" s="159">
        <f>IFERROR(SUMIFS('PO Tracker'!$J$44:$J$1433,'PO Tracker'!$K$44:$K$1433,$AU$6,'PO Tracker'!$L$44:$L$1433,'Capex breakup'!$B66),0)</f>
        <v>0</v>
      </c>
      <c r="AZ66" s="605" t="str">
        <f>IFERROR(AY66/AW66,"")</f>
        <v/>
      </c>
      <c r="BA66" s="118"/>
      <c r="BB66" s="151"/>
      <c r="BC66" s="151">
        <f>BB66/118%</f>
        <v>0</v>
      </c>
      <c r="BD66" s="151">
        <f>BC66/BC2</f>
        <v>0</v>
      </c>
      <c r="BE66" s="159">
        <f>+BD66</f>
        <v>0</v>
      </c>
      <c r="BF66" s="395">
        <f>BE66*BF$2</f>
        <v>0</v>
      </c>
      <c r="BG66" s="395">
        <f>BF66*118%</f>
        <v>0</v>
      </c>
      <c r="BH66" s="159"/>
      <c r="BI66" s="159">
        <f>IFERROR(SUMIFS('PO Tracker'!$J$44:$J$1433,'PO Tracker'!$K$44:$K$1433,$BE$6,'PO Tracker'!$L$44:$L$1433,'Capex breakup'!$B66),0)</f>
        <v>0</v>
      </c>
      <c r="BJ66" s="605" t="str">
        <f>IFERROR(BI66/BG66,"")</f>
        <v/>
      </c>
      <c r="BK66" s="118"/>
      <c r="BL66" s="151"/>
      <c r="BM66" s="151"/>
      <c r="BN66" s="151"/>
      <c r="BO66" s="159">
        <f>+BN66</f>
        <v>0</v>
      </c>
      <c r="BP66" s="395">
        <f>BO66*BP$2</f>
        <v>0</v>
      </c>
      <c r="BQ66" s="395">
        <f>BP66*118%</f>
        <v>0</v>
      </c>
      <c r="BR66" s="159"/>
      <c r="BS66" s="159">
        <f>IFERROR(SUMIFS('PO Tracker'!$J$44:$J$1433,'PO Tracker'!$K$44:$K$1433,$BO$6,'PO Tracker'!$L$44:$L$1433,'Capex breakup'!$B66),0)</f>
        <v>0</v>
      </c>
      <c r="BT66" s="605" t="str">
        <f>IFERROR(BS66/BQ66,"")</f>
        <v/>
      </c>
      <c r="BU66" s="118"/>
      <c r="BV66" s="151"/>
      <c r="BW66" s="151">
        <f>BV66/118%</f>
        <v>0</v>
      </c>
      <c r="BX66" s="151">
        <f>BW66/BW2</f>
        <v>0</v>
      </c>
      <c r="BY66" s="159">
        <f>+BX66</f>
        <v>0</v>
      </c>
      <c r="BZ66" s="395">
        <f>BY66*BZ$2</f>
        <v>0</v>
      </c>
      <c r="CA66" s="395">
        <f>BZ66*118%</f>
        <v>0</v>
      </c>
      <c r="CB66" s="159"/>
      <c r="CC66" s="159">
        <f>IFERROR(SUMIFS('PO Tracker'!$J$44:$J$1433,'PO Tracker'!$K$44:$K$1433,$BY$6,'PO Tracker'!$L$44:$L$1433,'Capex breakup'!$B66),0)</f>
        <v>0</v>
      </c>
      <c r="CD66" s="605" t="str">
        <f>IFERROR(CC66/CA66,"")</f>
        <v/>
      </c>
      <c r="CE66" s="118"/>
      <c r="CF66" s="151"/>
      <c r="CG66" s="151">
        <f>CF66/118%</f>
        <v>0</v>
      </c>
      <c r="CH66" s="151">
        <f>CG66/CG2</f>
        <v>0</v>
      </c>
      <c r="CI66" s="159">
        <f>+CH66</f>
        <v>0</v>
      </c>
      <c r="CJ66" s="395">
        <f>CI66*CJ$2</f>
        <v>0</v>
      </c>
      <c r="CK66" s="395">
        <f>CJ66*118%</f>
        <v>0</v>
      </c>
      <c r="CL66" s="159"/>
      <c r="CM66" s="159">
        <f>IFERROR(SUMIFS('PO Tracker'!$J$44:$J$1433,'PO Tracker'!$K$44:$K$1433,$CI$6,'PO Tracker'!$L$44:$L$1433,'Capex breakup'!$B66),0)</f>
        <v>0</v>
      </c>
      <c r="CN66" s="605" t="str">
        <f>IFERROR(CM66/CK66,"")</f>
        <v/>
      </c>
      <c r="CO66" s="118"/>
      <c r="CP66" s="151"/>
      <c r="CQ66" s="151">
        <f>CP66/118%</f>
        <v>0</v>
      </c>
      <c r="CR66" s="151"/>
      <c r="CS66" s="159"/>
      <c r="CT66" s="395">
        <f>CS66*CT$2</f>
        <v>0</v>
      </c>
      <c r="CU66" s="395">
        <f>CT66*118%</f>
        <v>0</v>
      </c>
      <c r="CV66" s="159"/>
      <c r="CW66" s="159">
        <f>IFERROR(SUMIFS('PO Tracker'!$J$44:$J$1433,'PO Tracker'!$K$44:$K$1433,$CS$6,'PO Tracker'!$L$44:$L$1433,'Capex breakup'!$B66),0)</f>
        <v>0</v>
      </c>
      <c r="CX66" s="605" t="str">
        <f>IFERROR(CW66/CU66,"")</f>
        <v/>
      </c>
      <c r="CY66" s="118"/>
      <c r="CZ66" s="151"/>
      <c r="DA66" s="151">
        <f>CZ66/118%</f>
        <v>0</v>
      </c>
      <c r="DB66" s="151">
        <f>DA66/DA2</f>
        <v>0</v>
      </c>
      <c r="DC66" s="159">
        <f>+DB66</f>
        <v>0</v>
      </c>
      <c r="DD66" s="395">
        <f>DC66*DD$2</f>
        <v>0</v>
      </c>
      <c r="DE66" s="395">
        <f>DD66*118%</f>
        <v>0</v>
      </c>
      <c r="DF66" s="159"/>
      <c r="DG66" s="159">
        <f>IFERROR(SUMIFS('PO Tracker'!$J$44:$J$1433,'PO Tracker'!$K$44:$K$1433,$DC$6,'PO Tracker'!$L$44:$L$1433,'Capex breakup'!$B66),0)</f>
        <v>0</v>
      </c>
      <c r="DH66" s="605" t="str">
        <f>IFERROR(DG66/DE66,"")</f>
        <v/>
      </c>
      <c r="DI66" s="118"/>
      <c r="DJ66" s="151"/>
      <c r="DK66" s="151">
        <f>DJ66/118%</f>
        <v>0</v>
      </c>
      <c r="DL66" s="151">
        <f>DK66/DK2</f>
        <v>0</v>
      </c>
      <c r="DM66" s="159">
        <f>+DL66</f>
        <v>0</v>
      </c>
      <c r="DN66" s="395">
        <f>DM66*DN$2</f>
        <v>0</v>
      </c>
      <c r="DO66" s="159">
        <f>DN66*118%</f>
        <v>0</v>
      </c>
      <c r="DP66" s="159">
        <f>IFERROR(SUMIFS('PO Tracker'!$J$44:$J$1433,'PO Tracker'!$K$44:$K$1433,$DM$6,'PO Tracker'!$L$44:$L$1433,'Capex breakup'!$B66),0)</f>
        <v>0</v>
      </c>
      <c r="DQ66" s="605" t="str">
        <f>IFERROR(DP66/DN66,"")</f>
        <v/>
      </c>
      <c r="DR66" s="118"/>
      <c r="DS66" s="151"/>
      <c r="DT66" s="151">
        <f>DS66/118%</f>
        <v>0</v>
      </c>
      <c r="DU66" s="151">
        <f>DT66/DT2</f>
        <v>0</v>
      </c>
      <c r="DV66" s="159">
        <v>0</v>
      </c>
      <c r="DW66" s="395">
        <f>DV66*DW$2</f>
        <v>0</v>
      </c>
      <c r="DX66" s="395">
        <f>DW66*118%</f>
        <v>0</v>
      </c>
      <c r="DY66" s="159"/>
      <c r="DZ66" s="159">
        <f>IFERROR(SUMIFS('PO Tracker'!$J$44:$J$1433,'PO Tracker'!$K$44:$K$1433,$DV$6,'PO Tracker'!$L$44:$L$1433,'Capex breakup'!$B66),0)</f>
        <v>0</v>
      </c>
      <c r="EA66" s="605" t="str">
        <f>IFERROR(DZ66/DX66,"")</f>
        <v/>
      </c>
      <c r="EB66" s="118"/>
      <c r="EC66" s="151"/>
      <c r="ED66" s="151">
        <f>EC66/118%</f>
        <v>0</v>
      </c>
      <c r="EE66" s="151">
        <f>ED66/ED2</f>
        <v>0</v>
      </c>
      <c r="EF66" s="159">
        <f>+EE66</f>
        <v>0</v>
      </c>
      <c r="EG66" s="395">
        <f>EF66*EG$2</f>
        <v>0</v>
      </c>
      <c r="EH66" s="395">
        <f>EG66*118%</f>
        <v>0</v>
      </c>
      <c r="EI66" s="159"/>
      <c r="EJ66" s="159">
        <f>IFERROR(SUMIFS('PO Tracker'!$J$44:$J$1433,'PO Tracker'!$K$44:$K$1433,$EF$6,'PO Tracker'!$L$44:$L$1433,'Capex breakup'!$B66),0)</f>
        <v>0</v>
      </c>
      <c r="EK66" s="605" t="str">
        <f>IFERROR(EJ66/EH66,"")</f>
        <v/>
      </c>
      <c r="EL66" s="118"/>
      <c r="EM66" s="151"/>
      <c r="EN66" s="151"/>
      <c r="EO66" s="151"/>
      <c r="EP66" s="159">
        <f>+EO66</f>
        <v>0</v>
      </c>
      <c r="EQ66" s="395">
        <f>EP66*EQ$2</f>
        <v>0</v>
      </c>
      <c r="ER66" s="395">
        <f>EQ66*118%</f>
        <v>0</v>
      </c>
      <c r="ES66" s="159"/>
      <c r="ET66" s="159">
        <f>IFERROR(SUMIFS('PO Tracker'!$J$44:$J$1433,'PO Tracker'!$K$44:$K$1433,$EP$6,'PO Tracker'!$L$44:$L$1433,'Capex breakup'!$B66),0)</f>
        <v>0</v>
      </c>
      <c r="EU66" s="605" t="str">
        <f>IFERROR(ET66/ER66,"")</f>
        <v/>
      </c>
      <c r="EV66" s="118"/>
      <c r="EW66" s="151"/>
      <c r="EX66" s="151"/>
      <c r="EY66" s="151"/>
      <c r="EZ66" s="159">
        <f>+EY66</f>
        <v>0</v>
      </c>
      <c r="FA66" s="395">
        <f>EZ66*FA$2</f>
        <v>0</v>
      </c>
      <c r="FB66" s="395">
        <f>FA66*118%</f>
        <v>0</v>
      </c>
      <c r="FC66" s="159"/>
      <c r="FD66" s="159">
        <f>IFERROR(SUMIFS('PO Tracker'!$J$44:$J$1433,'PO Tracker'!$K$44:$K$1433,$EZ$6,'PO Tracker'!$L$44:$L$1433,'Capex breakup'!$B66),0)</f>
        <v>0</v>
      </c>
      <c r="FE66" s="605" t="str">
        <f>IFERROR(FD66/FB66,"")</f>
        <v/>
      </c>
      <c r="FF66" s="118"/>
      <c r="FG66" s="318"/>
      <c r="FH66" s="151">
        <f>FG66/114%</f>
        <v>0</v>
      </c>
      <c r="FI66" s="133">
        <f>FH66/$FH$2</f>
        <v>0</v>
      </c>
      <c r="FJ66" s="159">
        <f>+FI66</f>
        <v>0</v>
      </c>
      <c r="FK66" s="395">
        <f>FJ66*FK$2</f>
        <v>0</v>
      </c>
      <c r="FL66" s="159">
        <f>FK66*118%</f>
        <v>0</v>
      </c>
      <c r="FM66" s="684"/>
      <c r="FN66" s="159"/>
      <c r="FO66" s="685"/>
      <c r="FP66" s="684"/>
      <c r="FQ66" s="159">
        <f>FK66-FN66</f>
        <v>0</v>
      </c>
      <c r="FR66" s="685">
        <f>FQ66*1.18</f>
        <v>0</v>
      </c>
      <c r="FS66" s="662">
        <f>IFERROR(SUMIFS('PO Tracker'!$J$44:$J$1433,'PO Tracker'!$K$44:$K$1433,$FJ$6,'PO Tracker'!$L$44:$L$1433,'Capex breakup'!$B66),0)</f>
        <v>0</v>
      </c>
      <c r="FT66" s="736" t="str">
        <f>IFERROR(FS66/FQ66,"")</f>
        <v/>
      </c>
      <c r="FU66" s="709"/>
      <c r="FV66" s="151"/>
      <c r="FW66" s="151">
        <f>FV66/118%</f>
        <v>0</v>
      </c>
      <c r="FX66" s="151">
        <f>FW66/FW2</f>
        <v>0</v>
      </c>
      <c r="FY66" s="159">
        <f>+FX66</f>
        <v>0</v>
      </c>
      <c r="FZ66" s="395">
        <f>FY66*FZ$2</f>
        <v>0</v>
      </c>
      <c r="GA66" s="395">
        <f>FZ66*118%</f>
        <v>0</v>
      </c>
      <c r="GB66" s="159"/>
      <c r="GC66" s="159">
        <f>IFERROR(SUMIFS('PO Tracker'!$J$44:$J$1433,'PO Tracker'!$K$44:$K$1433,$FY$6,'PO Tracker'!$L$44:$L$1433,'Capex breakup'!$B66),0)</f>
        <v>0</v>
      </c>
      <c r="GD66" s="605" t="str">
        <f>IFERROR(GC66/GA66,"")</f>
        <v/>
      </c>
      <c r="GE66" s="118"/>
      <c r="GF66" s="151"/>
      <c r="GG66" s="151">
        <f>GF66/118%</f>
        <v>0</v>
      </c>
      <c r="GH66" s="151">
        <f>GG66/GG2</f>
        <v>0</v>
      </c>
      <c r="GI66" s="159">
        <f>+GH66</f>
        <v>0</v>
      </c>
      <c r="GJ66" s="395">
        <f>GI66*GJ$2</f>
        <v>0</v>
      </c>
      <c r="GK66" s="395">
        <f>GJ66*118%</f>
        <v>0</v>
      </c>
      <c r="GL66" s="159"/>
      <c r="GM66" s="159">
        <f>IFERROR(SUMIFS('PO Tracker'!$J$44:$J$1433,'PO Tracker'!$K$44:$K$1433,$GI$6,'PO Tracker'!$L$44:$L$1433,'Capex breakup'!$B66),0)</f>
        <v>0</v>
      </c>
      <c r="GN66" s="605" t="str">
        <f>IFERROR(GM66/GK66,"")</f>
        <v/>
      </c>
      <c r="GO66" s="118"/>
      <c r="GP66" s="151"/>
      <c r="GQ66" s="151">
        <f>GP66/118%</f>
        <v>0</v>
      </c>
      <c r="GR66" s="151">
        <f>GQ66/GQ2</f>
        <v>0</v>
      </c>
      <c r="GS66" s="159">
        <v>0</v>
      </c>
      <c r="GT66" s="395">
        <v>0</v>
      </c>
      <c r="GU66" s="159">
        <v>0</v>
      </c>
      <c r="GV66" s="159">
        <f>IFERROR(SUMIFS('PO Tracker'!$J$44:$J$1433,'PO Tracker'!$K$44:$K$1433,$GS$6,'PO Tracker'!$L$44:$L$1433,'Capex breakup'!$B66),0)</f>
        <v>0</v>
      </c>
      <c r="GW66" s="605" t="str">
        <f>IFERROR(GV66/GT66,"")</f>
        <v/>
      </c>
      <c r="GX66" s="118"/>
      <c r="GY66" s="151"/>
      <c r="GZ66" s="151"/>
      <c r="HA66" s="133"/>
      <c r="HB66" s="159">
        <f>+HA66</f>
        <v>0</v>
      </c>
      <c r="HC66" s="395">
        <f>HB66*HC$2</f>
        <v>0</v>
      </c>
      <c r="HD66" s="159">
        <f>HC66*118%</f>
        <v>0</v>
      </c>
      <c r="HE66" s="159"/>
      <c r="HF66" s="159">
        <f>IFERROR(SUMIFS('PO Tracker'!$J$44:$J$1433,'PO Tracker'!$K$44:$K$1433,$HB$6,'PO Tracker'!$L$44:$L$1433,'Capex breakup'!$B66),0)</f>
        <v>0</v>
      </c>
      <c r="HG66" s="605" t="str">
        <f>IFERROR(HF66/HD66,"")</f>
        <v/>
      </c>
      <c r="HH66" s="118"/>
      <c r="HI66" s="151"/>
      <c r="HJ66" s="151"/>
      <c r="HK66" s="133"/>
      <c r="HL66" s="159">
        <f>+HK66</f>
        <v>0</v>
      </c>
      <c r="HM66" s="395">
        <f>HL66*HM$2</f>
        <v>0</v>
      </c>
      <c r="HN66" s="159">
        <f>HM66*118%</f>
        <v>0</v>
      </c>
      <c r="HO66" s="159">
        <f>IFERROR(SUMIFS('PO Tracker'!$J$44:$J$1433,'PO Tracker'!$K$44:$K$1433,$HL$6,'PO Tracker'!$L$44:$L$1433,'Capex breakup'!$B66),0)</f>
        <v>0</v>
      </c>
      <c r="HP66" s="605" t="str">
        <f>IFERROR(HO66/HM66,"")</f>
        <v/>
      </c>
      <c r="HQ66" s="118"/>
      <c r="HR66" s="365"/>
      <c r="HS66" s="365"/>
      <c r="HT66" s="365"/>
      <c r="HU66" s="365"/>
    </row>
    <row r="67" spans="1:229">
      <c r="A67" s="37">
        <v>3</v>
      </c>
      <c r="B67" s="38" t="s">
        <v>214</v>
      </c>
      <c r="C67" s="118"/>
      <c r="D67" s="151"/>
      <c r="E67" s="151">
        <f>D67/118%</f>
        <v>0</v>
      </c>
      <c r="F67" s="151">
        <f>E67/E2</f>
        <v>0</v>
      </c>
      <c r="G67" s="159">
        <f>+F67</f>
        <v>0</v>
      </c>
      <c r="H67" s="395">
        <f>G67*H$2</f>
        <v>0</v>
      </c>
      <c r="I67" s="395">
        <f>H67*118%</f>
        <v>0</v>
      </c>
      <c r="J67" s="159"/>
      <c r="K67" s="159">
        <f>IFERROR(SUMIFS('PO Tracker'!$J$44:$J$1433,'PO Tracker'!$K$44:$K$1433,$G$6,'PO Tracker'!$L$44:$L$1433,'Capex breakup'!$B67),0)</f>
        <v>0</v>
      </c>
      <c r="L67" s="605" t="str">
        <f>IFERROR(K67/I67,"")</f>
        <v/>
      </c>
      <c r="M67" s="118"/>
      <c r="N67" s="151"/>
      <c r="O67" s="151">
        <f>N67/118%</f>
        <v>0</v>
      </c>
      <c r="P67" s="151">
        <f>O67/O2</f>
        <v>0</v>
      </c>
      <c r="Q67" s="159">
        <f>+P67</f>
        <v>0</v>
      </c>
      <c r="R67" s="395">
        <f>Q67*R$2</f>
        <v>0</v>
      </c>
      <c r="S67" s="395">
        <f>R67*118%</f>
        <v>0</v>
      </c>
      <c r="T67" s="159"/>
      <c r="U67" s="159">
        <f>IFERROR(SUMIFS('PO Tracker'!$J$44:$J$1433,'PO Tracker'!$K$44:$K$1433,$Q$6,'PO Tracker'!$L$44:$L$1433,'Capex breakup'!$B67),0)</f>
        <v>0</v>
      </c>
      <c r="V67" s="605" t="str">
        <f>IFERROR(U67/S67,"")</f>
        <v/>
      </c>
      <c r="W67" s="118"/>
      <c r="X67" s="151"/>
      <c r="Y67" s="151">
        <f>X67/114%</f>
        <v>0</v>
      </c>
      <c r="Z67" s="133">
        <f>Y67/$Y$2</f>
        <v>0</v>
      </c>
      <c r="AA67" s="159">
        <f>+Z67</f>
        <v>0</v>
      </c>
      <c r="AB67" s="395">
        <f>AA67*AB$2</f>
        <v>0</v>
      </c>
      <c r="AC67" s="395">
        <f>AB67*118%</f>
        <v>0</v>
      </c>
      <c r="AD67" s="159"/>
      <c r="AE67" s="159">
        <f>IFERROR(SUMIFS('PO Tracker'!$J$44:$J$1433,'PO Tracker'!$K$44:$K$1433,$AA$6,'PO Tracker'!$L$44:$L$1433,'Capex breakup'!$B67),0)</f>
        <v>0</v>
      </c>
      <c r="AF67" s="605" t="str">
        <f>IFERROR(AE67/AC67,"")</f>
        <v/>
      </c>
      <c r="AG67" s="118"/>
      <c r="AH67" s="151"/>
      <c r="AI67" s="151">
        <f>AH67/118%</f>
        <v>0</v>
      </c>
      <c r="AJ67" s="151">
        <f>AI67/AI2</f>
        <v>0</v>
      </c>
      <c r="AK67" s="159">
        <f>+AJ67</f>
        <v>0</v>
      </c>
      <c r="AL67" s="395">
        <f>AK67*AL$2</f>
        <v>0</v>
      </c>
      <c r="AM67" s="395">
        <f>AL67*118%</f>
        <v>0</v>
      </c>
      <c r="AN67" s="159"/>
      <c r="AO67" s="159">
        <f>IFERROR(SUMIFS('PO Tracker'!$J$44:$J$1433,'PO Tracker'!$K$44:$K$1433,$AK$6,'PO Tracker'!$L$44:$L$1433,'Capex breakup'!$B67),0)</f>
        <v>0</v>
      </c>
      <c r="AP67" s="605" t="str">
        <f>IFERROR(AO67/AM67,"")</f>
        <v/>
      </c>
      <c r="AQ67" s="118"/>
      <c r="AR67" s="287"/>
      <c r="AS67" s="287"/>
      <c r="AT67" s="288"/>
      <c r="AU67" s="159">
        <f>+AT67</f>
        <v>0</v>
      </c>
      <c r="AV67" s="395">
        <f>AU67*AV$2</f>
        <v>0</v>
      </c>
      <c r="AW67" s="395">
        <f>AV67*118%</f>
        <v>0</v>
      </c>
      <c r="AX67" s="159"/>
      <c r="AY67" s="159">
        <f>IFERROR(SUMIFS('PO Tracker'!$J$44:$J$1433,'PO Tracker'!$K$44:$K$1433,$AU$6,'PO Tracker'!$L$44:$L$1433,'Capex breakup'!$B67),0)</f>
        <v>0</v>
      </c>
      <c r="AZ67" s="605" t="str">
        <f>IFERROR(AY67/AW67,"")</f>
        <v/>
      </c>
      <c r="BA67" s="118"/>
      <c r="BB67" s="151"/>
      <c r="BC67" s="151">
        <f>BB67/118%</f>
        <v>0</v>
      </c>
      <c r="BD67" s="151">
        <f>BC67/BC2</f>
        <v>0</v>
      </c>
      <c r="BE67" s="159">
        <f>+BD67</f>
        <v>0</v>
      </c>
      <c r="BF67" s="395">
        <f>BE67*BF$2</f>
        <v>0</v>
      </c>
      <c r="BG67" s="395">
        <f>BF67*118%</f>
        <v>0</v>
      </c>
      <c r="BH67" s="159"/>
      <c r="BI67" s="159">
        <f>IFERROR(SUMIFS('PO Tracker'!$J$44:$J$1433,'PO Tracker'!$K$44:$K$1433,$BE$6,'PO Tracker'!$L$44:$L$1433,'Capex breakup'!$B67),0)</f>
        <v>0</v>
      </c>
      <c r="BJ67" s="605" t="str">
        <f>IFERROR(BI67/BG67,"")</f>
        <v/>
      </c>
      <c r="BK67" s="118"/>
      <c r="BL67" s="151"/>
      <c r="BM67" s="151"/>
      <c r="BN67" s="151"/>
      <c r="BO67" s="159">
        <f>+BN67</f>
        <v>0</v>
      </c>
      <c r="BP67" s="395">
        <f>BO67*BP$2</f>
        <v>0</v>
      </c>
      <c r="BQ67" s="395">
        <f>BP67*118%</f>
        <v>0</v>
      </c>
      <c r="BR67" s="159"/>
      <c r="BS67" s="159">
        <f>IFERROR(SUMIFS('PO Tracker'!$J$44:$J$1433,'PO Tracker'!$K$44:$K$1433,$BO$6,'PO Tracker'!$L$44:$L$1433,'Capex breakup'!$B67),0)</f>
        <v>0</v>
      </c>
      <c r="BT67" s="605" t="str">
        <f>IFERROR(BS67/BQ67,"")</f>
        <v/>
      </c>
      <c r="BU67" s="118"/>
      <c r="BV67" s="151"/>
      <c r="BW67" s="151">
        <f>BV67/118%</f>
        <v>0</v>
      </c>
      <c r="BX67" s="151">
        <f>BW67/BW2</f>
        <v>0</v>
      </c>
      <c r="BY67" s="159">
        <f>+BX67</f>
        <v>0</v>
      </c>
      <c r="BZ67" s="395">
        <f>BY67*BZ$2</f>
        <v>0</v>
      </c>
      <c r="CA67" s="395">
        <f>BZ67*118%</f>
        <v>0</v>
      </c>
      <c r="CB67" s="159"/>
      <c r="CC67" s="159">
        <f>IFERROR(SUMIFS('PO Tracker'!$J$44:$J$1433,'PO Tracker'!$K$44:$K$1433,$BY$6,'PO Tracker'!$L$44:$L$1433,'Capex breakup'!$B67),0)</f>
        <v>0</v>
      </c>
      <c r="CD67" s="605" t="str">
        <f>IFERROR(CC67/CA67,"")</f>
        <v/>
      </c>
      <c r="CE67" s="118"/>
      <c r="CF67" s="151"/>
      <c r="CG67" s="151">
        <f>CF67/118%</f>
        <v>0</v>
      </c>
      <c r="CH67" s="151">
        <f>CG67/CG2</f>
        <v>0</v>
      </c>
      <c r="CI67" s="159">
        <f>+CH67</f>
        <v>0</v>
      </c>
      <c r="CJ67" s="395">
        <f>CI67*CJ$2</f>
        <v>0</v>
      </c>
      <c r="CK67" s="395">
        <f>CJ67*118%</f>
        <v>0</v>
      </c>
      <c r="CL67" s="159"/>
      <c r="CM67" s="159">
        <f>IFERROR(SUMIFS('PO Tracker'!$J$44:$J$1433,'PO Tracker'!$K$44:$K$1433,$CI$6,'PO Tracker'!$L$44:$L$1433,'Capex breakup'!$B67),0)</f>
        <v>0</v>
      </c>
      <c r="CN67" s="605" t="str">
        <f>IFERROR(CM67/CK67,"")</f>
        <v/>
      </c>
      <c r="CO67" s="118"/>
      <c r="CP67" s="151"/>
      <c r="CQ67" s="151">
        <f>CP67/118%</f>
        <v>0</v>
      </c>
      <c r="CR67" s="151"/>
      <c r="CS67" s="159"/>
      <c r="CT67" s="395">
        <f>CS67*CT$2</f>
        <v>0</v>
      </c>
      <c r="CU67" s="395">
        <f>CT67*118%</f>
        <v>0</v>
      </c>
      <c r="CV67" s="159"/>
      <c r="CW67" s="159">
        <f>IFERROR(SUMIFS('PO Tracker'!$J$44:$J$1433,'PO Tracker'!$K$44:$K$1433,$CS$6,'PO Tracker'!$L$44:$L$1433,'Capex breakup'!$B67),0)</f>
        <v>0</v>
      </c>
      <c r="CX67" s="605" t="str">
        <f>IFERROR(CW67/CU67,"")</f>
        <v/>
      </c>
      <c r="CY67" s="118"/>
      <c r="CZ67" s="151"/>
      <c r="DA67" s="151">
        <f>CZ67/118%</f>
        <v>0</v>
      </c>
      <c r="DB67" s="151">
        <f>DA67/DA2</f>
        <v>0</v>
      </c>
      <c r="DC67" s="159">
        <f>+DB67</f>
        <v>0</v>
      </c>
      <c r="DD67" s="395">
        <f>DC67*DD$2</f>
        <v>0</v>
      </c>
      <c r="DE67" s="395">
        <f>DD67*118%</f>
        <v>0</v>
      </c>
      <c r="DF67" s="159"/>
      <c r="DG67" s="159">
        <f>IFERROR(SUMIFS('PO Tracker'!$J$44:$J$1433,'PO Tracker'!$K$44:$K$1433,$DC$6,'PO Tracker'!$L$44:$L$1433,'Capex breakup'!$B67),0)</f>
        <v>0</v>
      </c>
      <c r="DH67" s="605" t="str">
        <f>IFERROR(DG67/DE67,"")</f>
        <v/>
      </c>
      <c r="DI67" s="118"/>
      <c r="DJ67" s="151"/>
      <c r="DK67" s="151">
        <f>DJ67/118%</f>
        <v>0</v>
      </c>
      <c r="DL67" s="151">
        <f>DK67/DK2</f>
        <v>0</v>
      </c>
      <c r="DM67" s="159">
        <f>+DL67</f>
        <v>0</v>
      </c>
      <c r="DN67" s="395">
        <f>DM67*DN$2</f>
        <v>0</v>
      </c>
      <c r="DO67" s="159">
        <f>DN67*118%</f>
        <v>0</v>
      </c>
      <c r="DP67" s="159">
        <f>IFERROR(SUMIFS('PO Tracker'!$J$44:$J$1433,'PO Tracker'!$K$44:$K$1433,$DM$6,'PO Tracker'!$L$44:$L$1433,'Capex breakup'!$B67),0)</f>
        <v>0</v>
      </c>
      <c r="DQ67" s="605" t="str">
        <f>IFERROR(DP67/DN67,"")</f>
        <v/>
      </c>
      <c r="DR67" s="118"/>
      <c r="DS67" s="151"/>
      <c r="DT67" s="151">
        <f>DS67/118%</f>
        <v>0</v>
      </c>
      <c r="DU67" s="151">
        <f>DT67/DT2</f>
        <v>0</v>
      </c>
      <c r="DV67" s="159">
        <v>0</v>
      </c>
      <c r="DW67" s="395">
        <f>DV67*DW$2</f>
        <v>0</v>
      </c>
      <c r="DX67" s="395">
        <f>DW67*118%</f>
        <v>0</v>
      </c>
      <c r="DY67" s="159"/>
      <c r="DZ67" s="159">
        <f>IFERROR(SUMIFS('PO Tracker'!$J$44:$J$1433,'PO Tracker'!$K$44:$K$1433,$DV$6,'PO Tracker'!$L$44:$L$1433,'Capex breakup'!$B67),0)</f>
        <v>0</v>
      </c>
      <c r="EA67" s="605" t="str">
        <f>IFERROR(DZ67/DX67,"")</f>
        <v/>
      </c>
      <c r="EB67" s="118"/>
      <c r="EC67" s="151"/>
      <c r="ED67" s="151">
        <f>EC67/118%</f>
        <v>0</v>
      </c>
      <c r="EE67" s="151">
        <f>ED67/ED2</f>
        <v>0</v>
      </c>
      <c r="EF67" s="159">
        <f>+EE67</f>
        <v>0</v>
      </c>
      <c r="EG67" s="395">
        <f>EF67*EG$2</f>
        <v>0</v>
      </c>
      <c r="EH67" s="395">
        <f>EG67*118%</f>
        <v>0</v>
      </c>
      <c r="EI67" s="159"/>
      <c r="EJ67" s="159">
        <f>IFERROR(SUMIFS('PO Tracker'!$J$44:$J$1433,'PO Tracker'!$K$44:$K$1433,$EF$6,'PO Tracker'!$L$44:$L$1433,'Capex breakup'!$B67),0)</f>
        <v>0</v>
      </c>
      <c r="EK67" s="605" t="str">
        <f>IFERROR(EJ67/EH67,"")</f>
        <v/>
      </c>
      <c r="EL67" s="118"/>
      <c r="EM67" s="151"/>
      <c r="EN67" s="151"/>
      <c r="EO67" s="151"/>
      <c r="EP67" s="159">
        <f>+EO67</f>
        <v>0</v>
      </c>
      <c r="EQ67" s="395">
        <f>EP67*EQ$2</f>
        <v>0</v>
      </c>
      <c r="ER67" s="395">
        <f>EQ67*118%</f>
        <v>0</v>
      </c>
      <c r="ES67" s="159"/>
      <c r="ET67" s="159">
        <f>IFERROR(SUMIFS('PO Tracker'!$J$44:$J$1433,'PO Tracker'!$K$44:$K$1433,$EP$6,'PO Tracker'!$L$44:$L$1433,'Capex breakup'!$B67),0)</f>
        <v>0</v>
      </c>
      <c r="EU67" s="605" t="str">
        <f>IFERROR(ET67/ER67,"")</f>
        <v/>
      </c>
      <c r="EV67" s="118"/>
      <c r="EW67" s="151"/>
      <c r="EX67" s="151"/>
      <c r="EY67" s="151"/>
      <c r="EZ67" s="159">
        <f>+EY67</f>
        <v>0</v>
      </c>
      <c r="FA67" s="395">
        <f>EZ67*FA$2</f>
        <v>0</v>
      </c>
      <c r="FB67" s="395">
        <f>FA67*118%</f>
        <v>0</v>
      </c>
      <c r="FC67" s="159"/>
      <c r="FD67" s="159">
        <f>IFERROR(SUMIFS('PO Tracker'!$J$44:$J$1433,'PO Tracker'!$K$44:$K$1433,$EZ$6,'PO Tracker'!$L$44:$L$1433,'Capex breakup'!$B67),0)</f>
        <v>0</v>
      </c>
      <c r="FE67" s="605" t="str">
        <f>IFERROR(FD67/FB67,"")</f>
        <v/>
      </c>
      <c r="FF67" s="118"/>
      <c r="FG67" s="318"/>
      <c r="FH67" s="151">
        <f>FG67/114%</f>
        <v>0</v>
      </c>
      <c r="FI67" s="133">
        <f>FH67/$FH$2</f>
        <v>0</v>
      </c>
      <c r="FJ67" s="159">
        <f>+FI67</f>
        <v>0</v>
      </c>
      <c r="FK67" s="395">
        <f>FJ67*FK$2</f>
        <v>0</v>
      </c>
      <c r="FL67" s="159">
        <f>FK67*118%</f>
        <v>0</v>
      </c>
      <c r="FM67" s="684"/>
      <c r="FN67" s="159"/>
      <c r="FO67" s="685"/>
      <c r="FP67" s="684"/>
      <c r="FQ67" s="159">
        <f>FK67-FN67</f>
        <v>0</v>
      </c>
      <c r="FR67" s="685">
        <f>FQ67*1.18</f>
        <v>0</v>
      </c>
      <c r="FS67" s="662">
        <f>IFERROR(SUMIFS('PO Tracker'!$J$44:$J$1433,'PO Tracker'!$K$44:$K$1433,$FJ$6,'PO Tracker'!$L$44:$L$1433,'Capex breakup'!$B67),0)</f>
        <v>0</v>
      </c>
      <c r="FT67" s="736" t="str">
        <f>IFERROR(FS67/FQ67,"")</f>
        <v/>
      </c>
      <c r="FU67" s="709"/>
      <c r="FV67" s="151"/>
      <c r="FW67" s="151">
        <f>FV67/118%</f>
        <v>0</v>
      </c>
      <c r="FX67" s="151">
        <f>FW67/FW2</f>
        <v>0</v>
      </c>
      <c r="FY67" s="159">
        <f>+FX67</f>
        <v>0</v>
      </c>
      <c r="FZ67" s="395">
        <f>FY67*FZ$2</f>
        <v>0</v>
      </c>
      <c r="GA67" s="395">
        <f>FZ67*118%</f>
        <v>0</v>
      </c>
      <c r="GB67" s="159"/>
      <c r="GC67" s="159">
        <f>IFERROR(SUMIFS('PO Tracker'!$J$44:$J$1433,'PO Tracker'!$K$44:$K$1433,$FY$6,'PO Tracker'!$L$44:$L$1433,'Capex breakup'!$B67),0)</f>
        <v>0</v>
      </c>
      <c r="GD67" s="605" t="str">
        <f>IFERROR(GC67/GA67,"")</f>
        <v/>
      </c>
      <c r="GE67" s="118"/>
      <c r="GF67" s="151"/>
      <c r="GG67" s="151">
        <f>GF67/118%</f>
        <v>0</v>
      </c>
      <c r="GH67" s="151">
        <f>GG67/GG2</f>
        <v>0</v>
      </c>
      <c r="GI67" s="159">
        <f>+GH67</f>
        <v>0</v>
      </c>
      <c r="GJ67" s="395">
        <f>GI67*GJ$2</f>
        <v>0</v>
      </c>
      <c r="GK67" s="395">
        <f>GJ67*118%</f>
        <v>0</v>
      </c>
      <c r="GL67" s="159"/>
      <c r="GM67" s="159">
        <f>IFERROR(SUMIFS('PO Tracker'!$J$44:$J$1433,'PO Tracker'!$K$44:$K$1433,$GI$6,'PO Tracker'!$L$44:$L$1433,'Capex breakup'!$B67),0)</f>
        <v>0</v>
      </c>
      <c r="GN67" s="605" t="str">
        <f>IFERROR(GM67/GK67,"")</f>
        <v/>
      </c>
      <c r="GO67" s="118"/>
      <c r="GP67" s="151"/>
      <c r="GQ67" s="151">
        <f>GP67/118%</f>
        <v>0</v>
      </c>
      <c r="GR67" s="151">
        <f>GQ67/GQ2</f>
        <v>0</v>
      </c>
      <c r="GS67" s="159">
        <v>0</v>
      </c>
      <c r="GT67" s="395">
        <v>0</v>
      </c>
      <c r="GU67" s="159">
        <v>0</v>
      </c>
      <c r="GV67" s="159">
        <f>IFERROR(SUMIFS('PO Tracker'!$J$44:$J$1433,'PO Tracker'!$K$44:$K$1433,$GS$6,'PO Tracker'!$L$44:$L$1433,'Capex breakup'!$B67),0)</f>
        <v>0</v>
      </c>
      <c r="GW67" s="605" t="str">
        <f>IFERROR(GV67/GT67,"")</f>
        <v/>
      </c>
      <c r="GX67" s="118"/>
      <c r="GY67" s="151"/>
      <c r="GZ67" s="151">
        <f>GY67/114%</f>
        <v>0</v>
      </c>
      <c r="HA67" s="133"/>
      <c r="HB67" s="159">
        <f>+HA67</f>
        <v>0</v>
      </c>
      <c r="HC67" s="395">
        <f>HB67*HC$2</f>
        <v>0</v>
      </c>
      <c r="HD67" s="159">
        <f>HC67*118%</f>
        <v>0</v>
      </c>
      <c r="HE67" s="159"/>
      <c r="HF67" s="159">
        <f>IFERROR(SUMIFS('PO Tracker'!$J$44:$J$1433,'PO Tracker'!$K$44:$K$1433,$HB$6,'PO Tracker'!$L$44:$L$1433,'Capex breakup'!$B67),0)</f>
        <v>0</v>
      </c>
      <c r="HG67" s="605" t="str">
        <f>IFERROR(HF67/HD67,"")</f>
        <v/>
      </c>
      <c r="HH67" s="118"/>
      <c r="HI67" s="151"/>
      <c r="HJ67" s="151">
        <f>HI67/114%</f>
        <v>0</v>
      </c>
      <c r="HK67" s="133"/>
      <c r="HL67" s="159">
        <f>+HK67</f>
        <v>0</v>
      </c>
      <c r="HM67" s="395">
        <f>HL67*HM$2</f>
        <v>0</v>
      </c>
      <c r="HN67" s="159">
        <f>HM67*118%</f>
        <v>0</v>
      </c>
      <c r="HO67" s="159">
        <f>IFERROR(SUMIFS('PO Tracker'!$J$44:$J$1433,'PO Tracker'!$K$44:$K$1433,$HL$6,'PO Tracker'!$L$44:$L$1433,'Capex breakup'!$B67),0)</f>
        <v>0</v>
      </c>
      <c r="HP67" s="605" t="str">
        <f>IFERROR(HO67/HM67,"")</f>
        <v/>
      </c>
      <c r="HQ67" s="118"/>
      <c r="HR67" s="365"/>
      <c r="HS67" s="365"/>
      <c r="HT67" s="365"/>
      <c r="HU67" s="365"/>
    </row>
    <row r="68" spans="1:229" s="26" customFormat="1" ht="15">
      <c r="A68" s="334"/>
      <c r="B68" s="23" t="s">
        <v>69</v>
      </c>
      <c r="C68" s="121"/>
      <c r="D68" s="154">
        <f>SUM(D65:D67)</f>
        <v>1692213.22</v>
      </c>
      <c r="E68" s="154">
        <f>SUM(E65:E67)</f>
        <v>1434079</v>
      </c>
      <c r="F68" s="152"/>
      <c r="G68" s="77"/>
      <c r="H68" s="396">
        <f>SUM(H65:H67)</f>
        <v>1843162.7759999998</v>
      </c>
      <c r="I68" s="396">
        <f>SUM(I65:I67)</f>
        <v>2174932.0756799998</v>
      </c>
      <c r="J68" s="78"/>
      <c r="K68" s="396">
        <f>SUM(K65:K67)</f>
        <v>1867934.1</v>
      </c>
      <c r="L68" s="605">
        <f>IFERROR(K68/I68,"")</f>
        <v>0.85884709728968633</v>
      </c>
      <c r="M68" s="121"/>
      <c r="N68" s="154">
        <f>SUM(N65:N67)</f>
        <v>1692213.22</v>
      </c>
      <c r="O68" s="154">
        <f>SUM(O65:O67)</f>
        <v>1434079</v>
      </c>
      <c r="P68" s="152"/>
      <c r="Q68" s="77"/>
      <c r="R68" s="396">
        <f>SUM(R65:R67)</f>
        <v>3049333.56</v>
      </c>
      <c r="S68" s="396">
        <f>SUM(S65:S67)</f>
        <v>3598213.6007999997</v>
      </c>
      <c r="T68" s="78"/>
      <c r="U68" s="396">
        <f>SUM(U65:U67)</f>
        <v>1432962.5</v>
      </c>
      <c r="V68" s="605">
        <f>IFERROR(U68/S68,"")</f>
        <v>0.39824275570561068</v>
      </c>
      <c r="W68" s="121"/>
      <c r="X68" s="154">
        <f>SUM(X65:X67)</f>
        <v>4256000</v>
      </c>
      <c r="Y68" s="154">
        <f>SUM(Y65:Y67)</f>
        <v>3799999.9999999995</v>
      </c>
      <c r="Z68" s="152"/>
      <c r="AA68" s="77"/>
      <c r="AB68" s="396">
        <f>SUM(AB65:AB67)</f>
        <v>1685642.4</v>
      </c>
      <c r="AC68" s="396">
        <f>SUM(AC65:AC67)</f>
        <v>1989058.0319999999</v>
      </c>
      <c r="AD68" s="78"/>
      <c r="AE68" s="396">
        <f>SUM(AE65:AE67)</f>
        <v>1326454.8800000001</v>
      </c>
      <c r="AF68" s="605">
        <f>IFERROR(AE68/AC68,"")</f>
        <v>0.66687590741947755</v>
      </c>
      <c r="AG68" s="121"/>
      <c r="AH68" s="154">
        <f>SUM(AH65:AH67)</f>
        <v>1692213.22</v>
      </c>
      <c r="AI68" s="154">
        <f>SUM(AI65:AI67)</f>
        <v>1434079</v>
      </c>
      <c r="AJ68" s="152"/>
      <c r="AK68" s="77"/>
      <c r="AL68" s="396">
        <f>SUM(AL65:AL67)</f>
        <v>3038677.1999999997</v>
      </c>
      <c r="AM68" s="396">
        <f>SUM(AM65:AM67)</f>
        <v>3585639.0959999994</v>
      </c>
      <c r="AN68" s="78"/>
      <c r="AO68" s="396">
        <f>SUM(AO65:AO67)</f>
        <v>2414688.5</v>
      </c>
      <c r="AP68" s="605">
        <f>IFERROR(AO68/AM68,"")</f>
        <v>0.67343322497061497</v>
      </c>
      <c r="AQ68" s="121"/>
      <c r="AR68" s="290">
        <f>SUM(AR65:AR67)</f>
        <v>6726000</v>
      </c>
      <c r="AS68" s="290">
        <f>SUM(AS65:AS67)</f>
        <v>5700000</v>
      </c>
      <c r="AT68" s="288"/>
      <c r="AU68" s="77"/>
      <c r="AV68" s="396">
        <f>SUM(AV65:AV67)</f>
        <v>8669056.5</v>
      </c>
      <c r="AW68" s="396">
        <f>SUM(AW65:AW67)</f>
        <v>10229486.67</v>
      </c>
      <c r="AX68" s="78"/>
      <c r="AY68" s="396">
        <f>SUM(AY65:AY67)</f>
        <v>9202344.4600000009</v>
      </c>
      <c r="AZ68" s="605">
        <f>IFERROR(AY68/AW68,"")</f>
        <v>0.89959005342738285</v>
      </c>
      <c r="BA68" s="121"/>
      <c r="BB68" s="154">
        <f>SUM(BB65:BB67)</f>
        <v>3540000</v>
      </c>
      <c r="BC68" s="154">
        <f>SUM(BC65:BC67)</f>
        <v>3000000</v>
      </c>
      <c r="BD68" s="152"/>
      <c r="BE68" s="77"/>
      <c r="BF68" s="396">
        <f>SUM(BF65:BF67)</f>
        <v>4042355.6159999995</v>
      </c>
      <c r="BG68" s="396">
        <f>SUM(BG65:BG67)</f>
        <v>4769979.6268799994</v>
      </c>
      <c r="BH68" s="78"/>
      <c r="BI68" s="396">
        <f>SUM(BI65:BI67)</f>
        <v>5038230.66</v>
      </c>
      <c r="BJ68" s="605">
        <f>IFERROR(BI68/BG68,"")</f>
        <v>1.0562373540566801</v>
      </c>
      <c r="BK68" s="121"/>
      <c r="BL68" s="154"/>
      <c r="BM68" s="154"/>
      <c r="BN68" s="152"/>
      <c r="BO68" s="77"/>
      <c r="BP68" s="396">
        <f>SUM(BP65:BP67)</f>
        <v>0</v>
      </c>
      <c r="BQ68" s="396">
        <f>SUM(BQ65:BQ67)</f>
        <v>0</v>
      </c>
      <c r="BR68" s="78"/>
      <c r="BS68" s="396">
        <f>SUM(BS65:BS67)</f>
        <v>0</v>
      </c>
      <c r="BT68" s="605" t="str">
        <f>IFERROR(BS68/BQ68,"")</f>
        <v/>
      </c>
      <c r="BU68" s="121"/>
      <c r="BV68" s="154">
        <f>SUM(BV65:BV67)</f>
        <v>2714000</v>
      </c>
      <c r="BW68" s="154">
        <f>SUM(BW65:BW67)</f>
        <v>2300000</v>
      </c>
      <c r="BX68" s="152"/>
      <c r="BY68" s="77"/>
      <c r="BZ68" s="396">
        <f>SUM(BZ65:BZ67)</f>
        <v>4103882.6399999992</v>
      </c>
      <c r="CA68" s="396">
        <f>SUM(CA65:CA67)</f>
        <v>4842581.5151999984</v>
      </c>
      <c r="CB68" s="78"/>
      <c r="CC68" s="396">
        <f>SUM(CC65:CC67)</f>
        <v>3808841.1799999997</v>
      </c>
      <c r="CD68" s="605">
        <f>IFERROR(CC68/CA68,"")</f>
        <v>0.78653114419338688</v>
      </c>
      <c r="CE68" s="121"/>
      <c r="CF68" s="154">
        <f>SUM(CF65:CF67)</f>
        <v>1309027.72</v>
      </c>
      <c r="CG68" s="154">
        <f>SUM(CG65:CG67)</f>
        <v>1109345.5254237289</v>
      </c>
      <c r="CH68" s="152"/>
      <c r="CI68" s="77"/>
      <c r="CJ68" s="396">
        <f>SUM(CJ65:CJ67)</f>
        <v>1259387.9999999998</v>
      </c>
      <c r="CK68" s="396">
        <f>SUM(CK65:CK67)</f>
        <v>1486077.8399999996</v>
      </c>
      <c r="CL68" s="78"/>
      <c r="CM68" s="396">
        <f>SUM(CM65:CM67)</f>
        <v>0</v>
      </c>
      <c r="CN68" s="605">
        <f>IFERROR(CM68/CK68,"")</f>
        <v>0</v>
      </c>
      <c r="CO68" s="121"/>
      <c r="CP68" s="154">
        <f>SUM(CP65:CP67)</f>
        <v>0</v>
      </c>
      <c r="CQ68" s="154">
        <f>SUM(CQ65:CQ67)</f>
        <v>0</v>
      </c>
      <c r="CR68" s="152"/>
      <c r="CS68" s="77"/>
      <c r="CT68" s="396">
        <f>SUM(CT65:CT67)</f>
        <v>182988</v>
      </c>
      <c r="CU68" s="396">
        <f>SUM(CU65:CU67)</f>
        <v>215925.84</v>
      </c>
      <c r="CV68" s="78"/>
      <c r="CW68" s="396">
        <f>SUM(CW65:CW67)</f>
        <v>121245</v>
      </c>
      <c r="CX68" s="605">
        <f>IFERROR(CW68/CU68,"")</f>
        <v>0.56151223031018427</v>
      </c>
      <c r="CY68" s="121"/>
      <c r="CZ68" s="154">
        <f>SUM(CZ65:CZ67)</f>
        <v>1309027.72</v>
      </c>
      <c r="DA68" s="154">
        <f>SUM(DA65:DA67)</f>
        <v>1109345.5254237289</v>
      </c>
      <c r="DB68" s="152"/>
      <c r="DC68" s="77"/>
      <c r="DD68" s="396">
        <f>SUM(DD65:DD67)</f>
        <v>1119455.9999999998</v>
      </c>
      <c r="DE68" s="396">
        <f>SUM(DE65:DE67)</f>
        <v>1320958.0799999996</v>
      </c>
      <c r="DF68" s="78"/>
      <c r="DG68" s="396">
        <f>SUM(DG65:DG67)</f>
        <v>1681028</v>
      </c>
      <c r="DH68" s="605">
        <f>IFERROR(DG68/DE68,"")</f>
        <v>1.2725823971643373</v>
      </c>
      <c r="DI68" s="121"/>
      <c r="DJ68" s="154">
        <f>SUM(DJ65:DJ67)</f>
        <v>590000</v>
      </c>
      <c r="DK68" s="154">
        <f>SUM(DK65:DK67)</f>
        <v>500000</v>
      </c>
      <c r="DL68" s="152"/>
      <c r="DM68" s="77"/>
      <c r="DN68" s="396">
        <f>SUM(DN65:DN67)</f>
        <v>0</v>
      </c>
      <c r="DO68" s="78">
        <f>SUM(DO65:DO67)</f>
        <v>0</v>
      </c>
      <c r="DP68" s="396">
        <f>SUM(DP65:DP67)</f>
        <v>0</v>
      </c>
      <c r="DQ68" s="605" t="str">
        <f>IFERROR(DP68/DN68,"")</f>
        <v/>
      </c>
      <c r="DR68" s="121"/>
      <c r="DS68" s="154">
        <f>SUM(DS65:DS67)</f>
        <v>1309027.72</v>
      </c>
      <c r="DT68" s="154">
        <f>SUM(DT65:DT67)</f>
        <v>1109345.5254237289</v>
      </c>
      <c r="DU68" s="152"/>
      <c r="DV68" s="77"/>
      <c r="DW68" s="396">
        <f>SUM(DW65:DW67)</f>
        <v>1090608.48</v>
      </c>
      <c r="DX68" s="396">
        <f>SUM(DX65:DX67)</f>
        <v>1286918.0063999998</v>
      </c>
      <c r="DY68" s="78"/>
      <c r="DZ68" s="396">
        <f>SUM(DZ65:DZ67)</f>
        <v>612571.20000000007</v>
      </c>
      <c r="EA68" s="605">
        <f>IFERROR(DZ68/DX68,"")</f>
        <v>0.47599862380789526</v>
      </c>
      <c r="EB68" s="121"/>
      <c r="EC68" s="154">
        <f>SUM(EC65:EC67)</f>
        <v>1309027.72</v>
      </c>
      <c r="ED68" s="154">
        <f>SUM(ED65:ED67)</f>
        <v>1109345.5254237289</v>
      </c>
      <c r="EE68" s="152"/>
      <c r="EF68" s="77"/>
      <c r="EG68" s="396">
        <f>SUM(EG65:EG67)</f>
        <v>961763.39999999991</v>
      </c>
      <c r="EH68" s="396">
        <f>SUM(EH65:EH67)</f>
        <v>1134880.8119999999</v>
      </c>
      <c r="EI68" s="78"/>
      <c r="EJ68" s="396">
        <f>SUM(EJ65:EJ67)</f>
        <v>83662</v>
      </c>
      <c r="EK68" s="605">
        <f>IFERROR(EJ68/EH68,"")</f>
        <v>7.3718754529440406E-2</v>
      </c>
      <c r="EL68" s="121"/>
      <c r="EM68" s="154">
        <f>SUM(EM65:EM67)</f>
        <v>0</v>
      </c>
      <c r="EN68" s="154">
        <f>SUM(EN65:EN67)</f>
        <v>0</v>
      </c>
      <c r="EO68" s="152"/>
      <c r="EP68" s="77"/>
      <c r="EQ68" s="396">
        <f>SUM(EQ65:EQ67)</f>
        <v>1000233.936</v>
      </c>
      <c r="ER68" s="396">
        <f>SUM(ER65:ER67)</f>
        <v>1180276.0444799999</v>
      </c>
      <c r="ES68" s="78"/>
      <c r="ET68" s="396">
        <f>SUM(ET65:ET67)</f>
        <v>544511</v>
      </c>
      <c r="EU68" s="605">
        <f>IFERROR(ET68/ER68,"")</f>
        <v>0.46134207548023048</v>
      </c>
      <c r="EV68" s="121"/>
      <c r="EW68" s="154">
        <f>SUM(EW65:EW67)</f>
        <v>0</v>
      </c>
      <c r="EX68" s="154">
        <f>SUM(EX65:EX67)</f>
        <v>0</v>
      </c>
      <c r="EY68" s="152"/>
      <c r="EZ68" s="77"/>
      <c r="FA68" s="396">
        <f>SUM(FA65:FA67)</f>
        <v>3330101.7359999996</v>
      </c>
      <c r="FB68" s="396">
        <f>SUM(FB65:FB67)</f>
        <v>3929520.0484799994</v>
      </c>
      <c r="FC68" s="78"/>
      <c r="FD68" s="396">
        <f>SUM(FD65:FD67)</f>
        <v>838174.38</v>
      </c>
      <c r="FE68" s="605">
        <f>IFERROR(FD68/FB68,"")</f>
        <v>0.21330197318225139</v>
      </c>
      <c r="FF68" s="122"/>
      <c r="FG68" s="739">
        <f>SUM(FG65:FG67)</f>
        <v>4256000</v>
      </c>
      <c r="FH68" s="154">
        <f>SUM(FH65:FH67)</f>
        <v>3799999.9999999995</v>
      </c>
      <c r="FI68" s="152"/>
      <c r="FJ68" s="77"/>
      <c r="FK68" s="396">
        <f>SUM(FK65:FK67)</f>
        <v>3777673.2053713677</v>
      </c>
      <c r="FL68" s="106">
        <f>SUM(FL65:FL67)</f>
        <v>4457654.3823382137</v>
      </c>
      <c r="FM68" s="689"/>
      <c r="FN68" s="78">
        <f>SUM(FN65:FN67)</f>
        <v>1918144.8</v>
      </c>
      <c r="FO68" s="690">
        <f>SUM(FO65:FO67)</f>
        <v>2263410.8640000001</v>
      </c>
      <c r="FP68" s="689"/>
      <c r="FQ68" s="78">
        <f>SUM(FQ65:FQ67)</f>
        <v>1859528.4053713677</v>
      </c>
      <c r="FR68" s="690">
        <f>SUM(FR65:FR67)</f>
        <v>2194243.5183382137</v>
      </c>
      <c r="FS68" s="665">
        <f>SUM(FS65:FS67)</f>
        <v>0</v>
      </c>
      <c r="FT68" s="736">
        <f>IFERROR(FS68/FQ68,"")</f>
        <v>0</v>
      </c>
      <c r="FU68" s="712"/>
      <c r="FV68" s="154">
        <f>SUM(FV65:FV67)</f>
        <v>1309027.72</v>
      </c>
      <c r="FW68" s="154">
        <f>SUM(FW65:FW67)</f>
        <v>1109345.5254237289</v>
      </c>
      <c r="FX68" s="152"/>
      <c r="FY68" s="77"/>
      <c r="FZ68" s="396">
        <f>SUM(FZ65:FZ67)</f>
        <v>1335597.1199999999</v>
      </c>
      <c r="GA68" s="396">
        <f>SUM(GA65:GA67)</f>
        <v>1576004.6015999997</v>
      </c>
      <c r="GB68" s="78"/>
      <c r="GC68" s="396">
        <f>SUM(GC65:GC67)</f>
        <v>371664.6</v>
      </c>
      <c r="GD68" s="605">
        <f>IFERROR(GC68/GA68,"")</f>
        <v>0.23582710331091464</v>
      </c>
      <c r="GE68" s="121"/>
      <c r="GF68" s="154">
        <f>SUM(GF65:GF67)</f>
        <v>590000</v>
      </c>
      <c r="GG68" s="154">
        <f>SUM(GG65:GG67)</f>
        <v>500000</v>
      </c>
      <c r="GH68" s="152"/>
      <c r="GI68" s="77"/>
      <c r="GJ68" s="396">
        <f>SUM(GJ65:GJ67)</f>
        <v>753480</v>
      </c>
      <c r="GK68" s="396">
        <f>SUM(GK65:GK67)</f>
        <v>889106.39999999991</v>
      </c>
      <c r="GL68" s="78"/>
      <c r="GM68" s="396">
        <f>SUM(GM65:GM67)</f>
        <v>345197.2</v>
      </c>
      <c r="GN68" s="605">
        <f>IFERROR(GM68/GK68,"")</f>
        <v>0.38825184477358393</v>
      </c>
      <c r="GO68" s="121"/>
      <c r="GP68" s="154">
        <f>SUM(GP65:GP67)</f>
        <v>590000</v>
      </c>
      <c r="GQ68" s="154">
        <f>SUM(GQ65:GQ67)</f>
        <v>500000</v>
      </c>
      <c r="GR68" s="152"/>
      <c r="GS68" s="77"/>
      <c r="GT68" s="396">
        <v>0</v>
      </c>
      <c r="GU68" s="78">
        <v>0</v>
      </c>
      <c r="GV68" s="396">
        <f>SUM(GV65:GV67)</f>
        <v>0</v>
      </c>
      <c r="GW68" s="605" t="str">
        <f>IFERROR(GV68/GT68,"")</f>
        <v/>
      </c>
      <c r="GX68" s="121"/>
      <c r="GY68" s="154">
        <f>SUM(GY65:GY67)</f>
        <v>0</v>
      </c>
      <c r="GZ68" s="154">
        <f>SUM(GZ65:GZ67)</f>
        <v>0</v>
      </c>
      <c r="HA68" s="152"/>
      <c r="HB68" s="77"/>
      <c r="HC68" s="396">
        <f>SUM(HC65:HC67)</f>
        <v>4006274.6880000001</v>
      </c>
      <c r="HD68" s="78">
        <f>SUM(HD65:HD67)</f>
        <v>4727404.1318399999</v>
      </c>
      <c r="HE68" s="78"/>
      <c r="HF68" s="396">
        <f>SUM(HF65:HF67)</f>
        <v>3286725.08</v>
      </c>
      <c r="HG68" s="605">
        <f>IFERROR(HF68/HD68,"")</f>
        <v>0.69524944099093577</v>
      </c>
      <c r="HH68" s="121"/>
      <c r="HI68" s="154">
        <f>SUM(HI65:HI67)</f>
        <v>0</v>
      </c>
      <c r="HJ68" s="154">
        <f>SUM(HJ65:HJ67)</f>
        <v>0</v>
      </c>
      <c r="HK68" s="152"/>
      <c r="HL68" s="77"/>
      <c r="HM68" s="396">
        <f>SUM(HM65:HM67)</f>
        <v>4414854.5999999996</v>
      </c>
      <c r="HN68" s="78">
        <f>SUM(HN65:HN67)</f>
        <v>5209528.4279999994</v>
      </c>
      <c r="HO68" s="396">
        <f>SUM(HO65:HO67)</f>
        <v>0</v>
      </c>
      <c r="HP68" s="605">
        <f>IFERROR(HO68/HM68,"")</f>
        <v>0</v>
      </c>
      <c r="HQ68" s="121"/>
      <c r="HR68" s="23"/>
      <c r="HS68" s="23"/>
      <c r="HT68" s="23"/>
      <c r="HU68" s="23"/>
    </row>
    <row r="69" spans="1:229" ht="15.75" thickBot="1">
      <c r="A69" s="43"/>
      <c r="B69" s="44"/>
      <c r="C69" s="125"/>
      <c r="D69" s="156"/>
      <c r="E69" s="156"/>
      <c r="F69" s="156"/>
      <c r="G69" s="80"/>
      <c r="H69" s="399"/>
      <c r="I69" s="399"/>
      <c r="J69" s="80"/>
      <c r="K69" s="80"/>
      <c r="L69" s="80"/>
      <c r="M69" s="125"/>
      <c r="N69" s="156"/>
      <c r="O69" s="156"/>
      <c r="P69" s="156"/>
      <c r="Q69" s="80"/>
      <c r="R69" s="399"/>
      <c r="S69" s="399"/>
      <c r="T69" s="80"/>
      <c r="U69" s="80"/>
      <c r="V69" s="622"/>
      <c r="W69" s="125"/>
      <c r="X69" s="156"/>
      <c r="Y69" s="156"/>
      <c r="Z69" s="156"/>
      <c r="AA69" s="80"/>
      <c r="AB69" s="399"/>
      <c r="AC69" s="399"/>
      <c r="AD69" s="80"/>
      <c r="AE69" s="80"/>
      <c r="AF69" s="622"/>
      <c r="AG69" s="125"/>
      <c r="AH69" s="156"/>
      <c r="AI69" s="156"/>
      <c r="AJ69" s="156"/>
      <c r="AK69" s="80"/>
      <c r="AL69" s="399"/>
      <c r="AM69" s="399"/>
      <c r="AN69" s="80"/>
      <c r="AO69" s="80"/>
      <c r="AP69" s="622"/>
      <c r="AQ69" s="125"/>
      <c r="AR69" s="294"/>
      <c r="AS69" s="294"/>
      <c r="AT69" s="294"/>
      <c r="AU69" s="80"/>
      <c r="AV69" s="399"/>
      <c r="AW69" s="399"/>
      <c r="AX69" s="80"/>
      <c r="AY69" s="80"/>
      <c r="AZ69" s="622"/>
      <c r="BA69" s="125"/>
      <c r="BB69" s="156"/>
      <c r="BC69" s="156"/>
      <c r="BD69" s="156"/>
      <c r="BE69" s="80"/>
      <c r="BF69" s="399"/>
      <c r="BG69" s="399"/>
      <c r="BH69" s="80"/>
      <c r="BI69" s="80"/>
      <c r="BJ69" s="622"/>
      <c r="BK69" s="125"/>
      <c r="BL69" s="156"/>
      <c r="BM69" s="156"/>
      <c r="BN69" s="156"/>
      <c r="BO69" s="80"/>
      <c r="BP69" s="399"/>
      <c r="BQ69" s="399"/>
      <c r="BR69" s="80"/>
      <c r="BS69" s="80"/>
      <c r="BT69" s="622"/>
      <c r="BU69" s="125"/>
      <c r="BV69" s="156"/>
      <c r="BW69" s="156"/>
      <c r="BX69" s="156"/>
      <c r="BY69" s="80"/>
      <c r="BZ69" s="399"/>
      <c r="CA69" s="399"/>
      <c r="CB69" s="80"/>
      <c r="CC69" s="80"/>
      <c r="CD69" s="622"/>
      <c r="CE69" s="125"/>
      <c r="CF69" s="156"/>
      <c r="CG69" s="156"/>
      <c r="CH69" s="156"/>
      <c r="CI69" s="80"/>
      <c r="CJ69" s="399"/>
      <c r="CK69" s="399"/>
      <c r="CL69" s="80"/>
      <c r="CM69" s="80"/>
      <c r="CN69" s="622"/>
      <c r="CO69" s="125"/>
      <c r="CP69" s="156"/>
      <c r="CQ69" s="156"/>
      <c r="CR69" s="156"/>
      <c r="CS69" s="80"/>
      <c r="CT69" s="399"/>
      <c r="CU69" s="399"/>
      <c r="CV69" s="80"/>
      <c r="CW69" s="80"/>
      <c r="CX69" s="622"/>
      <c r="CY69" s="125"/>
      <c r="CZ69" s="156"/>
      <c r="DA69" s="156"/>
      <c r="DB69" s="156"/>
      <c r="DC69" s="80"/>
      <c r="DD69" s="399"/>
      <c r="DE69" s="399"/>
      <c r="DF69" s="80"/>
      <c r="DG69" s="80"/>
      <c r="DH69" s="622"/>
      <c r="DI69" s="125"/>
      <c r="DJ69" s="156"/>
      <c r="DK69" s="156"/>
      <c r="DL69" s="156"/>
      <c r="DM69" s="80"/>
      <c r="DN69" s="399"/>
      <c r="DO69" s="80"/>
      <c r="DP69" s="80"/>
      <c r="DQ69" s="622"/>
      <c r="DR69" s="125"/>
      <c r="DS69" s="156"/>
      <c r="DT69" s="156"/>
      <c r="DU69" s="156"/>
      <c r="DV69" s="80"/>
      <c r="DW69" s="399"/>
      <c r="DX69" s="399"/>
      <c r="DY69" s="80"/>
      <c r="DZ69" s="80"/>
      <c r="EA69" s="622"/>
      <c r="EB69" s="125"/>
      <c r="EC69" s="156"/>
      <c r="ED69" s="156"/>
      <c r="EE69" s="156"/>
      <c r="EF69" s="80"/>
      <c r="EG69" s="399"/>
      <c r="EH69" s="399"/>
      <c r="EI69" s="80"/>
      <c r="EJ69" s="80"/>
      <c r="EK69" s="622"/>
      <c r="EL69" s="125"/>
      <c r="EM69" s="156"/>
      <c r="EN69" s="156"/>
      <c r="EO69" s="156"/>
      <c r="EP69" s="80"/>
      <c r="EQ69" s="399"/>
      <c r="ER69" s="399"/>
      <c r="ES69" s="80"/>
      <c r="ET69" s="80"/>
      <c r="EU69" s="622"/>
      <c r="EV69" s="125"/>
      <c r="EW69" s="156"/>
      <c r="EX69" s="156"/>
      <c r="EY69" s="156"/>
      <c r="EZ69" s="80"/>
      <c r="FA69" s="399"/>
      <c r="FB69" s="399"/>
      <c r="FC69" s="80"/>
      <c r="FD69" s="80"/>
      <c r="FE69" s="622"/>
      <c r="FF69" s="202"/>
      <c r="FG69" s="326"/>
      <c r="FH69" s="156"/>
      <c r="FI69" s="156"/>
      <c r="FJ69" s="80"/>
      <c r="FK69" s="399"/>
      <c r="FL69" s="657"/>
      <c r="FM69" s="695"/>
      <c r="FN69" s="80"/>
      <c r="FO69" s="696"/>
      <c r="FP69" s="695"/>
      <c r="FQ69" s="80"/>
      <c r="FR69" s="696"/>
      <c r="FS69" s="668"/>
      <c r="FT69" s="742"/>
      <c r="FU69" s="716"/>
      <c r="FV69" s="156"/>
      <c r="FW69" s="156"/>
      <c r="FX69" s="156"/>
      <c r="FY69" s="80"/>
      <c r="FZ69" s="399"/>
      <c r="GA69" s="399"/>
      <c r="GB69" s="80"/>
      <c r="GC69" s="80"/>
      <c r="GD69" s="622"/>
      <c r="GE69" s="125"/>
      <c r="GF69" s="156"/>
      <c r="GG69" s="156"/>
      <c r="GH69" s="156"/>
      <c r="GI69" s="80"/>
      <c r="GJ69" s="399"/>
      <c r="GK69" s="399"/>
      <c r="GL69" s="80"/>
      <c r="GM69" s="80"/>
      <c r="GN69" s="622"/>
      <c r="GO69" s="125"/>
      <c r="GP69" s="156"/>
      <c r="GQ69" s="156"/>
      <c r="GR69" s="156"/>
      <c r="GS69" s="80"/>
      <c r="GT69" s="399"/>
      <c r="GU69" s="80"/>
      <c r="GV69" s="80"/>
      <c r="GW69" s="622"/>
      <c r="GX69" s="125"/>
      <c r="GY69" s="156"/>
      <c r="GZ69" s="156"/>
      <c r="HA69" s="156"/>
      <c r="HB69" s="80"/>
      <c r="HC69" s="399"/>
      <c r="HD69" s="80"/>
      <c r="HE69" s="80"/>
      <c r="HF69" s="80"/>
      <c r="HG69" s="622"/>
      <c r="HH69" s="125"/>
      <c r="HI69" s="156"/>
      <c r="HJ69" s="156"/>
      <c r="HK69" s="156"/>
      <c r="HL69" s="80"/>
      <c r="HM69" s="399"/>
      <c r="HN69" s="80"/>
      <c r="HO69" s="80"/>
      <c r="HP69" s="622"/>
      <c r="HQ69" s="125"/>
      <c r="HR69" s="44"/>
      <c r="HS69" s="44"/>
      <c r="HT69" s="44"/>
      <c r="HU69" s="44"/>
    </row>
    <row r="70" spans="1:229" ht="15">
      <c r="A70" s="47"/>
      <c r="B70" s="48"/>
      <c r="C70" s="126"/>
      <c r="D70" s="157"/>
      <c r="E70" s="157"/>
      <c r="F70" s="157"/>
      <c r="G70" s="81"/>
      <c r="H70" s="400"/>
      <c r="I70" s="400"/>
      <c r="J70" s="81"/>
      <c r="K70" s="615"/>
      <c r="L70" s="615"/>
      <c r="M70" s="126"/>
      <c r="N70" s="157"/>
      <c r="O70" s="157"/>
      <c r="P70" s="157"/>
      <c r="Q70" s="81"/>
      <c r="R70" s="400"/>
      <c r="S70" s="400"/>
      <c r="T70" s="81"/>
      <c r="U70" s="615"/>
      <c r="V70" s="623"/>
      <c r="W70" s="126"/>
      <c r="X70" s="157"/>
      <c r="Y70" s="157"/>
      <c r="Z70" s="157"/>
      <c r="AA70" s="81"/>
      <c r="AB70" s="400"/>
      <c r="AC70" s="400"/>
      <c r="AD70" s="81"/>
      <c r="AE70" s="615"/>
      <c r="AF70" s="623"/>
      <c r="AG70" s="126"/>
      <c r="AH70" s="157"/>
      <c r="AI70" s="157"/>
      <c r="AJ70" s="157"/>
      <c r="AK70" s="81"/>
      <c r="AL70" s="400"/>
      <c r="AM70" s="400"/>
      <c r="AN70" s="81"/>
      <c r="AO70" s="615"/>
      <c r="AP70" s="623"/>
      <c r="AQ70" s="126"/>
      <c r="AR70" s="157"/>
      <c r="AS70" s="157"/>
      <c r="AT70" s="157"/>
      <c r="AU70" s="81"/>
      <c r="AV70" s="400"/>
      <c r="AW70" s="400"/>
      <c r="AX70" s="81"/>
      <c r="AY70" s="615"/>
      <c r="AZ70" s="623"/>
      <c r="BA70" s="126"/>
      <c r="BB70" s="157"/>
      <c r="BC70" s="157"/>
      <c r="BD70" s="157"/>
      <c r="BE70" s="81"/>
      <c r="BF70" s="400"/>
      <c r="BG70" s="400"/>
      <c r="BH70" s="81"/>
      <c r="BI70" s="615"/>
      <c r="BJ70" s="623"/>
      <c r="BK70" s="126"/>
      <c r="BL70" s="157"/>
      <c r="BM70" s="157"/>
      <c r="BN70" s="157"/>
      <c r="BO70" s="81"/>
      <c r="BP70" s="400"/>
      <c r="BQ70" s="400"/>
      <c r="BR70" s="81"/>
      <c r="BS70" s="615"/>
      <c r="BT70" s="623"/>
      <c r="BU70" s="126"/>
      <c r="BV70" s="157"/>
      <c r="BW70" s="157"/>
      <c r="BX70" s="157"/>
      <c r="BY70" s="81"/>
      <c r="BZ70" s="400"/>
      <c r="CA70" s="400"/>
      <c r="CB70" s="81"/>
      <c r="CC70" s="615"/>
      <c r="CD70" s="623"/>
      <c r="CE70" s="126"/>
      <c r="CF70" s="157"/>
      <c r="CG70" s="157"/>
      <c r="CH70" s="157"/>
      <c r="CI70" s="81"/>
      <c r="CJ70" s="400"/>
      <c r="CK70" s="400"/>
      <c r="CL70" s="81"/>
      <c r="CM70" s="615"/>
      <c r="CN70" s="623"/>
      <c r="CO70" s="126"/>
      <c r="CP70" s="157"/>
      <c r="CQ70" s="157"/>
      <c r="CR70" s="157"/>
      <c r="CS70" s="81"/>
      <c r="CT70" s="400"/>
      <c r="CU70" s="400"/>
      <c r="CV70" s="81"/>
      <c r="CW70" s="615"/>
      <c r="CX70" s="623"/>
      <c r="CY70" s="126"/>
      <c r="CZ70" s="157"/>
      <c r="DA70" s="157"/>
      <c r="DB70" s="157"/>
      <c r="DC70" s="81"/>
      <c r="DD70" s="400"/>
      <c r="DE70" s="400"/>
      <c r="DF70" s="81"/>
      <c r="DG70" s="615"/>
      <c r="DH70" s="623"/>
      <c r="DI70" s="126"/>
      <c r="DJ70" s="157"/>
      <c r="DK70" s="157"/>
      <c r="DL70" s="157"/>
      <c r="DM70" s="81"/>
      <c r="DN70" s="400"/>
      <c r="DO70" s="81"/>
      <c r="DP70" s="615"/>
      <c r="DQ70" s="623"/>
      <c r="DR70" s="126"/>
      <c r="DS70" s="157"/>
      <c r="DT70" s="157"/>
      <c r="DU70" s="157"/>
      <c r="DV70" s="81"/>
      <c r="DW70" s="400"/>
      <c r="DX70" s="400"/>
      <c r="DY70" s="81"/>
      <c r="DZ70" s="615"/>
      <c r="EA70" s="623"/>
      <c r="EB70" s="126"/>
      <c r="EC70" s="157"/>
      <c r="ED70" s="157"/>
      <c r="EE70" s="157"/>
      <c r="EF70" s="81"/>
      <c r="EG70" s="400"/>
      <c r="EH70" s="400"/>
      <c r="EI70" s="81"/>
      <c r="EJ70" s="615"/>
      <c r="EK70" s="623"/>
      <c r="EL70" s="126"/>
      <c r="EM70" s="157"/>
      <c r="EN70" s="157"/>
      <c r="EO70" s="157"/>
      <c r="EP70" s="81"/>
      <c r="EQ70" s="400"/>
      <c r="ER70" s="400"/>
      <c r="ES70" s="81"/>
      <c r="ET70" s="615"/>
      <c r="EU70" s="623"/>
      <c r="EV70" s="126"/>
      <c r="EW70" s="157"/>
      <c r="EX70" s="157"/>
      <c r="EY70" s="157"/>
      <c r="EZ70" s="81"/>
      <c r="FA70" s="400"/>
      <c r="FB70" s="400"/>
      <c r="FC70" s="81"/>
      <c r="FD70" s="615"/>
      <c r="FE70" s="623"/>
      <c r="FF70" s="126"/>
      <c r="FG70" s="327"/>
      <c r="FH70" s="157"/>
      <c r="FI70" s="157"/>
      <c r="FJ70" s="615"/>
      <c r="FK70" s="400"/>
      <c r="FL70" s="615"/>
      <c r="FM70" s="697"/>
      <c r="FN70" s="615"/>
      <c r="FO70" s="698"/>
      <c r="FP70" s="697"/>
      <c r="FQ70" s="615"/>
      <c r="FR70" s="698"/>
      <c r="FS70" s="669"/>
      <c r="FT70" s="727"/>
      <c r="FU70" s="717"/>
      <c r="FV70" s="157"/>
      <c r="FW70" s="157"/>
      <c r="FX70" s="157"/>
      <c r="FY70" s="81"/>
      <c r="FZ70" s="400"/>
      <c r="GA70" s="400"/>
      <c r="GB70" s="81"/>
      <c r="GC70" s="615"/>
      <c r="GD70" s="623"/>
      <c r="GE70" s="126"/>
      <c r="GF70" s="157"/>
      <c r="GG70" s="157"/>
      <c r="GH70" s="157"/>
      <c r="GI70" s="81"/>
      <c r="GJ70" s="400"/>
      <c r="GK70" s="400"/>
      <c r="GL70" s="81"/>
      <c r="GM70" s="615"/>
      <c r="GN70" s="623"/>
      <c r="GO70" s="126"/>
      <c r="GP70" s="157"/>
      <c r="GQ70" s="157"/>
      <c r="GR70" s="157"/>
      <c r="GS70" s="81"/>
      <c r="GT70" s="400"/>
      <c r="GU70" s="81"/>
      <c r="GV70" s="615"/>
      <c r="GW70" s="623"/>
      <c r="GX70" s="126"/>
      <c r="GY70" s="157"/>
      <c r="GZ70" s="157"/>
      <c r="HA70" s="157"/>
      <c r="HB70" s="81"/>
      <c r="HC70" s="400"/>
      <c r="HD70" s="81"/>
      <c r="HE70" s="81"/>
      <c r="HF70" s="615"/>
      <c r="HG70" s="623"/>
      <c r="HH70" s="126"/>
      <c r="HI70" s="157"/>
      <c r="HJ70" s="157"/>
      <c r="HK70" s="157"/>
      <c r="HL70" s="81"/>
      <c r="HM70" s="400"/>
      <c r="HN70" s="81"/>
      <c r="HO70" s="615"/>
      <c r="HP70" s="623"/>
      <c r="HQ70" s="126"/>
      <c r="HR70" s="366"/>
      <c r="HS70" s="366"/>
      <c r="HT70" s="366"/>
      <c r="HU70" s="366"/>
    </row>
    <row r="71" spans="1:229" ht="15">
      <c r="A71" s="51"/>
      <c r="B71" s="52" t="s">
        <v>61</v>
      </c>
      <c r="C71" s="127"/>
      <c r="D71" s="158">
        <f>D18+D27+D43+D55+D62+D68</f>
        <v>7712519.7467198512</v>
      </c>
      <c r="E71" s="158">
        <f>E18+E27+E43+E55+E62+E68</f>
        <v>6511285.6836608909</v>
      </c>
      <c r="F71" s="158"/>
      <c r="G71" s="158"/>
      <c r="H71" s="401">
        <f>H18+H27+H43+H55+H62+H68</f>
        <v>6545422.0961999996</v>
      </c>
      <c r="I71" s="401">
        <f>I18+I27+I43+I55+I62+I68</f>
        <v>7723598.0735159991</v>
      </c>
      <c r="J71" s="158"/>
      <c r="K71" s="401">
        <f>K18+K27+K43+K55+K62+K68</f>
        <v>5211962.42</v>
      </c>
      <c r="L71" s="607">
        <f>IFERROR(K71/I71,"")</f>
        <v>0.67481015588727655</v>
      </c>
      <c r="M71" s="127"/>
      <c r="N71" s="158">
        <f>N18+N27+N43+N55+N62+N68</f>
        <v>7712519.7467198512</v>
      </c>
      <c r="O71" s="158">
        <f>O18+O27+O43+O55+O62+O68</f>
        <v>6511285.6836608909</v>
      </c>
      <c r="P71" s="158"/>
      <c r="Q71" s="158"/>
      <c r="R71" s="401">
        <f>R18+R27+R43+R55+R62+R68</f>
        <v>11379096.4014</v>
      </c>
      <c r="S71" s="401">
        <f>S18+S27+S43+S55+S62+S68</f>
        <v>13427333.753651999</v>
      </c>
      <c r="T71" s="158"/>
      <c r="U71" s="401">
        <f>U18+U27+U43+U55+U62+U68</f>
        <v>8790279.3399999999</v>
      </c>
      <c r="V71" s="607">
        <f>IFERROR(U71/S71,"")</f>
        <v>0.65465560782751808</v>
      </c>
      <c r="W71" s="127"/>
      <c r="X71" s="158">
        <f>X18+X27+X43+X56+X62+X68</f>
        <v>39536000.369600005</v>
      </c>
      <c r="Y71" s="158">
        <f>Y18+Y27+Y43+Y56+Y62+Y68</f>
        <v>35258231.312456138</v>
      </c>
      <c r="Z71" s="158"/>
      <c r="AA71" s="158"/>
      <c r="AB71" s="401">
        <f>AB18+AB27+AB43+AB55+AB62+AB68</f>
        <v>23477616.044999998</v>
      </c>
      <c r="AC71" s="401">
        <f>AC18+AC27+AC43+AC55+AC62+AC68</f>
        <v>27703586.933100004</v>
      </c>
      <c r="AD71" s="158"/>
      <c r="AE71" s="401">
        <f>AE18+AE27+AE43+AE55+AE62+AE68</f>
        <v>15211096.931200001</v>
      </c>
      <c r="AF71" s="607">
        <f>IFERROR(AE71/AC71,"")</f>
        <v>0.54906597358430564</v>
      </c>
      <c r="AG71" s="127"/>
      <c r="AH71" s="158">
        <f>AH18+AH27+AH43+AH55+AH62+AH68</f>
        <v>7712519.7467198512</v>
      </c>
      <c r="AI71" s="158">
        <f>AI18+AI27+AI43+AI55+AI62+AI68</f>
        <v>6511285.6836608909</v>
      </c>
      <c r="AJ71" s="158"/>
      <c r="AK71" s="158"/>
      <c r="AL71" s="401">
        <f>AL18+AL27+AL43+AL55+AL62+AL68</f>
        <v>13653789.551999997</v>
      </c>
      <c r="AM71" s="401">
        <f>AM18+AM27+AM43+AM55+AM62+AM68</f>
        <v>16111471.671359997</v>
      </c>
      <c r="AN71" s="158"/>
      <c r="AO71" s="401">
        <f>AO18+AO27+AO43+AO55+AO62+AO68</f>
        <v>10381154.428199999</v>
      </c>
      <c r="AP71" s="607">
        <f>IFERROR(AO71/AM71,"")</f>
        <v>0.64433309631507474</v>
      </c>
      <c r="AQ71" s="127"/>
      <c r="AR71" s="158">
        <f>AR18+AR27+AR43+AR55+AR62+AR68</f>
        <v>21483087.552000001</v>
      </c>
      <c r="AS71" s="158">
        <f>AS18+AS27+AS43+AS55+AS62+AS68</f>
        <v>18206006.399999999</v>
      </c>
      <c r="AT71" s="158"/>
      <c r="AU71" s="158"/>
      <c r="AV71" s="401">
        <f>AV18+AV27+AV43+AV55+AV62+AV68</f>
        <v>23284065.869999997</v>
      </c>
      <c r="AW71" s="401">
        <f>AW18+AW27+AW43+AW55+AW62+AW68</f>
        <v>27475197.726599999</v>
      </c>
      <c r="AX71" s="158"/>
      <c r="AY71" s="401">
        <f>AY18+AY27+AY43+AY55+AY62+AY68</f>
        <v>9630135.9134000018</v>
      </c>
      <c r="AZ71" s="607">
        <f>IFERROR(AY71/AW71,"")</f>
        <v>0.35050287933238877</v>
      </c>
      <c r="BA71" s="127"/>
      <c r="BB71" s="158">
        <f>BB18+BB27+BB43+BB55+BB62+BB68</f>
        <v>14865003.5</v>
      </c>
      <c r="BC71" s="158">
        <f>BC18+BC27+BC43+BC55+BC62+BC68</f>
        <v>12597460.593220338</v>
      </c>
      <c r="BD71" s="158"/>
      <c r="BE71" s="158"/>
      <c r="BF71" s="401">
        <f>BF18+BF27+BF43+BF55+BF62+BF68</f>
        <v>10961002.728</v>
      </c>
      <c r="BG71" s="401">
        <f>BG18+BG27+BG43+BG55+BG62+BG68</f>
        <v>12933983.219039997</v>
      </c>
      <c r="BH71" s="158"/>
      <c r="BI71" s="401">
        <f>BI18+BI27+BI43+BI55+BI62+BI68</f>
        <v>7574778.4206000008</v>
      </c>
      <c r="BJ71" s="607">
        <f>IFERROR(BI71/BG71,"")</f>
        <v>0.5856493156299476</v>
      </c>
      <c r="BK71" s="127"/>
      <c r="BL71" s="158"/>
      <c r="BM71" s="158"/>
      <c r="BN71" s="158"/>
      <c r="BO71" s="158"/>
      <c r="BP71" s="401">
        <f>BP18+BP27+BP43+BP55+BP62+BP68</f>
        <v>3562212.3263999992</v>
      </c>
      <c r="BQ71" s="401">
        <f>BQ18+BQ27+BQ43+BQ55+BQ62+BQ68</f>
        <v>4203410.5451519983</v>
      </c>
      <c r="BR71" s="158"/>
      <c r="BS71" s="401">
        <f>BS18+BS27+BS43+BS55+BS62+BS68</f>
        <v>0</v>
      </c>
      <c r="BT71" s="607">
        <f>IFERROR(BS71/BQ71,"")</f>
        <v>0</v>
      </c>
      <c r="BU71" s="127"/>
      <c r="BV71" s="158">
        <f>BV18+BV27+BV43+BV55+BV62+BV68</f>
        <v>6190592.9359999998</v>
      </c>
      <c r="BW71" s="158">
        <f>BW18+BW27+BW43+BW55+BW62+BW68</f>
        <v>5246265.2</v>
      </c>
      <c r="BX71" s="158"/>
      <c r="BY71" s="158"/>
      <c r="BZ71" s="401">
        <f>BZ18+BZ27+BZ43+BZ55+BZ62+BZ68</f>
        <v>7580990.4767999984</v>
      </c>
      <c r="CA71" s="401">
        <f>CA18+CA27+CA43+CA55+CA62+CA68</f>
        <v>8945568.7626239974</v>
      </c>
      <c r="CB71" s="158"/>
      <c r="CC71" s="401">
        <f>CC18+CC27+CC43+CC55+CC62+CC68</f>
        <v>5332377.175999999</v>
      </c>
      <c r="CD71" s="607">
        <f>IFERROR(CC71/CA71,"")</f>
        <v>0.59609146355003328</v>
      </c>
      <c r="CE71" s="127"/>
      <c r="CF71" s="158">
        <f>CF18+CF27+CF43+CF55+CF62+CF68</f>
        <v>4969746.5133333337</v>
      </c>
      <c r="CG71" s="158">
        <f>CG18+CG27+CG43+CG55+CG62+CG68</f>
        <v>4211649.5875706207</v>
      </c>
      <c r="CH71" s="158"/>
      <c r="CI71" s="158"/>
      <c r="CJ71" s="401">
        <f>CJ18+CJ27+CJ43+CJ55+CJ62+CJ68</f>
        <v>4359420</v>
      </c>
      <c r="CK71" s="401">
        <f>CK18+CK27+CK43+CK55+CK62+CK68</f>
        <v>5144115.5999999987</v>
      </c>
      <c r="CL71" s="158"/>
      <c r="CM71" s="401">
        <f>CM18+CM27+CM43+CM55+CM62+CM68</f>
        <v>98538.44</v>
      </c>
      <c r="CN71" s="607">
        <f>IFERROR(CM71/CK71,"")</f>
        <v>1.9155564855502086E-2</v>
      </c>
      <c r="CO71" s="127"/>
      <c r="CP71" s="158">
        <f>CP18+CP27+CP43+CP55+CP62+CP68</f>
        <v>0</v>
      </c>
      <c r="CQ71" s="158">
        <f>CQ18+CQ27+CQ43+CQ55+CQ62+CQ68</f>
        <v>0</v>
      </c>
      <c r="CR71" s="158"/>
      <c r="CS71" s="158"/>
      <c r="CT71" s="401">
        <f>CT18+CT27+CT43+CT55+CT62+CT68</f>
        <v>292780.79999999999</v>
      </c>
      <c r="CU71" s="401">
        <f>CU18+CU27+CU43+CU55+CU62+CU68</f>
        <v>345481.34399999998</v>
      </c>
      <c r="CV71" s="158"/>
      <c r="CW71" s="401">
        <f>CW18+CW27+CW43+CW55+CW62+CW68</f>
        <v>121245</v>
      </c>
      <c r="CX71" s="607">
        <f>IFERROR(CW71/CU71,"")</f>
        <v>0.35094514394386517</v>
      </c>
      <c r="CY71" s="127"/>
      <c r="CZ71" s="158">
        <f>CZ18+CZ27+CZ43+CZ55+CZ62+CZ68</f>
        <v>4969746.5133333337</v>
      </c>
      <c r="DA71" s="158">
        <f>DA18+DA27+DA43+DA55+DA62+DA68</f>
        <v>4211649.5875706207</v>
      </c>
      <c r="DB71" s="158"/>
      <c r="DC71" s="158"/>
      <c r="DD71" s="401">
        <f>DD18+DD27+DD43+DD55+DD62+DD68</f>
        <v>3982679.9999999991</v>
      </c>
      <c r="DE71" s="401">
        <f>DE18+DE27+DE43+DE55+DE62+DE68</f>
        <v>4699562.3999999985</v>
      </c>
      <c r="DF71" s="158"/>
      <c r="DG71" s="401">
        <f>DG18+DG27+DG43+DG55+DG62+DG68</f>
        <v>5080267.9700000007</v>
      </c>
      <c r="DH71" s="607">
        <f>IFERROR(DG71/DE71,"")</f>
        <v>1.0810087275359941</v>
      </c>
      <c r="DI71" s="127"/>
      <c r="DJ71" s="158">
        <f>DJ18+DJ27+DJ43+DJ55+DJ62+DJ68</f>
        <v>2124000</v>
      </c>
      <c r="DK71" s="158">
        <f>DK18+DK27+DK43+DK55+DK62+DK68</f>
        <v>1800000</v>
      </c>
      <c r="DL71" s="158"/>
      <c r="DM71" s="158"/>
      <c r="DN71" s="401">
        <f>DN18+DN27+DN43+DN55+DN62+DN68</f>
        <v>463502.72</v>
      </c>
      <c r="DO71" s="158">
        <f>DO18+DO27+DO43+DO55+DO62+DO68</f>
        <v>546933.20959999994</v>
      </c>
      <c r="DP71" s="401">
        <f>DP18+DP27+DP43+DP55+DP62+DP68</f>
        <v>352443.57999999996</v>
      </c>
      <c r="DQ71" s="607">
        <f>IFERROR(DP71/DN71,"")</f>
        <v>0.76039161107835562</v>
      </c>
      <c r="DR71" s="127"/>
      <c r="DS71" s="158">
        <f>DS18+DS27+DS43+DS55+DS62+DS68</f>
        <v>4969746.5133333337</v>
      </c>
      <c r="DT71" s="158">
        <f>DT18+DT27+DT43+DT55+DT62+DT68</f>
        <v>4211649.5875706207</v>
      </c>
      <c r="DU71" s="158"/>
      <c r="DV71" s="158"/>
      <c r="DW71" s="401">
        <f>DW18+DW27+DW43+DW55+DW62+DW68</f>
        <v>8062662.2544</v>
      </c>
      <c r="DX71" s="401">
        <f>DX18+DX27+DX43+DX55+DX62+DX68</f>
        <v>9513941.4601919986</v>
      </c>
      <c r="DY71" s="158"/>
      <c r="DZ71" s="401">
        <f>DZ18+DZ27+DZ43+DZ55+DZ62+DZ68</f>
        <v>2453758.6</v>
      </c>
      <c r="EA71" s="607">
        <f>IFERROR(DZ71/DX71,"")</f>
        <v>0.25791188754597205</v>
      </c>
      <c r="EB71" s="127"/>
      <c r="EC71" s="158">
        <f>EC18+EC27+EC43+EC55+EC62+EC68</f>
        <v>4969746.5133333337</v>
      </c>
      <c r="ED71" s="158">
        <f>ED18+ED27+ED43+ED55+ED62+ED68</f>
        <v>4211649.5875706207</v>
      </c>
      <c r="EE71" s="158"/>
      <c r="EF71" s="158"/>
      <c r="EG71" s="401">
        <f>EG18+EG27+EG43+EG55+EG62+EG68</f>
        <v>4724181.8207999989</v>
      </c>
      <c r="EH71" s="401">
        <f>EH18+EH27+EH43+EH55+EH62+EH68</f>
        <v>5574534.5485439999</v>
      </c>
      <c r="EI71" s="158"/>
      <c r="EJ71" s="401">
        <f>EJ18+EJ27+EJ43+EJ55+EJ62+EJ68</f>
        <v>2958731.4099999997</v>
      </c>
      <c r="EK71" s="607">
        <f>IFERROR(EJ71/EH71,"")</f>
        <v>0.53075846678047478</v>
      </c>
      <c r="EL71" s="127"/>
      <c r="EM71" s="158">
        <f>EM18+EM27+EM43+EM55+EM62+EM68</f>
        <v>0</v>
      </c>
      <c r="EN71" s="158">
        <f>EN18+EN27+EN43+EN55+EN62+EN68</f>
        <v>0</v>
      </c>
      <c r="EO71" s="158"/>
      <c r="EP71" s="158"/>
      <c r="EQ71" s="401">
        <f>EQ18+EQ27+EQ43+EQ55+EQ62+EQ68</f>
        <v>5724415.7567999996</v>
      </c>
      <c r="ER71" s="401">
        <f>ER18+ER27+ER43+ER55+ER62+ER68</f>
        <v>6754810.5930239996</v>
      </c>
      <c r="ES71" s="158"/>
      <c r="ET71" s="401">
        <f>ET18+ET27+ET43+ET55+ET62+ET68</f>
        <v>4193203.5411999999</v>
      </c>
      <c r="EU71" s="607">
        <f>IFERROR(ET71/ER71,"")</f>
        <v>0.62077292670952344</v>
      </c>
      <c r="EV71" s="127"/>
      <c r="EW71" s="158">
        <f>EW18+EW27+EW43+EW55+EW62+EW68</f>
        <v>0</v>
      </c>
      <c r="EX71" s="158">
        <f>EX18+EX27+EX43+EX55+EX62+EX68</f>
        <v>0</v>
      </c>
      <c r="EY71" s="158"/>
      <c r="EZ71" s="158"/>
      <c r="FA71" s="401">
        <f>FA18+FA27+FA43+FA55+FA62+FA68</f>
        <v>14646043.596599996</v>
      </c>
      <c r="FB71" s="401">
        <f>FB18+FB27+FB43+FB55+FB62+FB68</f>
        <v>17282331.443987995</v>
      </c>
      <c r="FC71" s="158"/>
      <c r="FD71" s="401">
        <f>FD18+FD27+FD43+FD55+FD62+FD68</f>
        <v>9782719.281200001</v>
      </c>
      <c r="FE71" s="607">
        <f>IFERROR(FD71/FB71,"")</f>
        <v>0.56605321526819319</v>
      </c>
      <c r="FF71" s="203"/>
      <c r="FG71" s="699">
        <f>FG18+FG27+FG43+FG56+FG62+FG68</f>
        <v>39536000.369600005</v>
      </c>
      <c r="FH71" s="609">
        <f>FH18+FH27+FH43+FH56+FH62+FH68</f>
        <v>35258231.312456138</v>
      </c>
      <c r="FI71" s="609"/>
      <c r="FJ71" s="609"/>
      <c r="FK71" s="401">
        <f>FK18+FK27+FK43+FK55+FK62+FK68</f>
        <v>29881423.564973738</v>
      </c>
      <c r="FL71" s="658">
        <f>FL18+FL27+FL43+FL55+FL62+FL68</f>
        <v>35260079.806669004</v>
      </c>
      <c r="FM71" s="699"/>
      <c r="FN71" s="609">
        <f>FN18+FN27+FN43+FN55+FN62+FN68</f>
        <v>14800387.473322727</v>
      </c>
      <c r="FO71" s="54">
        <f>FO18+FO27+FO43+FO55+FO62+FO68</f>
        <v>17464457.218520813</v>
      </c>
      <c r="FP71" s="699"/>
      <c r="FQ71" s="609">
        <f>FQ18+FQ27+FQ43+FQ55+FQ62+FQ68</f>
        <v>15081036.091651013</v>
      </c>
      <c r="FR71" s="54">
        <f>FR18+FR27+FR43+FR55+FR62+FR68</f>
        <v>17795622.588148195</v>
      </c>
      <c r="FS71" s="703">
        <f>FS18+FS27+FS43+FS55+FS62+FS68</f>
        <v>538922.46</v>
      </c>
      <c r="FT71" s="743">
        <f>IFERROR(FS71/FQ71,"")</f>
        <v>3.5735108431863769E-2</v>
      </c>
      <c r="FU71" s="718"/>
      <c r="FV71" s="158">
        <f>FV18+FV27+FV43+FV55+FV62+FV68</f>
        <v>4969746.5133333337</v>
      </c>
      <c r="FW71" s="158">
        <f>FW18+FW27+FW43+FW55+FW62+FW68</f>
        <v>4211649.5875706207</v>
      </c>
      <c r="FX71" s="158"/>
      <c r="FY71" s="158"/>
      <c r="FZ71" s="401">
        <f>FZ18+FZ27+FZ43+FZ55+FZ62+FZ68</f>
        <v>4411922.4863999998</v>
      </c>
      <c r="GA71" s="401">
        <f>GA18+GA27+GA43+GA55+GA62+GA68</f>
        <v>5206068.5339519996</v>
      </c>
      <c r="GB71" s="158"/>
      <c r="GC71" s="401">
        <f>GC18+GC27+GC43+GC55+GC62+GC68</f>
        <v>3317263.8673999999</v>
      </c>
      <c r="GD71" s="607">
        <f>IFERROR(GC71/GA71,"")</f>
        <v>0.63719173994081446</v>
      </c>
      <c r="GE71" s="127"/>
      <c r="GF71" s="158">
        <f>GF18+GF27+GF43+GF55+GF62+GF68</f>
        <v>2124000</v>
      </c>
      <c r="GG71" s="158">
        <f>GG18+GG27+GG43+GG55+GG62+GG68</f>
        <v>1800000</v>
      </c>
      <c r="GH71" s="158"/>
      <c r="GI71" s="158"/>
      <c r="GJ71" s="401">
        <f>GJ18+GJ27+GJ43+GJ55+GJ62+GJ68</f>
        <v>3259554.48</v>
      </c>
      <c r="GK71" s="401">
        <f>GK18+GK27+GK43+GK55+GK62+GK68</f>
        <v>3846274.2863999996</v>
      </c>
      <c r="GL71" s="158"/>
      <c r="GM71" s="401">
        <f>GM18+GM27+GM43+GM55+GM62+GM68</f>
        <v>6681157.4617999997</v>
      </c>
      <c r="GN71" s="607">
        <f>IFERROR(GM71/GK71,"")</f>
        <v>1.7370465453864883</v>
      </c>
      <c r="GO71" s="127"/>
      <c r="GP71" s="158">
        <f>GP18+GP27+GP43+GP55+GP62+GP68</f>
        <v>2124000</v>
      </c>
      <c r="GQ71" s="158">
        <f>GQ18+GQ27+GQ43+GQ55+GQ62+GQ68</f>
        <v>1800000</v>
      </c>
      <c r="GR71" s="158"/>
      <c r="GS71" s="158"/>
      <c r="GT71" s="401">
        <f t="shared" ref="GT71:GU71" si="339">GT18+GT27+GT43+GT55+GT62+GT68</f>
        <v>433660.51999999996</v>
      </c>
      <c r="GU71" s="401">
        <f t="shared" si="339"/>
        <v>556707.62159999995</v>
      </c>
      <c r="GV71" s="401">
        <f>GV18+GV27+GV43+GV55+GV62+GV68</f>
        <v>315061.18</v>
      </c>
      <c r="GW71" s="607">
        <f>IFERROR(GV71/GT71,"")</f>
        <v>0.72651570864693893</v>
      </c>
      <c r="GX71" s="127"/>
      <c r="GY71" s="158">
        <f>GY18+GY27+GY43+GY56+GY62+GY68</f>
        <v>0</v>
      </c>
      <c r="GZ71" s="158">
        <f>GZ18+GZ27+GZ43+GZ56+GZ62+GZ68</f>
        <v>0</v>
      </c>
      <c r="HA71" s="158"/>
      <c r="HB71" s="158"/>
      <c r="HC71" s="401">
        <f>HC18+HC27+HC43+HC55+HC62+HC68</f>
        <v>50003371.7991542</v>
      </c>
      <c r="HD71" s="158">
        <f>HD18+HD27+HD43+HD55+HD62+HD68</f>
        <v>59003978.723001949</v>
      </c>
      <c r="HE71" s="158"/>
      <c r="HF71" s="401">
        <f>HF18+HF27+HF43+HF55+HF62+HF68</f>
        <v>41524484.306000002</v>
      </c>
      <c r="HG71" s="607">
        <f>IFERROR(HF71/HD71,"")</f>
        <v>0.70375736017632673</v>
      </c>
      <c r="HH71" s="127"/>
      <c r="HI71" s="158">
        <f>HI18+HI27+HI43+HI56+HI62+HI68</f>
        <v>0</v>
      </c>
      <c r="HJ71" s="158">
        <f>HJ18+HJ27+HJ43+HJ56+HJ62+HJ68</f>
        <v>0</v>
      </c>
      <c r="HK71" s="158"/>
      <c r="HL71" s="158"/>
      <c r="HM71" s="401">
        <f>HM18+HM27+HM43+HM55+HM62+HM68</f>
        <v>52590773.044207729</v>
      </c>
      <c r="HN71" s="158">
        <f>HN18+HN27+HN43+HN55+HN62+HN68</f>
        <v>62057112.192165121</v>
      </c>
      <c r="HO71" s="401">
        <f>HO18+HO27+HO43+HO55+HO62+HO68</f>
        <v>1249397.4588000001</v>
      </c>
      <c r="HP71" s="607">
        <f>IFERROR(HO71/HM71,"")</f>
        <v>2.3756970785536055E-2</v>
      </c>
      <c r="HQ71" s="127"/>
      <c r="HR71" s="52"/>
      <c r="HS71" s="52"/>
      <c r="HT71" s="52"/>
      <c r="HU71" s="52"/>
    </row>
    <row r="72" spans="1:229" ht="14.25" thickBot="1">
      <c r="A72" s="55"/>
      <c r="B72" s="56"/>
      <c r="C72" s="128"/>
      <c r="D72" s="57"/>
      <c r="E72" s="57"/>
      <c r="F72" s="57"/>
      <c r="G72" s="82"/>
      <c r="H72" s="402"/>
      <c r="I72" s="402"/>
      <c r="J72" s="82"/>
      <c r="K72" s="82"/>
      <c r="L72" s="82"/>
      <c r="M72" s="128"/>
      <c r="N72" s="57"/>
      <c r="O72" s="57"/>
      <c r="P72" s="57"/>
      <c r="Q72" s="82"/>
      <c r="R72" s="402"/>
      <c r="S72" s="402"/>
      <c r="T72" s="82"/>
      <c r="U72" s="82"/>
      <c r="V72" s="624"/>
      <c r="W72" s="128"/>
      <c r="X72" s="151"/>
      <c r="Y72" s="151"/>
      <c r="Z72" s="151"/>
      <c r="AA72" s="82"/>
      <c r="AB72" s="402"/>
      <c r="AC72" s="402"/>
      <c r="AD72" s="82"/>
      <c r="AE72" s="82"/>
      <c r="AF72" s="624"/>
      <c r="AG72" s="128"/>
      <c r="AH72" s="57"/>
      <c r="AI72" s="57"/>
      <c r="AJ72" s="57"/>
      <c r="AK72" s="82"/>
      <c r="AL72" s="402"/>
      <c r="AM72" s="402"/>
      <c r="AN72" s="82"/>
      <c r="AO72" s="82"/>
      <c r="AP72" s="624"/>
      <c r="AQ72" s="128"/>
      <c r="AR72" s="151"/>
      <c r="AS72" s="151"/>
      <c r="AT72" s="151"/>
      <c r="AU72" s="82"/>
      <c r="AV72" s="402"/>
      <c r="AW72" s="402"/>
      <c r="AX72" s="82"/>
      <c r="AY72" s="82"/>
      <c r="AZ72" s="624"/>
      <c r="BA72" s="128"/>
      <c r="BB72" s="57"/>
      <c r="BC72" s="57"/>
      <c r="BD72" s="57"/>
      <c r="BE72" s="82"/>
      <c r="BF72" s="402"/>
      <c r="BG72" s="402"/>
      <c r="BH72" s="82"/>
      <c r="BI72" s="82"/>
      <c r="BJ72" s="624"/>
      <c r="BK72" s="128"/>
      <c r="BL72" s="57"/>
      <c r="BM72" s="57"/>
      <c r="BN72" s="57"/>
      <c r="BO72" s="82"/>
      <c r="BP72" s="402"/>
      <c r="BQ72" s="402"/>
      <c r="BR72" s="82"/>
      <c r="BS72" s="82"/>
      <c r="BT72" s="624"/>
      <c r="BU72" s="128"/>
      <c r="BV72" s="57"/>
      <c r="BW72" s="57"/>
      <c r="BX72" s="57"/>
      <c r="BY72" s="82"/>
      <c r="BZ72" s="402"/>
      <c r="CA72" s="402"/>
      <c r="CB72" s="82"/>
      <c r="CC72" s="82"/>
      <c r="CD72" s="624"/>
      <c r="CE72" s="128"/>
      <c r="CF72" s="57"/>
      <c r="CG72" s="57"/>
      <c r="CH72" s="57"/>
      <c r="CI72" s="82"/>
      <c r="CJ72" s="402"/>
      <c r="CK72" s="402"/>
      <c r="CL72" s="82"/>
      <c r="CM72" s="82"/>
      <c r="CN72" s="624"/>
      <c r="CO72" s="128"/>
      <c r="CP72" s="57"/>
      <c r="CQ72" s="57"/>
      <c r="CR72" s="57"/>
      <c r="CS72" s="82"/>
      <c r="CT72" s="402"/>
      <c r="CU72" s="402"/>
      <c r="CV72" s="82"/>
      <c r="CW72" s="82"/>
      <c r="CX72" s="624"/>
      <c r="CY72" s="128"/>
      <c r="CZ72" s="57"/>
      <c r="DA72" s="57"/>
      <c r="DB72" s="57"/>
      <c r="DC72" s="82"/>
      <c r="DD72" s="402"/>
      <c r="DE72" s="402"/>
      <c r="DF72" s="82"/>
      <c r="DG72" s="82"/>
      <c r="DH72" s="624"/>
      <c r="DI72" s="128"/>
      <c r="DJ72" s="57"/>
      <c r="DK72" s="57"/>
      <c r="DL72" s="57"/>
      <c r="DM72" s="82"/>
      <c r="DN72" s="402"/>
      <c r="DO72" s="82"/>
      <c r="DP72" s="82"/>
      <c r="DQ72" s="624"/>
      <c r="DR72" s="128"/>
      <c r="DS72" s="57"/>
      <c r="DT72" s="57"/>
      <c r="DU72" s="57"/>
      <c r="DV72" s="82"/>
      <c r="DW72" s="402"/>
      <c r="DX72" s="402"/>
      <c r="DY72" s="82"/>
      <c r="DZ72" s="82"/>
      <c r="EA72" s="624"/>
      <c r="EB72" s="128"/>
      <c r="EC72" s="57"/>
      <c r="ED72" s="57"/>
      <c r="EE72" s="57"/>
      <c r="EF72" s="82"/>
      <c r="EG72" s="402"/>
      <c r="EH72" s="402"/>
      <c r="EI72" s="82"/>
      <c r="EJ72" s="82"/>
      <c r="EK72" s="624"/>
      <c r="EL72" s="128"/>
      <c r="EM72" s="57"/>
      <c r="EN72" s="57"/>
      <c r="EO72" s="57"/>
      <c r="EP72" s="82"/>
      <c r="EQ72" s="402"/>
      <c r="ER72" s="402"/>
      <c r="ES72" s="82"/>
      <c r="ET72" s="82"/>
      <c r="EU72" s="624"/>
      <c r="EV72" s="128"/>
      <c r="EW72" s="57"/>
      <c r="EX72" s="57"/>
      <c r="EY72" s="57"/>
      <c r="EZ72" s="82"/>
      <c r="FA72" s="402"/>
      <c r="FB72" s="402"/>
      <c r="FC72" s="82"/>
      <c r="FD72" s="82"/>
      <c r="FE72" s="624"/>
      <c r="FF72" s="128"/>
      <c r="FG72" s="744"/>
      <c r="FH72" s="745"/>
      <c r="FI72" s="745"/>
      <c r="FJ72" s="82"/>
      <c r="FK72" s="402"/>
      <c r="FL72" s="82"/>
      <c r="FM72" s="700"/>
      <c r="FN72" s="82"/>
      <c r="FO72" s="701"/>
      <c r="FP72" s="700"/>
      <c r="FQ72" s="82"/>
      <c r="FR72" s="701"/>
      <c r="FS72" s="670"/>
      <c r="FT72" s="746"/>
      <c r="FU72" s="719"/>
      <c r="FV72" s="57"/>
      <c r="FW72" s="57"/>
      <c r="FX72" s="57"/>
      <c r="FY72" s="82"/>
      <c r="FZ72" s="402"/>
      <c r="GA72" s="402"/>
      <c r="GB72" s="82"/>
      <c r="GC72" s="82"/>
      <c r="GD72" s="624"/>
      <c r="GE72" s="128"/>
      <c r="GF72" s="57"/>
      <c r="GG72" s="57"/>
      <c r="GH72" s="57"/>
      <c r="GI72" s="82"/>
      <c r="GJ72" s="402"/>
      <c r="GK72" s="402"/>
      <c r="GL72" s="82"/>
      <c r="GM72" s="82"/>
      <c r="GN72" s="624"/>
      <c r="GO72" s="128"/>
      <c r="GP72" s="57"/>
      <c r="GQ72" s="57"/>
      <c r="GR72" s="57"/>
      <c r="GS72" s="82"/>
      <c r="GT72" s="402"/>
      <c r="GU72" s="82"/>
      <c r="GV72" s="82"/>
      <c r="GW72" s="624"/>
      <c r="GX72" s="128"/>
      <c r="GY72" s="151"/>
      <c r="GZ72" s="151"/>
      <c r="HA72" s="151"/>
      <c r="HB72" s="82"/>
      <c r="HC72" s="402"/>
      <c r="HD72" s="82"/>
      <c r="HE72" s="82"/>
      <c r="HF72" s="82"/>
      <c r="HG72" s="624"/>
      <c r="HH72" s="128"/>
      <c r="HI72" s="151"/>
      <c r="HJ72" s="151"/>
      <c r="HK72" s="151"/>
      <c r="HL72" s="82"/>
      <c r="HM72" s="402"/>
      <c r="HN72" s="82"/>
      <c r="HO72" s="82"/>
      <c r="HP72" s="624"/>
      <c r="HQ72" s="128"/>
      <c r="HR72" s="367"/>
      <c r="HS72" s="367"/>
      <c r="HT72" s="367"/>
      <c r="HU72" s="367"/>
    </row>
    <row r="73" spans="1:229">
      <c r="A73" s="143"/>
      <c r="B73" s="144"/>
      <c r="C73" s="144"/>
      <c r="D73" s="144"/>
      <c r="E73" s="144"/>
      <c r="F73" s="144"/>
      <c r="G73" s="144"/>
      <c r="H73" s="403"/>
      <c r="I73" s="403"/>
      <c r="J73" s="144"/>
      <c r="K73" s="610"/>
      <c r="L73" s="610"/>
      <c r="M73" s="144"/>
      <c r="N73" s="144"/>
      <c r="O73" s="144"/>
      <c r="P73" s="144"/>
      <c r="Q73" s="144"/>
      <c r="R73" s="403"/>
      <c r="S73" s="403"/>
      <c r="T73" s="144"/>
      <c r="U73" s="610"/>
      <c r="V73" s="625"/>
      <c r="W73" s="144"/>
      <c r="X73" s="144"/>
      <c r="Y73" s="144"/>
      <c r="Z73" s="144"/>
      <c r="AA73" s="144"/>
      <c r="AB73" s="403"/>
      <c r="AC73" s="403"/>
      <c r="AD73" s="144"/>
      <c r="AE73" s="610"/>
      <c r="AF73" s="625"/>
      <c r="AG73" s="144"/>
      <c r="AH73" s="144"/>
      <c r="AI73" s="144"/>
      <c r="AJ73" s="144"/>
      <c r="AK73" s="144"/>
      <c r="AL73" s="403"/>
      <c r="AM73" s="403"/>
      <c r="AN73" s="144"/>
      <c r="AO73" s="610"/>
      <c r="AP73" s="625"/>
      <c r="AQ73" s="144"/>
      <c r="AR73" s="144"/>
      <c r="AS73" s="144"/>
      <c r="AT73" s="144"/>
      <c r="AU73" s="144"/>
      <c r="AV73" s="403"/>
      <c r="AW73" s="403"/>
      <c r="AX73" s="144"/>
      <c r="AY73" s="610"/>
      <c r="AZ73" s="625"/>
      <c r="BA73" s="144"/>
      <c r="BB73" s="144"/>
      <c r="BC73" s="144"/>
      <c r="BD73" s="144"/>
      <c r="BE73" s="144"/>
      <c r="BF73" s="403"/>
      <c r="BG73" s="403"/>
      <c r="BH73" s="144"/>
      <c r="BI73" s="610"/>
      <c r="BJ73" s="625"/>
      <c r="BK73" s="144"/>
      <c r="BL73" s="144"/>
      <c r="BM73" s="144"/>
      <c r="BN73" s="144"/>
      <c r="BO73" s="144"/>
      <c r="BP73" s="403"/>
      <c r="BQ73" s="403"/>
      <c r="BR73" s="144"/>
      <c r="BS73" s="610"/>
      <c r="BT73" s="625"/>
      <c r="BU73" s="144"/>
      <c r="BV73" s="144"/>
      <c r="BW73" s="144"/>
      <c r="BX73" s="144"/>
      <c r="BY73" s="144"/>
      <c r="BZ73" s="403"/>
      <c r="CA73" s="403"/>
      <c r="CB73" s="144"/>
      <c r="CC73" s="610"/>
      <c r="CD73" s="625"/>
      <c r="CE73" s="144"/>
      <c r="CF73" s="144"/>
      <c r="CG73" s="144"/>
      <c r="CH73" s="144"/>
      <c r="CI73" s="144"/>
      <c r="CJ73" s="403"/>
      <c r="CK73" s="403"/>
      <c r="CL73" s="144"/>
      <c r="CM73" s="610"/>
      <c r="CN73" s="625"/>
      <c r="CO73" s="144"/>
      <c r="CP73" s="144"/>
      <c r="CQ73" s="144"/>
      <c r="CR73" s="144"/>
      <c r="CS73" s="144"/>
      <c r="CT73" s="403"/>
      <c r="CU73" s="403"/>
      <c r="CV73" s="144"/>
      <c r="CW73" s="610"/>
      <c r="CX73" s="625"/>
      <c r="CY73" s="144"/>
      <c r="CZ73" s="144"/>
      <c r="DA73" s="144"/>
      <c r="DB73" s="144"/>
      <c r="DC73" s="144"/>
      <c r="DD73" s="403"/>
      <c r="DE73" s="403"/>
      <c r="DF73" s="144"/>
      <c r="DG73" s="610"/>
      <c r="DH73" s="625"/>
      <c r="DI73" s="144"/>
      <c r="DJ73" s="144"/>
      <c r="DK73" s="144"/>
      <c r="DL73" s="144"/>
      <c r="DM73" s="144"/>
      <c r="DN73" s="403"/>
      <c r="DO73" s="144"/>
      <c r="DP73" s="610"/>
      <c r="DQ73" s="625"/>
      <c r="DR73" s="144"/>
      <c r="DS73" s="144"/>
      <c r="DT73" s="144"/>
      <c r="DU73" s="144"/>
      <c r="DV73" s="144"/>
      <c r="DW73" s="403"/>
      <c r="DX73" s="403"/>
      <c r="DY73" s="144"/>
      <c r="DZ73" s="610"/>
      <c r="EA73" s="625"/>
      <c r="EB73" s="144"/>
      <c r="EC73" s="144"/>
      <c r="ED73" s="144"/>
      <c r="EE73" s="144"/>
      <c r="EF73" s="144"/>
      <c r="EG73" s="403"/>
      <c r="EH73" s="403"/>
      <c r="EI73" s="144"/>
      <c r="EJ73" s="610"/>
      <c r="EK73" s="625"/>
      <c r="EL73" s="144"/>
      <c r="EM73" s="144"/>
      <c r="EN73" s="144"/>
      <c r="EO73" s="144"/>
      <c r="EP73" s="144"/>
      <c r="EQ73" s="403"/>
      <c r="ER73" s="403"/>
      <c r="ES73" s="144"/>
      <c r="ET73" s="610"/>
      <c r="EU73" s="625"/>
      <c r="EV73" s="144"/>
      <c r="EW73" s="144"/>
      <c r="EX73" s="144"/>
      <c r="EY73" s="144"/>
      <c r="EZ73" s="144"/>
      <c r="FA73" s="403"/>
      <c r="FB73" s="403"/>
      <c r="FC73" s="144"/>
      <c r="FD73" s="610"/>
      <c r="FE73" s="625"/>
      <c r="FF73" s="144"/>
      <c r="FG73" s="144"/>
      <c r="FH73" s="144"/>
      <c r="FI73" s="144"/>
      <c r="FJ73" s="144"/>
      <c r="FK73" s="403"/>
      <c r="FL73" s="144"/>
      <c r="FM73" s="144"/>
      <c r="FN73" s="144"/>
      <c r="FO73" s="144"/>
      <c r="FP73" s="144"/>
      <c r="FQ73" s="600"/>
      <c r="FR73" s="144"/>
      <c r="FS73" s="610"/>
      <c r="FT73" s="625"/>
      <c r="FU73" s="144"/>
      <c r="FV73" s="144"/>
      <c r="FW73" s="144"/>
      <c r="FX73" s="144"/>
      <c r="FY73" s="144"/>
      <c r="FZ73" s="403"/>
      <c r="GA73" s="403"/>
      <c r="GB73" s="144"/>
      <c r="GC73" s="610"/>
      <c r="GD73" s="625"/>
      <c r="GE73" s="144"/>
      <c r="GF73" s="144"/>
      <c r="GG73" s="144"/>
      <c r="GH73" s="144"/>
      <c r="GI73" s="144"/>
      <c r="GJ73" s="403"/>
      <c r="GK73" s="403"/>
      <c r="GL73" s="144"/>
      <c r="GM73" s="610"/>
      <c r="GN73" s="625"/>
      <c r="GO73" s="144"/>
      <c r="GP73" s="144"/>
      <c r="GQ73" s="144"/>
      <c r="GR73" s="144"/>
      <c r="GS73" s="144"/>
      <c r="GT73" s="403"/>
      <c r="GU73" s="144"/>
      <c r="GV73" s="610"/>
      <c r="GW73" s="625"/>
      <c r="GX73" s="144"/>
      <c r="GY73" s="144"/>
      <c r="GZ73" s="144"/>
      <c r="HA73" s="144"/>
      <c r="HB73" s="144"/>
      <c r="HC73" s="403"/>
      <c r="HD73" s="144"/>
      <c r="HE73" s="144"/>
      <c r="HF73" s="610"/>
      <c r="HG73" s="625"/>
      <c r="HH73" s="144"/>
      <c r="HI73" s="144"/>
      <c r="HJ73" s="144"/>
      <c r="HK73" s="144"/>
      <c r="HL73" s="144"/>
      <c r="HM73" s="403"/>
      <c r="HN73" s="144"/>
      <c r="HO73" s="610"/>
      <c r="HP73" s="625"/>
      <c r="HQ73" s="144"/>
      <c r="HR73" s="144"/>
      <c r="HS73" s="144"/>
      <c r="HT73" s="144"/>
      <c r="HU73" s="144"/>
    </row>
    <row r="74" spans="1:229" ht="15">
      <c r="A74" s="59" t="s">
        <v>62</v>
      </c>
    </row>
    <row r="75" spans="1:229">
      <c r="A75" s="62" t="s">
        <v>63</v>
      </c>
      <c r="B75" s="63"/>
      <c r="C75" s="110"/>
      <c r="D75" s="63"/>
      <c r="E75" s="63"/>
      <c r="F75" s="63"/>
      <c r="G75" s="63"/>
      <c r="H75" s="405"/>
      <c r="I75" s="405"/>
      <c r="J75" s="63"/>
      <c r="K75" s="63"/>
      <c r="L75" s="63"/>
      <c r="M75" s="110"/>
      <c r="N75" s="63"/>
      <c r="O75" s="63"/>
      <c r="P75" s="63"/>
      <c r="Q75" s="63"/>
      <c r="R75" s="405"/>
      <c r="S75" s="405"/>
      <c r="T75" s="63"/>
      <c r="U75" s="63"/>
      <c r="V75" s="627"/>
      <c r="W75" s="110"/>
      <c r="X75" s="63"/>
      <c r="Y75" s="63"/>
      <c r="Z75" s="63"/>
      <c r="AA75" s="63"/>
      <c r="AB75" s="405"/>
      <c r="AC75" s="405"/>
      <c r="AD75" s="63"/>
      <c r="AE75" s="63"/>
      <c r="AF75" s="627"/>
      <c r="AG75" s="110"/>
      <c r="AH75" s="63"/>
      <c r="AI75" s="63"/>
      <c r="AJ75" s="63"/>
      <c r="AK75" s="63"/>
      <c r="AL75" s="405"/>
      <c r="AM75" s="405"/>
      <c r="AN75" s="63"/>
      <c r="AO75" s="63"/>
      <c r="AP75" s="627"/>
      <c r="AQ75" s="110"/>
      <c r="AR75" s="63"/>
      <c r="AS75" s="63"/>
      <c r="AT75" s="63"/>
      <c r="AU75" s="63"/>
      <c r="AV75" s="405"/>
      <c r="AW75" s="405"/>
      <c r="AX75" s="63"/>
      <c r="AY75" s="63"/>
      <c r="AZ75" s="627"/>
      <c r="BA75" s="110"/>
      <c r="BB75" s="63"/>
      <c r="BC75" s="63"/>
      <c r="BD75" s="63"/>
      <c r="BE75" s="63"/>
      <c r="BF75" s="405"/>
      <c r="BG75" s="405"/>
      <c r="BH75" s="63"/>
      <c r="BI75" s="63"/>
      <c r="BJ75" s="627"/>
      <c r="BK75" s="110"/>
      <c r="BL75" s="63"/>
      <c r="BM75" s="63"/>
      <c r="BN75" s="63"/>
      <c r="BO75" s="63"/>
      <c r="BP75" s="405"/>
      <c r="BQ75" s="405"/>
      <c r="BR75" s="63"/>
      <c r="BS75" s="63"/>
      <c r="BT75" s="627"/>
      <c r="BU75" s="110"/>
      <c r="BV75" s="63"/>
      <c r="BW75" s="63"/>
      <c r="BX75" s="63"/>
      <c r="BY75" s="63"/>
      <c r="BZ75" s="405"/>
      <c r="CA75" s="405"/>
      <c r="CB75" s="63"/>
      <c r="CC75" s="63"/>
      <c r="CD75" s="627"/>
      <c r="CE75" s="110"/>
      <c r="CF75" s="63"/>
      <c r="CG75" s="63"/>
      <c r="CH75" s="63"/>
      <c r="CI75" s="63"/>
      <c r="CJ75" s="405"/>
      <c r="CK75" s="405"/>
      <c r="CL75" s="63"/>
      <c r="CM75" s="63"/>
      <c r="CN75" s="627"/>
      <c r="CO75" s="110"/>
      <c r="CP75" s="63"/>
      <c r="CQ75" s="63"/>
      <c r="CR75" s="63"/>
      <c r="CS75" s="63"/>
      <c r="CT75" s="405"/>
      <c r="CU75" s="405"/>
      <c r="CV75" s="63"/>
      <c r="CW75" s="63"/>
      <c r="CX75" s="627"/>
      <c r="CY75" s="110"/>
      <c r="CZ75" s="63"/>
      <c r="DA75" s="63"/>
      <c r="DB75" s="63"/>
      <c r="DC75" s="63"/>
      <c r="DD75" s="405"/>
      <c r="DE75" s="405"/>
      <c r="DF75" s="63"/>
      <c r="DG75" s="63"/>
      <c r="DH75" s="627"/>
      <c r="DI75" s="110"/>
      <c r="DJ75" s="63"/>
      <c r="DK75" s="63"/>
      <c r="DL75" s="63"/>
      <c r="DM75" s="63"/>
      <c r="DN75" s="405"/>
      <c r="DO75" s="63"/>
      <c r="DP75" s="63"/>
      <c r="DQ75" s="627"/>
      <c r="DR75" s="110"/>
      <c r="DS75" s="63"/>
      <c r="DT75" s="63"/>
      <c r="DU75" s="63"/>
      <c r="DV75" s="63"/>
      <c r="DW75" s="405"/>
      <c r="DX75" s="405"/>
      <c r="DY75" s="63"/>
      <c r="DZ75" s="63"/>
      <c r="EA75" s="627"/>
      <c r="EB75" s="110"/>
      <c r="EC75" s="63"/>
      <c r="ED75" s="63"/>
      <c r="EE75" s="63"/>
      <c r="EF75" s="63"/>
      <c r="EG75" s="405"/>
      <c r="EH75" s="405"/>
      <c r="EI75" s="63"/>
      <c r="EJ75" s="63"/>
      <c r="EK75" s="627"/>
      <c r="EL75" s="110"/>
      <c r="EM75" s="63"/>
      <c r="EN75" s="63"/>
      <c r="EO75" s="63"/>
      <c r="EP75" s="63"/>
      <c r="EQ75" s="405"/>
      <c r="ER75" s="405"/>
      <c r="ES75" s="63"/>
      <c r="ET75" s="63"/>
      <c r="EU75" s="627"/>
      <c r="EV75" s="110"/>
      <c r="EW75" s="63"/>
      <c r="EX75" s="63"/>
      <c r="EY75" s="63"/>
      <c r="EZ75" s="63"/>
      <c r="FA75" s="405"/>
      <c r="FB75" s="405"/>
      <c r="FC75" s="63"/>
      <c r="FD75" s="63"/>
      <c r="FE75" s="627"/>
      <c r="FF75" s="110"/>
      <c r="FG75" s="63"/>
      <c r="FH75" s="63"/>
      <c r="FI75" s="63"/>
      <c r="FJ75" s="63"/>
      <c r="FK75" s="405"/>
      <c r="FL75" s="63"/>
      <c r="FM75" s="63"/>
      <c r="FN75" s="63"/>
      <c r="FO75" s="63"/>
      <c r="FP75" s="63"/>
      <c r="FQ75" s="63"/>
      <c r="FR75" s="63"/>
      <c r="FS75" s="63"/>
      <c r="FT75" s="627"/>
      <c r="FU75" s="63"/>
      <c r="FV75" s="63"/>
      <c r="FW75" s="63"/>
      <c r="FX75" s="63"/>
      <c r="FY75" s="63"/>
      <c r="FZ75" s="405"/>
      <c r="GA75" s="405"/>
      <c r="GB75" s="63"/>
      <c r="GC75" s="63"/>
      <c r="GD75" s="627"/>
      <c r="GE75" s="110"/>
      <c r="GF75" s="63"/>
      <c r="GG75" s="63"/>
      <c r="GH75" s="63"/>
      <c r="GI75" s="63"/>
      <c r="GJ75" s="405"/>
      <c r="GK75" s="405"/>
      <c r="GL75" s="63"/>
      <c r="GM75" s="63"/>
      <c r="GN75" s="627"/>
      <c r="GO75" s="110"/>
      <c r="GP75" s="63"/>
      <c r="GQ75" s="63"/>
      <c r="GR75" s="63"/>
      <c r="GS75" s="63"/>
      <c r="GT75" s="405"/>
      <c r="GU75" s="63"/>
      <c r="GV75" s="63"/>
      <c r="GW75" s="627"/>
      <c r="GX75" s="110"/>
      <c r="GY75" s="63"/>
      <c r="GZ75" s="63"/>
      <c r="HA75" s="63"/>
      <c r="HB75" s="63"/>
      <c r="HC75" s="405"/>
      <c r="HD75" s="63"/>
      <c r="HE75" s="63"/>
      <c r="HF75" s="63"/>
      <c r="HG75" s="627"/>
      <c r="HH75" s="63"/>
      <c r="HI75" s="63"/>
      <c r="HJ75" s="63"/>
      <c r="HK75" s="63"/>
      <c r="HL75" s="63"/>
      <c r="HM75" s="405"/>
      <c r="HN75" s="63"/>
      <c r="HO75" s="63"/>
      <c r="HP75" s="627"/>
      <c r="HQ75" s="63"/>
      <c r="HR75" s="63"/>
      <c r="HS75" s="63"/>
      <c r="HT75" s="63"/>
      <c r="HU75" s="63"/>
    </row>
    <row r="76" spans="1:229" ht="14.25" thickBot="1">
      <c r="A76" s="65"/>
      <c r="B76" s="66"/>
      <c r="C76" s="66"/>
      <c r="D76" s="66"/>
      <c r="E76" s="66"/>
      <c r="F76" s="66"/>
      <c r="G76" s="66"/>
      <c r="H76" s="406"/>
      <c r="I76" s="406"/>
      <c r="J76" s="66"/>
      <c r="K76" s="66"/>
      <c r="L76" s="66"/>
      <c r="M76" s="66"/>
      <c r="N76" s="66"/>
      <c r="O76" s="66"/>
      <c r="P76" s="66"/>
      <c r="Q76" s="66"/>
      <c r="R76" s="406"/>
      <c r="S76" s="406"/>
      <c r="T76" s="66"/>
      <c r="U76" s="66"/>
      <c r="V76" s="628"/>
      <c r="W76" s="66"/>
      <c r="X76" s="66"/>
      <c r="Y76" s="66"/>
      <c r="Z76" s="66"/>
      <c r="AA76" s="66"/>
      <c r="AB76" s="406"/>
      <c r="AC76" s="406"/>
      <c r="AD76" s="66"/>
      <c r="AE76" s="66"/>
      <c r="AF76" s="628"/>
      <c r="AG76" s="66"/>
      <c r="AH76" s="66"/>
      <c r="AI76" s="66"/>
      <c r="AJ76" s="66"/>
      <c r="AK76" s="66"/>
      <c r="AL76" s="406"/>
      <c r="AM76" s="406"/>
      <c r="AN76" s="66"/>
      <c r="AO76" s="66"/>
      <c r="AP76" s="628"/>
      <c r="AQ76" s="66"/>
      <c r="AR76" s="66"/>
      <c r="AS76" s="66"/>
      <c r="AT76" s="66"/>
      <c r="AU76" s="66"/>
      <c r="AV76" s="406"/>
      <c r="AW76" s="406"/>
      <c r="AX76" s="66"/>
      <c r="AY76" s="66"/>
      <c r="AZ76" s="628"/>
      <c r="BA76" s="66"/>
      <c r="BB76" s="66"/>
      <c r="BC76" s="66"/>
      <c r="BD76" s="66"/>
      <c r="BE76" s="66"/>
      <c r="BF76" s="406"/>
      <c r="BG76" s="406"/>
      <c r="BH76" s="66"/>
      <c r="BI76" s="66"/>
      <c r="BJ76" s="628"/>
      <c r="BK76" s="66"/>
      <c r="BL76" s="66"/>
      <c r="BM76" s="66"/>
      <c r="BN76" s="66"/>
      <c r="BO76" s="66"/>
      <c r="BP76" s="406"/>
      <c r="BQ76" s="406"/>
      <c r="BR76" s="66"/>
      <c r="BS76" s="66"/>
      <c r="BT76" s="628"/>
      <c r="BU76" s="66"/>
      <c r="BV76" s="66"/>
      <c r="BW76" s="66"/>
      <c r="BX76" s="66"/>
      <c r="BY76" s="66"/>
      <c r="BZ76" s="406"/>
      <c r="CA76" s="406"/>
      <c r="CB76" s="66"/>
      <c r="CC76" s="66"/>
      <c r="CD76" s="628"/>
      <c r="CE76" s="66"/>
      <c r="CF76" s="66"/>
      <c r="CG76" s="66"/>
      <c r="CH76" s="66"/>
      <c r="CI76" s="66"/>
      <c r="CJ76" s="406"/>
      <c r="CK76" s="406"/>
      <c r="CL76" s="66"/>
      <c r="CM76" s="66"/>
      <c r="CN76" s="628"/>
      <c r="CO76" s="66"/>
      <c r="CP76" s="66"/>
      <c r="CQ76" s="66"/>
      <c r="CR76" s="66"/>
      <c r="CS76" s="66"/>
      <c r="CT76" s="406"/>
      <c r="CU76" s="406"/>
      <c r="CV76" s="66"/>
      <c r="CW76" s="66"/>
      <c r="CX76" s="628"/>
      <c r="CY76" s="66"/>
      <c r="CZ76" s="66"/>
      <c r="DA76" s="66"/>
      <c r="DB76" s="66"/>
      <c r="DC76" s="66"/>
      <c r="DD76" s="406"/>
      <c r="DE76" s="406"/>
      <c r="DF76" s="66"/>
      <c r="DG76" s="66"/>
      <c r="DH76" s="628"/>
      <c r="DI76" s="66"/>
      <c r="DJ76" s="66"/>
      <c r="DK76" s="66"/>
      <c r="DL76" s="66"/>
      <c r="DM76" s="66"/>
      <c r="DN76" s="406"/>
      <c r="DO76" s="66"/>
      <c r="DP76" s="66"/>
      <c r="DQ76" s="628"/>
      <c r="DR76" s="66"/>
      <c r="DS76" s="66"/>
      <c r="DT76" s="66"/>
      <c r="DU76" s="66"/>
      <c r="DV76" s="66"/>
      <c r="DW76" s="406"/>
      <c r="DX76" s="406"/>
      <c r="DY76" s="66"/>
      <c r="DZ76" s="66"/>
      <c r="EA76" s="628"/>
      <c r="EB76" s="66"/>
      <c r="EC76" s="66"/>
      <c r="ED76" s="66"/>
      <c r="EE76" s="66"/>
      <c r="EF76" s="66"/>
      <c r="EG76" s="406"/>
      <c r="EH76" s="406"/>
      <c r="EI76" s="66"/>
      <c r="EJ76" s="66"/>
      <c r="EK76" s="628"/>
      <c r="EL76" s="66"/>
      <c r="EM76" s="66"/>
      <c r="EN76" s="66"/>
      <c r="EO76" s="66"/>
      <c r="EP76" s="66"/>
      <c r="EQ76" s="406"/>
      <c r="ER76" s="406"/>
      <c r="ES76" s="66"/>
      <c r="ET76" s="66"/>
      <c r="EU76" s="628"/>
      <c r="EV76" s="66"/>
      <c r="EW76" s="66"/>
      <c r="EX76" s="66"/>
      <c r="EY76" s="66"/>
      <c r="EZ76" s="66"/>
      <c r="FA76" s="406"/>
      <c r="FB76" s="406"/>
      <c r="FC76" s="66"/>
      <c r="FD76" s="66"/>
      <c r="FE76" s="628"/>
      <c r="FF76" s="66"/>
      <c r="FG76" s="66"/>
      <c r="FH76" s="66"/>
      <c r="FI76" s="66"/>
      <c r="FJ76" s="66"/>
      <c r="FK76" s="406"/>
      <c r="FL76" s="66"/>
      <c r="FM76" s="66"/>
      <c r="FN76" s="66"/>
      <c r="FO76" s="66"/>
      <c r="FP76" s="66"/>
      <c r="FQ76" s="66"/>
      <c r="FR76" s="66"/>
      <c r="FS76" s="66"/>
      <c r="FT76" s="628"/>
      <c r="FU76" s="66"/>
      <c r="FV76" s="66"/>
      <c r="FW76" s="66"/>
      <c r="FX76" s="66"/>
      <c r="FY76" s="66"/>
      <c r="FZ76" s="406"/>
      <c r="GA76" s="406"/>
      <c r="GB76" s="66"/>
      <c r="GC76" s="66"/>
      <c r="GD76" s="628"/>
      <c r="GE76" s="66"/>
      <c r="GF76" s="66"/>
      <c r="GG76" s="66"/>
      <c r="GH76" s="66"/>
      <c r="GI76" s="66"/>
      <c r="GJ76" s="406"/>
      <c r="GK76" s="406"/>
      <c r="GL76" s="66"/>
      <c r="GM76" s="66"/>
      <c r="GN76" s="628"/>
      <c r="GO76" s="66"/>
      <c r="GP76" s="66"/>
      <c r="GQ76" s="66"/>
      <c r="GR76" s="66"/>
      <c r="GS76" s="66"/>
      <c r="GT76" s="406"/>
      <c r="GU76" s="66"/>
      <c r="GV76" s="66"/>
      <c r="GW76" s="628"/>
      <c r="GX76" s="66"/>
      <c r="GY76" s="66"/>
      <c r="GZ76" s="66"/>
      <c r="HA76" s="66"/>
      <c r="HB76" s="66"/>
      <c r="HC76" s="406"/>
      <c r="HD76" s="66"/>
      <c r="HE76" s="66"/>
      <c r="HF76" s="66"/>
      <c r="HG76" s="628"/>
      <c r="HH76" s="66"/>
      <c r="HI76" s="66"/>
      <c r="HJ76" s="66"/>
      <c r="HK76" s="66"/>
      <c r="HL76" s="66"/>
      <c r="HM76" s="406"/>
      <c r="HN76" s="66"/>
      <c r="HO76" s="66"/>
      <c r="HP76" s="628"/>
      <c r="HQ76" s="66"/>
      <c r="HR76" s="66"/>
      <c r="HS76" s="66"/>
      <c r="HT76" s="66"/>
      <c r="HU76" s="66"/>
    </row>
    <row r="77" spans="1:229">
      <c r="AR77" s="63"/>
      <c r="AS77" s="63"/>
      <c r="AT77" s="63"/>
    </row>
    <row r="78" spans="1:229" ht="14.25" thickBot="1">
      <c r="AR78" s="66"/>
      <c r="AS78" s="66"/>
      <c r="AT78" s="66"/>
    </row>
  </sheetData>
  <mergeCells count="94">
    <mergeCell ref="HE9:HE18"/>
    <mergeCell ref="GP5:GR5"/>
    <mergeCell ref="GS5:GU5"/>
    <mergeCell ref="FG5:FI5"/>
    <mergeCell ref="FJ5:FL5"/>
    <mergeCell ref="FV5:FX5"/>
    <mergeCell ref="FY5:GA5"/>
    <mergeCell ref="FV6:FX6"/>
    <mergeCell ref="FM6:FO6"/>
    <mergeCell ref="FP6:FR6"/>
    <mergeCell ref="HB5:HD5"/>
    <mergeCell ref="GY5:HA5"/>
    <mergeCell ref="AU5:AW5"/>
    <mergeCell ref="AU6:AW6"/>
    <mergeCell ref="BB5:BD5"/>
    <mergeCell ref="BB6:BD6"/>
    <mergeCell ref="AR5:AT5"/>
    <mergeCell ref="BV5:BX5"/>
    <mergeCell ref="CZ5:DB5"/>
    <mergeCell ref="BL5:BN5"/>
    <mergeCell ref="BO5:BQ5"/>
    <mergeCell ref="BL6:BN6"/>
    <mergeCell ref="BO6:BQ6"/>
    <mergeCell ref="CI5:CK5"/>
    <mergeCell ref="CF6:CH6"/>
    <mergeCell ref="CI6:CK6"/>
    <mergeCell ref="CP5:CR5"/>
    <mergeCell ref="BY5:CA5"/>
    <mergeCell ref="CF5:CH5"/>
    <mergeCell ref="CS5:CU5"/>
    <mergeCell ref="HI5:HK5"/>
    <mergeCell ref="HL5:HN5"/>
    <mergeCell ref="EM5:EO5"/>
    <mergeCell ref="EP5:ER5"/>
    <mergeCell ref="D6:F6"/>
    <mergeCell ref="G6:I6"/>
    <mergeCell ref="N6:P6"/>
    <mergeCell ref="Q6:S6"/>
    <mergeCell ref="X6:Z6"/>
    <mergeCell ref="BE5:BG5"/>
    <mergeCell ref="BE6:BG6"/>
    <mergeCell ref="DS6:DU6"/>
    <mergeCell ref="DV6:DX6"/>
    <mergeCell ref="CZ6:DB6"/>
    <mergeCell ref="DC6:DE6"/>
    <mergeCell ref="DJ5:DL5"/>
    <mergeCell ref="AA6:AC6"/>
    <mergeCell ref="HI6:HK6"/>
    <mergeCell ref="HL6:HN6"/>
    <mergeCell ref="GP6:GR6"/>
    <mergeCell ref="GS6:GU6"/>
    <mergeCell ref="AH6:AJ6"/>
    <mergeCell ref="AK6:AM6"/>
    <mergeCell ref="CP6:CR6"/>
    <mergeCell ref="CS6:CU6"/>
    <mergeCell ref="BV6:BX6"/>
    <mergeCell ref="BY6:CA6"/>
    <mergeCell ref="DJ6:DL6"/>
    <mergeCell ref="DM6:DO6"/>
    <mergeCell ref="AR6:AT6"/>
    <mergeCell ref="GY6:HA6"/>
    <mergeCell ref="HB6:HD6"/>
    <mergeCell ref="A2:B2"/>
    <mergeCell ref="A3:B3"/>
    <mergeCell ref="A4:B4"/>
    <mergeCell ref="D5:F5"/>
    <mergeCell ref="G5:I5"/>
    <mergeCell ref="X5:Z5"/>
    <mergeCell ref="N5:P5"/>
    <mergeCell ref="Q5:S5"/>
    <mergeCell ref="AH5:AJ5"/>
    <mergeCell ref="AK5:AM5"/>
    <mergeCell ref="AA5:AC5"/>
    <mergeCell ref="DC5:DE5"/>
    <mergeCell ref="DS5:DU5"/>
    <mergeCell ref="DV5:DX5"/>
    <mergeCell ref="EC6:EE6"/>
    <mergeCell ref="EF6:EH6"/>
    <mergeCell ref="DM5:DO5"/>
    <mergeCell ref="EC5:EE5"/>
    <mergeCell ref="EF5:EH5"/>
    <mergeCell ref="EM6:EO6"/>
    <mergeCell ref="EP6:ER6"/>
    <mergeCell ref="FY6:GA6"/>
    <mergeCell ref="GF6:GH6"/>
    <mergeCell ref="GI5:GK5"/>
    <mergeCell ref="EW6:EY6"/>
    <mergeCell ref="EZ6:FB6"/>
    <mergeCell ref="FG6:FI6"/>
    <mergeCell ref="GI6:GK6"/>
    <mergeCell ref="GF5:GH5"/>
    <mergeCell ref="FJ6:FL6"/>
    <mergeCell ref="EW5:EY5"/>
    <mergeCell ref="EZ5:FB5"/>
  </mergeCells>
  <pageMargins left="0.25" right="0.25" top="0.75" bottom="0.75" header="0.3" footer="0.3"/>
  <pageSetup paperSize="8" scale="64" fitToWidth="0" orientation="landscape" r:id="rId1"/>
  <rowBreaks count="1" manualBreakCount="1">
    <brk id="44"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B1:XFD448"/>
  <sheetViews>
    <sheetView showGridLines="0" topLeftCell="A3" zoomScale="70" zoomScaleNormal="70" workbookViewId="0">
      <pane ySplit="41" topLeftCell="A44" activePane="bottomLeft" state="frozen"/>
      <selection activeCell="A3" sqref="A3"/>
      <selection pane="bottomLeft" activeCell="K57" sqref="K57"/>
    </sheetView>
  </sheetViews>
  <sheetFormatPr defaultColWidth="8.7109375" defaultRowHeight="12.95" customHeight="1"/>
  <cols>
    <col min="1" max="1" width="2.28515625" style="487" customWidth="1"/>
    <col min="2" max="2" width="2.28515625" style="487" hidden="1" customWidth="1"/>
    <col min="3" max="3" width="42.5703125" style="487" bestFit="1" customWidth="1"/>
    <col min="4" max="4" width="15.7109375" style="489" bestFit="1" customWidth="1"/>
    <col min="5" max="5" width="11.7109375" style="489" customWidth="1"/>
    <col min="6" max="6" width="24.5703125" style="516" bestFit="1" customWidth="1"/>
    <col min="7" max="7" width="12.5703125" style="516" hidden="1" customWidth="1"/>
    <col min="8" max="8" width="26.140625" style="487" bestFit="1" customWidth="1"/>
    <col min="9" max="9" width="15" style="596" bestFit="1" customWidth="1"/>
    <col min="10" max="10" width="18.5703125" style="597" customWidth="1"/>
    <col min="11" max="11" width="29.85546875" style="598" customWidth="1"/>
    <col min="12" max="12" width="23" style="598" customWidth="1"/>
    <col min="13" max="13" width="47.7109375" style="487" bestFit="1" customWidth="1"/>
    <col min="14" max="14" width="32.85546875" style="487" bestFit="1" customWidth="1"/>
    <col min="15" max="16" width="8.7109375" style="487" customWidth="1"/>
    <col min="17" max="18" width="23.5703125" style="487" customWidth="1"/>
    <col min="19" max="22" width="13.85546875" style="487" customWidth="1"/>
    <col min="23" max="23" width="52.42578125" style="487" customWidth="1"/>
    <col min="24" max="24" width="27.85546875" style="487" customWidth="1"/>
    <col min="25" max="25" width="12.140625" style="487" customWidth="1"/>
    <col min="26" max="16384" width="8.7109375" style="487"/>
  </cols>
  <sheetData>
    <row r="1" spans="3:35" ht="12.95" customHeight="1">
      <c r="C1" s="781"/>
      <c r="D1" s="781"/>
      <c r="E1" s="781"/>
      <c r="F1" s="781"/>
      <c r="G1" s="781"/>
      <c r="H1" s="781"/>
      <c r="I1" s="781"/>
      <c r="J1" s="781"/>
      <c r="K1" s="486"/>
      <c r="L1" s="486"/>
    </row>
    <row r="2" spans="3:35" ht="12.75" customHeight="1">
      <c r="C2" s="488" t="s">
        <v>521</v>
      </c>
      <c r="D2" s="486"/>
      <c r="E2" s="486"/>
      <c r="F2" s="486"/>
      <c r="G2" s="486"/>
      <c r="H2" s="486"/>
      <c r="I2" s="486"/>
      <c r="J2" s="486"/>
      <c r="K2" s="486"/>
      <c r="L2" s="486"/>
    </row>
    <row r="3" spans="3:35" ht="6.95" customHeight="1">
      <c r="F3" s="490"/>
      <c r="G3" s="490"/>
      <c r="H3" s="491"/>
      <c r="I3" s="486"/>
      <c r="J3" s="492"/>
      <c r="K3" s="486"/>
      <c r="L3" s="486"/>
      <c r="Y3" s="493"/>
      <c r="Z3" s="493"/>
      <c r="AA3" s="493"/>
      <c r="AB3" s="493"/>
      <c r="AC3" s="493"/>
      <c r="AD3" s="493"/>
      <c r="AE3" s="493"/>
      <c r="AF3" s="493"/>
      <c r="AG3" s="493"/>
    </row>
    <row r="4" spans="3:35" ht="12.95" hidden="1" customHeight="1">
      <c r="C4" s="494" t="s">
        <v>522</v>
      </c>
      <c r="D4" s="495" t="s">
        <v>496</v>
      </c>
      <c r="E4" s="495"/>
      <c r="F4" s="496" t="s">
        <v>523</v>
      </c>
      <c r="G4" s="496"/>
      <c r="H4" s="496" t="s">
        <v>524</v>
      </c>
      <c r="I4" s="496" t="s">
        <v>525</v>
      </c>
      <c r="J4" s="497" t="s">
        <v>526</v>
      </c>
      <c r="K4" s="498"/>
      <c r="L4" s="486"/>
      <c r="Y4" s="493"/>
      <c r="Z4" s="493"/>
      <c r="AA4" s="493"/>
      <c r="AB4" s="493"/>
      <c r="AC4" s="493"/>
      <c r="AD4" s="493"/>
      <c r="AE4" s="493"/>
      <c r="AF4" s="493"/>
      <c r="AG4" s="493"/>
    </row>
    <row r="5" spans="3:35" ht="12.95" hidden="1" customHeight="1">
      <c r="C5" s="499" t="s">
        <v>527</v>
      </c>
      <c r="D5" s="500">
        <f>SUM(D19:D26)</f>
        <v>0</v>
      </c>
      <c r="E5" s="500"/>
      <c r="F5" s="500">
        <f>[3]TRACKER!C39</f>
        <v>537235046.18382895</v>
      </c>
      <c r="G5" s="501"/>
      <c r="H5" s="502">
        <f>SUM(H19:H26)</f>
        <v>0</v>
      </c>
      <c r="I5" s="503">
        <f>H5/F5</f>
        <v>0</v>
      </c>
      <c r="J5" s="504" t="e">
        <f>SUM(J19:J19)</f>
        <v>#REF!</v>
      </c>
      <c r="K5" s="486"/>
      <c r="L5" s="486"/>
      <c r="Y5" s="493"/>
      <c r="AB5" s="493"/>
      <c r="AC5" s="493"/>
      <c r="AD5" s="493"/>
      <c r="AE5" s="493"/>
      <c r="AF5" s="493"/>
      <c r="AG5" s="505" t="s">
        <v>528</v>
      </c>
      <c r="AH5" s="506">
        <f>I5</f>
        <v>0</v>
      </c>
      <c r="AI5" s="507"/>
    </row>
    <row r="6" spans="3:35" ht="12.95" hidden="1" customHeight="1">
      <c r="C6" s="508"/>
      <c r="D6" s="509"/>
      <c r="E6" s="509"/>
      <c r="F6" s="510"/>
      <c r="G6" s="510"/>
      <c r="H6" s="511"/>
      <c r="I6" s="512"/>
      <c r="J6" s="497"/>
      <c r="K6" s="486"/>
      <c r="L6" s="486"/>
      <c r="Y6" s="493"/>
      <c r="Z6" s="493"/>
      <c r="AB6" s="493"/>
      <c r="AC6" s="493"/>
      <c r="AD6" s="493"/>
      <c r="AE6" s="493"/>
      <c r="AF6" s="493"/>
      <c r="AG6" s="513">
        <v>0.8</v>
      </c>
      <c r="AH6" s="506">
        <f>IF(AH5&lt;AG6,AH5," ")</f>
        <v>0</v>
      </c>
      <c r="AI6" s="507"/>
    </row>
    <row r="7" spans="3:35" ht="12.95" hidden="1" customHeight="1">
      <c r="C7" s="508"/>
      <c r="D7" s="509"/>
      <c r="E7" s="509"/>
      <c r="F7" s="510"/>
      <c r="G7" s="510"/>
      <c r="H7" s="514"/>
      <c r="I7" s="512"/>
      <c r="J7" s="497"/>
      <c r="K7" s="486"/>
      <c r="L7" s="486"/>
      <c r="Y7" s="493"/>
      <c r="AB7" s="493"/>
      <c r="AC7" s="493"/>
      <c r="AD7" s="493"/>
      <c r="AE7" s="493"/>
      <c r="AF7" s="493"/>
      <c r="AG7" s="513">
        <v>0.9</v>
      </c>
      <c r="AH7" s="506" t="str">
        <f>IF(AND(AH5&gt;=AG6,AH5&lt;AG7),AH5,"")</f>
        <v/>
      </c>
      <c r="AI7" s="507"/>
    </row>
    <row r="8" spans="3:35" ht="12.95" hidden="1" customHeight="1">
      <c r="C8" s="494" t="s">
        <v>351</v>
      </c>
      <c r="D8" s="495"/>
      <c r="E8" s="495"/>
      <c r="F8" s="496" t="s">
        <v>523</v>
      </c>
      <c r="G8" s="496"/>
      <c r="H8" s="496" t="s">
        <v>524</v>
      </c>
      <c r="I8" s="496" t="s">
        <v>525</v>
      </c>
      <c r="J8" s="497"/>
      <c r="K8" s="486"/>
      <c r="L8" s="486"/>
      <c r="Y8" s="493"/>
      <c r="Z8" s="493"/>
      <c r="AB8" s="493"/>
      <c r="AC8" s="493"/>
      <c r="AD8" s="493"/>
      <c r="AE8" s="493"/>
      <c r="AF8" s="493"/>
      <c r="AG8" s="513">
        <v>1</v>
      </c>
      <c r="AH8" s="506" t="str">
        <f>IF(AH5&gt;=AG7,AH5,"")</f>
        <v/>
      </c>
      <c r="AI8" s="507"/>
    </row>
    <row r="9" spans="3:35" ht="12.95" hidden="1" customHeight="1">
      <c r="C9" s="515" t="s">
        <v>529</v>
      </c>
      <c r="D9" s="500"/>
      <c r="E9" s="500"/>
      <c r="F9" s="515"/>
      <c r="H9" s="517">
        <f>SUMIF(L44:L125,"Interior consultant",J44:J1062)+SUMIF(L44:L125,"MEP Consultant",J44:J1062)</f>
        <v>4868744.9000000004</v>
      </c>
      <c r="I9" s="518" t="str">
        <f t="shared" ref="I9:I14" si="0">IFERROR(H9/F9," ")</f>
        <v xml:space="preserve"> </v>
      </c>
      <c r="J9" s="497"/>
      <c r="K9" s="486"/>
      <c r="L9" s="486"/>
      <c r="Y9" s="493"/>
      <c r="AB9" s="493"/>
      <c r="AC9" s="493"/>
      <c r="AD9" s="493"/>
      <c r="AE9" s="493"/>
      <c r="AF9" s="493"/>
      <c r="AG9" s="513" t="s">
        <v>530</v>
      </c>
      <c r="AH9" s="506">
        <f>MAX(1,AH5)-AH5</f>
        <v>1</v>
      </c>
      <c r="AI9" s="507"/>
    </row>
    <row r="10" spans="3:35" ht="12.95" hidden="1" customHeight="1">
      <c r="C10" s="515" t="s">
        <v>531</v>
      </c>
      <c r="D10" s="500"/>
      <c r="E10" s="500"/>
      <c r="F10" s="515"/>
      <c r="H10" s="515">
        <f>'[3]Budget Tracking'!DA26</f>
        <v>0</v>
      </c>
      <c r="I10" s="518" t="str">
        <f t="shared" si="0"/>
        <v xml:space="preserve"> </v>
      </c>
      <c r="J10" s="497"/>
      <c r="K10" s="486"/>
      <c r="L10" s="486"/>
      <c r="Y10" s="493"/>
      <c r="AB10" s="493"/>
      <c r="AC10" s="493"/>
      <c r="AD10" s="493"/>
      <c r="AE10" s="493"/>
      <c r="AF10" s="493"/>
      <c r="AG10" s="519"/>
      <c r="AH10" s="520"/>
    </row>
    <row r="11" spans="3:35" ht="12.95" hidden="1" customHeight="1">
      <c r="C11" s="515" t="s">
        <v>532</v>
      </c>
      <c r="D11" s="500"/>
      <c r="E11" s="500"/>
      <c r="F11" s="515"/>
      <c r="H11" s="515">
        <f>'[3]Budget Tracking'!DA42</f>
        <v>0</v>
      </c>
      <c r="I11" s="518" t="str">
        <f t="shared" si="0"/>
        <v xml:space="preserve"> </v>
      </c>
      <c r="J11" s="497"/>
      <c r="K11" s="486"/>
      <c r="L11" s="486"/>
      <c r="Y11" s="493"/>
      <c r="AB11" s="493"/>
      <c r="AC11" s="493"/>
      <c r="AD11" s="493"/>
      <c r="AE11" s="493"/>
      <c r="AF11" s="493"/>
      <c r="AG11" s="519"/>
      <c r="AH11" s="520"/>
    </row>
    <row r="12" spans="3:35" ht="12.95" hidden="1" customHeight="1">
      <c r="C12" s="515" t="s">
        <v>533</v>
      </c>
      <c r="D12" s="500"/>
      <c r="E12" s="500"/>
      <c r="F12" s="515"/>
      <c r="H12" s="515">
        <f>'[3]Budget Tracking'!DA53</f>
        <v>0</v>
      </c>
      <c r="I12" s="518" t="str">
        <f t="shared" si="0"/>
        <v xml:space="preserve"> </v>
      </c>
      <c r="J12" s="497"/>
      <c r="K12" s="486"/>
      <c r="L12" s="486"/>
      <c r="Y12" s="493"/>
      <c r="AB12" s="493"/>
      <c r="AC12" s="493"/>
      <c r="AD12" s="493"/>
      <c r="AE12" s="493"/>
      <c r="AF12" s="493"/>
      <c r="AG12" s="519"/>
      <c r="AH12" s="520"/>
    </row>
    <row r="13" spans="3:35" ht="12.95" hidden="1" customHeight="1">
      <c r="C13" s="515" t="s">
        <v>534</v>
      </c>
      <c r="D13" s="500"/>
      <c r="E13" s="500"/>
      <c r="F13" s="515"/>
      <c r="H13" s="515">
        <f>'[3]Budget Tracking'!DA60</f>
        <v>0</v>
      </c>
      <c r="I13" s="518" t="str">
        <f t="shared" si="0"/>
        <v xml:space="preserve"> </v>
      </c>
      <c r="J13" s="497"/>
      <c r="K13" s="486"/>
      <c r="L13" s="486"/>
      <c r="Y13" s="493"/>
      <c r="AB13" s="493"/>
      <c r="AC13" s="493"/>
      <c r="AD13" s="493"/>
      <c r="AE13" s="493"/>
      <c r="AF13" s="493"/>
      <c r="AG13" s="519"/>
      <c r="AH13" s="520"/>
    </row>
    <row r="14" spans="3:35" ht="12.95" hidden="1" customHeight="1">
      <c r="C14" s="515" t="s">
        <v>535</v>
      </c>
      <c r="D14" s="500"/>
      <c r="E14" s="500"/>
      <c r="F14" s="515"/>
      <c r="H14" s="515">
        <f>'[3]Budget Tracking'!DA65</f>
        <v>0</v>
      </c>
      <c r="I14" s="518" t="str">
        <f t="shared" si="0"/>
        <v xml:space="preserve"> </v>
      </c>
      <c r="J14" s="497"/>
      <c r="K14" s="486"/>
      <c r="L14" s="486"/>
      <c r="Y14" s="493"/>
      <c r="AB14" s="493"/>
      <c r="AC14" s="493"/>
      <c r="AD14" s="493"/>
      <c r="AE14" s="493"/>
      <c r="AF14" s="493"/>
      <c r="AG14" s="519"/>
      <c r="AH14" s="520"/>
    </row>
    <row r="15" spans="3:35" ht="12.95" hidden="1" customHeight="1">
      <c r="C15" s="515" t="s">
        <v>536</v>
      </c>
      <c r="D15" s="500"/>
      <c r="E15" s="500"/>
      <c r="F15" s="515"/>
      <c r="G15" s="515"/>
      <c r="H15" s="521"/>
      <c r="I15" s="518" t="str">
        <f>IFERROR(H15/F15," ")</f>
        <v xml:space="preserve"> </v>
      </c>
      <c r="J15" s="497"/>
      <c r="K15" s="486"/>
      <c r="L15" s="486"/>
      <c r="Y15" s="493"/>
      <c r="AB15" s="493"/>
      <c r="AC15" s="493"/>
      <c r="AD15" s="493"/>
      <c r="AE15" s="493"/>
      <c r="AF15" s="493"/>
      <c r="AG15" s="519"/>
      <c r="AH15" s="520"/>
    </row>
    <row r="16" spans="3:35" ht="12.95" hidden="1" customHeight="1">
      <c r="C16" s="515"/>
      <c r="D16" s="500"/>
      <c r="E16" s="500"/>
      <c r="F16" s="515"/>
      <c r="G16" s="515"/>
      <c r="H16" s="521"/>
      <c r="I16" s="518" t="str">
        <f>IFERROR(H16/F16," ")</f>
        <v xml:space="preserve"> </v>
      </c>
      <c r="J16" s="497"/>
      <c r="K16" s="486"/>
      <c r="L16" s="486"/>
      <c r="Y16" s="493"/>
      <c r="AB16" s="493"/>
      <c r="AC16" s="493"/>
      <c r="AD16" s="493"/>
      <c r="AE16" s="493"/>
      <c r="AF16" s="493"/>
      <c r="AG16" s="519"/>
      <c r="AH16" s="520"/>
    </row>
    <row r="17" spans="3:32" ht="12.95" hidden="1" customHeight="1">
      <c r="C17" s="486"/>
      <c r="D17" s="486"/>
      <c r="E17" s="486"/>
      <c r="F17" s="522">
        <f>SUM(F19:F26)-F5</f>
        <v>-537235046.18382895</v>
      </c>
      <c r="G17" s="522"/>
      <c r="H17" s="523">
        <f>SUM(H19:H26)-J42</f>
        <v>-150463831.66579998</v>
      </c>
      <c r="I17" s="486"/>
      <c r="J17" s="524"/>
      <c r="K17" s="486"/>
      <c r="L17" s="486"/>
      <c r="Y17" s="493"/>
      <c r="AB17" s="493"/>
      <c r="AC17" s="493"/>
      <c r="AD17" s="493"/>
      <c r="AE17" s="493"/>
      <c r="AF17" s="493"/>
    </row>
    <row r="18" spans="3:32" ht="12.95" hidden="1" customHeight="1">
      <c r="C18" s="494" t="s">
        <v>75</v>
      </c>
      <c r="D18" s="495" t="s">
        <v>496</v>
      </c>
      <c r="E18" s="495"/>
      <c r="F18" s="496" t="s">
        <v>523</v>
      </c>
      <c r="G18" s="496"/>
      <c r="H18" s="496" t="s">
        <v>524</v>
      </c>
      <c r="I18" s="496" t="s">
        <v>525</v>
      </c>
      <c r="J18" s="504" t="s">
        <v>537</v>
      </c>
      <c r="K18" s="486"/>
      <c r="L18" s="486"/>
      <c r="Y18" s="493"/>
      <c r="AB18" s="493"/>
      <c r="AC18" s="493"/>
      <c r="AD18" s="493"/>
      <c r="AE18" s="493"/>
      <c r="AF18" s="493"/>
    </row>
    <row r="19" spans="3:32" ht="12.95" hidden="1" customHeight="1">
      <c r="C19" s="515"/>
      <c r="D19" s="500"/>
      <c r="E19" s="500"/>
      <c r="F19" s="515"/>
      <c r="G19" s="515"/>
      <c r="H19" s="525">
        <f>'[3]Budget Tracking'!H68</f>
        <v>0</v>
      </c>
      <c r="I19" s="518" t="str">
        <f>IFERROR(H19/F19," ")</f>
        <v xml:space="preserve"> </v>
      </c>
      <c r="J19" s="504" t="e">
        <f>SUM(#REF!)</f>
        <v>#REF!</v>
      </c>
      <c r="K19" s="486"/>
      <c r="L19" s="486"/>
      <c r="Y19" s="493"/>
      <c r="AB19" s="493"/>
      <c r="AC19" s="493"/>
      <c r="AD19" s="493"/>
      <c r="AE19" s="493"/>
      <c r="AF19" s="493"/>
    </row>
    <row r="20" spans="3:32" ht="12.95" hidden="1" customHeight="1">
      <c r="C20" s="515"/>
      <c r="D20" s="500"/>
      <c r="E20" s="500"/>
      <c r="F20" s="515"/>
      <c r="G20" s="515"/>
      <c r="H20" s="525"/>
      <c r="I20" s="518" t="str">
        <f t="shared" ref="I20:I26" si="1">IFERROR(H20/F20," ")</f>
        <v xml:space="preserve"> </v>
      </c>
      <c r="J20" s="504"/>
      <c r="K20" s="486"/>
      <c r="L20" s="486"/>
    </row>
    <row r="21" spans="3:32" ht="12.95" customHeight="1">
      <c r="C21" s="515"/>
      <c r="D21" s="500"/>
      <c r="E21" s="500"/>
      <c r="F21" s="515"/>
      <c r="G21" s="515"/>
      <c r="H21" s="525"/>
      <c r="I21" s="518" t="str">
        <f t="shared" si="1"/>
        <v xml:space="preserve"> </v>
      </c>
      <c r="J21" s="504"/>
      <c r="K21" s="486"/>
      <c r="L21" s="486"/>
    </row>
    <row r="22" spans="3:32" ht="12.95" customHeight="1">
      <c r="C22" s="515"/>
      <c r="D22" s="500"/>
      <c r="E22" s="500"/>
      <c r="F22" s="515"/>
      <c r="G22" s="515"/>
      <c r="H22" s="525"/>
      <c r="I22" s="518" t="str">
        <f t="shared" si="1"/>
        <v xml:space="preserve"> </v>
      </c>
      <c r="J22" s="504"/>
      <c r="K22" s="486"/>
      <c r="L22" s="486"/>
    </row>
    <row r="23" spans="3:32" ht="12.95" hidden="1" customHeight="1">
      <c r="C23" s="515"/>
      <c r="D23" s="500"/>
      <c r="E23" s="500"/>
      <c r="F23" s="515"/>
      <c r="G23" s="515"/>
      <c r="H23" s="525"/>
      <c r="I23" s="518" t="str">
        <f t="shared" si="1"/>
        <v xml:space="preserve"> </v>
      </c>
      <c r="J23" s="504"/>
      <c r="K23" s="486"/>
      <c r="L23" s="486"/>
    </row>
    <row r="24" spans="3:32" ht="12.95" hidden="1" customHeight="1">
      <c r="C24" s="515"/>
      <c r="D24" s="500"/>
      <c r="E24" s="500"/>
      <c r="F24" s="515"/>
      <c r="G24" s="515"/>
      <c r="H24" s="525"/>
      <c r="I24" s="518" t="str">
        <f t="shared" si="1"/>
        <v xml:space="preserve"> </v>
      </c>
      <c r="J24" s="504"/>
      <c r="K24" s="486"/>
      <c r="L24" s="486"/>
    </row>
    <row r="25" spans="3:32" ht="12.95" hidden="1" customHeight="1">
      <c r="C25" s="515"/>
      <c r="D25" s="500"/>
      <c r="E25" s="500"/>
      <c r="F25" s="515"/>
      <c r="G25" s="515"/>
      <c r="H25" s="525"/>
      <c r="I25" s="518" t="str">
        <f t="shared" si="1"/>
        <v xml:space="preserve"> </v>
      </c>
      <c r="J25" s="504"/>
      <c r="K25" s="486"/>
      <c r="L25" s="486"/>
    </row>
    <row r="26" spans="3:32" ht="12.95" hidden="1" customHeight="1">
      <c r="C26" s="515"/>
      <c r="D26" s="500"/>
      <c r="E26" s="500"/>
      <c r="F26" s="515"/>
      <c r="G26" s="515"/>
      <c r="H26" s="525"/>
      <c r="I26" s="518" t="str">
        <f t="shared" si="1"/>
        <v xml:space="preserve"> </v>
      </c>
      <c r="J26" s="504"/>
      <c r="K26" s="486"/>
      <c r="L26" s="486"/>
    </row>
    <row r="27" spans="3:32" ht="12.95" hidden="1" customHeight="1">
      <c r="C27" s="510"/>
      <c r="D27" s="526"/>
      <c r="E27" s="526"/>
      <c r="F27" s="527"/>
      <c r="G27" s="527"/>
      <c r="H27" s="527"/>
      <c r="I27" s="512"/>
      <c r="J27" s="504"/>
      <c r="K27" s="486"/>
      <c r="L27" s="486"/>
    </row>
    <row r="28" spans="3:32" ht="12.75" hidden="1" customHeight="1">
      <c r="C28" s="510"/>
      <c r="D28" s="526"/>
      <c r="E28" s="526"/>
      <c r="F28" s="527"/>
      <c r="G28" s="527"/>
      <c r="H28" s="527"/>
      <c r="I28" s="512"/>
      <c r="J28" s="504"/>
      <c r="K28" s="486"/>
      <c r="L28" s="486"/>
    </row>
    <row r="29" spans="3:32" ht="12.95" hidden="1" customHeight="1">
      <c r="C29" s="510"/>
      <c r="D29" s="526"/>
      <c r="E29" s="526"/>
      <c r="F29" s="527"/>
      <c r="G29" s="527"/>
      <c r="H29" s="527"/>
      <c r="I29" s="512"/>
      <c r="J29" s="504"/>
      <c r="K29" s="486"/>
      <c r="L29" s="486"/>
    </row>
    <row r="30" spans="3:32" ht="12.95" hidden="1" customHeight="1">
      <c r="C30" s="510"/>
      <c r="D30" s="526"/>
      <c r="E30" s="526"/>
      <c r="F30" s="527"/>
      <c r="G30" s="527"/>
      <c r="H30" s="527"/>
      <c r="I30" s="512"/>
      <c r="J30" s="528">
        <f>J42-H5</f>
        <v>150463831.66579998</v>
      </c>
      <c r="K30" s="486"/>
      <c r="L30" s="486"/>
    </row>
    <row r="31" spans="3:32" ht="12.95" hidden="1" customHeight="1">
      <c r="C31" s="510"/>
      <c r="D31" s="526"/>
      <c r="E31" s="526"/>
      <c r="F31" s="527"/>
      <c r="G31" s="527"/>
      <c r="H31" s="527"/>
      <c r="I31" s="512"/>
      <c r="J31" s="504"/>
      <c r="K31" s="486"/>
      <c r="L31" s="486"/>
    </row>
    <row r="32" spans="3:32" ht="12.95" hidden="1" customHeight="1">
      <c r="C32" s="510"/>
      <c r="D32" s="526"/>
      <c r="E32" s="526"/>
      <c r="F32" s="527"/>
      <c r="G32" s="527"/>
      <c r="H32" s="527"/>
      <c r="I32" s="512"/>
      <c r="J32" s="504"/>
      <c r="K32" s="486"/>
      <c r="L32" s="486"/>
    </row>
    <row r="33" spans="3:24" ht="12.95" hidden="1" customHeight="1">
      <c r="C33" s="510"/>
      <c r="D33" s="526"/>
      <c r="E33" s="526"/>
      <c r="F33" s="527"/>
      <c r="G33" s="527"/>
      <c r="H33" s="527"/>
      <c r="I33" s="512"/>
      <c r="J33" s="504"/>
      <c r="K33" s="486"/>
      <c r="L33" s="486"/>
    </row>
    <row r="34" spans="3:24" ht="12.95" hidden="1" customHeight="1">
      <c r="C34" s="510"/>
      <c r="D34" s="526"/>
      <c r="E34" s="526"/>
      <c r="F34" s="527"/>
      <c r="G34" s="527"/>
      <c r="H34" s="527"/>
      <c r="I34" s="512"/>
      <c r="J34" s="504"/>
      <c r="K34" s="486"/>
      <c r="L34" s="486"/>
    </row>
    <row r="35" spans="3:24" ht="12.95" hidden="1" customHeight="1">
      <c r="C35" s="510"/>
      <c r="D35" s="526"/>
      <c r="E35" s="526"/>
      <c r="F35" s="527"/>
      <c r="G35" s="527"/>
      <c r="H35" s="527"/>
      <c r="I35" s="512"/>
      <c r="J35" s="504"/>
      <c r="K35" s="486"/>
      <c r="L35" s="486"/>
    </row>
    <row r="36" spans="3:24" ht="12.95" hidden="1" customHeight="1">
      <c r="C36" s="510"/>
      <c r="D36" s="526"/>
      <c r="E36" s="526"/>
      <c r="F36" s="527"/>
      <c r="G36" s="527"/>
      <c r="H36" s="527"/>
      <c r="I36" s="512"/>
      <c r="J36" s="504"/>
      <c r="K36" s="486"/>
      <c r="L36" s="486"/>
    </row>
    <row r="37" spans="3:24" ht="12.95" hidden="1" customHeight="1">
      <c r="C37" s="510"/>
      <c r="D37" s="526"/>
      <c r="E37" s="526"/>
      <c r="F37" s="527"/>
      <c r="G37" s="527"/>
      <c r="H37" s="527"/>
      <c r="I37" s="512"/>
      <c r="J37" s="504"/>
      <c r="K37" s="486"/>
      <c r="L37" s="486"/>
    </row>
    <row r="38" spans="3:24" ht="12.95" hidden="1" customHeight="1">
      <c r="C38" s="510"/>
      <c r="D38" s="526"/>
      <c r="E38" s="526"/>
      <c r="F38" s="527"/>
      <c r="G38" s="527"/>
      <c r="H38" s="527"/>
      <c r="I38" s="512"/>
      <c r="J38" s="504"/>
      <c r="K38" s="486"/>
      <c r="L38" s="486"/>
    </row>
    <row r="39" spans="3:24" ht="12.95" hidden="1" customHeight="1">
      <c r="C39" s="510"/>
      <c r="D39" s="526"/>
      <c r="E39" s="526"/>
      <c r="F39" s="527"/>
      <c r="G39" s="527"/>
      <c r="H39" s="527"/>
      <c r="I39" s="512"/>
      <c r="J39" s="504"/>
      <c r="K39" s="486"/>
      <c r="L39" s="486"/>
    </row>
    <row r="40" spans="3:24" ht="12.95" hidden="1" customHeight="1">
      <c r="C40" s="510"/>
      <c r="D40" s="526"/>
      <c r="E40" s="526"/>
      <c r="F40" s="527"/>
      <c r="G40" s="527"/>
      <c r="H40" s="527"/>
      <c r="I40" s="512"/>
      <c r="J40" s="504"/>
      <c r="K40" s="486"/>
      <c r="L40" s="486"/>
    </row>
    <row r="41" spans="3:24" ht="12.95" hidden="1" customHeight="1">
      <c r="C41" s="486"/>
      <c r="D41" s="486"/>
      <c r="E41" s="486"/>
      <c r="F41" s="486"/>
      <c r="G41" s="486"/>
      <c r="H41" s="486"/>
      <c r="I41" s="486"/>
      <c r="J41" s="529">
        <f>SUBTOTAL(9,J44:J1143)</f>
        <v>150463831.66579998</v>
      </c>
      <c r="K41" s="486"/>
      <c r="L41" s="486"/>
    </row>
    <row r="42" spans="3:24" ht="12.95" customHeight="1">
      <c r="C42" s="486"/>
      <c r="D42" s="486"/>
      <c r="E42" s="486"/>
      <c r="F42" s="530"/>
      <c r="G42" s="530"/>
      <c r="H42" s="486"/>
      <c r="I42" s="522"/>
      <c r="J42" s="531">
        <f>SUBTOTAL(9,J44:J1143)</f>
        <v>150463831.66579998</v>
      </c>
      <c r="K42" s="522"/>
      <c r="L42" s="522"/>
      <c r="R42" s="487" t="s">
        <v>538</v>
      </c>
    </row>
    <row r="43" spans="3:24" s="535" customFormat="1" ht="25.5">
      <c r="C43" s="532" t="s">
        <v>539</v>
      </c>
      <c r="D43" s="532" t="s">
        <v>540</v>
      </c>
      <c r="E43" s="532" t="s">
        <v>541</v>
      </c>
      <c r="F43" s="533" t="s">
        <v>542</v>
      </c>
      <c r="G43" s="533" t="s">
        <v>543</v>
      </c>
      <c r="H43" s="534" t="s">
        <v>544</v>
      </c>
      <c r="I43" s="534" t="s">
        <v>545</v>
      </c>
      <c r="J43" s="534" t="s">
        <v>546</v>
      </c>
      <c r="K43" s="534" t="s">
        <v>547</v>
      </c>
      <c r="L43" s="534" t="s">
        <v>548</v>
      </c>
      <c r="M43" s="534" t="s">
        <v>549</v>
      </c>
      <c r="N43" s="534" t="s">
        <v>550</v>
      </c>
      <c r="O43" s="534"/>
      <c r="P43" s="534" t="s">
        <v>551</v>
      </c>
      <c r="Q43" s="534" t="s">
        <v>552</v>
      </c>
      <c r="R43" s="534"/>
      <c r="S43" s="534"/>
      <c r="T43" s="534"/>
      <c r="U43" s="534"/>
      <c r="V43" s="534"/>
      <c r="W43" s="534"/>
      <c r="X43" s="534" t="s">
        <v>4</v>
      </c>
    </row>
    <row r="44" spans="3:24" s="550" customFormat="1" ht="12.95" customHeight="1">
      <c r="C44" s="536" t="s">
        <v>553</v>
      </c>
      <c r="D44" s="537">
        <v>45161</v>
      </c>
      <c r="E44" s="538"/>
      <c r="F44" s="539" t="s">
        <v>554</v>
      </c>
      <c r="G44" s="540"/>
      <c r="H44" s="541">
        <v>306990</v>
      </c>
      <c r="I44" s="542">
        <f>H44*0.18</f>
        <v>55258.2</v>
      </c>
      <c r="J44" s="543">
        <f>H44+I44</f>
        <v>362248.2</v>
      </c>
      <c r="K44" s="812" t="s">
        <v>509</v>
      </c>
      <c r="L44" s="544" t="s">
        <v>555</v>
      </c>
      <c r="M44" s="545" t="s">
        <v>556</v>
      </c>
      <c r="N44" s="546" t="s">
        <v>557</v>
      </c>
      <c r="O44" s="536"/>
      <c r="P44" s="536"/>
      <c r="Q44" s="547"/>
      <c r="R44" s="547"/>
      <c r="S44" s="548"/>
      <c r="T44" s="548"/>
      <c r="U44" s="548"/>
      <c r="V44" s="548"/>
      <c r="W44" s="548"/>
      <c r="X44" s="549"/>
    </row>
    <row r="45" spans="3:24" s="550" customFormat="1" ht="12.95" customHeight="1">
      <c r="C45" s="536" t="s">
        <v>558</v>
      </c>
      <c r="D45" s="537">
        <v>45142</v>
      </c>
      <c r="E45" s="538"/>
      <c r="F45" s="539" t="s">
        <v>559</v>
      </c>
      <c r="G45" s="540"/>
      <c r="H45" s="541">
        <v>356944</v>
      </c>
      <c r="I45" s="542">
        <f>H45*0.18</f>
        <v>64249.919999999998</v>
      </c>
      <c r="J45" s="543">
        <f>H45+I45</f>
        <v>421193.92</v>
      </c>
      <c r="K45" s="813" t="s">
        <v>514</v>
      </c>
      <c r="L45" s="544" t="s">
        <v>555</v>
      </c>
      <c r="M45" s="545" t="s">
        <v>556</v>
      </c>
      <c r="N45" s="546" t="s">
        <v>557</v>
      </c>
      <c r="O45" s="536"/>
      <c r="P45" s="536"/>
      <c r="Q45" s="547"/>
      <c r="R45" s="547"/>
      <c r="S45" s="548"/>
      <c r="T45" s="548"/>
      <c r="U45" s="548"/>
      <c r="V45" s="548"/>
      <c r="W45" s="548"/>
      <c r="X45" s="549"/>
    </row>
    <row r="46" spans="3:24" s="550" customFormat="1" ht="12.95" customHeight="1">
      <c r="C46" s="536" t="s">
        <v>558</v>
      </c>
      <c r="D46" s="537">
        <v>45142</v>
      </c>
      <c r="E46" s="538"/>
      <c r="F46" s="539" t="s">
        <v>560</v>
      </c>
      <c r="G46" s="540"/>
      <c r="H46" s="541">
        <v>1337175</v>
      </c>
      <c r="I46" s="542">
        <f>H46*0.18</f>
        <v>240691.5</v>
      </c>
      <c r="J46" s="543">
        <f>H46+I46</f>
        <v>1577866.5</v>
      </c>
      <c r="K46" s="813" t="s">
        <v>501</v>
      </c>
      <c r="L46" s="544" t="s">
        <v>555</v>
      </c>
      <c r="M46" s="545" t="s">
        <v>556</v>
      </c>
      <c r="N46" s="546" t="s">
        <v>557</v>
      </c>
      <c r="O46" s="536"/>
      <c r="P46" s="536"/>
      <c r="Q46" s="547"/>
      <c r="R46" s="547"/>
      <c r="S46" s="548"/>
      <c r="T46" s="548"/>
      <c r="U46" s="548"/>
      <c r="V46" s="548"/>
      <c r="W46" s="548"/>
      <c r="X46" s="549"/>
    </row>
    <row r="47" spans="3:24" s="550" customFormat="1" ht="12.95" customHeight="1">
      <c r="C47" s="536" t="s">
        <v>553</v>
      </c>
      <c r="D47" s="537">
        <v>45142</v>
      </c>
      <c r="E47" s="538"/>
      <c r="F47" s="539" t="s">
        <v>561</v>
      </c>
      <c r="G47" s="540"/>
      <c r="H47" s="541">
        <v>200000</v>
      </c>
      <c r="I47" s="542">
        <f t="shared" ref="I47:I183" si="2">H47*0.18</f>
        <v>36000</v>
      </c>
      <c r="J47" s="543">
        <f t="shared" ref="J47:J183" si="3">H47+I47</f>
        <v>236000</v>
      </c>
      <c r="K47" s="813" t="s">
        <v>215</v>
      </c>
      <c r="L47" s="544" t="s">
        <v>555</v>
      </c>
      <c r="M47" s="545" t="s">
        <v>556</v>
      </c>
      <c r="N47" s="546" t="s">
        <v>557</v>
      </c>
      <c r="O47" s="536"/>
      <c r="P47" s="536"/>
      <c r="Q47" s="547"/>
      <c r="R47" s="547"/>
      <c r="S47" s="548"/>
      <c r="T47" s="548"/>
      <c r="U47" s="548"/>
      <c r="V47" s="548"/>
      <c r="W47" s="548"/>
      <c r="X47" s="549"/>
    </row>
    <row r="48" spans="3:24" s="550" customFormat="1" ht="12.95" customHeight="1">
      <c r="C48" s="536" t="s">
        <v>553</v>
      </c>
      <c r="D48" s="537">
        <v>45142</v>
      </c>
      <c r="E48" s="538"/>
      <c r="F48" s="539" t="s">
        <v>562</v>
      </c>
      <c r="G48" s="540"/>
      <c r="H48" s="541">
        <v>200000</v>
      </c>
      <c r="I48" s="542">
        <f t="shared" si="2"/>
        <v>36000</v>
      </c>
      <c r="J48" s="543">
        <f t="shared" si="3"/>
        <v>236000</v>
      </c>
      <c r="K48" s="813" t="s">
        <v>518</v>
      </c>
      <c r="L48" s="544" t="s">
        <v>555</v>
      </c>
      <c r="M48" s="545" t="s">
        <v>556</v>
      </c>
      <c r="N48" s="546" t="s">
        <v>557</v>
      </c>
      <c r="O48" s="536"/>
      <c r="P48" s="536"/>
      <c r="Q48" s="547"/>
      <c r="R48" s="547"/>
      <c r="S48" s="548"/>
      <c r="T48" s="548"/>
      <c r="U48" s="548"/>
      <c r="V48" s="548"/>
      <c r="W48" s="548"/>
      <c r="X48" s="549"/>
    </row>
    <row r="49" spans="3:24" s="550" customFormat="1" ht="12.95" customHeight="1">
      <c r="C49" s="536" t="s">
        <v>553</v>
      </c>
      <c r="D49" s="537">
        <v>45142</v>
      </c>
      <c r="E49" s="538"/>
      <c r="F49" s="539" t="s">
        <v>563</v>
      </c>
      <c r="G49" s="540"/>
      <c r="H49" s="541">
        <v>200000</v>
      </c>
      <c r="I49" s="542">
        <f t="shared" si="2"/>
        <v>36000</v>
      </c>
      <c r="J49" s="543">
        <f t="shared" si="3"/>
        <v>236000</v>
      </c>
      <c r="K49" s="813" t="s">
        <v>519</v>
      </c>
      <c r="L49" s="544" t="s">
        <v>12</v>
      </c>
      <c r="M49" s="545" t="s">
        <v>556</v>
      </c>
      <c r="N49" s="546" t="s">
        <v>557</v>
      </c>
      <c r="O49" s="536"/>
      <c r="P49" s="536"/>
      <c r="Q49" s="547"/>
      <c r="R49" s="547"/>
      <c r="S49" s="548"/>
      <c r="T49" s="548"/>
      <c r="U49" s="548"/>
      <c r="V49" s="548"/>
      <c r="W49" s="548"/>
      <c r="X49" s="549"/>
    </row>
    <row r="50" spans="3:24" s="550" customFormat="1" ht="12.95" customHeight="1">
      <c r="C50" s="536" t="s">
        <v>553</v>
      </c>
      <c r="D50" s="537">
        <v>45142</v>
      </c>
      <c r="E50" s="538"/>
      <c r="F50" s="539" t="s">
        <v>564</v>
      </c>
      <c r="G50" s="540"/>
      <c r="H50" s="541">
        <v>200000</v>
      </c>
      <c r="I50" s="542">
        <f t="shared" si="2"/>
        <v>36000</v>
      </c>
      <c r="J50" s="543">
        <f t="shared" si="3"/>
        <v>236000</v>
      </c>
      <c r="K50" s="813" t="s">
        <v>505</v>
      </c>
      <c r="L50" s="544" t="s">
        <v>12</v>
      </c>
      <c r="M50" s="545" t="s">
        <v>556</v>
      </c>
      <c r="N50" s="546" t="s">
        <v>557</v>
      </c>
      <c r="O50" s="536"/>
      <c r="P50" s="536"/>
      <c r="Q50" s="547"/>
      <c r="R50" s="547"/>
      <c r="S50" s="548"/>
      <c r="T50" s="548"/>
      <c r="U50" s="548"/>
      <c r="V50" s="548"/>
      <c r="W50" s="548"/>
      <c r="X50" s="549"/>
    </row>
    <row r="51" spans="3:24" s="550" customFormat="1" ht="12.95" customHeight="1">
      <c r="C51" s="536" t="s">
        <v>553</v>
      </c>
      <c r="D51" s="537">
        <v>45142</v>
      </c>
      <c r="E51" s="538"/>
      <c r="F51" s="539" t="s">
        <v>565</v>
      </c>
      <c r="G51" s="540"/>
      <c r="H51" s="541">
        <v>164139</v>
      </c>
      <c r="I51" s="542">
        <f t="shared" si="2"/>
        <v>29545.02</v>
      </c>
      <c r="J51" s="543">
        <f t="shared" si="3"/>
        <v>193684.02</v>
      </c>
      <c r="K51" s="813" t="s">
        <v>518</v>
      </c>
      <c r="L51" s="544" t="s">
        <v>555</v>
      </c>
      <c r="M51" s="545" t="s">
        <v>556</v>
      </c>
      <c r="N51" s="546" t="s">
        <v>557</v>
      </c>
      <c r="O51" s="536"/>
      <c r="P51" s="536"/>
      <c r="Q51" s="547"/>
      <c r="R51" s="547"/>
      <c r="S51" s="548"/>
      <c r="T51" s="548"/>
      <c r="U51" s="548"/>
      <c r="V51" s="548"/>
      <c r="W51" s="548"/>
      <c r="X51" s="549"/>
    </row>
    <row r="52" spans="3:24" s="550" customFormat="1" ht="12.95" customHeight="1">
      <c r="C52" s="536" t="s">
        <v>553</v>
      </c>
      <c r="D52" s="537">
        <v>45142</v>
      </c>
      <c r="E52" s="538"/>
      <c r="F52" s="539" t="s">
        <v>566</v>
      </c>
      <c r="G52" s="540"/>
      <c r="H52" s="541">
        <v>115797</v>
      </c>
      <c r="I52" s="542">
        <f t="shared" si="2"/>
        <v>20843.46</v>
      </c>
      <c r="J52" s="543">
        <f t="shared" si="3"/>
        <v>136640.46</v>
      </c>
      <c r="K52" s="813" t="s">
        <v>519</v>
      </c>
      <c r="L52" s="544" t="s">
        <v>12</v>
      </c>
      <c r="M52" s="545" t="s">
        <v>556</v>
      </c>
      <c r="N52" s="546" t="s">
        <v>557</v>
      </c>
      <c r="O52" s="536"/>
      <c r="P52" s="536"/>
      <c r="Q52" s="547"/>
      <c r="R52" s="547"/>
      <c r="S52" s="548"/>
      <c r="T52" s="548"/>
      <c r="U52" s="548"/>
      <c r="V52" s="548"/>
      <c r="W52" s="548"/>
      <c r="X52" s="549"/>
    </row>
    <row r="53" spans="3:24" s="550" customFormat="1" ht="12.95" customHeight="1">
      <c r="C53" s="536" t="s">
        <v>553</v>
      </c>
      <c r="D53" s="537">
        <v>45142</v>
      </c>
      <c r="E53" s="538"/>
      <c r="F53" s="539" t="s">
        <v>567</v>
      </c>
      <c r="G53" s="540"/>
      <c r="H53" s="541">
        <v>115797</v>
      </c>
      <c r="I53" s="542">
        <f t="shared" si="2"/>
        <v>20843.46</v>
      </c>
      <c r="J53" s="543">
        <f t="shared" si="3"/>
        <v>136640.46</v>
      </c>
      <c r="K53" s="813" t="s">
        <v>463</v>
      </c>
      <c r="L53" s="544" t="s">
        <v>555</v>
      </c>
      <c r="M53" s="545" t="s">
        <v>556</v>
      </c>
      <c r="N53" s="546" t="s">
        <v>557</v>
      </c>
      <c r="O53" s="536"/>
      <c r="P53" s="536"/>
      <c r="Q53" s="547"/>
      <c r="R53" s="547"/>
      <c r="S53" s="548"/>
      <c r="T53" s="548"/>
      <c r="U53" s="548"/>
      <c r="V53" s="548"/>
      <c r="W53" s="548"/>
      <c r="X53" s="549"/>
    </row>
    <row r="54" spans="3:24" s="550" customFormat="1" ht="12.95" customHeight="1">
      <c r="C54" s="536" t="s">
        <v>553</v>
      </c>
      <c r="D54" s="537">
        <v>45142</v>
      </c>
      <c r="E54" s="538"/>
      <c r="F54" s="539" t="s">
        <v>568</v>
      </c>
      <c r="G54" s="540"/>
      <c r="H54" s="541">
        <v>112299</v>
      </c>
      <c r="I54" s="542">
        <f t="shared" si="2"/>
        <v>20213.82</v>
      </c>
      <c r="J54" s="543">
        <f t="shared" si="3"/>
        <v>132512.82</v>
      </c>
      <c r="K54" s="813" t="s">
        <v>508</v>
      </c>
      <c r="L54" s="544" t="s">
        <v>555</v>
      </c>
      <c r="M54" s="545" t="s">
        <v>556</v>
      </c>
      <c r="N54" s="546" t="s">
        <v>557</v>
      </c>
      <c r="O54" s="536"/>
      <c r="P54" s="536"/>
      <c r="Q54" s="547"/>
      <c r="R54" s="547"/>
      <c r="S54" s="548"/>
      <c r="T54" s="548"/>
      <c r="U54" s="548"/>
      <c r="V54" s="548"/>
      <c r="W54" s="548"/>
      <c r="X54" s="549"/>
    </row>
    <row r="55" spans="3:24" s="550" customFormat="1" ht="12.95" customHeight="1">
      <c r="C55" s="536" t="s">
        <v>553</v>
      </c>
      <c r="D55" s="537">
        <v>45142</v>
      </c>
      <c r="E55" s="538"/>
      <c r="F55" s="539" t="s">
        <v>569</v>
      </c>
      <c r="G55" s="540"/>
      <c r="H55" s="541">
        <v>219738</v>
      </c>
      <c r="I55" s="542">
        <f t="shared" si="2"/>
        <v>39552.839999999997</v>
      </c>
      <c r="J55" s="543">
        <f t="shared" si="3"/>
        <v>259290.84</v>
      </c>
      <c r="K55" s="813" t="s">
        <v>510</v>
      </c>
      <c r="L55" s="544" t="s">
        <v>555</v>
      </c>
      <c r="M55" s="545" t="s">
        <v>556</v>
      </c>
      <c r="N55" s="546" t="s">
        <v>557</v>
      </c>
      <c r="O55" s="536"/>
      <c r="P55" s="536"/>
      <c r="Q55" s="547"/>
      <c r="R55" s="547"/>
      <c r="S55" s="548"/>
      <c r="T55" s="548"/>
      <c r="U55" s="548"/>
      <c r="V55" s="548"/>
      <c r="W55" s="548"/>
      <c r="X55" s="549"/>
    </row>
    <row r="56" spans="3:24" s="550" customFormat="1" ht="12.95" customHeight="1">
      <c r="C56" s="536" t="s">
        <v>553</v>
      </c>
      <c r="D56" s="537">
        <v>45142</v>
      </c>
      <c r="E56" s="538"/>
      <c r="F56" s="551" t="s">
        <v>570</v>
      </c>
      <c r="G56" s="540"/>
      <c r="H56" s="541">
        <f>788844*0</f>
        <v>0</v>
      </c>
      <c r="I56" s="542">
        <f t="shared" si="2"/>
        <v>0</v>
      </c>
      <c r="J56" s="543">
        <f t="shared" si="3"/>
        <v>0</v>
      </c>
      <c r="K56" s="813" t="s">
        <v>571</v>
      </c>
      <c r="L56" s="544" t="s">
        <v>555</v>
      </c>
      <c r="M56" s="545" t="s">
        <v>556</v>
      </c>
      <c r="N56" s="546" t="s">
        <v>557</v>
      </c>
      <c r="O56" s="536"/>
      <c r="P56" s="536"/>
      <c r="Q56" s="547"/>
      <c r="R56" s="547"/>
      <c r="S56" s="548"/>
      <c r="T56" s="548"/>
      <c r="U56" s="548"/>
      <c r="V56" s="548"/>
      <c r="W56" s="548"/>
      <c r="X56" s="549"/>
    </row>
    <row r="57" spans="3:24" s="550" customFormat="1" ht="12.95" customHeight="1">
      <c r="C57" s="536" t="s">
        <v>558</v>
      </c>
      <c r="D57" s="537">
        <v>45173</v>
      </c>
      <c r="E57" s="538"/>
      <c r="F57" s="551" t="s">
        <v>572</v>
      </c>
      <c r="G57" s="540"/>
      <c r="H57" s="541">
        <f>70000*0</f>
        <v>0</v>
      </c>
      <c r="I57" s="542">
        <f t="shared" si="2"/>
        <v>0</v>
      </c>
      <c r="J57" s="543">
        <f t="shared" si="3"/>
        <v>0</v>
      </c>
      <c r="K57" s="813" t="s">
        <v>500</v>
      </c>
      <c r="L57" s="544" t="s">
        <v>573</v>
      </c>
      <c r="M57" s="536" t="s">
        <v>556</v>
      </c>
      <c r="N57" s="536"/>
      <c r="O57" s="536"/>
      <c r="P57" s="536"/>
      <c r="Q57" s="547"/>
      <c r="R57" s="547"/>
      <c r="S57" s="548"/>
      <c r="T57" s="548"/>
      <c r="U57" s="548"/>
      <c r="V57" s="548"/>
      <c r="W57" s="548"/>
      <c r="X57" s="549"/>
    </row>
    <row r="58" spans="3:24" s="550" customFormat="1" ht="12.95" customHeight="1">
      <c r="C58" s="552" t="s">
        <v>574</v>
      </c>
      <c r="D58" s="537">
        <v>45206</v>
      </c>
      <c r="E58" s="538"/>
      <c r="F58" s="553" t="s">
        <v>575</v>
      </c>
      <c r="G58" s="554"/>
      <c r="H58" s="541">
        <v>243257</v>
      </c>
      <c r="I58" s="542">
        <f t="shared" si="2"/>
        <v>43786.259999999995</v>
      </c>
      <c r="J58" s="543">
        <f t="shared" si="3"/>
        <v>287043.26</v>
      </c>
      <c r="K58" s="813" t="s">
        <v>500</v>
      </c>
      <c r="L58" s="555" t="s">
        <v>26</v>
      </c>
      <c r="M58" s="536" t="s">
        <v>556</v>
      </c>
      <c r="N58" s="536" t="s">
        <v>556</v>
      </c>
      <c r="O58" s="536"/>
      <c r="P58" s="536"/>
      <c r="Q58" s="547"/>
      <c r="R58" s="547"/>
      <c r="S58" s="548"/>
      <c r="T58" s="548"/>
      <c r="U58" s="548"/>
      <c r="V58" s="548"/>
      <c r="W58" s="548"/>
      <c r="X58" s="549"/>
    </row>
    <row r="59" spans="3:24" s="550" customFormat="1" ht="12.95" customHeight="1">
      <c r="C59" s="552" t="s">
        <v>574</v>
      </c>
      <c r="D59" s="537">
        <v>45206</v>
      </c>
      <c r="E59" s="538"/>
      <c r="F59" s="553" t="s">
        <v>576</v>
      </c>
      <c r="G59" s="540"/>
      <c r="H59" s="541">
        <v>52024</v>
      </c>
      <c r="I59" s="542">
        <f t="shared" si="2"/>
        <v>9364.32</v>
      </c>
      <c r="J59" s="543">
        <f t="shared" si="3"/>
        <v>61388.32</v>
      </c>
      <c r="K59" s="813" t="s">
        <v>215</v>
      </c>
      <c r="L59" s="555" t="s">
        <v>26</v>
      </c>
      <c r="M59" s="536" t="s">
        <v>556</v>
      </c>
      <c r="N59" s="536" t="s">
        <v>556</v>
      </c>
      <c r="O59" s="536"/>
      <c r="P59" s="536"/>
      <c r="Q59" s="547"/>
      <c r="R59" s="547"/>
      <c r="S59" s="548"/>
      <c r="T59" s="548"/>
      <c r="U59" s="548"/>
      <c r="V59" s="548"/>
      <c r="W59" s="548"/>
      <c r="X59" s="549"/>
    </row>
    <row r="60" spans="3:24" s="550" customFormat="1" ht="12.95" customHeight="1">
      <c r="C60" s="552" t="s">
        <v>574</v>
      </c>
      <c r="D60" s="537">
        <v>45206</v>
      </c>
      <c r="E60" s="538"/>
      <c r="F60" s="553" t="s">
        <v>577</v>
      </c>
      <c r="G60" s="540"/>
      <c r="H60" s="541">
        <v>32958</v>
      </c>
      <c r="I60" s="542">
        <f t="shared" si="2"/>
        <v>5932.44</v>
      </c>
      <c r="J60" s="543">
        <f t="shared" si="3"/>
        <v>38890.44</v>
      </c>
      <c r="K60" s="814" t="s">
        <v>504</v>
      </c>
      <c r="L60" s="555" t="s">
        <v>26</v>
      </c>
      <c r="M60" s="536" t="s">
        <v>556</v>
      </c>
      <c r="N60" s="536" t="s">
        <v>556</v>
      </c>
      <c r="O60" s="536"/>
      <c r="P60" s="536"/>
      <c r="Q60" s="547"/>
      <c r="R60" s="547"/>
      <c r="S60" s="548"/>
      <c r="T60" s="548"/>
      <c r="U60" s="548"/>
      <c r="V60" s="548"/>
      <c r="W60" s="548"/>
      <c r="X60" s="549"/>
    </row>
    <row r="61" spans="3:24" s="550" customFormat="1" ht="12.95" customHeight="1">
      <c r="C61" s="552" t="s">
        <v>574</v>
      </c>
      <c r="D61" s="537">
        <v>45206</v>
      </c>
      <c r="E61" s="538"/>
      <c r="F61" s="553" t="s">
        <v>578</v>
      </c>
      <c r="G61" s="540"/>
      <c r="H61" s="541">
        <v>85816</v>
      </c>
      <c r="I61" s="542">
        <f t="shared" si="2"/>
        <v>15446.88</v>
      </c>
      <c r="J61" s="543">
        <f t="shared" si="3"/>
        <v>101262.88</v>
      </c>
      <c r="K61" s="813" t="s">
        <v>514</v>
      </c>
      <c r="L61" s="555" t="s">
        <v>26</v>
      </c>
      <c r="M61" s="536" t="s">
        <v>556</v>
      </c>
      <c r="N61" s="536" t="s">
        <v>556</v>
      </c>
      <c r="O61" s="536"/>
      <c r="P61" s="536"/>
      <c r="Q61" s="547"/>
      <c r="R61" s="547"/>
      <c r="S61" s="548"/>
      <c r="T61" s="548"/>
      <c r="U61" s="548"/>
      <c r="V61" s="548"/>
      <c r="W61" s="548"/>
      <c r="X61" s="549"/>
    </row>
    <row r="62" spans="3:24" s="550" customFormat="1" ht="12.95" customHeight="1">
      <c r="C62" s="552" t="s">
        <v>574</v>
      </c>
      <c r="D62" s="537">
        <v>45206</v>
      </c>
      <c r="E62" s="538"/>
      <c r="F62" s="553" t="s">
        <v>579</v>
      </c>
      <c r="G62" s="540"/>
      <c r="H62" s="541">
        <v>255495</v>
      </c>
      <c r="I62" s="542">
        <f t="shared" si="2"/>
        <v>45989.1</v>
      </c>
      <c r="J62" s="543">
        <f t="shared" si="3"/>
        <v>301484.09999999998</v>
      </c>
      <c r="K62" s="813" t="s">
        <v>356</v>
      </c>
      <c r="L62" s="555" t="s">
        <v>26</v>
      </c>
      <c r="M62" s="536" t="s">
        <v>556</v>
      </c>
      <c r="N62" s="536" t="s">
        <v>556</v>
      </c>
      <c r="O62" s="536"/>
      <c r="P62" s="536"/>
      <c r="Q62" s="547"/>
      <c r="R62" s="547"/>
      <c r="S62" s="548"/>
      <c r="T62" s="548"/>
      <c r="U62" s="548"/>
      <c r="V62" s="548"/>
      <c r="W62" s="548"/>
      <c r="X62" s="549"/>
    </row>
    <row r="63" spans="3:24" s="550" customFormat="1" ht="12.95" customHeight="1">
      <c r="C63" s="552" t="s">
        <v>574</v>
      </c>
      <c r="D63" s="537">
        <v>45206</v>
      </c>
      <c r="E63" s="538"/>
      <c r="F63" s="553" t="s">
        <v>580</v>
      </c>
      <c r="G63" s="540"/>
      <c r="H63" s="541">
        <v>220548</v>
      </c>
      <c r="I63" s="542">
        <f t="shared" si="2"/>
        <v>39698.639999999999</v>
      </c>
      <c r="J63" s="543">
        <f t="shared" si="3"/>
        <v>260246.64</v>
      </c>
      <c r="K63" s="813" t="s">
        <v>518</v>
      </c>
      <c r="L63" s="555" t="s">
        <v>26</v>
      </c>
      <c r="M63" s="536" t="s">
        <v>556</v>
      </c>
      <c r="N63" s="536" t="s">
        <v>556</v>
      </c>
      <c r="O63" s="536"/>
      <c r="P63" s="536"/>
      <c r="Q63" s="547"/>
      <c r="R63" s="547"/>
      <c r="S63" s="548"/>
      <c r="T63" s="548"/>
      <c r="U63" s="548"/>
      <c r="V63" s="548"/>
      <c r="W63" s="548"/>
      <c r="X63" s="549"/>
    </row>
    <row r="64" spans="3:24" s="550" customFormat="1" ht="12.95" customHeight="1">
      <c r="C64" s="552" t="s">
        <v>574</v>
      </c>
      <c r="D64" s="537">
        <v>45206</v>
      </c>
      <c r="E64" s="538"/>
      <c r="F64" s="553" t="s">
        <v>581</v>
      </c>
      <c r="G64" s="540"/>
      <c r="H64" s="541">
        <v>51731</v>
      </c>
      <c r="I64" s="542">
        <f t="shared" si="2"/>
        <v>9311.58</v>
      </c>
      <c r="J64" s="543">
        <f t="shared" si="3"/>
        <v>61042.58</v>
      </c>
      <c r="K64" s="813" t="s">
        <v>519</v>
      </c>
      <c r="L64" s="557" t="s">
        <v>26</v>
      </c>
      <c r="M64" s="536" t="s">
        <v>556</v>
      </c>
      <c r="N64" s="536" t="s">
        <v>556</v>
      </c>
      <c r="O64" s="536"/>
      <c r="P64" s="536"/>
      <c r="Q64" s="547"/>
      <c r="R64" s="547"/>
      <c r="S64" s="548"/>
      <c r="T64" s="548"/>
      <c r="U64" s="548"/>
      <c r="V64" s="548"/>
      <c r="W64" s="548"/>
      <c r="X64" s="549"/>
    </row>
    <row r="65" spans="3:24" s="550" customFormat="1" ht="12.95" customHeight="1">
      <c r="C65" s="552" t="s">
        <v>574</v>
      </c>
      <c r="D65" s="537">
        <v>45206</v>
      </c>
      <c r="E65" s="538"/>
      <c r="F65" s="553" t="s">
        <v>582</v>
      </c>
      <c r="G65" s="540"/>
      <c r="H65" s="541">
        <v>300237</v>
      </c>
      <c r="I65" s="542">
        <f t="shared" si="2"/>
        <v>54042.659999999996</v>
      </c>
      <c r="J65" s="543">
        <f t="shared" si="3"/>
        <v>354279.66</v>
      </c>
      <c r="K65" s="813" t="s">
        <v>501</v>
      </c>
      <c r="L65" s="555" t="s">
        <v>26</v>
      </c>
      <c r="M65" s="536" t="s">
        <v>556</v>
      </c>
      <c r="N65" s="536" t="s">
        <v>556</v>
      </c>
      <c r="O65" s="536"/>
      <c r="P65" s="536"/>
      <c r="Q65" s="547"/>
      <c r="R65" s="547"/>
      <c r="S65" s="548"/>
      <c r="T65" s="548"/>
      <c r="U65" s="548"/>
      <c r="V65" s="548"/>
      <c r="W65" s="548"/>
      <c r="X65" s="549"/>
    </row>
    <row r="66" spans="3:24" s="550" customFormat="1" ht="12.95" customHeight="1">
      <c r="C66" s="552" t="s">
        <v>574</v>
      </c>
      <c r="D66" s="537">
        <v>45206</v>
      </c>
      <c r="E66" s="538"/>
      <c r="F66" s="553" t="s">
        <v>583</v>
      </c>
      <c r="G66" s="540"/>
      <c r="H66" s="541">
        <v>378530</v>
      </c>
      <c r="I66" s="542">
        <f t="shared" si="2"/>
        <v>68135.399999999994</v>
      </c>
      <c r="J66" s="543">
        <f t="shared" si="3"/>
        <v>446665.4</v>
      </c>
      <c r="K66" s="812" t="s">
        <v>509</v>
      </c>
      <c r="L66" s="555" t="s">
        <v>26</v>
      </c>
      <c r="M66" s="536" t="s">
        <v>556</v>
      </c>
      <c r="N66" s="536" t="s">
        <v>556</v>
      </c>
      <c r="O66" s="536"/>
      <c r="P66" s="536"/>
      <c r="Q66" s="547"/>
      <c r="R66" s="547"/>
      <c r="S66" s="548"/>
      <c r="T66" s="548"/>
      <c r="U66" s="548"/>
      <c r="V66" s="548"/>
      <c r="W66" s="548"/>
      <c r="X66" s="549"/>
    </row>
    <row r="67" spans="3:24" s="550" customFormat="1" ht="12.95" customHeight="1">
      <c r="C67" s="552" t="s">
        <v>574</v>
      </c>
      <c r="D67" s="537">
        <v>45206</v>
      </c>
      <c r="E67" s="538"/>
      <c r="F67" s="553" t="s">
        <v>584</v>
      </c>
      <c r="G67" s="540"/>
      <c r="H67" s="541">
        <v>374642</v>
      </c>
      <c r="I67" s="542">
        <f t="shared" si="2"/>
        <v>67435.56</v>
      </c>
      <c r="J67" s="543">
        <f t="shared" si="3"/>
        <v>442077.56</v>
      </c>
      <c r="K67" s="813" t="s">
        <v>429</v>
      </c>
      <c r="L67" s="555" t="s">
        <v>26</v>
      </c>
      <c r="M67" s="536" t="s">
        <v>556</v>
      </c>
      <c r="N67" s="536" t="s">
        <v>556</v>
      </c>
      <c r="O67" s="536"/>
      <c r="P67" s="536"/>
      <c r="Q67" s="547"/>
      <c r="R67" s="547"/>
      <c r="S67" s="548"/>
      <c r="T67" s="548"/>
      <c r="U67" s="548"/>
      <c r="V67" s="548"/>
      <c r="W67" s="548"/>
      <c r="X67" s="549"/>
    </row>
    <row r="68" spans="3:24" s="550" customFormat="1" ht="12.95" customHeight="1">
      <c r="C68" s="552" t="s">
        <v>574</v>
      </c>
      <c r="D68" s="537">
        <v>45206</v>
      </c>
      <c r="E68" s="538"/>
      <c r="F68" s="553" t="s">
        <v>585</v>
      </c>
      <c r="G68" s="540"/>
      <c r="H68" s="541">
        <v>47398</v>
      </c>
      <c r="I68" s="542">
        <f t="shared" si="2"/>
        <v>8531.64</v>
      </c>
      <c r="J68" s="543">
        <f t="shared" si="3"/>
        <v>55929.64</v>
      </c>
      <c r="K68" s="813" t="s">
        <v>463</v>
      </c>
      <c r="L68" s="555" t="s">
        <v>26</v>
      </c>
      <c r="M68" s="536" t="s">
        <v>556</v>
      </c>
      <c r="N68" s="536" t="s">
        <v>556</v>
      </c>
      <c r="O68" s="536"/>
      <c r="P68" s="536"/>
      <c r="Q68" s="547"/>
      <c r="R68" s="547"/>
      <c r="S68" s="548"/>
      <c r="T68" s="548"/>
      <c r="U68" s="548"/>
      <c r="V68" s="548"/>
      <c r="W68" s="548"/>
      <c r="X68" s="549"/>
    </row>
    <row r="69" spans="3:24" s="550" customFormat="1" ht="12.95" customHeight="1">
      <c r="C69" s="552" t="s">
        <v>574</v>
      </c>
      <c r="D69" s="537">
        <v>45206</v>
      </c>
      <c r="E69" s="538"/>
      <c r="F69" s="553" t="s">
        <v>586</v>
      </c>
      <c r="G69" s="540"/>
      <c r="H69" s="541">
        <v>383670</v>
      </c>
      <c r="I69" s="542">
        <f t="shared" si="2"/>
        <v>69060.599999999991</v>
      </c>
      <c r="J69" s="543">
        <f t="shared" si="3"/>
        <v>452730.6</v>
      </c>
      <c r="K69" s="813" t="s">
        <v>510</v>
      </c>
      <c r="L69" s="555" t="s">
        <v>26</v>
      </c>
      <c r="M69" s="536" t="s">
        <v>556</v>
      </c>
      <c r="N69" s="536" t="s">
        <v>556</v>
      </c>
      <c r="O69" s="536"/>
      <c r="P69" s="536"/>
      <c r="Q69" s="547"/>
      <c r="R69" s="547"/>
      <c r="S69" s="548"/>
      <c r="T69" s="548"/>
      <c r="U69" s="548"/>
      <c r="V69" s="548"/>
      <c r="W69" s="548"/>
      <c r="X69" s="549"/>
    </row>
    <row r="70" spans="3:24" s="550" customFormat="1" ht="12.95" customHeight="1">
      <c r="C70" s="552" t="s">
        <v>574</v>
      </c>
      <c r="D70" s="537">
        <v>45206</v>
      </c>
      <c r="E70" s="538"/>
      <c r="F70" s="553" t="s">
        <v>587</v>
      </c>
      <c r="G70" s="540"/>
      <c r="H70" s="541">
        <v>90316</v>
      </c>
      <c r="I70" s="542">
        <f t="shared" si="2"/>
        <v>16256.88</v>
      </c>
      <c r="J70" s="543">
        <f t="shared" si="3"/>
        <v>106572.88</v>
      </c>
      <c r="K70" s="813" t="s">
        <v>508</v>
      </c>
      <c r="L70" s="555" t="s">
        <v>26</v>
      </c>
      <c r="M70" s="536" t="s">
        <v>556</v>
      </c>
      <c r="N70" s="536" t="s">
        <v>556</v>
      </c>
      <c r="O70" s="536"/>
      <c r="P70" s="536"/>
      <c r="Q70" s="547"/>
      <c r="R70" s="547"/>
      <c r="S70" s="548"/>
      <c r="T70" s="548"/>
      <c r="U70" s="548"/>
      <c r="V70" s="548"/>
      <c r="W70" s="548"/>
      <c r="X70" s="549"/>
    </row>
    <row r="71" spans="3:24" s="550" customFormat="1" ht="12.95" customHeight="1">
      <c r="C71" s="552" t="s">
        <v>588</v>
      </c>
      <c r="D71" s="537">
        <v>45218</v>
      </c>
      <c r="E71" s="538"/>
      <c r="F71" s="556" t="s">
        <v>589</v>
      </c>
      <c r="G71" s="540"/>
      <c r="H71" s="541">
        <v>4902753</v>
      </c>
      <c r="I71" s="542">
        <f t="shared" si="2"/>
        <v>882495.53999999992</v>
      </c>
      <c r="J71" s="543">
        <f t="shared" si="3"/>
        <v>5785248.54</v>
      </c>
      <c r="K71" s="813" t="s">
        <v>501</v>
      </c>
      <c r="L71" s="544" t="s">
        <v>596</v>
      </c>
      <c r="M71" s="536" t="s">
        <v>556</v>
      </c>
      <c r="N71" s="536" t="s">
        <v>556</v>
      </c>
      <c r="O71" s="536"/>
      <c r="P71" s="536"/>
      <c r="Q71" s="547"/>
      <c r="R71" s="547"/>
      <c r="S71" s="548"/>
      <c r="T71" s="548"/>
      <c r="U71" s="548"/>
      <c r="V71" s="548"/>
      <c r="W71" s="548"/>
      <c r="X71" s="549"/>
    </row>
    <row r="72" spans="3:24" s="550" customFormat="1" ht="12.95" customHeight="1">
      <c r="C72" s="552" t="s">
        <v>591</v>
      </c>
      <c r="D72" s="537">
        <v>45215</v>
      </c>
      <c r="E72" s="538"/>
      <c r="F72" s="553" t="s">
        <v>592</v>
      </c>
      <c r="G72" s="540"/>
      <c r="H72" s="541">
        <v>325080</v>
      </c>
      <c r="I72" s="542">
        <f t="shared" si="2"/>
        <v>58514.400000000001</v>
      </c>
      <c r="J72" s="543">
        <f t="shared" si="3"/>
        <v>383594.4</v>
      </c>
      <c r="K72" s="815" t="s">
        <v>512</v>
      </c>
      <c r="L72" s="544" t="s">
        <v>555</v>
      </c>
      <c r="M72" s="536" t="s">
        <v>556</v>
      </c>
      <c r="N72" s="536" t="s">
        <v>556</v>
      </c>
      <c r="O72" s="536"/>
      <c r="P72" s="536"/>
      <c r="Q72" s="547"/>
      <c r="R72" s="547"/>
      <c r="S72" s="548"/>
      <c r="T72" s="548"/>
      <c r="U72" s="548"/>
      <c r="V72" s="548"/>
      <c r="W72" s="548"/>
      <c r="X72" s="549"/>
    </row>
    <row r="73" spans="3:24" s="550" customFormat="1" ht="12.95" customHeight="1">
      <c r="C73" s="552" t="s">
        <v>553</v>
      </c>
      <c r="D73" s="537">
        <v>45211</v>
      </c>
      <c r="E73" s="538"/>
      <c r="F73" s="556" t="s">
        <v>593</v>
      </c>
      <c r="G73" s="540"/>
      <c r="H73" s="541">
        <v>132096</v>
      </c>
      <c r="I73" s="542">
        <f t="shared" si="2"/>
        <v>23777.279999999999</v>
      </c>
      <c r="J73" s="543">
        <f t="shared" si="3"/>
        <v>155873.28</v>
      </c>
      <c r="K73" s="812" t="s">
        <v>503</v>
      </c>
      <c r="L73" s="544" t="s">
        <v>555</v>
      </c>
      <c r="M73" s="536" t="s">
        <v>556</v>
      </c>
      <c r="N73" s="536" t="s">
        <v>556</v>
      </c>
      <c r="O73" s="536"/>
      <c r="P73" s="536"/>
      <c r="Q73" s="547"/>
      <c r="R73" s="547"/>
      <c r="S73" s="548"/>
      <c r="T73" s="548"/>
      <c r="U73" s="548"/>
      <c r="V73" s="548"/>
      <c r="W73" s="548"/>
      <c r="X73" s="549"/>
    </row>
    <row r="74" spans="3:24" s="550" customFormat="1" ht="12.95" customHeight="1">
      <c r="C74" s="536" t="s">
        <v>594</v>
      </c>
      <c r="D74" s="537">
        <v>45222</v>
      </c>
      <c r="E74" s="538"/>
      <c r="F74" s="556" t="s">
        <v>595</v>
      </c>
      <c r="G74" s="540"/>
      <c r="H74" s="541">
        <v>2307117</v>
      </c>
      <c r="I74" s="542">
        <f t="shared" si="2"/>
        <v>415281.06</v>
      </c>
      <c r="J74" s="543">
        <f t="shared" si="3"/>
        <v>2722398.06</v>
      </c>
      <c r="K74" s="813" t="s">
        <v>500</v>
      </c>
      <c r="L74" s="544" t="s">
        <v>596</v>
      </c>
      <c r="M74" s="536" t="s">
        <v>556</v>
      </c>
      <c r="N74" s="536" t="s">
        <v>556</v>
      </c>
      <c r="O74" s="536"/>
      <c r="P74" s="536"/>
      <c r="Q74" s="547"/>
      <c r="R74" s="547"/>
      <c r="S74" s="548"/>
      <c r="T74" s="548"/>
      <c r="U74" s="548"/>
      <c r="V74" s="548"/>
      <c r="W74" s="548"/>
      <c r="X74" s="549"/>
    </row>
    <row r="75" spans="3:24" s="550" customFormat="1" ht="12.95" customHeight="1">
      <c r="C75" s="552" t="s">
        <v>597</v>
      </c>
      <c r="D75" s="537">
        <v>45226</v>
      </c>
      <c r="E75" s="538"/>
      <c r="F75" s="553" t="s">
        <v>598</v>
      </c>
      <c r="G75" s="540"/>
      <c r="H75" s="541">
        <f>5130125*0</f>
        <v>0</v>
      </c>
      <c r="I75" s="542">
        <f t="shared" si="2"/>
        <v>0</v>
      </c>
      <c r="J75" s="543">
        <f t="shared" si="3"/>
        <v>0</v>
      </c>
      <c r="K75" s="813" t="s">
        <v>429</v>
      </c>
      <c r="L75" s="544" t="s">
        <v>590</v>
      </c>
      <c r="M75" s="536" t="s">
        <v>556</v>
      </c>
      <c r="N75" s="536" t="s">
        <v>556</v>
      </c>
      <c r="O75" s="536"/>
      <c r="P75" s="536"/>
      <c r="Q75" s="547"/>
      <c r="R75" s="547"/>
      <c r="S75" s="548"/>
      <c r="T75" s="548"/>
      <c r="U75" s="548"/>
      <c r="V75" s="548"/>
      <c r="W75" s="548"/>
      <c r="X75" s="549"/>
    </row>
    <row r="76" spans="3:24" s="550" customFormat="1" ht="12.95" customHeight="1">
      <c r="C76" s="536" t="s">
        <v>591</v>
      </c>
      <c r="D76" s="537">
        <v>45173</v>
      </c>
      <c r="E76" s="538"/>
      <c r="F76" s="556" t="s">
        <v>572</v>
      </c>
      <c r="G76" s="540"/>
      <c r="H76" s="541">
        <v>140000</v>
      </c>
      <c r="I76" s="542">
        <f t="shared" si="2"/>
        <v>25200</v>
      </c>
      <c r="J76" s="543">
        <f t="shared" si="3"/>
        <v>165200</v>
      </c>
      <c r="K76" s="813" t="s">
        <v>500</v>
      </c>
      <c r="L76" s="544" t="s">
        <v>555</v>
      </c>
      <c r="M76" s="536" t="s">
        <v>556</v>
      </c>
      <c r="N76" s="536"/>
      <c r="O76" s="536"/>
      <c r="P76" s="536"/>
      <c r="Q76" s="547"/>
      <c r="R76" s="547"/>
      <c r="S76" s="548"/>
      <c r="T76" s="548"/>
      <c r="U76" s="548"/>
      <c r="V76" s="548"/>
      <c r="W76" s="548"/>
      <c r="X76" s="549"/>
    </row>
    <row r="77" spans="3:24" s="550" customFormat="1" ht="12.95" customHeight="1">
      <c r="C77" s="536" t="s">
        <v>599</v>
      </c>
      <c r="D77" s="537">
        <v>45118</v>
      </c>
      <c r="E77" s="538"/>
      <c r="F77" s="556" t="s">
        <v>600</v>
      </c>
      <c r="G77" s="540"/>
      <c r="H77" s="541">
        <v>551086.19999999995</v>
      </c>
      <c r="I77" s="542">
        <f t="shared" si="2"/>
        <v>99195.515999999989</v>
      </c>
      <c r="J77" s="543">
        <f t="shared" si="3"/>
        <v>650281.7159999999</v>
      </c>
      <c r="K77" s="813" t="s">
        <v>508</v>
      </c>
      <c r="L77" s="544" t="s">
        <v>596</v>
      </c>
      <c r="M77" s="536" t="s">
        <v>556</v>
      </c>
      <c r="N77" s="536" t="s">
        <v>556</v>
      </c>
      <c r="O77" s="536"/>
      <c r="P77" s="536"/>
      <c r="Q77" s="547"/>
      <c r="R77" s="547"/>
      <c r="S77" s="548"/>
      <c r="T77" s="548"/>
      <c r="U77" s="548"/>
      <c r="V77" s="548"/>
      <c r="W77" s="548"/>
      <c r="X77" s="549"/>
    </row>
    <row r="78" spans="3:24" s="550" customFormat="1" ht="12.95" customHeight="1">
      <c r="C78" s="536" t="s">
        <v>599</v>
      </c>
      <c r="D78" s="537">
        <v>45118</v>
      </c>
      <c r="E78" s="538"/>
      <c r="F78" s="556" t="s">
        <v>600</v>
      </c>
      <c r="G78" s="540"/>
      <c r="H78" s="541">
        <v>299165.40000000002</v>
      </c>
      <c r="I78" s="542">
        <f t="shared" si="2"/>
        <v>53849.772000000004</v>
      </c>
      <c r="J78" s="543">
        <f t="shared" si="3"/>
        <v>353015.17200000002</v>
      </c>
      <c r="K78" s="813" t="s">
        <v>508</v>
      </c>
      <c r="L78" s="544" t="s">
        <v>35</v>
      </c>
      <c r="M78" s="536" t="s">
        <v>556</v>
      </c>
      <c r="N78" s="536" t="s">
        <v>556</v>
      </c>
      <c r="O78" s="536"/>
      <c r="P78" s="536"/>
      <c r="Q78" s="547"/>
      <c r="R78" s="547"/>
      <c r="S78" s="548"/>
      <c r="T78" s="548"/>
      <c r="U78" s="548"/>
      <c r="V78" s="548"/>
      <c r="W78" s="548"/>
      <c r="X78" s="549"/>
    </row>
    <row r="79" spans="3:24" s="550" customFormat="1" ht="12.95" customHeight="1">
      <c r="C79" s="536" t="s">
        <v>599</v>
      </c>
      <c r="D79" s="537">
        <v>45118</v>
      </c>
      <c r="E79" s="538"/>
      <c r="F79" s="556" t="s">
        <v>600</v>
      </c>
      <c r="G79" s="540"/>
      <c r="H79" s="541">
        <v>43751.85</v>
      </c>
      <c r="I79" s="542">
        <f t="shared" si="2"/>
        <v>7875.3329999999996</v>
      </c>
      <c r="J79" s="543">
        <f>H79+I79</f>
        <v>51627.182999999997</v>
      </c>
      <c r="K79" s="813" t="s">
        <v>508</v>
      </c>
      <c r="L79" s="544" t="s">
        <v>36</v>
      </c>
      <c r="M79" s="536" t="s">
        <v>556</v>
      </c>
      <c r="N79" s="536" t="s">
        <v>556</v>
      </c>
      <c r="O79" s="536"/>
      <c r="P79" s="536"/>
      <c r="Q79" s="547"/>
      <c r="R79" s="547"/>
      <c r="S79" s="548"/>
      <c r="T79" s="548"/>
      <c r="U79" s="548"/>
      <c r="V79" s="548"/>
      <c r="W79" s="548"/>
      <c r="X79" s="549"/>
    </row>
    <row r="80" spans="3:24" s="550" customFormat="1" ht="12.95" customHeight="1">
      <c r="C80" s="536" t="s">
        <v>599</v>
      </c>
      <c r="D80" s="537">
        <v>45118</v>
      </c>
      <c r="E80" s="538"/>
      <c r="F80" s="556" t="s">
        <v>600</v>
      </c>
      <c r="G80" s="540"/>
      <c r="H80" s="541">
        <v>10694</v>
      </c>
      <c r="I80" s="542">
        <f t="shared" si="2"/>
        <v>1924.9199999999998</v>
      </c>
      <c r="J80" s="543">
        <f t="shared" si="3"/>
        <v>12618.92</v>
      </c>
      <c r="K80" s="813" t="s">
        <v>508</v>
      </c>
      <c r="L80" s="544" t="s">
        <v>36</v>
      </c>
      <c r="M80" s="536" t="s">
        <v>556</v>
      </c>
      <c r="N80" s="536" t="s">
        <v>556</v>
      </c>
      <c r="O80" s="536"/>
      <c r="P80" s="536"/>
      <c r="Q80" s="547"/>
      <c r="R80" s="547"/>
      <c r="S80" s="548"/>
      <c r="T80" s="548"/>
      <c r="U80" s="548"/>
      <c r="V80" s="548"/>
      <c r="W80" s="548"/>
      <c r="X80" s="549"/>
    </row>
    <row r="81" spans="3:24" s="550" customFormat="1" ht="12.95" customHeight="1">
      <c r="C81" s="536" t="s">
        <v>599</v>
      </c>
      <c r="D81" s="537">
        <v>45118</v>
      </c>
      <c r="E81" s="538"/>
      <c r="F81" s="556" t="s">
        <v>600</v>
      </c>
      <c r="G81" s="540"/>
      <c r="H81" s="541">
        <v>86064</v>
      </c>
      <c r="I81" s="542">
        <f t="shared" si="2"/>
        <v>15491.519999999999</v>
      </c>
      <c r="J81" s="543">
        <f t="shared" si="3"/>
        <v>101555.52</v>
      </c>
      <c r="K81" s="813" t="s">
        <v>508</v>
      </c>
      <c r="L81" s="544" t="s">
        <v>601</v>
      </c>
      <c r="M81" s="536" t="s">
        <v>556</v>
      </c>
      <c r="N81" s="536" t="s">
        <v>556</v>
      </c>
      <c r="O81" s="536"/>
      <c r="P81" s="536"/>
      <c r="Q81" s="547"/>
      <c r="R81" s="547"/>
      <c r="S81" s="548"/>
      <c r="T81" s="548"/>
      <c r="U81" s="548"/>
      <c r="V81" s="548"/>
      <c r="W81" s="548"/>
      <c r="X81" s="549"/>
    </row>
    <row r="82" spans="3:24" s="550" customFormat="1" ht="12.95" customHeight="1">
      <c r="C82" s="536" t="s">
        <v>599</v>
      </c>
      <c r="D82" s="537">
        <v>45118</v>
      </c>
      <c r="E82" s="538"/>
      <c r="F82" s="556" t="s">
        <v>600</v>
      </c>
      <c r="G82" s="540"/>
      <c r="H82" s="541">
        <v>60834.5</v>
      </c>
      <c r="I82" s="542">
        <f t="shared" si="2"/>
        <v>10950.21</v>
      </c>
      <c r="J82" s="543">
        <f t="shared" si="3"/>
        <v>71784.709999999992</v>
      </c>
      <c r="K82" s="813" t="s">
        <v>508</v>
      </c>
      <c r="L82" s="544" t="s">
        <v>31</v>
      </c>
      <c r="M82" s="536" t="s">
        <v>556</v>
      </c>
      <c r="N82" s="536" t="s">
        <v>556</v>
      </c>
      <c r="O82" s="536"/>
      <c r="P82" s="536"/>
      <c r="Q82" s="547"/>
      <c r="R82" s="547"/>
      <c r="S82" s="548"/>
      <c r="T82" s="548"/>
      <c r="U82" s="548"/>
      <c r="V82" s="548"/>
      <c r="W82" s="548"/>
      <c r="X82" s="549"/>
    </row>
    <row r="83" spans="3:24" s="550" customFormat="1" ht="24.75" customHeight="1">
      <c r="C83" s="536" t="s">
        <v>602</v>
      </c>
      <c r="D83" s="537">
        <v>45088</v>
      </c>
      <c r="E83" s="538"/>
      <c r="F83" s="556" t="s">
        <v>603</v>
      </c>
      <c r="G83" s="540"/>
      <c r="H83" s="541">
        <f>3612745*0</f>
        <v>0</v>
      </c>
      <c r="I83" s="542">
        <f t="shared" si="2"/>
        <v>0</v>
      </c>
      <c r="J83" s="543">
        <f t="shared" si="3"/>
        <v>0</v>
      </c>
      <c r="K83" s="813" t="s">
        <v>518</v>
      </c>
      <c r="L83" s="557" t="s">
        <v>604</v>
      </c>
      <c r="M83" s="782" t="s">
        <v>605</v>
      </c>
      <c r="N83" s="536"/>
      <c r="O83" s="536"/>
      <c r="P83" s="536"/>
      <c r="Q83" s="547"/>
      <c r="R83" s="547"/>
      <c r="S83" s="548"/>
      <c r="T83" s="548"/>
      <c r="U83" s="548"/>
      <c r="V83" s="548"/>
      <c r="W83" s="548"/>
      <c r="X83" s="549"/>
    </row>
    <row r="84" spans="3:24" s="550" customFormat="1" ht="39" customHeight="1">
      <c r="C84" s="536" t="s">
        <v>602</v>
      </c>
      <c r="D84" s="537">
        <v>45088</v>
      </c>
      <c r="E84" s="538"/>
      <c r="F84" s="556" t="s">
        <v>606</v>
      </c>
      <c r="G84" s="540"/>
      <c r="H84" s="541">
        <f>966398*0</f>
        <v>0</v>
      </c>
      <c r="I84" s="542">
        <f t="shared" si="2"/>
        <v>0</v>
      </c>
      <c r="J84" s="543">
        <f t="shared" si="3"/>
        <v>0</v>
      </c>
      <c r="K84" s="813" t="s">
        <v>519</v>
      </c>
      <c r="L84" s="557" t="s">
        <v>604</v>
      </c>
      <c r="M84" s="783"/>
      <c r="N84" s="536"/>
      <c r="O84" s="536"/>
      <c r="P84" s="536"/>
      <c r="Q84" s="547"/>
      <c r="R84" s="547"/>
      <c r="S84" s="548"/>
      <c r="T84" s="548"/>
      <c r="U84" s="548"/>
      <c r="V84" s="548"/>
      <c r="W84" s="548"/>
      <c r="X84" s="549"/>
    </row>
    <row r="85" spans="3:24" s="550" customFormat="1" ht="39" customHeight="1">
      <c r="C85" s="536" t="s">
        <v>602</v>
      </c>
      <c r="D85" s="537">
        <v>45088</v>
      </c>
      <c r="E85" s="538"/>
      <c r="F85" s="553" t="s">
        <v>607</v>
      </c>
      <c r="G85" s="558"/>
      <c r="H85" s="541">
        <f>2417114*0</f>
        <v>0</v>
      </c>
      <c r="I85" s="542">
        <f t="shared" si="2"/>
        <v>0</v>
      </c>
      <c r="J85" s="543">
        <f t="shared" si="3"/>
        <v>0</v>
      </c>
      <c r="K85" s="813" t="s">
        <v>463</v>
      </c>
      <c r="L85" s="557" t="s">
        <v>604</v>
      </c>
      <c r="M85" s="784"/>
      <c r="N85" s="536"/>
      <c r="O85" s="536"/>
      <c r="P85" s="536"/>
      <c r="Q85" s="547"/>
      <c r="R85" s="547"/>
      <c r="S85" s="548"/>
      <c r="T85" s="548"/>
      <c r="U85" s="548"/>
      <c r="V85" s="548"/>
      <c r="W85" s="548"/>
      <c r="X85" s="549"/>
    </row>
    <row r="86" spans="3:24" s="550" customFormat="1" ht="12.95" customHeight="1">
      <c r="C86" s="536" t="s">
        <v>574</v>
      </c>
      <c r="D86" s="537">
        <v>45243</v>
      </c>
      <c r="E86" s="538"/>
      <c r="F86" s="559" t="s">
        <v>608</v>
      </c>
      <c r="G86" s="558"/>
      <c r="H86" s="541">
        <f>39185+25920</f>
        <v>65105</v>
      </c>
      <c r="I86" s="542">
        <f>H86*0.18</f>
        <v>11718.9</v>
      </c>
      <c r="J86" s="543">
        <f>H86+I86</f>
        <v>76823.899999999994</v>
      </c>
      <c r="K86" s="813" t="s">
        <v>515</v>
      </c>
      <c r="L86" s="544" t="s">
        <v>27</v>
      </c>
      <c r="M86" s="536"/>
      <c r="N86" s="536"/>
      <c r="O86" s="536"/>
      <c r="P86" s="536"/>
      <c r="Q86" s="547"/>
      <c r="R86" s="547"/>
      <c r="S86" s="548"/>
      <c r="T86" s="548"/>
      <c r="U86" s="548"/>
      <c r="V86" s="548"/>
      <c r="W86" s="548"/>
      <c r="X86" s="549"/>
    </row>
    <row r="87" spans="3:24" s="550" customFormat="1" ht="12.95" customHeight="1">
      <c r="C87" s="536" t="s">
        <v>574</v>
      </c>
      <c r="D87" s="537">
        <v>45243</v>
      </c>
      <c r="E87" s="538"/>
      <c r="F87" s="559" t="s">
        <v>608</v>
      </c>
      <c r="G87" s="558"/>
      <c r="H87" s="541">
        <f>39576+50200+7840+20800+2400</f>
        <v>120816</v>
      </c>
      <c r="I87" s="542">
        <f>H87*0.18</f>
        <v>21746.879999999997</v>
      </c>
      <c r="J87" s="543">
        <f>H87+I87</f>
        <v>142562.88</v>
      </c>
      <c r="K87" s="813" t="s">
        <v>515</v>
      </c>
      <c r="L87" s="557" t="s">
        <v>596</v>
      </c>
      <c r="M87" s="536"/>
      <c r="N87" s="536"/>
      <c r="O87" s="536"/>
      <c r="P87" s="536"/>
      <c r="Q87" s="547"/>
      <c r="R87" s="547"/>
      <c r="S87" s="548"/>
      <c r="T87" s="548"/>
      <c r="U87" s="548"/>
      <c r="V87" s="548"/>
      <c r="W87" s="548"/>
      <c r="X87" s="549"/>
    </row>
    <row r="88" spans="3:24" s="550" customFormat="1" ht="12.95" customHeight="1">
      <c r="C88" s="536" t="s">
        <v>574</v>
      </c>
      <c r="D88" s="537">
        <v>45243</v>
      </c>
      <c r="E88" s="538"/>
      <c r="F88" s="559" t="s">
        <v>608</v>
      </c>
      <c r="G88" s="558"/>
      <c r="H88" s="541">
        <f>3600+2280+7200+1920+2880</f>
        <v>17880</v>
      </c>
      <c r="I88" s="542">
        <f>H88*0.18</f>
        <v>3218.4</v>
      </c>
      <c r="J88" s="543">
        <f>H88+I88</f>
        <v>21098.400000000001</v>
      </c>
      <c r="K88" s="813" t="s">
        <v>515</v>
      </c>
      <c r="L88" s="557" t="s">
        <v>35</v>
      </c>
      <c r="M88" s="536"/>
      <c r="N88" s="536"/>
      <c r="O88" s="536"/>
      <c r="P88" s="536"/>
      <c r="Q88" s="547"/>
      <c r="R88" s="547"/>
      <c r="S88" s="548"/>
      <c r="T88" s="548"/>
      <c r="U88" s="548"/>
      <c r="V88" s="548"/>
      <c r="W88" s="548"/>
      <c r="X88" s="549"/>
    </row>
    <row r="89" spans="3:24" s="550" customFormat="1" ht="12.95" customHeight="1">
      <c r="C89" s="536" t="s">
        <v>574</v>
      </c>
      <c r="D89" s="537">
        <v>45243</v>
      </c>
      <c r="E89" s="538"/>
      <c r="F89" s="559" t="s">
        <v>609</v>
      </c>
      <c r="G89" s="558"/>
      <c r="H89" s="541">
        <f>39185+25920</f>
        <v>65105</v>
      </c>
      <c r="I89" s="542">
        <f t="shared" si="2"/>
        <v>11718.9</v>
      </c>
      <c r="J89" s="543">
        <f t="shared" si="3"/>
        <v>76823.899999999994</v>
      </c>
      <c r="K89" s="813" t="s">
        <v>516</v>
      </c>
      <c r="L89" s="544" t="s">
        <v>27</v>
      </c>
      <c r="M89" s="536"/>
      <c r="N89" s="536"/>
      <c r="O89" s="536"/>
      <c r="P89" s="536"/>
      <c r="Q89" s="547"/>
      <c r="R89" s="547"/>
      <c r="S89" s="548"/>
      <c r="T89" s="548"/>
      <c r="U89" s="548"/>
      <c r="V89" s="548"/>
      <c r="W89" s="548"/>
      <c r="X89" s="549"/>
    </row>
    <row r="90" spans="3:24" s="550" customFormat="1" ht="12.95" customHeight="1">
      <c r="C90" s="536" t="s">
        <v>574</v>
      </c>
      <c r="D90" s="537">
        <v>45243</v>
      </c>
      <c r="E90" s="538"/>
      <c r="F90" s="559" t="s">
        <v>609</v>
      </c>
      <c r="G90" s="558"/>
      <c r="H90" s="541">
        <f>39576+50200+7840+20800+2400</f>
        <v>120816</v>
      </c>
      <c r="I90" s="542">
        <f t="shared" si="2"/>
        <v>21746.879999999997</v>
      </c>
      <c r="J90" s="543">
        <f t="shared" si="3"/>
        <v>142562.88</v>
      </c>
      <c r="K90" s="813" t="s">
        <v>516</v>
      </c>
      <c r="L90" s="557" t="s">
        <v>596</v>
      </c>
      <c r="M90" s="536"/>
      <c r="N90" s="536"/>
      <c r="O90" s="536"/>
      <c r="P90" s="536"/>
      <c r="Q90" s="547"/>
      <c r="R90" s="547"/>
      <c r="S90" s="548"/>
      <c r="T90" s="548"/>
      <c r="U90" s="548"/>
      <c r="V90" s="548"/>
      <c r="W90" s="548"/>
      <c r="X90" s="549"/>
    </row>
    <row r="91" spans="3:24" s="550" customFormat="1" ht="12.95" customHeight="1">
      <c r="C91" s="536" t="s">
        <v>574</v>
      </c>
      <c r="D91" s="537">
        <v>45243</v>
      </c>
      <c r="E91" s="538"/>
      <c r="F91" s="559" t="s">
        <v>609</v>
      </c>
      <c r="G91" s="558"/>
      <c r="H91" s="541">
        <f>3600+2280+7200+1920+2880</f>
        <v>17880</v>
      </c>
      <c r="I91" s="542">
        <f t="shared" si="2"/>
        <v>3218.4</v>
      </c>
      <c r="J91" s="543">
        <f t="shared" si="3"/>
        <v>21098.400000000001</v>
      </c>
      <c r="K91" s="813" t="s">
        <v>516</v>
      </c>
      <c r="L91" s="557" t="s">
        <v>35</v>
      </c>
      <c r="M91" s="536"/>
      <c r="N91" s="536"/>
      <c r="O91" s="536"/>
      <c r="P91" s="536"/>
      <c r="Q91" s="547"/>
      <c r="R91" s="547"/>
      <c r="S91" s="548"/>
      <c r="T91" s="548"/>
      <c r="U91" s="548"/>
      <c r="V91" s="548"/>
      <c r="W91" s="548"/>
      <c r="X91" s="549"/>
    </row>
    <row r="92" spans="3:24" s="550" customFormat="1" ht="12.95" customHeight="1">
      <c r="C92" s="536" t="s">
        <v>588</v>
      </c>
      <c r="D92" s="537">
        <v>45243</v>
      </c>
      <c r="E92" s="538"/>
      <c r="F92" s="559" t="s">
        <v>610</v>
      </c>
      <c r="G92" s="558"/>
      <c r="H92" s="541">
        <v>954461</v>
      </c>
      <c r="I92" s="542">
        <f t="shared" si="2"/>
        <v>171802.97999999998</v>
      </c>
      <c r="J92" s="543">
        <f t="shared" si="3"/>
        <v>1126263.98</v>
      </c>
      <c r="K92" s="813" t="s">
        <v>215</v>
      </c>
      <c r="L92" s="557" t="s">
        <v>596</v>
      </c>
      <c r="M92" s="536"/>
      <c r="N92" s="536"/>
      <c r="O92" s="536"/>
      <c r="P92" s="536"/>
      <c r="Q92" s="547"/>
      <c r="R92" s="547"/>
      <c r="S92" s="548"/>
      <c r="T92" s="548"/>
      <c r="U92" s="548"/>
      <c r="V92" s="548"/>
      <c r="W92" s="548"/>
      <c r="X92" s="549"/>
    </row>
    <row r="93" spans="3:24" s="550" customFormat="1" ht="12.95" customHeight="1">
      <c r="C93" s="536" t="s">
        <v>588</v>
      </c>
      <c r="D93" s="537">
        <v>45243</v>
      </c>
      <c r="E93" s="538"/>
      <c r="F93" s="559" t="s">
        <v>610</v>
      </c>
      <c r="G93" s="558"/>
      <c r="H93" s="541">
        <v>95200</v>
      </c>
      <c r="I93" s="542">
        <f t="shared" si="2"/>
        <v>17136</v>
      </c>
      <c r="J93" s="543">
        <f t="shared" si="3"/>
        <v>112336</v>
      </c>
      <c r="K93" s="813" t="s">
        <v>215</v>
      </c>
      <c r="L93" s="557" t="s">
        <v>601</v>
      </c>
      <c r="M93" s="536"/>
      <c r="N93" s="536"/>
      <c r="O93" s="536"/>
      <c r="P93" s="536"/>
      <c r="Q93" s="547"/>
      <c r="R93" s="547"/>
      <c r="S93" s="548"/>
      <c r="T93" s="548"/>
      <c r="U93" s="548"/>
      <c r="V93" s="548"/>
      <c r="W93" s="548"/>
      <c r="X93" s="549"/>
    </row>
    <row r="94" spans="3:24" s="550" customFormat="1" ht="12.95" customHeight="1">
      <c r="C94" s="536" t="s">
        <v>588</v>
      </c>
      <c r="D94" s="537">
        <v>45243</v>
      </c>
      <c r="E94" s="538"/>
      <c r="F94" s="559" t="s">
        <v>610</v>
      </c>
      <c r="G94" s="558"/>
      <c r="H94" s="541">
        <v>395060</v>
      </c>
      <c r="I94" s="542">
        <f t="shared" si="2"/>
        <v>71110.8</v>
      </c>
      <c r="J94" s="543">
        <f t="shared" si="3"/>
        <v>466170.8</v>
      </c>
      <c r="K94" s="813" t="s">
        <v>215</v>
      </c>
      <c r="L94" s="557" t="s">
        <v>35</v>
      </c>
      <c r="M94" s="536"/>
      <c r="N94" s="536"/>
      <c r="O94" s="536"/>
      <c r="P94" s="536"/>
      <c r="Q94" s="547"/>
      <c r="R94" s="547"/>
      <c r="S94" s="548"/>
      <c r="T94" s="548"/>
      <c r="U94" s="548"/>
      <c r="V94" s="548"/>
      <c r="W94" s="548"/>
      <c r="X94" s="549"/>
    </row>
    <row r="95" spans="3:24" s="550" customFormat="1" ht="12.95" customHeight="1">
      <c r="C95" s="536" t="s">
        <v>588</v>
      </c>
      <c r="D95" s="537">
        <v>45243</v>
      </c>
      <c r="E95" s="538"/>
      <c r="F95" s="559" t="s">
        <v>610</v>
      </c>
      <c r="G95" s="558"/>
      <c r="H95" s="541">
        <v>64900</v>
      </c>
      <c r="I95" s="542">
        <f t="shared" si="2"/>
        <v>11682</v>
      </c>
      <c r="J95" s="543">
        <f t="shared" si="3"/>
        <v>76582</v>
      </c>
      <c r="K95" s="813" t="s">
        <v>215</v>
      </c>
      <c r="L95" s="557" t="s">
        <v>48</v>
      </c>
      <c r="M95" s="536"/>
      <c r="N95" s="536"/>
      <c r="O95" s="536"/>
      <c r="P95" s="536"/>
      <c r="Q95" s="547"/>
      <c r="R95" s="547"/>
      <c r="S95" s="548"/>
      <c r="T95" s="548"/>
      <c r="U95" s="548"/>
      <c r="V95" s="548"/>
      <c r="W95" s="548"/>
      <c r="X95" s="549"/>
    </row>
    <row r="96" spans="3:24" s="550" customFormat="1" ht="12.95" customHeight="1">
      <c r="C96" s="536" t="s">
        <v>588</v>
      </c>
      <c r="D96" s="537">
        <v>45243</v>
      </c>
      <c r="E96" s="538"/>
      <c r="F96" s="559" t="s">
        <v>610</v>
      </c>
      <c r="G96" s="558"/>
      <c r="H96" s="541">
        <v>32100</v>
      </c>
      <c r="I96" s="542">
        <f t="shared" si="2"/>
        <v>5778</v>
      </c>
      <c r="J96" s="543">
        <f t="shared" si="3"/>
        <v>37878</v>
      </c>
      <c r="K96" s="813" t="s">
        <v>215</v>
      </c>
      <c r="L96" s="557" t="s">
        <v>83</v>
      </c>
      <c r="M96" s="536"/>
      <c r="N96" s="536"/>
      <c r="O96" s="536"/>
      <c r="P96" s="536"/>
      <c r="Q96" s="547"/>
      <c r="R96" s="547"/>
      <c r="S96" s="548"/>
      <c r="T96" s="548"/>
      <c r="U96" s="548"/>
      <c r="V96" s="548"/>
      <c r="W96" s="548"/>
      <c r="X96" s="549"/>
    </row>
    <row r="97" spans="3:24" s="550" customFormat="1" ht="12.95" customHeight="1">
      <c r="C97" s="536" t="s">
        <v>588</v>
      </c>
      <c r="D97" s="537">
        <v>45243</v>
      </c>
      <c r="E97" s="538"/>
      <c r="F97" s="559" t="s">
        <v>610</v>
      </c>
      <c r="G97" s="558"/>
      <c r="H97" s="541">
        <v>44450</v>
      </c>
      <c r="I97" s="542">
        <f t="shared" si="2"/>
        <v>8001</v>
      </c>
      <c r="J97" s="543">
        <f t="shared" si="3"/>
        <v>52451</v>
      </c>
      <c r="K97" s="813" t="s">
        <v>215</v>
      </c>
      <c r="L97" s="557" t="s">
        <v>31</v>
      </c>
      <c r="M97" s="536"/>
      <c r="N97" s="536"/>
      <c r="O97" s="536"/>
      <c r="P97" s="536"/>
      <c r="Q97" s="547"/>
      <c r="R97" s="547"/>
      <c r="S97" s="548"/>
      <c r="T97" s="548"/>
      <c r="U97" s="548"/>
      <c r="V97" s="548"/>
      <c r="W97" s="548"/>
      <c r="X97" s="549"/>
    </row>
    <row r="98" spans="3:24" s="550" customFormat="1" ht="12.95" customHeight="1">
      <c r="C98" s="536" t="s">
        <v>588</v>
      </c>
      <c r="D98" s="537">
        <v>45243</v>
      </c>
      <c r="E98" s="538"/>
      <c r="F98" s="559" t="s">
        <v>610</v>
      </c>
      <c r="G98" s="558"/>
      <c r="H98" s="541">
        <v>1500</v>
      </c>
      <c r="I98" s="542">
        <f t="shared" si="2"/>
        <v>270</v>
      </c>
      <c r="J98" s="543">
        <f t="shared" si="3"/>
        <v>1770</v>
      </c>
      <c r="K98" s="813" t="s">
        <v>215</v>
      </c>
      <c r="L98" s="557" t="s">
        <v>33</v>
      </c>
      <c r="M98" s="536"/>
      <c r="N98" s="536"/>
      <c r="O98" s="536"/>
      <c r="P98" s="536"/>
      <c r="Q98" s="547"/>
      <c r="R98" s="547"/>
      <c r="S98" s="548"/>
      <c r="T98" s="548"/>
      <c r="U98" s="548"/>
      <c r="V98" s="548"/>
      <c r="W98" s="548"/>
      <c r="X98" s="549"/>
    </row>
    <row r="99" spans="3:24" s="550" customFormat="1" ht="12.95" customHeight="1">
      <c r="C99" s="536" t="s">
        <v>602</v>
      </c>
      <c r="D99" s="537">
        <v>45240</v>
      </c>
      <c r="E99" s="538"/>
      <c r="F99" s="630" t="s">
        <v>611</v>
      </c>
      <c r="G99" s="558"/>
      <c r="H99" s="541">
        <f>1899933*0</f>
        <v>0</v>
      </c>
      <c r="I99" s="542">
        <f t="shared" si="2"/>
        <v>0</v>
      </c>
      <c r="J99" s="543">
        <f t="shared" si="3"/>
        <v>0</v>
      </c>
      <c r="K99" s="813" t="s">
        <v>505</v>
      </c>
      <c r="L99" s="544" t="s">
        <v>590</v>
      </c>
      <c r="M99" s="536" t="s">
        <v>556</v>
      </c>
      <c r="N99" s="536" t="s">
        <v>556</v>
      </c>
      <c r="O99" s="536"/>
      <c r="P99" s="536"/>
      <c r="Q99" s="547"/>
      <c r="R99" s="547"/>
      <c r="S99" s="548"/>
      <c r="T99" s="548"/>
      <c r="U99" s="548"/>
      <c r="V99" s="548"/>
      <c r="W99" s="548"/>
      <c r="X99" s="549"/>
    </row>
    <row r="100" spans="3:24" s="550" customFormat="1" ht="12.95" customHeight="1">
      <c r="C100" s="536" t="s">
        <v>602</v>
      </c>
      <c r="D100" s="537">
        <v>45243</v>
      </c>
      <c r="E100" s="538"/>
      <c r="F100" s="559" t="s">
        <v>612</v>
      </c>
      <c r="G100" s="558"/>
      <c r="H100" s="541">
        <f>1925818*0</f>
        <v>0</v>
      </c>
      <c r="I100" s="542">
        <f t="shared" si="2"/>
        <v>0</v>
      </c>
      <c r="J100" s="543">
        <f t="shared" si="3"/>
        <v>0</v>
      </c>
      <c r="K100" s="813" t="s">
        <v>506</v>
      </c>
      <c r="L100" s="544" t="s">
        <v>590</v>
      </c>
      <c r="M100" s="536" t="s">
        <v>556</v>
      </c>
      <c r="N100" s="536" t="s">
        <v>556</v>
      </c>
      <c r="O100" s="536"/>
      <c r="P100" s="536"/>
      <c r="Q100" s="547"/>
      <c r="R100" s="547"/>
      <c r="S100" s="548"/>
      <c r="T100" s="548"/>
      <c r="U100" s="548"/>
      <c r="V100" s="548"/>
      <c r="W100" s="548"/>
      <c r="X100" s="549"/>
    </row>
    <row r="101" spans="3:24" s="571" customFormat="1" ht="39" customHeight="1">
      <c r="C101" s="560" t="s">
        <v>594</v>
      </c>
      <c r="D101" s="561">
        <v>45240</v>
      </c>
      <c r="E101" s="562"/>
      <c r="F101" s="563" t="s">
        <v>613</v>
      </c>
      <c r="G101" s="558"/>
      <c r="H101" s="564">
        <v>151425</v>
      </c>
      <c r="I101" s="565">
        <f t="shared" si="2"/>
        <v>27256.5</v>
      </c>
      <c r="J101" s="566">
        <f t="shared" si="3"/>
        <v>178681.5</v>
      </c>
      <c r="K101" s="813" t="s">
        <v>510</v>
      </c>
      <c r="L101" s="567" t="s">
        <v>601</v>
      </c>
      <c r="M101" s="536"/>
      <c r="N101" s="560"/>
      <c r="O101" s="560"/>
      <c r="P101" s="560"/>
      <c r="Q101" s="568"/>
      <c r="R101" s="568"/>
      <c r="S101" s="569"/>
      <c r="T101" s="569"/>
      <c r="U101" s="569"/>
      <c r="V101" s="569"/>
      <c r="W101" s="569"/>
      <c r="X101" s="570"/>
    </row>
    <row r="102" spans="3:24" s="571" customFormat="1" ht="39" customHeight="1">
      <c r="C102" s="560" t="s">
        <v>594</v>
      </c>
      <c r="D102" s="561">
        <v>45240</v>
      </c>
      <c r="E102" s="562"/>
      <c r="F102" s="563" t="s">
        <v>613</v>
      </c>
      <c r="G102" s="558"/>
      <c r="H102" s="564">
        <v>1007750</v>
      </c>
      <c r="I102" s="565">
        <f t="shared" si="2"/>
        <v>181395</v>
      </c>
      <c r="J102" s="566">
        <f t="shared" si="3"/>
        <v>1189145</v>
      </c>
      <c r="K102" s="813" t="s">
        <v>510</v>
      </c>
      <c r="L102" s="567" t="s">
        <v>35</v>
      </c>
      <c r="M102" s="536"/>
      <c r="N102" s="560"/>
      <c r="O102" s="560"/>
      <c r="P102" s="560"/>
      <c r="Q102" s="568"/>
      <c r="R102" s="568"/>
      <c r="S102" s="569"/>
      <c r="T102" s="569"/>
      <c r="U102" s="569"/>
      <c r="V102" s="569"/>
      <c r="W102" s="569"/>
      <c r="X102" s="570"/>
    </row>
    <row r="103" spans="3:24" s="571" customFormat="1" ht="39" customHeight="1">
      <c r="C103" s="560" t="s">
        <v>594</v>
      </c>
      <c r="D103" s="561">
        <v>45240</v>
      </c>
      <c r="E103" s="562"/>
      <c r="F103" s="563" t="s">
        <v>613</v>
      </c>
      <c r="G103" s="558"/>
      <c r="H103" s="564">
        <v>598200</v>
      </c>
      <c r="I103" s="565">
        <f t="shared" si="2"/>
        <v>107676</v>
      </c>
      <c r="J103" s="566">
        <f t="shared" si="3"/>
        <v>705876</v>
      </c>
      <c r="K103" s="813" t="s">
        <v>510</v>
      </c>
      <c r="L103" s="567" t="s">
        <v>36</v>
      </c>
      <c r="M103" s="536"/>
      <c r="N103" s="560"/>
      <c r="O103" s="560"/>
      <c r="P103" s="560"/>
      <c r="Q103" s="568"/>
      <c r="R103" s="568"/>
      <c r="S103" s="569"/>
      <c r="T103" s="569"/>
      <c r="U103" s="569"/>
      <c r="V103" s="569"/>
      <c r="W103" s="569"/>
      <c r="X103" s="570"/>
    </row>
    <row r="104" spans="3:24" s="571" customFormat="1" ht="39" customHeight="1">
      <c r="C104" s="560" t="s">
        <v>594</v>
      </c>
      <c r="D104" s="561">
        <v>45240</v>
      </c>
      <c r="E104" s="562"/>
      <c r="F104" s="563" t="s">
        <v>613</v>
      </c>
      <c r="G104" s="558"/>
      <c r="H104" s="564">
        <v>295750</v>
      </c>
      <c r="I104" s="565">
        <f t="shared" si="2"/>
        <v>53235</v>
      </c>
      <c r="J104" s="566">
        <f t="shared" si="3"/>
        <v>348985</v>
      </c>
      <c r="K104" s="813" t="s">
        <v>510</v>
      </c>
      <c r="L104" s="567" t="s">
        <v>48</v>
      </c>
      <c r="M104" s="536"/>
      <c r="N104" s="560"/>
      <c r="O104" s="560"/>
      <c r="P104" s="560"/>
      <c r="Q104" s="568"/>
      <c r="R104" s="568"/>
      <c r="S104" s="569"/>
      <c r="T104" s="569"/>
      <c r="U104" s="569"/>
      <c r="V104" s="569"/>
      <c r="W104" s="569"/>
      <c r="X104" s="570"/>
    </row>
    <row r="105" spans="3:24" s="571" customFormat="1" ht="39" customHeight="1">
      <c r="C105" s="560" t="s">
        <v>594</v>
      </c>
      <c r="D105" s="561">
        <v>45240</v>
      </c>
      <c r="E105" s="562"/>
      <c r="F105" s="563" t="s">
        <v>613</v>
      </c>
      <c r="G105" s="558"/>
      <c r="H105" s="564">
        <f>109400</f>
        <v>109400</v>
      </c>
      <c r="I105" s="565">
        <f t="shared" si="2"/>
        <v>19692</v>
      </c>
      <c r="J105" s="566">
        <f t="shared" si="3"/>
        <v>129092</v>
      </c>
      <c r="K105" s="813" t="s">
        <v>510</v>
      </c>
      <c r="L105" s="567" t="s">
        <v>31</v>
      </c>
      <c r="M105" s="536"/>
      <c r="N105" s="560"/>
      <c r="O105" s="560"/>
      <c r="P105" s="560"/>
      <c r="Q105" s="568"/>
      <c r="R105" s="568"/>
      <c r="S105" s="569"/>
      <c r="T105" s="569"/>
      <c r="U105" s="569"/>
      <c r="V105" s="569"/>
      <c r="W105" s="569"/>
      <c r="X105" s="570"/>
    </row>
    <row r="106" spans="3:24" s="571" customFormat="1" ht="39" customHeight="1">
      <c r="C106" s="560" t="s">
        <v>594</v>
      </c>
      <c r="D106" s="561">
        <v>45240</v>
      </c>
      <c r="E106" s="562"/>
      <c r="F106" s="563" t="s">
        <v>613</v>
      </c>
      <c r="G106" s="558"/>
      <c r="H106" s="564">
        <v>50150</v>
      </c>
      <c r="I106" s="565">
        <f t="shared" si="2"/>
        <v>9027</v>
      </c>
      <c r="J106" s="566">
        <f t="shared" si="3"/>
        <v>59177</v>
      </c>
      <c r="K106" s="813" t="s">
        <v>510</v>
      </c>
      <c r="L106" s="567" t="s">
        <v>83</v>
      </c>
      <c r="M106" s="536"/>
      <c r="N106" s="560"/>
      <c r="O106" s="560"/>
      <c r="P106" s="560"/>
      <c r="Q106" s="568"/>
      <c r="R106" s="568"/>
      <c r="S106" s="569"/>
      <c r="T106" s="569"/>
      <c r="U106" s="569"/>
      <c r="V106" s="569"/>
      <c r="W106" s="569"/>
      <c r="X106" s="570"/>
    </row>
    <row r="107" spans="3:24" s="571" customFormat="1" ht="39" customHeight="1">
      <c r="C107" s="560" t="s">
        <v>594</v>
      </c>
      <c r="D107" s="561">
        <v>45240</v>
      </c>
      <c r="E107" s="562"/>
      <c r="F107" s="563" t="s">
        <v>613</v>
      </c>
      <c r="G107" s="558"/>
      <c r="H107" s="564">
        <f>272695+43200+381600+749296</f>
        <v>1446791</v>
      </c>
      <c r="I107" s="565">
        <f t="shared" si="2"/>
        <v>260422.38</v>
      </c>
      <c r="J107" s="566">
        <f t="shared" si="3"/>
        <v>1707213.38</v>
      </c>
      <c r="K107" s="813" t="s">
        <v>510</v>
      </c>
      <c r="L107" s="567" t="s">
        <v>596</v>
      </c>
      <c r="M107" s="536"/>
      <c r="N107" s="560"/>
      <c r="O107" s="560"/>
      <c r="P107" s="560"/>
      <c r="Q107" s="568"/>
      <c r="R107" s="568"/>
      <c r="S107" s="569"/>
      <c r="T107" s="569"/>
      <c r="U107" s="569"/>
      <c r="V107" s="569"/>
      <c r="W107" s="569"/>
      <c r="X107" s="570"/>
    </row>
    <row r="108" spans="3:24" s="571" customFormat="1" ht="39" customHeight="1">
      <c r="C108" s="560" t="s">
        <v>594</v>
      </c>
      <c r="D108" s="561">
        <v>45240</v>
      </c>
      <c r="E108" s="562"/>
      <c r="F108" s="563" t="s">
        <v>613</v>
      </c>
      <c r="G108" s="558"/>
      <c r="H108" s="564">
        <f>677422</f>
        <v>677422</v>
      </c>
      <c r="I108" s="565">
        <f t="shared" si="2"/>
        <v>121935.95999999999</v>
      </c>
      <c r="J108" s="566">
        <f t="shared" si="3"/>
        <v>799357.96</v>
      </c>
      <c r="K108" s="813" t="s">
        <v>510</v>
      </c>
      <c r="L108" s="567" t="s">
        <v>26</v>
      </c>
      <c r="M108" s="536"/>
      <c r="N108" s="560"/>
      <c r="O108" s="560"/>
      <c r="P108" s="560"/>
      <c r="Q108" s="568"/>
      <c r="R108" s="568"/>
      <c r="S108" s="569"/>
      <c r="T108" s="569"/>
      <c r="U108" s="569"/>
      <c r="V108" s="569"/>
      <c r="W108" s="569"/>
      <c r="X108" s="570"/>
    </row>
    <row r="109" spans="3:24" s="571" customFormat="1" ht="39" customHeight="1">
      <c r="C109" s="560" t="s">
        <v>594</v>
      </c>
      <c r="D109" s="561">
        <v>45240</v>
      </c>
      <c r="E109" s="562"/>
      <c r="F109" s="563" t="s">
        <v>613</v>
      </c>
      <c r="G109" s="558"/>
      <c r="H109" s="564">
        <v>25000</v>
      </c>
      <c r="I109" s="565">
        <f t="shared" si="2"/>
        <v>4500</v>
      </c>
      <c r="J109" s="566">
        <f t="shared" si="3"/>
        <v>29500</v>
      </c>
      <c r="K109" s="813" t="s">
        <v>510</v>
      </c>
      <c r="L109" s="567" t="s">
        <v>58</v>
      </c>
      <c r="M109" s="536"/>
      <c r="N109" s="560"/>
      <c r="O109" s="560"/>
      <c r="P109" s="560"/>
      <c r="Q109" s="568"/>
      <c r="R109" s="568"/>
      <c r="S109" s="569"/>
      <c r="T109" s="569"/>
      <c r="U109" s="569"/>
      <c r="V109" s="569"/>
      <c r="W109" s="569"/>
      <c r="X109" s="570"/>
    </row>
    <row r="110" spans="3:24" s="571" customFormat="1" ht="39" customHeight="1">
      <c r="C110" s="560" t="s">
        <v>594</v>
      </c>
      <c r="D110" s="561">
        <v>45240</v>
      </c>
      <c r="E110" s="562"/>
      <c r="F110" s="563" t="s">
        <v>613</v>
      </c>
      <c r="G110" s="558"/>
      <c r="H110" s="564">
        <f>93500+399300+32000</f>
        <v>524800</v>
      </c>
      <c r="I110" s="565">
        <f t="shared" si="2"/>
        <v>94464</v>
      </c>
      <c r="J110" s="566">
        <f t="shared" si="3"/>
        <v>619264</v>
      </c>
      <c r="K110" s="813" t="s">
        <v>510</v>
      </c>
      <c r="L110" s="567" t="s">
        <v>24</v>
      </c>
      <c r="M110" s="536"/>
      <c r="N110" s="560"/>
      <c r="O110" s="560"/>
      <c r="P110" s="560"/>
      <c r="Q110" s="568"/>
      <c r="R110" s="568"/>
      <c r="S110" s="569"/>
      <c r="T110" s="569"/>
      <c r="U110" s="569"/>
      <c r="V110" s="569"/>
      <c r="W110" s="569"/>
      <c r="X110" s="570"/>
    </row>
    <row r="111" spans="3:24" s="571" customFormat="1" ht="39" customHeight="1">
      <c r="C111" s="560" t="s">
        <v>594</v>
      </c>
      <c r="D111" s="561">
        <v>45240</v>
      </c>
      <c r="E111" s="562"/>
      <c r="F111" s="563" t="s">
        <v>613</v>
      </c>
      <c r="G111" s="558"/>
      <c r="H111" s="564">
        <v>76250</v>
      </c>
      <c r="I111" s="565">
        <f t="shared" si="2"/>
        <v>13725</v>
      </c>
      <c r="J111" s="566">
        <f t="shared" si="3"/>
        <v>89975</v>
      </c>
      <c r="K111" s="813" t="s">
        <v>510</v>
      </c>
      <c r="L111" s="567" t="s">
        <v>33</v>
      </c>
      <c r="M111" s="536"/>
      <c r="N111" s="560"/>
      <c r="O111" s="560"/>
      <c r="P111" s="560"/>
      <c r="Q111" s="568"/>
      <c r="R111" s="568"/>
      <c r="S111" s="569"/>
      <c r="T111" s="569"/>
      <c r="U111" s="569"/>
      <c r="V111" s="569"/>
      <c r="W111" s="569"/>
      <c r="X111" s="570"/>
    </row>
    <row r="112" spans="3:24" s="550" customFormat="1" ht="26.1" customHeight="1">
      <c r="C112" s="536" t="s">
        <v>594</v>
      </c>
      <c r="D112" s="561">
        <v>45244</v>
      </c>
      <c r="E112" s="538"/>
      <c r="F112" s="559" t="s">
        <v>614</v>
      </c>
      <c r="G112" s="558"/>
      <c r="H112" s="541">
        <v>845675</v>
      </c>
      <c r="I112" s="542">
        <f t="shared" si="2"/>
        <v>152221.5</v>
      </c>
      <c r="J112" s="543">
        <f t="shared" si="3"/>
        <v>997896.5</v>
      </c>
      <c r="K112" s="813" t="s">
        <v>500</v>
      </c>
      <c r="L112" s="557" t="s">
        <v>35</v>
      </c>
      <c r="M112" s="536"/>
      <c r="N112" s="560"/>
      <c r="O112" s="536"/>
      <c r="P112" s="536"/>
      <c r="Q112" s="547"/>
      <c r="R112" s="547"/>
      <c r="S112" s="548"/>
      <c r="T112" s="548"/>
      <c r="U112" s="548"/>
      <c r="V112" s="548"/>
      <c r="W112" s="548"/>
      <c r="X112" s="549"/>
    </row>
    <row r="113" spans="3:24" s="550" customFormat="1" ht="26.1" customHeight="1">
      <c r="C113" s="536" t="s">
        <v>594</v>
      </c>
      <c r="D113" s="561">
        <v>45244</v>
      </c>
      <c r="E113" s="538"/>
      <c r="F113" s="559" t="s">
        <v>614</v>
      </c>
      <c r="G113" s="558"/>
      <c r="H113" s="541">
        <v>197250</v>
      </c>
      <c r="I113" s="542">
        <f t="shared" si="2"/>
        <v>35505</v>
      </c>
      <c r="J113" s="543">
        <f t="shared" si="3"/>
        <v>232755</v>
      </c>
      <c r="K113" s="813" t="s">
        <v>500</v>
      </c>
      <c r="L113" s="557" t="s">
        <v>601</v>
      </c>
      <c r="M113" s="536"/>
      <c r="N113" s="560"/>
      <c r="O113" s="536"/>
      <c r="P113" s="536"/>
      <c r="Q113" s="547"/>
      <c r="R113" s="547"/>
      <c r="S113" s="548"/>
      <c r="T113" s="548"/>
      <c r="U113" s="548"/>
      <c r="V113" s="548"/>
      <c r="W113" s="548"/>
      <c r="X113" s="549"/>
    </row>
    <row r="114" spans="3:24" s="550" customFormat="1" ht="26.1" customHeight="1">
      <c r="C114" s="536" t="s">
        <v>594</v>
      </c>
      <c r="D114" s="561">
        <v>45244</v>
      </c>
      <c r="E114" s="538"/>
      <c r="F114" s="559" t="s">
        <v>614</v>
      </c>
      <c r="G114" s="558"/>
      <c r="H114" s="541">
        <v>565050</v>
      </c>
      <c r="I114" s="542">
        <f t="shared" si="2"/>
        <v>101709</v>
      </c>
      <c r="J114" s="543">
        <f t="shared" si="3"/>
        <v>666759</v>
      </c>
      <c r="K114" s="813" t="s">
        <v>500</v>
      </c>
      <c r="L114" s="557" t="s">
        <v>36</v>
      </c>
      <c r="M114" s="536"/>
      <c r="N114" s="560"/>
      <c r="O114" s="536"/>
      <c r="P114" s="536"/>
      <c r="Q114" s="547"/>
      <c r="R114" s="547"/>
      <c r="S114" s="548"/>
      <c r="T114" s="548"/>
      <c r="U114" s="548"/>
      <c r="V114" s="548"/>
      <c r="W114" s="548"/>
      <c r="X114" s="549"/>
    </row>
    <row r="115" spans="3:24" s="550" customFormat="1" ht="26.1" customHeight="1">
      <c r="C115" s="536" t="s">
        <v>594</v>
      </c>
      <c r="D115" s="561">
        <v>45244</v>
      </c>
      <c r="E115" s="538"/>
      <c r="F115" s="559" t="s">
        <v>614</v>
      </c>
      <c r="G115" s="558"/>
      <c r="H115" s="541">
        <v>157800</v>
      </c>
      <c r="I115" s="542">
        <f t="shared" si="2"/>
        <v>28404</v>
      </c>
      <c r="J115" s="543">
        <f t="shared" si="3"/>
        <v>186204</v>
      </c>
      <c r="K115" s="813" t="s">
        <v>500</v>
      </c>
      <c r="L115" s="557" t="s">
        <v>31</v>
      </c>
      <c r="M115" s="536"/>
      <c r="N115" s="560"/>
      <c r="O115" s="536"/>
      <c r="P115" s="536"/>
      <c r="Q115" s="547"/>
      <c r="R115" s="547"/>
      <c r="S115" s="548"/>
      <c r="T115" s="548"/>
      <c r="U115" s="548"/>
      <c r="V115" s="548"/>
      <c r="W115" s="548"/>
      <c r="X115" s="549"/>
    </row>
    <row r="116" spans="3:24" s="550" customFormat="1" ht="26.1" customHeight="1">
      <c r="C116" s="536" t="s">
        <v>594</v>
      </c>
      <c r="D116" s="561">
        <v>45244</v>
      </c>
      <c r="E116" s="538"/>
      <c r="F116" s="559" t="s">
        <v>614</v>
      </c>
      <c r="G116" s="558"/>
      <c r="H116" s="541">
        <v>79875</v>
      </c>
      <c r="I116" s="542">
        <f t="shared" si="2"/>
        <v>14377.5</v>
      </c>
      <c r="J116" s="543">
        <f t="shared" si="3"/>
        <v>94252.5</v>
      </c>
      <c r="K116" s="813" t="s">
        <v>500</v>
      </c>
      <c r="L116" s="557" t="s">
        <v>45</v>
      </c>
      <c r="M116" s="536"/>
      <c r="N116" s="560"/>
      <c r="O116" s="536"/>
      <c r="P116" s="536"/>
      <c r="Q116" s="547"/>
      <c r="R116" s="547"/>
      <c r="S116" s="548"/>
      <c r="T116" s="548"/>
      <c r="U116" s="548"/>
      <c r="V116" s="548"/>
      <c r="W116" s="548"/>
      <c r="X116" s="549"/>
    </row>
    <row r="117" spans="3:24" s="550" customFormat="1" ht="26.1" customHeight="1">
      <c r="C117" s="536" t="s">
        <v>594</v>
      </c>
      <c r="D117" s="561">
        <v>45244</v>
      </c>
      <c r="E117" s="538"/>
      <c r="F117" s="559" t="s">
        <v>614</v>
      </c>
      <c r="G117" s="558"/>
      <c r="H117" s="541">
        <v>194700</v>
      </c>
      <c r="I117" s="542">
        <f t="shared" si="2"/>
        <v>35046</v>
      </c>
      <c r="J117" s="543">
        <f t="shared" si="3"/>
        <v>229746</v>
      </c>
      <c r="K117" s="813" t="s">
        <v>500</v>
      </c>
      <c r="L117" s="557" t="s">
        <v>33</v>
      </c>
      <c r="M117" s="536"/>
      <c r="N117" s="560"/>
      <c r="O117" s="536"/>
      <c r="P117" s="536"/>
      <c r="Q117" s="547"/>
      <c r="R117" s="547"/>
      <c r="S117" s="548"/>
      <c r="T117" s="548"/>
      <c r="U117" s="548"/>
      <c r="V117" s="548"/>
      <c r="W117" s="548"/>
      <c r="X117" s="549"/>
    </row>
    <row r="118" spans="3:24" s="550" customFormat="1" ht="26.1" customHeight="1">
      <c r="C118" s="536" t="s">
        <v>594</v>
      </c>
      <c r="D118" s="561">
        <v>45244</v>
      </c>
      <c r="E118" s="538"/>
      <c r="F118" s="559" t="s">
        <v>614</v>
      </c>
      <c r="G118" s="558"/>
      <c r="H118" s="541">
        <v>54200</v>
      </c>
      <c r="I118" s="542">
        <f t="shared" si="2"/>
        <v>9756</v>
      </c>
      <c r="J118" s="543">
        <f t="shared" si="3"/>
        <v>63956</v>
      </c>
      <c r="K118" s="813" t="s">
        <v>500</v>
      </c>
      <c r="L118" s="557" t="s">
        <v>83</v>
      </c>
      <c r="M118" s="536"/>
      <c r="N118" s="560"/>
      <c r="O118" s="536"/>
      <c r="P118" s="536"/>
      <c r="Q118" s="547"/>
      <c r="R118" s="547"/>
      <c r="S118" s="548"/>
      <c r="T118" s="548"/>
      <c r="U118" s="548"/>
      <c r="V118" s="548"/>
      <c r="W118" s="548"/>
      <c r="X118" s="549"/>
    </row>
    <row r="119" spans="3:24" s="571" customFormat="1" ht="28.5" customHeight="1">
      <c r="C119" s="560" t="s">
        <v>588</v>
      </c>
      <c r="D119" s="561">
        <v>45244</v>
      </c>
      <c r="E119" s="562"/>
      <c r="F119" s="563" t="s">
        <v>615</v>
      </c>
      <c r="G119" s="558"/>
      <c r="H119" s="564">
        <v>1148285</v>
      </c>
      <c r="I119" s="565">
        <f t="shared" si="2"/>
        <v>206691.3</v>
      </c>
      <c r="J119" s="566">
        <f t="shared" si="3"/>
        <v>1354976.3</v>
      </c>
      <c r="K119" s="813" t="s">
        <v>501</v>
      </c>
      <c r="L119" s="567" t="s">
        <v>35</v>
      </c>
      <c r="M119" s="536"/>
      <c r="N119" s="560"/>
      <c r="O119" s="560"/>
      <c r="P119" s="560"/>
      <c r="Q119" s="568"/>
      <c r="R119" s="568"/>
      <c r="S119" s="569"/>
      <c r="T119" s="569"/>
      <c r="U119" s="569"/>
      <c r="V119" s="569"/>
      <c r="W119" s="569"/>
      <c r="X119" s="570"/>
    </row>
    <row r="120" spans="3:24" s="571" customFormat="1" ht="28.5" customHeight="1">
      <c r="C120" s="560" t="s">
        <v>588</v>
      </c>
      <c r="D120" s="561">
        <v>45244</v>
      </c>
      <c r="E120" s="562"/>
      <c r="F120" s="563" t="s">
        <v>615</v>
      </c>
      <c r="G120" s="558"/>
      <c r="H120" s="564">
        <v>153430</v>
      </c>
      <c r="I120" s="565">
        <f t="shared" si="2"/>
        <v>27617.399999999998</v>
      </c>
      <c r="J120" s="566">
        <f t="shared" si="3"/>
        <v>181047.4</v>
      </c>
      <c r="K120" s="813" t="s">
        <v>501</v>
      </c>
      <c r="L120" s="567" t="s">
        <v>34</v>
      </c>
      <c r="M120" s="536"/>
      <c r="N120" s="560"/>
      <c r="O120" s="560"/>
      <c r="P120" s="560"/>
      <c r="Q120" s="568"/>
      <c r="R120" s="568"/>
      <c r="S120" s="569"/>
      <c r="T120" s="569"/>
      <c r="U120" s="569"/>
      <c r="V120" s="569"/>
      <c r="W120" s="569"/>
      <c r="X120" s="570"/>
    </row>
    <row r="121" spans="3:24" s="571" customFormat="1" ht="28.5" customHeight="1">
      <c r="C121" s="560" t="s">
        <v>588</v>
      </c>
      <c r="D121" s="561">
        <v>45244</v>
      </c>
      <c r="E121" s="562"/>
      <c r="F121" s="563" t="s">
        <v>615</v>
      </c>
      <c r="G121" s="558"/>
      <c r="H121" s="564">
        <v>799245</v>
      </c>
      <c r="I121" s="565">
        <f t="shared" si="2"/>
        <v>143864.1</v>
      </c>
      <c r="J121" s="566">
        <f t="shared" si="3"/>
        <v>943109.1</v>
      </c>
      <c r="K121" s="813" t="s">
        <v>501</v>
      </c>
      <c r="L121" s="567" t="s">
        <v>36</v>
      </c>
      <c r="M121" s="536"/>
      <c r="N121" s="560"/>
      <c r="O121" s="560"/>
      <c r="P121" s="560"/>
      <c r="Q121" s="568"/>
      <c r="R121" s="568"/>
      <c r="S121" s="569"/>
      <c r="T121" s="569"/>
      <c r="U121" s="569"/>
      <c r="V121" s="569"/>
      <c r="W121" s="569"/>
      <c r="X121" s="570"/>
    </row>
    <row r="122" spans="3:24" s="571" customFormat="1" ht="28.5" customHeight="1">
      <c r="C122" s="560" t="s">
        <v>588</v>
      </c>
      <c r="D122" s="561">
        <v>45244</v>
      </c>
      <c r="E122" s="562"/>
      <c r="F122" s="563" t="s">
        <v>615</v>
      </c>
      <c r="G122" s="558"/>
      <c r="H122" s="564">
        <v>155465</v>
      </c>
      <c r="I122" s="565">
        <f t="shared" si="2"/>
        <v>27983.7</v>
      </c>
      <c r="J122" s="566">
        <f t="shared" si="3"/>
        <v>183448.7</v>
      </c>
      <c r="K122" s="813" t="s">
        <v>501</v>
      </c>
      <c r="L122" s="567" t="s">
        <v>31</v>
      </c>
      <c r="M122" s="536"/>
      <c r="N122" s="560"/>
      <c r="O122" s="560"/>
      <c r="P122" s="560"/>
      <c r="Q122" s="568"/>
      <c r="R122" s="568"/>
      <c r="S122" s="569"/>
      <c r="T122" s="569"/>
      <c r="U122" s="569"/>
      <c r="V122" s="569"/>
      <c r="W122" s="569"/>
      <c r="X122" s="570"/>
    </row>
    <row r="123" spans="3:24" s="571" customFormat="1" ht="28.5" customHeight="1">
      <c r="C123" s="560" t="s">
        <v>588</v>
      </c>
      <c r="D123" s="561">
        <v>45244</v>
      </c>
      <c r="E123" s="562"/>
      <c r="F123" s="563" t="s">
        <v>615</v>
      </c>
      <c r="G123" s="558"/>
      <c r="H123" s="564">
        <v>99300</v>
      </c>
      <c r="I123" s="565">
        <f t="shared" si="2"/>
        <v>17874</v>
      </c>
      <c r="J123" s="566">
        <f t="shared" si="3"/>
        <v>117174</v>
      </c>
      <c r="K123" s="813" t="s">
        <v>501</v>
      </c>
      <c r="L123" s="567" t="s">
        <v>83</v>
      </c>
      <c r="M123" s="536"/>
      <c r="N123" s="560"/>
      <c r="O123" s="560"/>
      <c r="P123" s="560"/>
      <c r="Q123" s="568"/>
      <c r="R123" s="568"/>
      <c r="S123" s="569"/>
      <c r="T123" s="569"/>
      <c r="U123" s="569"/>
      <c r="V123" s="569"/>
      <c r="W123" s="569"/>
      <c r="X123" s="570"/>
    </row>
    <row r="124" spans="3:24" s="571" customFormat="1" ht="28.5" customHeight="1">
      <c r="C124" s="560" t="s">
        <v>588</v>
      </c>
      <c r="D124" s="561">
        <v>45244</v>
      </c>
      <c r="E124" s="562"/>
      <c r="F124" s="563" t="s">
        <v>615</v>
      </c>
      <c r="G124" s="558"/>
      <c r="H124" s="564">
        <v>149675</v>
      </c>
      <c r="I124" s="565">
        <f t="shared" si="2"/>
        <v>26941.5</v>
      </c>
      <c r="J124" s="566">
        <f t="shared" si="3"/>
        <v>176616.5</v>
      </c>
      <c r="K124" s="813" t="s">
        <v>501</v>
      </c>
      <c r="L124" s="567" t="s">
        <v>33</v>
      </c>
      <c r="M124" s="536"/>
      <c r="N124" s="560"/>
      <c r="O124" s="560"/>
      <c r="P124" s="560"/>
      <c r="Q124" s="568"/>
      <c r="R124" s="568"/>
      <c r="S124" s="569"/>
      <c r="T124" s="569"/>
      <c r="U124" s="569"/>
      <c r="V124" s="569"/>
      <c r="W124" s="569"/>
      <c r="X124" s="570"/>
    </row>
    <row r="125" spans="3:24" s="571" customFormat="1" ht="28.5" customHeight="1">
      <c r="C125" s="560" t="s">
        <v>588</v>
      </c>
      <c r="D125" s="561">
        <v>45244</v>
      </c>
      <c r="E125" s="562"/>
      <c r="F125" s="563" t="s">
        <v>615</v>
      </c>
      <c r="G125" s="558"/>
      <c r="H125" s="564">
        <v>125550</v>
      </c>
      <c r="I125" s="565">
        <f t="shared" si="2"/>
        <v>22599</v>
      </c>
      <c r="J125" s="566">
        <f t="shared" si="3"/>
        <v>148149</v>
      </c>
      <c r="K125" s="813" t="s">
        <v>501</v>
      </c>
      <c r="L125" s="567" t="s">
        <v>45</v>
      </c>
      <c r="M125" s="536"/>
      <c r="N125" s="560"/>
      <c r="O125" s="560"/>
      <c r="P125" s="560"/>
      <c r="Q125" s="568"/>
      <c r="R125" s="568"/>
      <c r="S125" s="569"/>
      <c r="T125" s="569"/>
      <c r="U125" s="569"/>
      <c r="V125" s="569"/>
      <c r="W125" s="569"/>
      <c r="X125" s="570"/>
    </row>
    <row r="126" spans="3:24" s="550" customFormat="1" ht="12.95" customHeight="1">
      <c r="C126" s="536" t="s">
        <v>616</v>
      </c>
      <c r="D126" s="537">
        <v>45236</v>
      </c>
      <c r="E126" s="538"/>
      <c r="F126" s="572" t="s">
        <v>617</v>
      </c>
      <c r="G126" s="558"/>
      <c r="H126" s="541">
        <v>72250</v>
      </c>
      <c r="I126" s="542">
        <f t="shared" si="2"/>
        <v>13005</v>
      </c>
      <c r="J126" s="543">
        <f t="shared" si="3"/>
        <v>85255</v>
      </c>
      <c r="K126" s="813" t="s">
        <v>518</v>
      </c>
      <c r="L126" s="557" t="s">
        <v>601</v>
      </c>
      <c r="M126" s="536"/>
      <c r="N126" s="536"/>
      <c r="O126" s="536"/>
      <c r="P126" s="536"/>
      <c r="Q126" s="547"/>
      <c r="R126" s="547"/>
      <c r="S126" s="548"/>
      <c r="T126" s="548"/>
      <c r="U126" s="548"/>
      <c r="V126" s="548"/>
      <c r="W126" s="548"/>
      <c r="X126" s="549"/>
    </row>
    <row r="127" spans="3:24" s="550" customFormat="1" ht="12.95" customHeight="1">
      <c r="C127" s="536" t="s">
        <v>616</v>
      </c>
      <c r="D127" s="537">
        <v>45236</v>
      </c>
      <c r="E127" s="538"/>
      <c r="F127" s="572" t="s">
        <v>617</v>
      </c>
      <c r="G127" s="558"/>
      <c r="H127" s="541">
        <v>592375</v>
      </c>
      <c r="I127" s="542">
        <f t="shared" si="2"/>
        <v>106627.5</v>
      </c>
      <c r="J127" s="543">
        <f t="shared" si="3"/>
        <v>699002.5</v>
      </c>
      <c r="K127" s="813" t="s">
        <v>518</v>
      </c>
      <c r="L127" s="557" t="s">
        <v>35</v>
      </c>
      <c r="M127" s="536"/>
      <c r="N127" s="536"/>
      <c r="O127" s="536"/>
      <c r="P127" s="536"/>
      <c r="Q127" s="547"/>
      <c r="R127" s="547"/>
      <c r="S127" s="548"/>
      <c r="T127" s="548"/>
      <c r="U127" s="548"/>
      <c r="V127" s="548"/>
      <c r="W127" s="548"/>
      <c r="X127" s="549"/>
    </row>
    <row r="128" spans="3:24" s="550" customFormat="1" ht="12.95" customHeight="1">
      <c r="C128" s="536" t="s">
        <v>616</v>
      </c>
      <c r="D128" s="537">
        <v>45236</v>
      </c>
      <c r="E128" s="538"/>
      <c r="F128" s="572" t="s">
        <v>617</v>
      </c>
      <c r="G128" s="558"/>
      <c r="H128" s="541">
        <v>240750</v>
      </c>
      <c r="I128" s="542">
        <f t="shared" si="2"/>
        <v>43335</v>
      </c>
      <c r="J128" s="543">
        <f t="shared" si="3"/>
        <v>284085</v>
      </c>
      <c r="K128" s="813" t="s">
        <v>518</v>
      </c>
      <c r="L128" s="557" t="s">
        <v>36</v>
      </c>
      <c r="M128" s="536"/>
      <c r="N128" s="536"/>
      <c r="O128" s="536"/>
      <c r="P128" s="536"/>
      <c r="Q128" s="547"/>
      <c r="R128" s="547"/>
      <c r="S128" s="548"/>
      <c r="T128" s="548"/>
      <c r="U128" s="548"/>
      <c r="V128" s="548"/>
      <c r="W128" s="548"/>
      <c r="X128" s="549"/>
    </row>
    <row r="129" spans="3:24" s="550" customFormat="1" ht="12.95" customHeight="1">
      <c r="C129" s="536" t="s">
        <v>616</v>
      </c>
      <c r="D129" s="537">
        <v>45236</v>
      </c>
      <c r="E129" s="538"/>
      <c r="F129" s="572" t="s">
        <v>617</v>
      </c>
      <c r="G129" s="558"/>
      <c r="H129" s="541">
        <v>201800</v>
      </c>
      <c r="I129" s="542">
        <f t="shared" si="2"/>
        <v>36324</v>
      </c>
      <c r="J129" s="543">
        <f t="shared" si="3"/>
        <v>238124</v>
      </c>
      <c r="K129" s="813" t="s">
        <v>518</v>
      </c>
      <c r="L129" s="557" t="s">
        <v>48</v>
      </c>
      <c r="M129" s="536"/>
      <c r="N129" s="536"/>
      <c r="O129" s="536"/>
      <c r="P129" s="536"/>
      <c r="Q129" s="547"/>
      <c r="R129" s="547"/>
      <c r="S129" s="548"/>
      <c r="T129" s="548"/>
      <c r="U129" s="548"/>
      <c r="V129" s="548"/>
      <c r="W129" s="548"/>
      <c r="X129" s="549"/>
    </row>
    <row r="130" spans="3:24" s="550" customFormat="1" ht="12.95" customHeight="1">
      <c r="C130" s="536" t="s">
        <v>616</v>
      </c>
      <c r="D130" s="537">
        <v>45236</v>
      </c>
      <c r="E130" s="538"/>
      <c r="F130" s="572" t="s">
        <v>617</v>
      </c>
      <c r="G130" s="558"/>
      <c r="H130" s="541">
        <v>96400</v>
      </c>
      <c r="I130" s="542">
        <f t="shared" si="2"/>
        <v>17352</v>
      </c>
      <c r="J130" s="543">
        <f t="shared" si="3"/>
        <v>113752</v>
      </c>
      <c r="K130" s="813" t="s">
        <v>518</v>
      </c>
      <c r="L130" s="557" t="s">
        <v>31</v>
      </c>
      <c r="M130" s="536"/>
      <c r="N130" s="536"/>
      <c r="O130" s="536"/>
      <c r="P130" s="536"/>
      <c r="Q130" s="547"/>
      <c r="R130" s="547"/>
      <c r="S130" s="548"/>
      <c r="T130" s="548"/>
      <c r="U130" s="548"/>
      <c r="V130" s="548"/>
      <c r="W130" s="548"/>
      <c r="X130" s="549"/>
    </row>
    <row r="131" spans="3:24" s="550" customFormat="1" ht="12.95" customHeight="1">
      <c r="C131" s="536" t="s">
        <v>616</v>
      </c>
      <c r="D131" s="537">
        <v>45236</v>
      </c>
      <c r="E131" s="538"/>
      <c r="F131" s="572" t="s">
        <v>617</v>
      </c>
      <c r="G131" s="558"/>
      <c r="H131" s="541">
        <v>63900</v>
      </c>
      <c r="I131" s="542">
        <f t="shared" si="2"/>
        <v>11502</v>
      </c>
      <c r="J131" s="543">
        <f t="shared" si="3"/>
        <v>75402</v>
      </c>
      <c r="K131" s="813" t="s">
        <v>518</v>
      </c>
      <c r="L131" s="557" t="s">
        <v>33</v>
      </c>
      <c r="M131" s="536"/>
      <c r="N131" s="536"/>
      <c r="O131" s="536"/>
      <c r="P131" s="536"/>
      <c r="Q131" s="547"/>
      <c r="R131" s="547"/>
      <c r="S131" s="548"/>
      <c r="T131" s="548"/>
      <c r="U131" s="548"/>
      <c r="V131" s="548"/>
      <c r="W131" s="548"/>
      <c r="X131" s="549"/>
    </row>
    <row r="132" spans="3:24" s="550" customFormat="1" ht="12.95" customHeight="1">
      <c r="C132" s="536" t="s">
        <v>616</v>
      </c>
      <c r="D132" s="537">
        <v>45236</v>
      </c>
      <c r="E132" s="538"/>
      <c r="F132" s="572" t="s">
        <v>617</v>
      </c>
      <c r="G132" s="558"/>
      <c r="H132" s="541">
        <f>21600+211000+386750+46250</f>
        <v>665600</v>
      </c>
      <c r="I132" s="542">
        <f>H132*0.18</f>
        <v>119808</v>
      </c>
      <c r="J132" s="543">
        <f>H132+I132</f>
        <v>785408</v>
      </c>
      <c r="K132" s="813" t="s">
        <v>518</v>
      </c>
      <c r="L132" s="557" t="s">
        <v>26</v>
      </c>
      <c r="M132" s="536"/>
      <c r="N132" s="536"/>
      <c r="O132" s="536"/>
      <c r="P132" s="536"/>
      <c r="Q132" s="547"/>
      <c r="R132" s="547"/>
      <c r="S132" s="548"/>
      <c r="T132" s="548"/>
      <c r="U132" s="548"/>
      <c r="V132" s="548"/>
      <c r="W132" s="548"/>
      <c r="X132" s="549"/>
    </row>
    <row r="133" spans="3:24" s="550" customFormat="1" ht="12.95" customHeight="1">
      <c r="C133" s="536" t="s">
        <v>616</v>
      </c>
      <c r="D133" s="537">
        <v>45236</v>
      </c>
      <c r="E133" s="538"/>
      <c r="F133" s="572" t="s">
        <v>617</v>
      </c>
      <c r="G133" s="558"/>
      <c r="H133" s="541">
        <f>1236005+62500+239850+141315</f>
        <v>1679670</v>
      </c>
      <c r="I133" s="542">
        <f>H133*0.18</f>
        <v>302340.59999999998</v>
      </c>
      <c r="J133" s="543">
        <f>H133+I133</f>
        <v>1982010.6</v>
      </c>
      <c r="K133" s="813" t="s">
        <v>518</v>
      </c>
      <c r="L133" s="557" t="s">
        <v>596</v>
      </c>
      <c r="M133" s="536"/>
      <c r="N133" s="536"/>
      <c r="O133" s="536"/>
      <c r="P133" s="536"/>
      <c r="Q133" s="547"/>
      <c r="R133" s="547"/>
      <c r="S133" s="548"/>
      <c r="T133" s="548"/>
      <c r="U133" s="548"/>
      <c r="V133" s="548"/>
      <c r="W133" s="548"/>
      <c r="X133" s="549"/>
    </row>
    <row r="134" spans="3:24" s="550" customFormat="1" ht="12.95" customHeight="1">
      <c r="C134" s="536" t="s">
        <v>616</v>
      </c>
      <c r="D134" s="537">
        <v>45236</v>
      </c>
      <c r="E134" s="538"/>
      <c r="F134" s="573" t="s">
        <v>618</v>
      </c>
      <c r="G134" s="540"/>
      <c r="H134" s="541">
        <v>91800</v>
      </c>
      <c r="I134" s="542">
        <f t="shared" si="2"/>
        <v>16524</v>
      </c>
      <c r="J134" s="543">
        <f t="shared" si="3"/>
        <v>108324</v>
      </c>
      <c r="K134" s="813" t="s">
        <v>519</v>
      </c>
      <c r="L134" s="557" t="s">
        <v>34</v>
      </c>
      <c r="M134" s="536"/>
      <c r="N134" s="536"/>
      <c r="O134" s="536"/>
      <c r="P134" s="536"/>
      <c r="Q134" s="547"/>
      <c r="R134" s="547"/>
      <c r="S134" s="548"/>
      <c r="T134" s="548"/>
      <c r="U134" s="548"/>
      <c r="V134" s="548"/>
      <c r="W134" s="548"/>
      <c r="X134" s="549"/>
    </row>
    <row r="135" spans="3:24" s="550" customFormat="1" ht="12.95" customHeight="1">
      <c r="C135" s="536" t="s">
        <v>616</v>
      </c>
      <c r="D135" s="537">
        <v>45236</v>
      </c>
      <c r="E135" s="538"/>
      <c r="F135" s="573" t="s">
        <v>618</v>
      </c>
      <c r="G135" s="540"/>
      <c r="H135" s="541">
        <v>251625</v>
      </c>
      <c r="I135" s="542">
        <f t="shared" si="2"/>
        <v>45292.5</v>
      </c>
      <c r="J135" s="543">
        <f t="shared" si="3"/>
        <v>296917.5</v>
      </c>
      <c r="K135" s="813" t="s">
        <v>519</v>
      </c>
      <c r="L135" s="557" t="s">
        <v>35</v>
      </c>
      <c r="M135" s="536"/>
      <c r="N135" s="536"/>
      <c r="O135" s="536"/>
      <c r="P135" s="536"/>
      <c r="Q135" s="547"/>
      <c r="R135" s="547"/>
      <c r="S135" s="548"/>
      <c r="T135" s="548"/>
      <c r="U135" s="548"/>
      <c r="V135" s="548"/>
      <c r="W135" s="548"/>
      <c r="X135" s="549"/>
    </row>
    <row r="136" spans="3:24" s="550" customFormat="1" ht="12.95" customHeight="1">
      <c r="C136" s="536" t="s">
        <v>616</v>
      </c>
      <c r="D136" s="537">
        <v>45236</v>
      </c>
      <c r="E136" s="538"/>
      <c r="F136" s="573" t="s">
        <v>618</v>
      </c>
      <c r="G136" s="540"/>
      <c r="H136" s="541">
        <v>15640</v>
      </c>
      <c r="I136" s="542">
        <f t="shared" si="2"/>
        <v>2815.2</v>
      </c>
      <c r="J136" s="543">
        <f t="shared" si="3"/>
        <v>18455.2</v>
      </c>
      <c r="K136" s="813" t="s">
        <v>519</v>
      </c>
      <c r="L136" s="557" t="s">
        <v>48</v>
      </c>
      <c r="M136" s="536"/>
      <c r="N136" s="536"/>
      <c r="O136" s="536"/>
      <c r="P136" s="536"/>
      <c r="Q136" s="547"/>
      <c r="R136" s="547"/>
      <c r="S136" s="548"/>
      <c r="T136" s="548"/>
      <c r="U136" s="548"/>
      <c r="V136" s="548"/>
      <c r="W136" s="548"/>
      <c r="X136" s="549"/>
    </row>
    <row r="137" spans="3:24" s="550" customFormat="1" ht="12.95" customHeight="1">
      <c r="C137" s="536" t="s">
        <v>616</v>
      </c>
      <c r="D137" s="537">
        <v>45236</v>
      </c>
      <c r="E137" s="538"/>
      <c r="F137" s="573" t="s">
        <v>618</v>
      </c>
      <c r="G137" s="540"/>
      <c r="H137" s="541">
        <v>35440</v>
      </c>
      <c r="I137" s="542">
        <f t="shared" si="2"/>
        <v>6379.2</v>
      </c>
      <c r="J137" s="543">
        <f t="shared" si="3"/>
        <v>41819.199999999997</v>
      </c>
      <c r="K137" s="813" t="s">
        <v>519</v>
      </c>
      <c r="L137" s="557" t="s">
        <v>31</v>
      </c>
      <c r="M137" s="536"/>
      <c r="N137" s="536"/>
      <c r="O137" s="536"/>
      <c r="P137" s="536"/>
      <c r="Q137" s="547"/>
      <c r="R137" s="547"/>
      <c r="S137" s="548"/>
      <c r="T137" s="548"/>
      <c r="U137" s="548"/>
      <c r="V137" s="548"/>
      <c r="W137" s="548"/>
      <c r="X137" s="549"/>
    </row>
    <row r="138" spans="3:24" s="550" customFormat="1" ht="12.95" customHeight="1">
      <c r="C138" s="536" t="s">
        <v>616</v>
      </c>
      <c r="D138" s="537">
        <v>45236</v>
      </c>
      <c r="E138" s="538"/>
      <c r="F138" s="573" t="s">
        <v>618</v>
      </c>
      <c r="G138" s="540"/>
      <c r="H138" s="541">
        <v>3640</v>
      </c>
      <c r="I138" s="542">
        <f t="shared" si="2"/>
        <v>655.19999999999993</v>
      </c>
      <c r="J138" s="543">
        <f t="shared" si="3"/>
        <v>4295.2</v>
      </c>
      <c r="K138" s="813" t="s">
        <v>519</v>
      </c>
      <c r="L138" s="557" t="s">
        <v>83</v>
      </c>
      <c r="M138" s="536"/>
      <c r="N138" s="536"/>
      <c r="O138" s="536"/>
      <c r="P138" s="536"/>
      <c r="Q138" s="547"/>
      <c r="R138" s="547"/>
      <c r="S138" s="548"/>
      <c r="T138" s="548"/>
      <c r="U138" s="548"/>
      <c r="V138" s="548"/>
      <c r="W138" s="548"/>
      <c r="X138" s="549"/>
    </row>
    <row r="139" spans="3:24" s="550" customFormat="1" ht="12.95" customHeight="1">
      <c r="C139" s="536" t="s">
        <v>616</v>
      </c>
      <c r="D139" s="537">
        <v>45236</v>
      </c>
      <c r="E139" s="538"/>
      <c r="F139" s="573" t="s">
        <v>618</v>
      </c>
      <c r="G139" s="540"/>
      <c r="H139" s="541">
        <v>55600</v>
      </c>
      <c r="I139" s="542">
        <f t="shared" si="2"/>
        <v>10008</v>
      </c>
      <c r="J139" s="543">
        <f t="shared" si="3"/>
        <v>65608</v>
      </c>
      <c r="K139" s="813" t="s">
        <v>519</v>
      </c>
      <c r="L139" s="557" t="s">
        <v>33</v>
      </c>
      <c r="M139" s="536"/>
      <c r="N139" s="536"/>
      <c r="O139" s="536"/>
      <c r="P139" s="536"/>
      <c r="Q139" s="547"/>
      <c r="R139" s="547"/>
      <c r="S139" s="548"/>
      <c r="T139" s="548"/>
      <c r="U139" s="548"/>
      <c r="V139" s="548"/>
      <c r="W139" s="548"/>
      <c r="X139" s="549"/>
    </row>
    <row r="140" spans="3:24" s="550" customFormat="1" ht="12.95" customHeight="1">
      <c r="C140" s="536" t="s">
        <v>616</v>
      </c>
      <c r="D140" s="537">
        <v>45236</v>
      </c>
      <c r="E140" s="538"/>
      <c r="F140" s="573" t="s">
        <v>618</v>
      </c>
      <c r="G140" s="540"/>
      <c r="H140" s="541">
        <v>1000</v>
      </c>
      <c r="I140" s="542">
        <f t="shared" si="2"/>
        <v>180</v>
      </c>
      <c r="J140" s="543">
        <f t="shared" si="3"/>
        <v>1180</v>
      </c>
      <c r="K140" s="813" t="s">
        <v>519</v>
      </c>
      <c r="L140" s="557" t="s">
        <v>45</v>
      </c>
      <c r="M140" s="536"/>
      <c r="N140" s="536"/>
      <c r="O140" s="536"/>
      <c r="P140" s="536"/>
      <c r="Q140" s="547"/>
      <c r="R140" s="547"/>
      <c r="S140" s="548"/>
      <c r="T140" s="548"/>
      <c r="U140" s="548"/>
      <c r="V140" s="548"/>
      <c r="W140" s="548"/>
      <c r="X140" s="549"/>
    </row>
    <row r="141" spans="3:24" s="550" customFormat="1" ht="12.95" customHeight="1">
      <c r="C141" s="536" t="s">
        <v>616</v>
      </c>
      <c r="D141" s="537">
        <v>45236</v>
      </c>
      <c r="E141" s="538"/>
      <c r="F141" s="573" t="s">
        <v>618</v>
      </c>
      <c r="G141" s="540"/>
      <c r="H141" s="541">
        <f>66320+69509+16493</f>
        <v>152322</v>
      </c>
      <c r="I141" s="542">
        <f>H141*0.18</f>
        <v>27417.96</v>
      </c>
      <c r="J141" s="543">
        <f>H141+I141</f>
        <v>179739.96</v>
      </c>
      <c r="K141" s="813" t="s">
        <v>519</v>
      </c>
      <c r="L141" s="557" t="s">
        <v>26</v>
      </c>
      <c r="M141" s="536"/>
      <c r="N141" s="536"/>
      <c r="O141" s="536"/>
      <c r="P141" s="536"/>
      <c r="Q141" s="547"/>
      <c r="R141" s="547"/>
      <c r="S141" s="548"/>
      <c r="T141" s="548"/>
      <c r="U141" s="548"/>
      <c r="V141" s="548"/>
      <c r="W141" s="548"/>
      <c r="X141" s="549"/>
    </row>
    <row r="142" spans="3:24" s="550" customFormat="1" ht="12.95" customHeight="1">
      <c r="C142" s="536" t="s">
        <v>616</v>
      </c>
      <c r="D142" s="537">
        <v>45236</v>
      </c>
      <c r="E142" s="538"/>
      <c r="F142" s="573" t="s">
        <v>618</v>
      </c>
      <c r="G142" s="540"/>
      <c r="H142" s="541">
        <f>14300+8118+93945+241802</f>
        <v>358165</v>
      </c>
      <c r="I142" s="542">
        <f>H142*0.18</f>
        <v>64469.7</v>
      </c>
      <c r="J142" s="543">
        <f>H142+I142</f>
        <v>422634.7</v>
      </c>
      <c r="K142" s="813" t="s">
        <v>519</v>
      </c>
      <c r="L142" s="557" t="s">
        <v>596</v>
      </c>
      <c r="M142" s="536"/>
      <c r="N142" s="536"/>
      <c r="O142" s="536"/>
      <c r="P142" s="536"/>
      <c r="Q142" s="547"/>
      <c r="R142" s="547"/>
      <c r="S142" s="548"/>
      <c r="T142" s="548"/>
      <c r="U142" s="548"/>
      <c r="V142" s="548"/>
      <c r="W142" s="548"/>
      <c r="X142" s="549"/>
    </row>
    <row r="143" spans="3:24" s="550" customFormat="1" ht="12.95" customHeight="1">
      <c r="C143" s="536" t="s">
        <v>616</v>
      </c>
      <c r="D143" s="537">
        <v>45236</v>
      </c>
      <c r="E143" s="538"/>
      <c r="F143" s="573" t="s">
        <v>619</v>
      </c>
      <c r="G143" s="558"/>
      <c r="H143" s="541">
        <v>51000</v>
      </c>
      <c r="I143" s="542">
        <f t="shared" si="2"/>
        <v>9180</v>
      </c>
      <c r="J143" s="543">
        <f t="shared" si="3"/>
        <v>60180</v>
      </c>
      <c r="K143" s="813" t="s">
        <v>463</v>
      </c>
      <c r="L143" s="557" t="s">
        <v>34</v>
      </c>
      <c r="M143" s="536"/>
      <c r="N143" s="536"/>
      <c r="O143" s="536"/>
      <c r="P143" s="536"/>
      <c r="Q143" s="547"/>
      <c r="R143" s="547"/>
      <c r="S143" s="548"/>
      <c r="T143" s="548"/>
      <c r="U143" s="548"/>
      <c r="V143" s="548"/>
      <c r="W143" s="548"/>
      <c r="X143" s="549"/>
    </row>
    <row r="144" spans="3:24" s="550" customFormat="1" ht="12.95" customHeight="1">
      <c r="C144" s="536" t="s">
        <v>616</v>
      </c>
      <c r="D144" s="537">
        <v>45236</v>
      </c>
      <c r="E144" s="538"/>
      <c r="F144" s="573" t="s">
        <v>619</v>
      </c>
      <c r="G144" s="558"/>
      <c r="H144" s="541">
        <v>384985</v>
      </c>
      <c r="I144" s="542">
        <f t="shared" si="2"/>
        <v>69297.3</v>
      </c>
      <c r="J144" s="543">
        <f t="shared" si="3"/>
        <v>454282.3</v>
      </c>
      <c r="K144" s="813" t="s">
        <v>463</v>
      </c>
      <c r="L144" s="557" t="s">
        <v>35</v>
      </c>
      <c r="M144" s="536"/>
      <c r="N144" s="536"/>
      <c r="O144" s="536"/>
      <c r="P144" s="536"/>
      <c r="Q144" s="547"/>
      <c r="R144" s="547"/>
      <c r="S144" s="548"/>
      <c r="T144" s="548"/>
      <c r="U144" s="548"/>
      <c r="V144" s="548"/>
      <c r="W144" s="548"/>
      <c r="X144" s="549"/>
    </row>
    <row r="145" spans="3:24" s="550" customFormat="1" ht="12.95" customHeight="1">
      <c r="C145" s="536" t="s">
        <v>616</v>
      </c>
      <c r="D145" s="537">
        <v>45236</v>
      </c>
      <c r="E145" s="538"/>
      <c r="F145" s="573" t="s">
        <v>619</v>
      </c>
      <c r="G145" s="558"/>
      <c r="H145" s="541">
        <v>97030</v>
      </c>
      <c r="I145" s="542">
        <f t="shared" si="2"/>
        <v>17465.399999999998</v>
      </c>
      <c r="J145" s="543">
        <f t="shared" si="3"/>
        <v>114495.4</v>
      </c>
      <c r="K145" s="813" t="s">
        <v>463</v>
      </c>
      <c r="L145" s="557" t="s">
        <v>48</v>
      </c>
      <c r="M145" s="536"/>
      <c r="N145" s="536"/>
      <c r="O145" s="536"/>
      <c r="P145" s="536"/>
      <c r="Q145" s="547"/>
      <c r="R145" s="547"/>
      <c r="S145" s="548"/>
      <c r="T145" s="548"/>
      <c r="U145" s="548"/>
      <c r="V145" s="548"/>
      <c r="W145" s="548"/>
      <c r="X145" s="549"/>
    </row>
    <row r="146" spans="3:24" s="550" customFormat="1" ht="12.95" customHeight="1">
      <c r="C146" s="536" t="s">
        <v>616</v>
      </c>
      <c r="D146" s="537">
        <v>45236</v>
      </c>
      <c r="E146" s="538"/>
      <c r="F146" s="573" t="s">
        <v>619</v>
      </c>
      <c r="G146" s="558"/>
      <c r="H146" s="541">
        <v>19950</v>
      </c>
      <c r="I146" s="542">
        <f t="shared" si="2"/>
        <v>3591</v>
      </c>
      <c r="J146" s="543">
        <f t="shared" si="3"/>
        <v>23541</v>
      </c>
      <c r="K146" s="813" t="s">
        <v>463</v>
      </c>
      <c r="L146" s="557" t="s">
        <v>31</v>
      </c>
      <c r="M146" s="536"/>
      <c r="N146" s="536"/>
      <c r="O146" s="536"/>
      <c r="P146" s="536"/>
      <c r="Q146" s="547"/>
      <c r="R146" s="547"/>
      <c r="S146" s="548"/>
      <c r="T146" s="548"/>
      <c r="U146" s="548"/>
      <c r="V146" s="548"/>
      <c r="W146" s="548"/>
      <c r="X146" s="549"/>
    </row>
    <row r="147" spans="3:24" s="550" customFormat="1" ht="12.95" customHeight="1">
      <c r="C147" s="536" t="s">
        <v>616</v>
      </c>
      <c r="D147" s="537">
        <v>45236</v>
      </c>
      <c r="E147" s="538"/>
      <c r="F147" s="573" t="s">
        <v>619</v>
      </c>
      <c r="G147" s="558"/>
      <c r="H147" s="541">
        <v>72000</v>
      </c>
      <c r="I147" s="542">
        <f t="shared" si="2"/>
        <v>12960</v>
      </c>
      <c r="J147" s="543">
        <f t="shared" si="3"/>
        <v>84960</v>
      </c>
      <c r="K147" s="813" t="s">
        <v>463</v>
      </c>
      <c r="L147" s="557" t="s">
        <v>33</v>
      </c>
      <c r="M147" s="536"/>
      <c r="N147" s="536"/>
      <c r="O147" s="536"/>
      <c r="P147" s="536"/>
      <c r="Q147" s="547"/>
      <c r="R147" s="547"/>
      <c r="S147" s="548"/>
      <c r="T147" s="548"/>
      <c r="U147" s="548"/>
      <c r="V147" s="548"/>
      <c r="W147" s="548"/>
      <c r="X147" s="549"/>
    </row>
    <row r="148" spans="3:24" s="550" customFormat="1" ht="12.95" customHeight="1">
      <c r="C148" s="536" t="s">
        <v>616</v>
      </c>
      <c r="D148" s="537">
        <v>45236</v>
      </c>
      <c r="E148" s="538"/>
      <c r="F148" s="573" t="s">
        <v>619</v>
      </c>
      <c r="G148" s="558"/>
      <c r="H148" s="541">
        <v>202569</v>
      </c>
      <c r="I148" s="542">
        <f t="shared" si="2"/>
        <v>36462.42</v>
      </c>
      <c r="J148" s="543">
        <f t="shared" si="3"/>
        <v>239031.41999999998</v>
      </c>
      <c r="K148" s="813" t="s">
        <v>463</v>
      </c>
      <c r="L148" s="557" t="s">
        <v>26</v>
      </c>
      <c r="M148" s="536"/>
      <c r="N148" s="536"/>
      <c r="O148" s="536"/>
      <c r="P148" s="536"/>
      <c r="Q148" s="547"/>
      <c r="R148" s="547"/>
      <c r="S148" s="548"/>
      <c r="T148" s="548"/>
      <c r="U148" s="548"/>
      <c r="V148" s="548"/>
      <c r="W148" s="548"/>
      <c r="X148" s="549"/>
    </row>
    <row r="149" spans="3:24" s="550" customFormat="1" ht="12.95" customHeight="1">
      <c r="C149" s="536" t="s">
        <v>616</v>
      </c>
      <c r="D149" s="537">
        <v>45236</v>
      </c>
      <c r="E149" s="538"/>
      <c r="F149" s="573" t="s">
        <v>619</v>
      </c>
      <c r="G149" s="558"/>
      <c r="H149" s="541">
        <f>384303+710662+4752+63360</f>
        <v>1163077</v>
      </c>
      <c r="I149" s="542">
        <f>H149*0.18</f>
        <v>209353.86</v>
      </c>
      <c r="J149" s="543">
        <f>H149+I149</f>
        <v>1372430.8599999999</v>
      </c>
      <c r="K149" s="813" t="s">
        <v>463</v>
      </c>
      <c r="L149" s="557" t="s">
        <v>596</v>
      </c>
      <c r="M149" s="536"/>
      <c r="N149" s="536"/>
      <c r="O149" s="536"/>
      <c r="P149" s="536"/>
      <c r="Q149" s="547"/>
      <c r="R149" s="547"/>
      <c r="S149" s="548"/>
      <c r="T149" s="548"/>
      <c r="U149" s="548"/>
      <c r="V149" s="548"/>
      <c r="W149" s="548"/>
      <c r="X149" s="549"/>
    </row>
    <row r="150" spans="3:24" s="550" customFormat="1" ht="12.95" customHeight="1">
      <c r="C150" s="536" t="s">
        <v>616</v>
      </c>
      <c r="D150" s="537">
        <v>45236</v>
      </c>
      <c r="E150" s="538"/>
      <c r="F150" s="573" t="s">
        <v>619</v>
      </c>
      <c r="G150" s="558"/>
      <c r="H150" s="541">
        <v>426576</v>
      </c>
      <c r="I150" s="542">
        <f>H150*0.18</f>
        <v>76783.679999999993</v>
      </c>
      <c r="J150" s="543">
        <f>H150+I150</f>
        <v>503359.68</v>
      </c>
      <c r="K150" s="813" t="s">
        <v>463</v>
      </c>
      <c r="L150" s="557" t="s">
        <v>27</v>
      </c>
      <c r="M150" s="536"/>
      <c r="N150" s="536"/>
      <c r="O150" s="536"/>
      <c r="P150" s="536"/>
      <c r="Q150" s="547"/>
      <c r="R150" s="547"/>
      <c r="S150" s="548"/>
      <c r="T150" s="548"/>
      <c r="U150" s="548"/>
      <c r="V150" s="548"/>
      <c r="W150" s="548"/>
      <c r="X150" s="549"/>
    </row>
    <row r="151" spans="3:24" s="550" customFormat="1" ht="12.95" customHeight="1">
      <c r="C151" s="536" t="s">
        <v>594</v>
      </c>
      <c r="D151" s="537">
        <v>45261</v>
      </c>
      <c r="E151" s="538"/>
      <c r="F151" s="559" t="s">
        <v>620</v>
      </c>
      <c r="G151" s="558"/>
      <c r="H151" s="541">
        <v>89954</v>
      </c>
      <c r="I151" s="542">
        <f t="shared" si="2"/>
        <v>16191.72</v>
      </c>
      <c r="J151" s="543">
        <f t="shared" si="3"/>
        <v>106145.72</v>
      </c>
      <c r="K151" s="813" t="s">
        <v>505</v>
      </c>
      <c r="L151" s="544" t="s">
        <v>24</v>
      </c>
      <c r="M151" s="536"/>
      <c r="N151" s="536"/>
      <c r="O151" s="536"/>
      <c r="P151" s="536"/>
      <c r="Q151" s="547"/>
      <c r="R151" s="547"/>
      <c r="S151" s="548"/>
      <c r="T151" s="548"/>
      <c r="U151" s="548"/>
      <c r="V151" s="548"/>
      <c r="W151" s="548"/>
      <c r="X151" s="549"/>
    </row>
    <row r="152" spans="3:24" s="550" customFormat="1" ht="12.95" customHeight="1">
      <c r="C152" s="536" t="s">
        <v>594</v>
      </c>
      <c r="D152" s="537">
        <v>45261</v>
      </c>
      <c r="E152" s="538"/>
      <c r="F152" s="559" t="s">
        <v>620</v>
      </c>
      <c r="G152" s="558"/>
      <c r="H152" s="541">
        <v>10000</v>
      </c>
      <c r="I152" s="542">
        <f t="shared" si="2"/>
        <v>1800</v>
      </c>
      <c r="J152" s="543">
        <f t="shared" si="3"/>
        <v>11800</v>
      </c>
      <c r="K152" s="813" t="s">
        <v>505</v>
      </c>
      <c r="L152" s="544" t="s">
        <v>58</v>
      </c>
      <c r="M152" s="536"/>
      <c r="N152" s="536"/>
      <c r="O152" s="536"/>
      <c r="P152" s="536"/>
      <c r="Q152" s="547"/>
      <c r="R152" s="547"/>
      <c r="S152" s="548"/>
      <c r="T152" s="548"/>
      <c r="U152" s="548"/>
      <c r="V152" s="548"/>
      <c r="W152" s="548"/>
      <c r="X152" s="549"/>
    </row>
    <row r="153" spans="3:24" s="550" customFormat="1" ht="12.95" customHeight="1">
      <c r="C153" s="536" t="s">
        <v>594</v>
      </c>
      <c r="D153" s="537">
        <v>45261</v>
      </c>
      <c r="E153" s="538"/>
      <c r="F153" s="559" t="s">
        <v>620</v>
      </c>
      <c r="G153" s="558"/>
      <c r="H153" s="541">
        <f>157824+38700+229995+409198</f>
        <v>835717</v>
      </c>
      <c r="I153" s="542">
        <f>H153*0.18</f>
        <v>150429.06</v>
      </c>
      <c r="J153" s="543">
        <f>H153+I153</f>
        <v>986146.06</v>
      </c>
      <c r="K153" s="813" t="s">
        <v>505</v>
      </c>
      <c r="L153" s="557" t="s">
        <v>596</v>
      </c>
      <c r="M153" s="536"/>
      <c r="N153" s="536"/>
      <c r="O153" s="536"/>
      <c r="P153" s="536"/>
      <c r="Q153" s="547"/>
      <c r="R153" s="547"/>
      <c r="S153" s="548"/>
      <c r="T153" s="548"/>
      <c r="U153" s="548"/>
      <c r="V153" s="548"/>
      <c r="W153" s="548"/>
      <c r="X153" s="549"/>
    </row>
    <row r="154" spans="3:24" s="550" customFormat="1" ht="12.95" customHeight="1">
      <c r="C154" s="536" t="s">
        <v>594</v>
      </c>
      <c r="D154" s="537">
        <v>45261</v>
      </c>
      <c r="E154" s="538"/>
      <c r="F154" s="559" t="s">
        <v>620</v>
      </c>
      <c r="G154" s="558"/>
      <c r="H154" s="541">
        <f>175100+72450+48250+379850+64850</f>
        <v>740500</v>
      </c>
      <c r="I154" s="542">
        <f>H154*0.18</f>
        <v>133290</v>
      </c>
      <c r="J154" s="543">
        <f>H154+I154</f>
        <v>873790</v>
      </c>
      <c r="K154" s="813" t="s">
        <v>505</v>
      </c>
      <c r="L154" s="557" t="s">
        <v>35</v>
      </c>
      <c r="M154" s="536"/>
      <c r="N154" s="536"/>
      <c r="O154" s="536"/>
      <c r="P154" s="536"/>
      <c r="Q154" s="547"/>
      <c r="R154" s="547"/>
      <c r="S154" s="548"/>
      <c r="T154" s="548"/>
      <c r="U154" s="548"/>
      <c r="V154" s="548"/>
      <c r="W154" s="548"/>
      <c r="X154" s="549"/>
    </row>
    <row r="155" spans="3:24" s="550" customFormat="1" ht="12.95" customHeight="1">
      <c r="C155" s="536" t="s">
        <v>594</v>
      </c>
      <c r="D155" s="537">
        <v>45261</v>
      </c>
      <c r="E155" s="538"/>
      <c r="F155" s="559" t="s">
        <v>620</v>
      </c>
      <c r="G155" s="558"/>
      <c r="H155" s="541">
        <v>30500</v>
      </c>
      <c r="I155" s="542">
        <f>H155*0.18</f>
        <v>5490</v>
      </c>
      <c r="J155" s="543">
        <f>H155+I155</f>
        <v>35990</v>
      </c>
      <c r="K155" s="813" t="s">
        <v>505</v>
      </c>
      <c r="L155" s="557" t="s">
        <v>48</v>
      </c>
      <c r="M155" s="536"/>
      <c r="N155" s="536"/>
      <c r="O155" s="536"/>
      <c r="P155" s="536"/>
      <c r="Q155" s="547"/>
      <c r="R155" s="547"/>
      <c r="S155" s="548"/>
      <c r="T155" s="548"/>
      <c r="U155" s="548"/>
      <c r="V155" s="548"/>
      <c r="W155" s="548"/>
      <c r="X155" s="549"/>
    </row>
    <row r="156" spans="3:24" s="550" customFormat="1" ht="12.95" customHeight="1">
      <c r="C156" s="536" t="s">
        <v>594</v>
      </c>
      <c r="D156" s="537">
        <v>45261</v>
      </c>
      <c r="E156" s="538"/>
      <c r="F156" s="559" t="s">
        <v>620</v>
      </c>
      <c r="G156" s="558"/>
      <c r="H156" s="541">
        <f>16500+84800</f>
        <v>101300</v>
      </c>
      <c r="I156" s="542">
        <f>H156*0.18</f>
        <v>18234</v>
      </c>
      <c r="J156" s="543">
        <f>H156+I156</f>
        <v>119534</v>
      </c>
      <c r="K156" s="813" t="s">
        <v>505</v>
      </c>
      <c r="L156" s="557" t="s">
        <v>34</v>
      </c>
      <c r="M156" s="536"/>
      <c r="N156" s="536"/>
      <c r="O156" s="536"/>
      <c r="P156" s="536"/>
      <c r="Q156" s="547"/>
      <c r="R156" s="547"/>
      <c r="S156" s="548"/>
      <c r="T156" s="548"/>
      <c r="U156" s="548"/>
      <c r="V156" s="548"/>
      <c r="W156" s="548"/>
      <c r="X156" s="549"/>
    </row>
    <row r="157" spans="3:24" s="550" customFormat="1" ht="12.95" customHeight="1">
      <c r="C157" s="536" t="s">
        <v>594</v>
      </c>
      <c r="D157" s="537">
        <v>45261</v>
      </c>
      <c r="E157" s="538"/>
      <c r="F157" s="559" t="s">
        <v>620</v>
      </c>
      <c r="G157" s="558"/>
      <c r="H157" s="541">
        <v>57500</v>
      </c>
      <c r="I157" s="542">
        <f>H157*0.18</f>
        <v>10350</v>
      </c>
      <c r="J157" s="543">
        <f>H157+I157</f>
        <v>67850</v>
      </c>
      <c r="K157" s="813" t="s">
        <v>505</v>
      </c>
      <c r="L157" s="557" t="s">
        <v>45</v>
      </c>
      <c r="M157" s="536"/>
      <c r="N157" s="536"/>
      <c r="O157" s="536"/>
      <c r="P157" s="536"/>
      <c r="Q157" s="547"/>
      <c r="R157" s="547"/>
      <c r="S157" s="548"/>
      <c r="T157" s="548"/>
      <c r="U157" s="548"/>
      <c r="V157" s="548"/>
      <c r="W157" s="548"/>
      <c r="X157" s="549"/>
    </row>
    <row r="158" spans="3:24" s="550" customFormat="1" ht="12.95" customHeight="1">
      <c r="C158" s="536" t="s">
        <v>594</v>
      </c>
      <c r="D158" s="537">
        <v>45261</v>
      </c>
      <c r="E158" s="538"/>
      <c r="F158" s="559" t="s">
        <v>621</v>
      </c>
      <c r="G158" s="558"/>
      <c r="H158" s="541">
        <v>78709</v>
      </c>
      <c r="I158" s="542">
        <f t="shared" si="2"/>
        <v>14167.619999999999</v>
      </c>
      <c r="J158" s="543">
        <f t="shared" si="3"/>
        <v>92876.62</v>
      </c>
      <c r="K158" s="813" t="s">
        <v>506</v>
      </c>
      <c r="L158" s="544" t="s">
        <v>24</v>
      </c>
      <c r="M158" s="536"/>
      <c r="N158" s="536"/>
      <c r="O158" s="536"/>
      <c r="P158" s="536"/>
      <c r="Q158" s="547"/>
      <c r="R158" s="547"/>
      <c r="S158" s="548"/>
      <c r="T158" s="548"/>
      <c r="U158" s="548"/>
      <c r="V158" s="548"/>
      <c r="W158" s="548"/>
      <c r="X158" s="549"/>
    </row>
    <row r="159" spans="3:24" s="550" customFormat="1" ht="12.95" customHeight="1">
      <c r="C159" s="536" t="s">
        <v>594</v>
      </c>
      <c r="D159" s="537">
        <v>45261</v>
      </c>
      <c r="E159" s="538"/>
      <c r="F159" s="559" t="s">
        <v>621</v>
      </c>
      <c r="G159" s="558"/>
      <c r="H159" s="541">
        <v>10000</v>
      </c>
      <c r="I159" s="542">
        <f t="shared" si="2"/>
        <v>1800</v>
      </c>
      <c r="J159" s="543">
        <f t="shared" si="3"/>
        <v>11800</v>
      </c>
      <c r="K159" s="813" t="s">
        <v>506</v>
      </c>
      <c r="L159" s="544" t="s">
        <v>58</v>
      </c>
      <c r="M159" s="536"/>
      <c r="N159" s="536"/>
      <c r="O159" s="536"/>
      <c r="P159" s="536"/>
      <c r="Q159" s="547"/>
      <c r="R159" s="547"/>
      <c r="S159" s="548"/>
      <c r="T159" s="548"/>
      <c r="U159" s="548"/>
      <c r="V159" s="548"/>
      <c r="W159" s="548"/>
      <c r="X159" s="549"/>
    </row>
    <row r="160" spans="3:24" s="550" customFormat="1" ht="12.95" customHeight="1">
      <c r="C160" s="536" t="s">
        <v>594</v>
      </c>
      <c r="D160" s="537">
        <v>45261</v>
      </c>
      <c r="E160" s="538"/>
      <c r="F160" s="559" t="s">
        <v>621</v>
      </c>
      <c r="G160" s="558"/>
      <c r="H160" s="541">
        <f>209000+17250+283575+413173</f>
        <v>922998</v>
      </c>
      <c r="I160" s="542">
        <f t="shared" si="2"/>
        <v>166139.63999999998</v>
      </c>
      <c r="J160" s="543">
        <f t="shared" si="3"/>
        <v>1089137.6399999999</v>
      </c>
      <c r="K160" s="813" t="s">
        <v>506</v>
      </c>
      <c r="L160" s="557" t="s">
        <v>596</v>
      </c>
      <c r="M160" s="536"/>
      <c r="N160" s="536"/>
      <c r="O160" s="536"/>
      <c r="P160" s="536"/>
      <c r="Q160" s="547"/>
      <c r="R160" s="547"/>
      <c r="S160" s="548"/>
      <c r="T160" s="548"/>
      <c r="U160" s="548"/>
      <c r="V160" s="548"/>
      <c r="W160" s="548"/>
      <c r="X160" s="549"/>
    </row>
    <row r="161" spans="3:24" s="550" customFormat="1" ht="12.95" customHeight="1">
      <c r="C161" s="536" t="s">
        <v>594</v>
      </c>
      <c r="D161" s="537">
        <v>45261</v>
      </c>
      <c r="E161" s="538"/>
      <c r="F161" s="559" t="s">
        <v>621</v>
      </c>
      <c r="G161" s="558"/>
      <c r="H161" s="541">
        <f>175100+72450+48250+379850</f>
        <v>675650</v>
      </c>
      <c r="I161" s="542">
        <f t="shared" si="2"/>
        <v>121617</v>
      </c>
      <c r="J161" s="543">
        <f t="shared" si="3"/>
        <v>797267</v>
      </c>
      <c r="K161" s="813" t="s">
        <v>506</v>
      </c>
      <c r="L161" s="557" t="s">
        <v>35</v>
      </c>
      <c r="M161" s="536"/>
      <c r="N161" s="536"/>
      <c r="O161" s="536"/>
      <c r="P161" s="536"/>
      <c r="Q161" s="547"/>
      <c r="R161" s="547"/>
      <c r="S161" s="548"/>
      <c r="T161" s="548"/>
      <c r="U161" s="548"/>
      <c r="V161" s="548"/>
      <c r="W161" s="548"/>
      <c r="X161" s="549"/>
    </row>
    <row r="162" spans="3:24" s="550" customFormat="1" ht="12.95" customHeight="1">
      <c r="C162" s="536" t="s">
        <v>594</v>
      </c>
      <c r="D162" s="537">
        <v>45261</v>
      </c>
      <c r="E162" s="538"/>
      <c r="F162" s="559" t="s">
        <v>621</v>
      </c>
      <c r="G162" s="558"/>
      <c r="H162" s="541">
        <f>32500+78800</f>
        <v>111300</v>
      </c>
      <c r="I162" s="542">
        <f t="shared" si="2"/>
        <v>20034</v>
      </c>
      <c r="J162" s="543">
        <f t="shared" si="3"/>
        <v>131334</v>
      </c>
      <c r="K162" s="813" t="s">
        <v>506</v>
      </c>
      <c r="L162" s="557" t="s">
        <v>48</v>
      </c>
      <c r="M162" s="536"/>
      <c r="N162" s="536"/>
      <c r="O162" s="536"/>
      <c r="P162" s="536"/>
      <c r="Q162" s="547"/>
      <c r="R162" s="547"/>
      <c r="S162" s="548"/>
      <c r="T162" s="548"/>
      <c r="U162" s="548"/>
      <c r="V162" s="548"/>
      <c r="W162" s="548"/>
      <c r="X162" s="549"/>
    </row>
    <row r="163" spans="3:24" s="550" customFormat="1" ht="12.95" customHeight="1">
      <c r="C163" s="536" t="s">
        <v>594</v>
      </c>
      <c r="D163" s="537">
        <v>45261</v>
      </c>
      <c r="E163" s="538"/>
      <c r="F163" s="559" t="s">
        <v>621</v>
      </c>
      <c r="G163" s="558"/>
      <c r="H163" s="541">
        <f>16500+87500</f>
        <v>104000</v>
      </c>
      <c r="I163" s="542">
        <f t="shared" si="2"/>
        <v>18720</v>
      </c>
      <c r="J163" s="543">
        <f t="shared" si="3"/>
        <v>122720</v>
      </c>
      <c r="K163" s="813" t="s">
        <v>506</v>
      </c>
      <c r="L163" s="557" t="s">
        <v>34</v>
      </c>
      <c r="M163" s="536"/>
      <c r="N163" s="536"/>
      <c r="O163" s="536"/>
      <c r="P163" s="536"/>
      <c r="Q163" s="547"/>
      <c r="R163" s="547"/>
      <c r="S163" s="548"/>
      <c r="T163" s="548"/>
      <c r="U163" s="548"/>
      <c r="V163" s="548"/>
      <c r="W163" s="548"/>
      <c r="X163" s="549"/>
    </row>
    <row r="164" spans="3:24" s="550" customFormat="1" ht="12.95" customHeight="1">
      <c r="C164" s="536" t="s">
        <v>594</v>
      </c>
      <c r="D164" s="537">
        <v>45261</v>
      </c>
      <c r="E164" s="538"/>
      <c r="F164" s="559" t="s">
        <v>621</v>
      </c>
      <c r="G164" s="558"/>
      <c r="H164" s="541">
        <v>57500</v>
      </c>
      <c r="I164" s="542">
        <f t="shared" si="2"/>
        <v>10350</v>
      </c>
      <c r="J164" s="543">
        <f t="shared" si="3"/>
        <v>67850</v>
      </c>
      <c r="K164" s="813" t="s">
        <v>506</v>
      </c>
      <c r="L164" s="557" t="s">
        <v>45</v>
      </c>
      <c r="M164" s="536"/>
      <c r="N164" s="536"/>
      <c r="O164" s="536"/>
      <c r="P164" s="536"/>
      <c r="Q164" s="547"/>
      <c r="R164" s="547"/>
      <c r="S164" s="548"/>
      <c r="T164" s="548"/>
      <c r="U164" s="548"/>
      <c r="V164" s="548"/>
      <c r="W164" s="548"/>
      <c r="X164" s="549"/>
    </row>
    <row r="165" spans="3:24" s="550" customFormat="1" ht="12.95" customHeight="1">
      <c r="C165" s="536" t="s">
        <v>594</v>
      </c>
      <c r="D165" s="537">
        <v>45261</v>
      </c>
      <c r="E165" s="538"/>
      <c r="F165" s="559" t="s">
        <v>621</v>
      </c>
      <c r="G165" s="558"/>
      <c r="H165" s="541"/>
      <c r="I165" s="542">
        <f t="shared" si="2"/>
        <v>0</v>
      </c>
      <c r="J165" s="543">
        <f t="shared" si="3"/>
        <v>0</v>
      </c>
      <c r="K165" s="813"/>
      <c r="L165" s="557"/>
      <c r="M165" s="536"/>
      <c r="N165" s="536"/>
      <c r="O165" s="536"/>
      <c r="P165" s="536"/>
      <c r="Q165" s="547"/>
      <c r="R165" s="547"/>
      <c r="S165" s="548"/>
      <c r="T165" s="548"/>
      <c r="U165" s="548"/>
      <c r="V165" s="548"/>
      <c r="W165" s="548"/>
      <c r="X165" s="549"/>
    </row>
    <row r="166" spans="3:24" s="550" customFormat="1" ht="12.95" customHeight="1">
      <c r="C166" s="536" t="s">
        <v>622</v>
      </c>
      <c r="D166" s="537">
        <v>45261</v>
      </c>
      <c r="E166" s="538"/>
      <c r="F166" s="559" t="s">
        <v>623</v>
      </c>
      <c r="G166" s="558"/>
      <c r="H166" s="541">
        <v>135000</v>
      </c>
      <c r="I166" s="542">
        <f t="shared" si="2"/>
        <v>24300</v>
      </c>
      <c r="J166" s="543">
        <f t="shared" si="3"/>
        <v>159300</v>
      </c>
      <c r="K166" s="813" t="s">
        <v>511</v>
      </c>
      <c r="L166" s="557" t="s">
        <v>624</v>
      </c>
      <c r="M166" s="536" t="s">
        <v>556</v>
      </c>
      <c r="N166" s="536" t="s">
        <v>556</v>
      </c>
      <c r="O166" s="536"/>
      <c r="P166" s="536"/>
      <c r="Q166" s="547"/>
      <c r="R166" s="547"/>
      <c r="S166" s="548"/>
      <c r="T166" s="548"/>
      <c r="U166" s="548"/>
      <c r="V166" s="548"/>
      <c r="W166" s="548"/>
      <c r="X166" s="549"/>
    </row>
    <row r="167" spans="3:24" s="550" customFormat="1" ht="12.95" customHeight="1">
      <c r="C167" s="536" t="s">
        <v>597</v>
      </c>
      <c r="D167" s="537">
        <v>45261</v>
      </c>
      <c r="E167" s="538"/>
      <c r="F167" s="559" t="s">
        <v>625</v>
      </c>
      <c r="G167" s="558"/>
      <c r="H167" s="541">
        <v>18926619</v>
      </c>
      <c r="I167" s="542">
        <f t="shared" si="2"/>
        <v>3406791.42</v>
      </c>
      <c r="J167" s="543">
        <f t="shared" si="3"/>
        <v>22333410.420000002</v>
      </c>
      <c r="K167" s="813" t="s">
        <v>429</v>
      </c>
      <c r="L167" s="557" t="s">
        <v>596</v>
      </c>
      <c r="M167" s="536"/>
      <c r="N167" s="536"/>
      <c r="O167" s="536"/>
      <c r="P167" s="536"/>
      <c r="Q167" s="547"/>
      <c r="R167" s="547"/>
      <c r="S167" s="548"/>
      <c r="T167" s="548"/>
      <c r="U167" s="548"/>
      <c r="V167" s="548"/>
      <c r="W167" s="548"/>
      <c r="X167" s="549"/>
    </row>
    <row r="168" spans="3:24" s="550" customFormat="1" ht="12.95" customHeight="1">
      <c r="C168" s="536" t="s">
        <v>597</v>
      </c>
      <c r="D168" s="537">
        <v>45261</v>
      </c>
      <c r="E168" s="538"/>
      <c r="F168" s="559" t="s">
        <v>625</v>
      </c>
      <c r="G168" s="558"/>
      <c r="H168" s="541">
        <v>546000</v>
      </c>
      <c r="I168" s="542">
        <f t="shared" si="2"/>
        <v>98280</v>
      </c>
      <c r="J168" s="543">
        <f t="shared" si="3"/>
        <v>644280</v>
      </c>
      <c r="K168" s="813" t="s">
        <v>429</v>
      </c>
      <c r="L168" s="557" t="s">
        <v>596</v>
      </c>
      <c r="M168" s="536"/>
      <c r="N168" s="536"/>
      <c r="O168" s="536"/>
      <c r="P168" s="536"/>
      <c r="Q168" s="547"/>
      <c r="R168" s="547"/>
      <c r="S168" s="548"/>
      <c r="T168" s="548"/>
      <c r="U168" s="548"/>
      <c r="V168" s="548"/>
      <c r="W168" s="548"/>
      <c r="X168" s="549"/>
    </row>
    <row r="169" spans="3:24" s="550" customFormat="1" ht="12.95" customHeight="1">
      <c r="C169" s="536" t="s">
        <v>597</v>
      </c>
      <c r="D169" s="537">
        <v>45261</v>
      </c>
      <c r="E169" s="538"/>
      <c r="F169" s="559" t="s">
        <v>625</v>
      </c>
      <c r="G169" s="558"/>
      <c r="H169" s="541">
        <v>4038720</v>
      </c>
      <c r="I169" s="542">
        <f t="shared" si="2"/>
        <v>726969.6</v>
      </c>
      <c r="J169" s="543">
        <f t="shared" si="3"/>
        <v>4765689.5999999996</v>
      </c>
      <c r="K169" s="813" t="s">
        <v>429</v>
      </c>
      <c r="L169" s="557" t="s">
        <v>35</v>
      </c>
      <c r="M169" s="536"/>
      <c r="N169" s="536"/>
      <c r="O169" s="536"/>
      <c r="P169" s="536"/>
      <c r="Q169" s="547"/>
      <c r="R169" s="547"/>
      <c r="S169" s="548"/>
      <c r="T169" s="548"/>
      <c r="U169" s="548"/>
      <c r="V169" s="548"/>
      <c r="W169" s="548"/>
      <c r="X169" s="549"/>
    </row>
    <row r="170" spans="3:24" s="550" customFormat="1" ht="12.95" customHeight="1">
      <c r="C170" s="536" t="s">
        <v>597</v>
      </c>
      <c r="D170" s="537">
        <v>45261</v>
      </c>
      <c r="E170" s="538"/>
      <c r="F170" s="559" t="s">
        <v>625</v>
      </c>
      <c r="G170" s="558"/>
      <c r="H170" s="541">
        <v>1229775</v>
      </c>
      <c r="I170" s="542">
        <f t="shared" si="2"/>
        <v>221359.5</v>
      </c>
      <c r="J170" s="543">
        <f t="shared" si="3"/>
        <v>1451134.5</v>
      </c>
      <c r="K170" s="813" t="s">
        <v>429</v>
      </c>
      <c r="L170" s="557" t="s">
        <v>34</v>
      </c>
      <c r="M170" s="536"/>
      <c r="N170" s="536"/>
      <c r="O170" s="536"/>
      <c r="P170" s="536"/>
      <c r="Q170" s="547"/>
      <c r="R170" s="547"/>
      <c r="S170" s="548"/>
      <c r="T170" s="548"/>
      <c r="U170" s="548"/>
      <c r="V170" s="548"/>
      <c r="W170" s="548"/>
      <c r="X170" s="549"/>
    </row>
    <row r="171" spans="3:24" s="550" customFormat="1" ht="12.95" customHeight="1">
      <c r="C171" s="536" t="s">
        <v>597</v>
      </c>
      <c r="D171" s="537">
        <v>45261</v>
      </c>
      <c r="E171" s="538"/>
      <c r="F171" s="559" t="s">
        <v>625</v>
      </c>
      <c r="G171" s="558"/>
      <c r="H171" s="541">
        <v>1638700</v>
      </c>
      <c r="I171" s="542">
        <f t="shared" si="2"/>
        <v>294966</v>
      </c>
      <c r="J171" s="543">
        <f t="shared" si="3"/>
        <v>1933666</v>
      </c>
      <c r="K171" s="813" t="s">
        <v>429</v>
      </c>
      <c r="L171" s="557" t="s">
        <v>36</v>
      </c>
      <c r="M171" s="536"/>
      <c r="N171" s="536"/>
      <c r="O171" s="536"/>
      <c r="P171" s="536"/>
      <c r="Q171" s="547"/>
      <c r="R171" s="547"/>
      <c r="S171" s="548"/>
      <c r="T171" s="548"/>
      <c r="U171" s="548"/>
      <c r="V171" s="548"/>
      <c r="W171" s="548"/>
      <c r="X171" s="549"/>
    </row>
    <row r="172" spans="3:24" s="550" customFormat="1" ht="12.95" customHeight="1">
      <c r="C172" s="536" t="s">
        <v>597</v>
      </c>
      <c r="D172" s="537">
        <v>45261</v>
      </c>
      <c r="E172" s="538"/>
      <c r="F172" s="559" t="s">
        <v>625</v>
      </c>
      <c r="G172" s="558"/>
      <c r="H172" s="541">
        <v>3636500</v>
      </c>
      <c r="I172" s="542">
        <f t="shared" si="2"/>
        <v>654570</v>
      </c>
      <c r="J172" s="543">
        <f t="shared" si="3"/>
        <v>4291070</v>
      </c>
      <c r="K172" s="813" t="s">
        <v>429</v>
      </c>
      <c r="L172" s="557" t="s">
        <v>47</v>
      </c>
      <c r="M172" s="536"/>
      <c r="N172" s="536"/>
      <c r="O172" s="536"/>
      <c r="P172" s="536"/>
      <c r="Q172" s="547"/>
      <c r="R172" s="547"/>
      <c r="S172" s="548"/>
      <c r="T172" s="548"/>
      <c r="U172" s="548"/>
      <c r="V172" s="548"/>
      <c r="W172" s="548"/>
      <c r="X172" s="549"/>
    </row>
    <row r="173" spans="3:24" s="550" customFormat="1" ht="12.95" customHeight="1">
      <c r="C173" s="536" t="s">
        <v>597</v>
      </c>
      <c r="D173" s="537">
        <v>45261</v>
      </c>
      <c r="E173" s="538"/>
      <c r="F173" s="559" t="s">
        <v>625</v>
      </c>
      <c r="G173" s="558"/>
      <c r="H173" s="541">
        <v>1905480</v>
      </c>
      <c r="I173" s="542">
        <f t="shared" si="2"/>
        <v>342986.39999999997</v>
      </c>
      <c r="J173" s="543">
        <f t="shared" si="3"/>
        <v>2248466.4</v>
      </c>
      <c r="K173" s="813" t="s">
        <v>429</v>
      </c>
      <c r="L173" s="557" t="s">
        <v>48</v>
      </c>
      <c r="M173" s="536"/>
      <c r="N173" s="536"/>
      <c r="O173" s="536"/>
      <c r="P173" s="536"/>
      <c r="Q173" s="547"/>
      <c r="R173" s="547"/>
      <c r="S173" s="548"/>
      <c r="T173" s="548"/>
      <c r="U173" s="548"/>
      <c r="V173" s="548"/>
      <c r="W173" s="548"/>
      <c r="X173" s="549"/>
    </row>
    <row r="174" spans="3:24" s="550" customFormat="1" ht="12.95" customHeight="1">
      <c r="C174" s="536" t="s">
        <v>626</v>
      </c>
      <c r="D174" s="537">
        <v>45265</v>
      </c>
      <c r="E174" s="538"/>
      <c r="F174" s="559" t="s">
        <v>627</v>
      </c>
      <c r="G174" s="558"/>
      <c r="H174" s="541">
        <v>69500</v>
      </c>
      <c r="I174" s="542">
        <f t="shared" si="2"/>
        <v>12510</v>
      </c>
      <c r="J174" s="543">
        <f t="shared" si="3"/>
        <v>82010</v>
      </c>
      <c r="K174" s="813" t="s">
        <v>463</v>
      </c>
      <c r="L174" s="544" t="s">
        <v>58</v>
      </c>
      <c r="M174" s="536" t="s">
        <v>556</v>
      </c>
      <c r="N174" s="536" t="s">
        <v>556</v>
      </c>
      <c r="O174" s="536"/>
      <c r="P174" s="536"/>
      <c r="Q174" s="547"/>
      <c r="R174" s="547"/>
      <c r="S174" s="548"/>
      <c r="T174" s="548"/>
      <c r="U174" s="548"/>
      <c r="V174" s="548"/>
      <c r="W174" s="548"/>
      <c r="X174" s="549"/>
    </row>
    <row r="175" spans="3:24" s="550" customFormat="1" ht="12.95" customHeight="1">
      <c r="C175" s="536" t="s">
        <v>628</v>
      </c>
      <c r="D175" s="537">
        <v>45265</v>
      </c>
      <c r="E175" s="538"/>
      <c r="F175" s="559" t="s">
        <v>629</v>
      </c>
      <c r="G175" s="558"/>
      <c r="H175" s="541">
        <v>23450</v>
      </c>
      <c r="I175" s="542">
        <f t="shared" si="2"/>
        <v>4221</v>
      </c>
      <c r="J175" s="543">
        <f t="shared" si="3"/>
        <v>27671</v>
      </c>
      <c r="K175" s="813" t="s">
        <v>463</v>
      </c>
      <c r="L175" s="544" t="s">
        <v>58</v>
      </c>
      <c r="M175" s="536" t="s">
        <v>556</v>
      </c>
      <c r="N175" s="536" t="s">
        <v>556</v>
      </c>
      <c r="O175" s="536"/>
      <c r="P175" s="536"/>
      <c r="Q175" s="547"/>
      <c r="R175" s="547"/>
      <c r="S175" s="548"/>
      <c r="T175" s="548"/>
      <c r="U175" s="548"/>
      <c r="V175" s="548"/>
      <c r="W175" s="548"/>
      <c r="X175" s="549"/>
    </row>
    <row r="176" spans="3:24" s="550" customFormat="1" ht="12.95" customHeight="1">
      <c r="C176" s="536" t="s">
        <v>630</v>
      </c>
      <c r="D176" s="537">
        <v>45265</v>
      </c>
      <c r="E176" s="538"/>
      <c r="F176" s="559" t="s">
        <v>631</v>
      </c>
      <c r="G176" s="558"/>
      <c r="H176" s="541">
        <v>120000</v>
      </c>
      <c r="I176" s="542">
        <f t="shared" si="2"/>
        <v>21600</v>
      </c>
      <c r="J176" s="543">
        <f t="shared" si="3"/>
        <v>141600</v>
      </c>
      <c r="K176" s="813" t="s">
        <v>463</v>
      </c>
      <c r="L176" s="544" t="s">
        <v>58</v>
      </c>
      <c r="M176" s="536" t="s">
        <v>556</v>
      </c>
      <c r="N176" s="536" t="s">
        <v>556</v>
      </c>
      <c r="O176" s="536"/>
      <c r="P176" s="536"/>
      <c r="Q176" s="547"/>
      <c r="R176" s="547"/>
      <c r="S176" s="548"/>
      <c r="T176" s="548"/>
      <c r="U176" s="548"/>
      <c r="V176" s="548"/>
      <c r="W176" s="548"/>
      <c r="X176" s="549"/>
    </row>
    <row r="177" spans="3:24" s="550" customFormat="1" ht="12.95" customHeight="1">
      <c r="C177" s="536" t="s">
        <v>632</v>
      </c>
      <c r="D177" s="537">
        <v>45265</v>
      </c>
      <c r="E177" s="538"/>
      <c r="F177" s="559" t="s">
        <v>633</v>
      </c>
      <c r="G177" s="558"/>
      <c r="H177" s="541">
        <f>46300*0</f>
        <v>0</v>
      </c>
      <c r="I177" s="542">
        <f t="shared" si="2"/>
        <v>0</v>
      </c>
      <c r="J177" s="543">
        <f t="shared" si="3"/>
        <v>0</v>
      </c>
      <c r="K177" s="813" t="s">
        <v>463</v>
      </c>
      <c r="L177" s="544" t="s">
        <v>58</v>
      </c>
      <c r="M177" s="536" t="s">
        <v>556</v>
      </c>
      <c r="N177" s="536" t="s">
        <v>556</v>
      </c>
      <c r="O177" s="536"/>
      <c r="P177" s="536"/>
      <c r="Q177" s="547"/>
      <c r="R177" s="547"/>
      <c r="S177" s="548"/>
      <c r="T177" s="548"/>
      <c r="U177" s="548"/>
      <c r="V177" s="548"/>
      <c r="W177" s="548"/>
      <c r="X177" s="549"/>
    </row>
    <row r="178" spans="3:24" s="550" customFormat="1" ht="12.95" customHeight="1">
      <c r="C178" s="536" t="s">
        <v>634</v>
      </c>
      <c r="D178" s="537">
        <v>45265</v>
      </c>
      <c r="E178" s="538"/>
      <c r="F178" s="559" t="s">
        <v>635</v>
      </c>
      <c r="G178" s="558"/>
      <c r="H178" s="541">
        <v>253000</v>
      </c>
      <c r="I178" s="542">
        <f t="shared" si="2"/>
        <v>45540</v>
      </c>
      <c r="J178" s="543">
        <f t="shared" si="3"/>
        <v>298540</v>
      </c>
      <c r="K178" s="813" t="s">
        <v>859</v>
      </c>
      <c r="L178" s="544" t="s">
        <v>58</v>
      </c>
      <c r="M178" s="536" t="s">
        <v>556</v>
      </c>
      <c r="N178" s="536" t="s">
        <v>556</v>
      </c>
      <c r="O178" s="536"/>
      <c r="P178" s="536"/>
      <c r="Q178" s="547"/>
      <c r="R178" s="547"/>
      <c r="S178" s="548"/>
      <c r="T178" s="548"/>
      <c r="U178" s="548"/>
      <c r="V178" s="548"/>
      <c r="W178" s="548"/>
      <c r="X178" s="549"/>
    </row>
    <row r="179" spans="3:24" s="550" customFormat="1" ht="12.95" customHeight="1">
      <c r="C179" s="536" t="s">
        <v>632</v>
      </c>
      <c r="D179" s="537">
        <v>45265</v>
      </c>
      <c r="E179" s="538"/>
      <c r="F179" s="559" t="s">
        <v>636</v>
      </c>
      <c r="G179" s="558"/>
      <c r="H179" s="574">
        <f>103850*0</f>
        <v>0</v>
      </c>
      <c r="I179" s="542">
        <f t="shared" si="2"/>
        <v>0</v>
      </c>
      <c r="J179" s="543">
        <f t="shared" si="3"/>
        <v>0</v>
      </c>
      <c r="K179" s="813" t="s">
        <v>859</v>
      </c>
      <c r="L179" s="544" t="s">
        <v>58</v>
      </c>
      <c r="M179" s="536" t="s">
        <v>556</v>
      </c>
      <c r="N179" s="536" t="s">
        <v>556</v>
      </c>
      <c r="O179" s="536"/>
      <c r="P179" s="536"/>
      <c r="Q179" s="547"/>
      <c r="R179" s="547"/>
      <c r="S179" s="548"/>
      <c r="T179" s="548"/>
      <c r="U179" s="548"/>
      <c r="V179" s="548"/>
      <c r="W179" s="548"/>
      <c r="X179" s="549"/>
    </row>
    <row r="180" spans="3:24" s="550" customFormat="1" ht="12.95" customHeight="1">
      <c r="C180" s="536" t="s">
        <v>628</v>
      </c>
      <c r="D180" s="537">
        <v>45265</v>
      </c>
      <c r="E180" s="538"/>
      <c r="F180" s="559" t="s">
        <v>637</v>
      </c>
      <c r="G180" s="558"/>
      <c r="H180" s="541">
        <v>23450</v>
      </c>
      <c r="I180" s="542">
        <f t="shared" si="2"/>
        <v>4221</v>
      </c>
      <c r="J180" s="543">
        <f t="shared" si="3"/>
        <v>27671</v>
      </c>
      <c r="K180" s="813" t="s">
        <v>859</v>
      </c>
      <c r="L180" s="544" t="s">
        <v>58</v>
      </c>
      <c r="M180" s="536" t="s">
        <v>556</v>
      </c>
      <c r="N180" s="536" t="s">
        <v>556</v>
      </c>
      <c r="O180" s="536"/>
      <c r="P180" s="536"/>
      <c r="Q180" s="547"/>
      <c r="R180" s="547"/>
      <c r="S180" s="548"/>
      <c r="T180" s="548"/>
      <c r="U180" s="548"/>
      <c r="V180" s="548"/>
      <c r="W180" s="548"/>
      <c r="X180" s="549"/>
    </row>
    <row r="181" spans="3:24" s="550" customFormat="1" ht="12.95" customHeight="1">
      <c r="C181" s="536" t="s">
        <v>630</v>
      </c>
      <c r="D181" s="537">
        <v>45265</v>
      </c>
      <c r="E181" s="538"/>
      <c r="F181" s="559" t="s">
        <v>638</v>
      </c>
      <c r="G181" s="558"/>
      <c r="H181" s="541">
        <v>68000</v>
      </c>
      <c r="I181" s="542">
        <f t="shared" si="2"/>
        <v>12240</v>
      </c>
      <c r="J181" s="543">
        <f t="shared" si="3"/>
        <v>80240</v>
      </c>
      <c r="K181" s="813" t="s">
        <v>859</v>
      </c>
      <c r="L181" s="544" t="s">
        <v>58</v>
      </c>
      <c r="M181" s="536" t="s">
        <v>556</v>
      </c>
      <c r="N181" s="536" t="s">
        <v>556</v>
      </c>
      <c r="O181" s="536"/>
      <c r="P181" s="536"/>
      <c r="Q181" s="547"/>
      <c r="R181" s="547"/>
      <c r="S181" s="548"/>
      <c r="T181" s="548"/>
      <c r="U181" s="548"/>
      <c r="V181" s="548"/>
      <c r="W181" s="548"/>
      <c r="X181" s="549"/>
    </row>
    <row r="182" spans="3:24" s="550" customFormat="1" ht="12.95" customHeight="1">
      <c r="C182" s="536" t="s">
        <v>626</v>
      </c>
      <c r="D182" s="537">
        <v>45265</v>
      </c>
      <c r="E182" s="538"/>
      <c r="F182" s="559" t="s">
        <v>639</v>
      </c>
      <c r="G182" s="558"/>
      <c r="H182" s="574">
        <f>112000*0</f>
        <v>0</v>
      </c>
      <c r="I182" s="542">
        <f t="shared" si="2"/>
        <v>0</v>
      </c>
      <c r="J182" s="543">
        <f t="shared" si="3"/>
        <v>0</v>
      </c>
      <c r="K182" s="813" t="s">
        <v>859</v>
      </c>
      <c r="L182" s="544" t="s">
        <v>58</v>
      </c>
      <c r="M182" s="536" t="s">
        <v>556</v>
      </c>
      <c r="N182" s="536" t="s">
        <v>556</v>
      </c>
      <c r="O182" s="536"/>
      <c r="P182" s="536"/>
      <c r="Q182" s="547"/>
      <c r="R182" s="547"/>
      <c r="S182" s="548"/>
      <c r="T182" s="548"/>
      <c r="U182" s="548"/>
      <c r="V182" s="548"/>
      <c r="W182" s="548"/>
      <c r="X182" s="549"/>
    </row>
    <row r="183" spans="3:24" s="550" customFormat="1" ht="12.95" customHeight="1">
      <c r="C183" s="536" t="s">
        <v>632</v>
      </c>
      <c r="D183" s="537">
        <v>45265</v>
      </c>
      <c r="E183" s="538"/>
      <c r="F183" s="559" t="s">
        <v>640</v>
      </c>
      <c r="G183" s="558"/>
      <c r="H183" s="541">
        <v>86100</v>
      </c>
      <c r="I183" s="542">
        <f t="shared" si="2"/>
        <v>15498</v>
      </c>
      <c r="J183" s="543">
        <f t="shared" si="3"/>
        <v>101598</v>
      </c>
      <c r="K183" s="813" t="s">
        <v>519</v>
      </c>
      <c r="L183" s="544" t="s">
        <v>58</v>
      </c>
      <c r="M183" s="536" t="s">
        <v>556</v>
      </c>
      <c r="N183" s="536" t="s">
        <v>556</v>
      </c>
      <c r="O183" s="536"/>
      <c r="P183" s="536"/>
      <c r="Q183" s="547"/>
      <c r="R183" s="547"/>
      <c r="S183" s="548"/>
      <c r="T183" s="548"/>
      <c r="U183" s="548"/>
      <c r="V183" s="548"/>
      <c r="W183" s="548"/>
      <c r="X183" s="549"/>
    </row>
    <row r="184" spans="3:24" s="550" customFormat="1" ht="12.95" customHeight="1">
      <c r="C184" s="552" t="s">
        <v>630</v>
      </c>
      <c r="D184" s="537">
        <v>45265</v>
      </c>
      <c r="E184" s="538"/>
      <c r="F184" s="559" t="s">
        <v>641</v>
      </c>
      <c r="G184" s="575"/>
      <c r="H184" s="541">
        <v>120000</v>
      </c>
      <c r="I184" s="542">
        <f t="shared" ref="I184:I247" si="4">H184*0.18</f>
        <v>21600</v>
      </c>
      <c r="J184" s="543">
        <f t="shared" ref="J184:J264" si="5">H184+I184</f>
        <v>141600</v>
      </c>
      <c r="K184" s="813" t="s">
        <v>519</v>
      </c>
      <c r="L184" s="544" t="s">
        <v>58</v>
      </c>
      <c r="M184" s="536" t="s">
        <v>556</v>
      </c>
      <c r="N184" s="536" t="s">
        <v>556</v>
      </c>
      <c r="O184" s="536"/>
      <c r="P184" s="536"/>
      <c r="Q184" s="547"/>
      <c r="R184" s="547"/>
      <c r="S184" s="548"/>
      <c r="T184" s="548"/>
      <c r="U184" s="548"/>
      <c r="V184" s="548"/>
      <c r="W184" s="548"/>
      <c r="X184" s="549"/>
    </row>
    <row r="185" spans="3:24" s="550" customFormat="1" ht="12.95" customHeight="1">
      <c r="C185" s="536" t="s">
        <v>626</v>
      </c>
      <c r="D185" s="537">
        <v>45265</v>
      </c>
      <c r="E185" s="538"/>
      <c r="F185" s="559" t="s">
        <v>642</v>
      </c>
      <c r="G185" s="568"/>
      <c r="H185" s="541">
        <v>69500</v>
      </c>
      <c r="I185" s="542">
        <f t="shared" si="4"/>
        <v>12510</v>
      </c>
      <c r="J185" s="543">
        <f t="shared" si="5"/>
        <v>82010</v>
      </c>
      <c r="K185" s="813" t="s">
        <v>519</v>
      </c>
      <c r="L185" s="544" t="s">
        <v>58</v>
      </c>
      <c r="M185" s="536" t="s">
        <v>556</v>
      </c>
      <c r="N185" s="536" t="s">
        <v>556</v>
      </c>
      <c r="O185" s="536"/>
      <c r="P185" s="536"/>
      <c r="Q185" s="547"/>
      <c r="R185" s="547"/>
      <c r="S185" s="548"/>
      <c r="T185" s="548"/>
      <c r="U185" s="548"/>
      <c r="V185" s="548"/>
      <c r="W185" s="548"/>
      <c r="X185" s="549"/>
    </row>
    <row r="186" spans="3:24" s="550" customFormat="1" ht="12.95" customHeight="1">
      <c r="C186" s="536" t="s">
        <v>643</v>
      </c>
      <c r="D186" s="537">
        <v>45265</v>
      </c>
      <c r="E186" s="538"/>
      <c r="F186" s="559" t="s">
        <v>644</v>
      </c>
      <c r="G186" s="568"/>
      <c r="H186" s="541">
        <v>69700</v>
      </c>
      <c r="I186" s="542">
        <f t="shared" si="4"/>
        <v>12546</v>
      </c>
      <c r="J186" s="543">
        <f t="shared" si="5"/>
        <v>82246</v>
      </c>
      <c r="K186" s="813" t="s">
        <v>519</v>
      </c>
      <c r="L186" s="544" t="s">
        <v>58</v>
      </c>
      <c r="M186" s="536" t="s">
        <v>556</v>
      </c>
      <c r="N186" s="536" t="s">
        <v>556</v>
      </c>
      <c r="O186" s="536"/>
      <c r="P186" s="536"/>
      <c r="Q186" s="547"/>
      <c r="R186" s="547"/>
      <c r="S186" s="548"/>
      <c r="T186" s="548"/>
      <c r="U186" s="548"/>
      <c r="V186" s="548"/>
      <c r="W186" s="548"/>
      <c r="X186" s="549"/>
    </row>
    <row r="187" spans="3:24" s="550" customFormat="1" ht="12.95" customHeight="1">
      <c r="C187" s="536" t="s">
        <v>645</v>
      </c>
      <c r="D187" s="537">
        <v>45265</v>
      </c>
      <c r="E187" s="538"/>
      <c r="F187" s="559" t="s">
        <v>646</v>
      </c>
      <c r="G187" s="568"/>
      <c r="H187" s="541">
        <v>23450</v>
      </c>
      <c r="I187" s="542">
        <f t="shared" si="4"/>
        <v>4221</v>
      </c>
      <c r="J187" s="543">
        <f t="shared" si="5"/>
        <v>27671</v>
      </c>
      <c r="K187" s="813" t="s">
        <v>647</v>
      </c>
      <c r="L187" s="544" t="s">
        <v>58</v>
      </c>
      <c r="M187" s="536" t="s">
        <v>556</v>
      </c>
      <c r="N187" s="536" t="s">
        <v>556</v>
      </c>
      <c r="O187" s="536"/>
      <c r="P187" s="536"/>
      <c r="Q187" s="547"/>
      <c r="R187" s="547"/>
      <c r="S187" s="548"/>
      <c r="T187" s="548"/>
      <c r="U187" s="548"/>
      <c r="V187" s="548"/>
      <c r="W187" s="548"/>
      <c r="X187" s="549"/>
    </row>
    <row r="188" spans="3:24" s="550" customFormat="1" ht="12.95" customHeight="1">
      <c r="C188" s="536" t="s">
        <v>645</v>
      </c>
      <c r="D188" s="537">
        <v>45265</v>
      </c>
      <c r="E188" s="538"/>
      <c r="F188" s="559" t="s">
        <v>648</v>
      </c>
      <c r="G188" s="568"/>
      <c r="H188" s="541">
        <v>23450</v>
      </c>
      <c r="I188" s="542">
        <f t="shared" si="4"/>
        <v>4221</v>
      </c>
      <c r="J188" s="543">
        <f t="shared" si="5"/>
        <v>27671</v>
      </c>
      <c r="K188" s="813" t="s">
        <v>519</v>
      </c>
      <c r="L188" s="544" t="s">
        <v>58</v>
      </c>
      <c r="M188" s="536" t="s">
        <v>556</v>
      </c>
      <c r="N188" s="536" t="s">
        <v>556</v>
      </c>
      <c r="O188" s="536"/>
      <c r="P188" s="536"/>
      <c r="Q188" s="547"/>
      <c r="R188" s="547"/>
      <c r="S188" s="548"/>
      <c r="T188" s="548"/>
      <c r="U188" s="548"/>
      <c r="V188" s="548"/>
      <c r="W188" s="548"/>
      <c r="X188" s="549"/>
    </row>
    <row r="189" spans="3:24" s="550" customFormat="1" ht="12.95" customHeight="1">
      <c r="C189" s="552" t="s">
        <v>649</v>
      </c>
      <c r="D189" s="537">
        <v>45265</v>
      </c>
      <c r="E189" s="538"/>
      <c r="F189" s="559" t="s">
        <v>650</v>
      </c>
      <c r="G189" s="568"/>
      <c r="H189" s="541">
        <v>20900</v>
      </c>
      <c r="I189" s="542">
        <f t="shared" si="4"/>
        <v>3762</v>
      </c>
      <c r="J189" s="543">
        <f t="shared" si="5"/>
        <v>24662</v>
      </c>
      <c r="K189" s="813" t="s">
        <v>647</v>
      </c>
      <c r="L189" s="544" t="s">
        <v>58</v>
      </c>
      <c r="M189" s="536" t="s">
        <v>556</v>
      </c>
      <c r="N189" s="536" t="s">
        <v>556</v>
      </c>
      <c r="O189" s="536"/>
      <c r="P189" s="536"/>
      <c r="Q189" s="547"/>
      <c r="R189" s="547"/>
      <c r="S189" s="548"/>
      <c r="T189" s="548"/>
      <c r="U189" s="548"/>
      <c r="V189" s="548"/>
      <c r="W189" s="548"/>
      <c r="X189" s="549"/>
    </row>
    <row r="190" spans="3:24" s="550" customFormat="1" ht="12.95" customHeight="1">
      <c r="C190" s="536" t="s">
        <v>630</v>
      </c>
      <c r="D190" s="537">
        <v>45265</v>
      </c>
      <c r="E190" s="538"/>
      <c r="F190" s="559" t="s">
        <v>651</v>
      </c>
      <c r="G190" s="568"/>
      <c r="H190" s="541">
        <v>60000</v>
      </c>
      <c r="I190" s="542">
        <f t="shared" si="4"/>
        <v>10800</v>
      </c>
      <c r="J190" s="543">
        <f t="shared" si="5"/>
        <v>70800</v>
      </c>
      <c r="K190" s="813" t="s">
        <v>647</v>
      </c>
      <c r="L190" s="544" t="s">
        <v>58</v>
      </c>
      <c r="M190" s="536" t="s">
        <v>556</v>
      </c>
      <c r="N190" s="536" t="s">
        <v>556</v>
      </c>
      <c r="O190" s="536"/>
      <c r="P190" s="536"/>
      <c r="Q190" s="547"/>
      <c r="R190" s="547"/>
      <c r="S190" s="548"/>
      <c r="T190" s="548"/>
      <c r="U190" s="548"/>
      <c r="V190" s="548"/>
      <c r="W190" s="548"/>
      <c r="X190" s="549"/>
    </row>
    <row r="191" spans="3:24" s="550" customFormat="1" ht="12.95" customHeight="1">
      <c r="C191" s="536" t="s">
        <v>626</v>
      </c>
      <c r="D191" s="537">
        <v>45265</v>
      </c>
      <c r="E191" s="538"/>
      <c r="F191" s="559" t="s">
        <v>652</v>
      </c>
      <c r="G191" s="568"/>
      <c r="H191" s="541">
        <v>69500</v>
      </c>
      <c r="I191" s="542">
        <f t="shared" si="4"/>
        <v>12510</v>
      </c>
      <c r="J191" s="543">
        <f t="shared" si="5"/>
        <v>82010</v>
      </c>
      <c r="K191" s="813" t="s">
        <v>647</v>
      </c>
      <c r="L191" s="544" t="s">
        <v>58</v>
      </c>
      <c r="M191" s="536" t="s">
        <v>556</v>
      </c>
      <c r="N191" s="536" t="s">
        <v>556</v>
      </c>
      <c r="O191" s="536"/>
      <c r="P191" s="536"/>
      <c r="Q191" s="547"/>
      <c r="R191" s="547"/>
      <c r="S191" s="548"/>
      <c r="T191" s="548"/>
      <c r="U191" s="548"/>
      <c r="V191" s="548"/>
      <c r="W191" s="548"/>
      <c r="X191" s="549"/>
    </row>
    <row r="192" spans="3:24" s="550" customFormat="1" ht="12.95" customHeight="1">
      <c r="C192" s="536" t="s">
        <v>653</v>
      </c>
      <c r="D192" s="537">
        <v>45266</v>
      </c>
      <c r="E192" s="538"/>
      <c r="F192" s="559" t="s">
        <v>654</v>
      </c>
      <c r="G192" s="568"/>
      <c r="H192" s="541">
        <v>253000</v>
      </c>
      <c r="I192" s="542">
        <f t="shared" si="4"/>
        <v>45540</v>
      </c>
      <c r="J192" s="543">
        <f t="shared" si="5"/>
        <v>298540</v>
      </c>
      <c r="K192" s="813" t="s">
        <v>500</v>
      </c>
      <c r="L192" s="544" t="s">
        <v>58</v>
      </c>
      <c r="M192" s="536" t="s">
        <v>556</v>
      </c>
      <c r="N192" s="536" t="s">
        <v>556</v>
      </c>
      <c r="O192" s="536"/>
      <c r="P192" s="536"/>
      <c r="Q192" s="547"/>
      <c r="R192" s="547"/>
      <c r="S192" s="548"/>
      <c r="T192" s="548"/>
      <c r="U192" s="548"/>
      <c r="V192" s="548"/>
      <c r="W192" s="548"/>
      <c r="X192" s="549"/>
    </row>
    <row r="193" spans="2:25" s="550" customFormat="1" ht="12.95" customHeight="1">
      <c r="C193" s="536" t="s">
        <v>630</v>
      </c>
      <c r="D193" s="537">
        <v>45266</v>
      </c>
      <c r="E193" s="538"/>
      <c r="F193" s="559" t="s">
        <v>655</v>
      </c>
      <c r="G193" s="568"/>
      <c r="H193" s="541">
        <v>189000</v>
      </c>
      <c r="I193" s="542">
        <f t="shared" si="4"/>
        <v>34020</v>
      </c>
      <c r="J193" s="543">
        <f t="shared" si="5"/>
        <v>223020</v>
      </c>
      <c r="K193" s="813" t="s">
        <v>500</v>
      </c>
      <c r="L193" s="544" t="s">
        <v>58</v>
      </c>
      <c r="M193" s="536" t="s">
        <v>556</v>
      </c>
      <c r="N193" s="536" t="s">
        <v>556</v>
      </c>
      <c r="O193" s="536"/>
      <c r="P193" s="536"/>
      <c r="Q193" s="547"/>
      <c r="R193" s="547"/>
      <c r="S193" s="548"/>
      <c r="T193" s="548"/>
      <c r="U193" s="548"/>
      <c r="V193" s="548"/>
      <c r="W193" s="548"/>
      <c r="X193" s="549"/>
    </row>
    <row r="194" spans="2:25" s="550" customFormat="1" ht="12.95" customHeight="1">
      <c r="C194" s="536" t="s">
        <v>645</v>
      </c>
      <c r="D194" s="537">
        <v>45266</v>
      </c>
      <c r="E194" s="538"/>
      <c r="F194" s="559" t="s">
        <v>656</v>
      </c>
      <c r="G194" s="568"/>
      <c r="H194" s="541">
        <v>60900</v>
      </c>
      <c r="I194" s="542">
        <f t="shared" si="4"/>
        <v>10962</v>
      </c>
      <c r="J194" s="543">
        <f t="shared" si="5"/>
        <v>71862</v>
      </c>
      <c r="K194" s="813" t="s">
        <v>500</v>
      </c>
      <c r="L194" s="544" t="s">
        <v>58</v>
      </c>
      <c r="M194" s="536" t="s">
        <v>556</v>
      </c>
      <c r="N194" s="536" t="s">
        <v>556</v>
      </c>
      <c r="O194" s="536"/>
      <c r="P194" s="536"/>
      <c r="Q194" s="547"/>
      <c r="R194" s="547"/>
      <c r="S194" s="548"/>
      <c r="T194" s="548"/>
      <c r="U194" s="548"/>
      <c r="V194" s="548"/>
      <c r="W194" s="548"/>
      <c r="X194" s="549"/>
    </row>
    <row r="195" spans="2:25" s="550" customFormat="1" ht="12.95" customHeight="1">
      <c r="C195" s="536" t="s">
        <v>657</v>
      </c>
      <c r="D195" s="537">
        <v>45266</v>
      </c>
      <c r="E195" s="538"/>
      <c r="F195" s="559" t="s">
        <v>658</v>
      </c>
      <c r="G195" s="568"/>
      <c r="H195" s="541">
        <v>621760</v>
      </c>
      <c r="I195" s="542">
        <f t="shared" si="4"/>
        <v>111916.8</v>
      </c>
      <c r="J195" s="543">
        <f t="shared" si="5"/>
        <v>733676.8</v>
      </c>
      <c r="K195" s="813" t="s">
        <v>500</v>
      </c>
      <c r="L195" s="544" t="s">
        <v>58</v>
      </c>
      <c r="M195" s="536" t="s">
        <v>556</v>
      </c>
      <c r="N195" s="536" t="s">
        <v>556</v>
      </c>
      <c r="O195" s="536"/>
      <c r="P195" s="536"/>
      <c r="Q195" s="547"/>
      <c r="R195" s="547"/>
      <c r="S195" s="548"/>
      <c r="T195" s="548"/>
      <c r="U195" s="548"/>
      <c r="V195" s="548"/>
      <c r="W195" s="548"/>
      <c r="X195" s="549"/>
    </row>
    <row r="196" spans="2:25" s="550" customFormat="1" ht="12.95" customHeight="1">
      <c r="C196" s="536" t="s">
        <v>630</v>
      </c>
      <c r="D196" s="537">
        <v>45266</v>
      </c>
      <c r="E196" s="538"/>
      <c r="F196" s="559" t="s">
        <v>659</v>
      </c>
      <c r="G196" s="568"/>
      <c r="H196" s="541">
        <v>121000</v>
      </c>
      <c r="I196" s="542">
        <f t="shared" si="4"/>
        <v>21780</v>
      </c>
      <c r="J196" s="543">
        <f t="shared" si="5"/>
        <v>142780</v>
      </c>
      <c r="K196" s="813" t="s">
        <v>512</v>
      </c>
      <c r="L196" s="544" t="s">
        <v>58</v>
      </c>
      <c r="M196" s="536" t="s">
        <v>556</v>
      </c>
      <c r="N196" s="536" t="s">
        <v>556</v>
      </c>
      <c r="O196" s="536"/>
      <c r="P196" s="536"/>
      <c r="Q196" s="547"/>
      <c r="R196" s="547"/>
      <c r="S196" s="548"/>
      <c r="T196" s="548"/>
      <c r="U196" s="548"/>
      <c r="V196" s="548"/>
      <c r="W196" s="548"/>
      <c r="X196" s="549"/>
    </row>
    <row r="197" spans="2:25" s="550" customFormat="1" ht="12.95" customHeight="1">
      <c r="C197" s="536" t="s">
        <v>660</v>
      </c>
      <c r="D197" s="537">
        <v>45267</v>
      </c>
      <c r="E197" s="538"/>
      <c r="F197" s="556" t="s">
        <v>661</v>
      </c>
      <c r="G197" s="568"/>
      <c r="H197" s="541">
        <v>269584</v>
      </c>
      <c r="I197" s="542">
        <f t="shared" si="4"/>
        <v>48525.119999999995</v>
      </c>
      <c r="J197" s="543">
        <f t="shared" si="5"/>
        <v>318109.12</v>
      </c>
      <c r="K197" s="813" t="s">
        <v>512</v>
      </c>
      <c r="L197" s="544" t="s">
        <v>58</v>
      </c>
      <c r="M197" s="536" t="s">
        <v>556</v>
      </c>
      <c r="N197" s="536" t="s">
        <v>556</v>
      </c>
      <c r="O197" s="536"/>
      <c r="P197" s="536"/>
      <c r="Q197" s="547"/>
      <c r="R197" s="547"/>
      <c r="S197" s="548"/>
      <c r="T197" s="548"/>
      <c r="U197" s="548"/>
      <c r="V197" s="548"/>
      <c r="W197" s="548"/>
      <c r="X197" s="549"/>
    </row>
    <row r="198" spans="2:25" s="550" customFormat="1" ht="12.95" customHeight="1">
      <c r="C198" s="536" t="s">
        <v>645</v>
      </c>
      <c r="D198" s="537">
        <v>45266</v>
      </c>
      <c r="E198" s="538"/>
      <c r="F198" s="556" t="s">
        <v>662</v>
      </c>
      <c r="G198" s="568"/>
      <c r="H198" s="541">
        <v>60900</v>
      </c>
      <c r="I198" s="542">
        <f t="shared" si="4"/>
        <v>10962</v>
      </c>
      <c r="J198" s="543">
        <f t="shared" si="5"/>
        <v>71862</v>
      </c>
      <c r="K198" s="813" t="s">
        <v>506</v>
      </c>
      <c r="L198" s="544" t="s">
        <v>58</v>
      </c>
      <c r="M198" s="536" t="s">
        <v>556</v>
      </c>
      <c r="N198" s="536" t="s">
        <v>556</v>
      </c>
      <c r="O198" s="536"/>
      <c r="P198" s="536"/>
      <c r="Q198" s="547"/>
      <c r="R198" s="547"/>
      <c r="S198" s="548"/>
      <c r="T198" s="548"/>
      <c r="U198" s="548"/>
      <c r="V198" s="548"/>
      <c r="W198" s="548"/>
      <c r="X198" s="549"/>
    </row>
    <row r="199" spans="2:25" s="550" customFormat="1" ht="12.95" customHeight="1">
      <c r="C199" s="536" t="s">
        <v>630</v>
      </c>
      <c r="D199" s="537">
        <v>45266</v>
      </c>
      <c r="E199" s="538"/>
      <c r="F199" s="556" t="s">
        <v>663</v>
      </c>
      <c r="G199" s="568"/>
      <c r="H199" s="541">
        <v>336000</v>
      </c>
      <c r="I199" s="542">
        <f t="shared" si="4"/>
        <v>60480</v>
      </c>
      <c r="J199" s="543">
        <f t="shared" si="5"/>
        <v>396480</v>
      </c>
      <c r="K199" s="813" t="s">
        <v>429</v>
      </c>
      <c r="L199" s="544" t="s">
        <v>58</v>
      </c>
      <c r="M199" s="536" t="s">
        <v>556</v>
      </c>
      <c r="N199" s="536" t="s">
        <v>556</v>
      </c>
      <c r="O199" s="536"/>
      <c r="P199" s="536"/>
      <c r="Q199" s="547"/>
      <c r="R199" s="547"/>
      <c r="S199" s="548"/>
      <c r="T199" s="548"/>
      <c r="U199" s="548"/>
      <c r="V199" s="548"/>
      <c r="W199" s="548"/>
      <c r="X199" s="549"/>
    </row>
    <row r="200" spans="2:25" s="550" customFormat="1" ht="12.95" customHeight="1">
      <c r="C200" s="536" t="s">
        <v>630</v>
      </c>
      <c r="D200" s="537">
        <v>45266</v>
      </c>
      <c r="E200" s="538"/>
      <c r="F200" s="556" t="s">
        <v>664</v>
      </c>
      <c r="G200" s="568"/>
      <c r="H200" s="541">
        <v>23000</v>
      </c>
      <c r="I200" s="542">
        <f t="shared" si="4"/>
        <v>4140</v>
      </c>
      <c r="J200" s="543">
        <f t="shared" si="5"/>
        <v>27140</v>
      </c>
      <c r="K200" s="813" t="s">
        <v>360</v>
      </c>
      <c r="L200" s="544" t="s">
        <v>58</v>
      </c>
      <c r="M200" s="536" t="s">
        <v>556</v>
      </c>
      <c r="N200" s="536" t="s">
        <v>556</v>
      </c>
      <c r="O200" s="536"/>
      <c r="P200" s="536"/>
      <c r="Q200" s="547"/>
      <c r="R200" s="547"/>
      <c r="S200" s="548"/>
      <c r="T200" s="548"/>
      <c r="U200" s="548"/>
      <c r="V200" s="548"/>
      <c r="W200" s="548"/>
      <c r="X200" s="549"/>
    </row>
    <row r="201" spans="2:25" s="550" customFormat="1" ht="12.95" customHeight="1">
      <c r="C201" s="536" t="s">
        <v>645</v>
      </c>
      <c r="D201" s="537">
        <v>45266</v>
      </c>
      <c r="E201" s="538"/>
      <c r="F201" s="556" t="s">
        <v>665</v>
      </c>
      <c r="G201" s="568"/>
      <c r="H201" s="541">
        <v>71400</v>
      </c>
      <c r="I201" s="542">
        <f t="shared" si="4"/>
        <v>12852</v>
      </c>
      <c r="J201" s="543">
        <f t="shared" si="5"/>
        <v>84252</v>
      </c>
      <c r="K201" s="813" t="s">
        <v>429</v>
      </c>
      <c r="L201" s="544" t="s">
        <v>58</v>
      </c>
      <c r="M201" s="536" t="s">
        <v>556</v>
      </c>
      <c r="N201" s="536" t="s">
        <v>556</v>
      </c>
      <c r="O201" s="536"/>
      <c r="P201" s="536"/>
      <c r="Q201" s="547"/>
      <c r="R201" s="547"/>
      <c r="S201" s="548"/>
      <c r="T201" s="548"/>
      <c r="U201" s="548"/>
      <c r="V201" s="548"/>
      <c r="W201" s="548"/>
      <c r="X201" s="549"/>
    </row>
    <row r="202" spans="2:25" s="550" customFormat="1" ht="12.95" customHeight="1">
      <c r="C202" s="536" t="s">
        <v>645</v>
      </c>
      <c r="D202" s="537">
        <v>45267</v>
      </c>
      <c r="E202" s="538"/>
      <c r="F202" s="556" t="s">
        <v>666</v>
      </c>
      <c r="G202" s="568"/>
      <c r="H202" s="541">
        <v>84000</v>
      </c>
      <c r="I202" s="542">
        <f t="shared" si="4"/>
        <v>15120</v>
      </c>
      <c r="J202" s="543">
        <f t="shared" si="5"/>
        <v>99120</v>
      </c>
      <c r="K202" s="813" t="s">
        <v>856</v>
      </c>
      <c r="L202" s="544" t="s">
        <v>58</v>
      </c>
      <c r="M202" s="536" t="s">
        <v>556</v>
      </c>
      <c r="N202" s="536" t="s">
        <v>556</v>
      </c>
      <c r="O202" s="536"/>
      <c r="P202" s="536"/>
      <c r="Q202" s="547"/>
      <c r="R202" s="547"/>
      <c r="S202" s="548"/>
      <c r="T202" s="548"/>
      <c r="U202" s="548"/>
      <c r="V202" s="548"/>
      <c r="W202" s="548"/>
      <c r="X202" s="549"/>
    </row>
    <row r="203" spans="2:25" s="550" customFormat="1" ht="12.95" customHeight="1">
      <c r="C203" s="536" t="s">
        <v>630</v>
      </c>
      <c r="D203" s="537">
        <v>45267</v>
      </c>
      <c r="E203" s="538"/>
      <c r="F203" s="556" t="s">
        <v>667</v>
      </c>
      <c r="G203" s="575"/>
      <c r="H203" s="541">
        <v>60000</v>
      </c>
      <c r="I203" s="542">
        <f t="shared" si="4"/>
        <v>10800</v>
      </c>
      <c r="J203" s="543">
        <f t="shared" si="5"/>
        <v>70800</v>
      </c>
      <c r="K203" s="813" t="s">
        <v>856</v>
      </c>
      <c r="L203" s="544" t="s">
        <v>58</v>
      </c>
      <c r="M203" s="536" t="s">
        <v>556</v>
      </c>
      <c r="N203" s="536" t="s">
        <v>556</v>
      </c>
      <c r="O203" s="536"/>
      <c r="P203" s="536"/>
      <c r="Q203" s="547"/>
      <c r="R203" s="547"/>
      <c r="S203" s="548"/>
      <c r="T203" s="548"/>
      <c r="U203" s="548"/>
      <c r="V203" s="548"/>
      <c r="W203" s="548"/>
      <c r="X203" s="549"/>
    </row>
    <row r="204" spans="2:25" s="550" customFormat="1" ht="12.95" customHeight="1">
      <c r="C204" s="536" t="s">
        <v>630</v>
      </c>
      <c r="D204" s="537">
        <v>45266</v>
      </c>
      <c r="E204" s="538"/>
      <c r="F204" s="556" t="s">
        <v>668</v>
      </c>
      <c r="G204" s="575"/>
      <c r="H204" s="541">
        <v>87000</v>
      </c>
      <c r="I204" s="542">
        <f t="shared" si="4"/>
        <v>15660</v>
      </c>
      <c r="J204" s="543">
        <f t="shared" si="5"/>
        <v>102660</v>
      </c>
      <c r="K204" s="813" t="s">
        <v>510</v>
      </c>
      <c r="L204" s="544" t="s">
        <v>58</v>
      </c>
      <c r="M204" s="536" t="s">
        <v>556</v>
      </c>
      <c r="N204" s="536" t="s">
        <v>556</v>
      </c>
      <c r="O204" s="536"/>
      <c r="P204" s="536"/>
      <c r="Q204" s="547"/>
      <c r="R204" s="547"/>
      <c r="S204" s="548"/>
      <c r="T204" s="548"/>
      <c r="U204" s="548"/>
      <c r="V204" s="548"/>
      <c r="W204" s="548"/>
      <c r="X204" s="549"/>
    </row>
    <row r="205" spans="2:25" s="550" customFormat="1" ht="12.95" customHeight="1">
      <c r="C205" s="536" t="s">
        <v>645</v>
      </c>
      <c r="D205" s="537">
        <v>45267</v>
      </c>
      <c r="E205" s="538"/>
      <c r="F205" s="556" t="s">
        <v>669</v>
      </c>
      <c r="G205" s="575"/>
      <c r="H205" s="541">
        <v>23450</v>
      </c>
      <c r="I205" s="542">
        <f t="shared" si="4"/>
        <v>4221</v>
      </c>
      <c r="J205" s="543">
        <f t="shared" si="5"/>
        <v>27671</v>
      </c>
      <c r="K205" s="813" t="s">
        <v>510</v>
      </c>
      <c r="L205" s="544" t="s">
        <v>58</v>
      </c>
      <c r="M205" s="536" t="s">
        <v>556</v>
      </c>
      <c r="N205" s="536" t="s">
        <v>556</v>
      </c>
      <c r="O205" s="536"/>
      <c r="P205" s="536"/>
      <c r="Q205" s="576"/>
      <c r="R205" s="576"/>
      <c r="S205" s="577"/>
      <c r="T205" s="577"/>
      <c r="U205" s="577"/>
      <c r="V205" s="577"/>
      <c r="W205" s="577"/>
      <c r="X205" s="549"/>
    </row>
    <row r="206" spans="2:25" s="580" customFormat="1" ht="12.95" customHeight="1">
      <c r="B206" s="550"/>
      <c r="C206" s="536" t="s">
        <v>630</v>
      </c>
      <c r="D206" s="537">
        <v>45267</v>
      </c>
      <c r="E206" s="538"/>
      <c r="F206" s="556" t="s">
        <v>670</v>
      </c>
      <c r="G206" s="575"/>
      <c r="H206" s="541">
        <v>60000</v>
      </c>
      <c r="I206" s="542">
        <f t="shared" si="4"/>
        <v>10800</v>
      </c>
      <c r="J206" s="578">
        <f t="shared" si="5"/>
        <v>70800</v>
      </c>
      <c r="K206" s="813" t="s">
        <v>510</v>
      </c>
      <c r="L206" s="544" t="s">
        <v>58</v>
      </c>
      <c r="M206" s="536" t="s">
        <v>556</v>
      </c>
      <c r="N206" s="536" t="s">
        <v>556</v>
      </c>
      <c r="O206" s="536"/>
      <c r="P206" s="536"/>
      <c r="Q206" s="576"/>
      <c r="R206" s="576"/>
      <c r="S206" s="577"/>
      <c r="T206" s="577"/>
      <c r="U206" s="577"/>
      <c r="V206" s="577"/>
      <c r="W206" s="577"/>
      <c r="X206" s="579"/>
      <c r="Y206" s="550"/>
    </row>
    <row r="207" spans="2:25" s="550" customFormat="1" ht="12.95" customHeight="1">
      <c r="C207" s="536" t="s">
        <v>645</v>
      </c>
      <c r="D207" s="537">
        <v>45267</v>
      </c>
      <c r="E207" s="538"/>
      <c r="F207" s="556" t="s">
        <v>671</v>
      </c>
      <c r="G207" s="581"/>
      <c r="H207" s="541">
        <v>23450</v>
      </c>
      <c r="I207" s="542">
        <f t="shared" si="4"/>
        <v>4221</v>
      </c>
      <c r="J207" s="578">
        <f t="shared" si="5"/>
        <v>27671</v>
      </c>
      <c r="K207" s="813" t="s">
        <v>510</v>
      </c>
      <c r="L207" s="544" t="s">
        <v>58</v>
      </c>
      <c r="M207" s="536" t="s">
        <v>556</v>
      </c>
      <c r="N207" s="536" t="s">
        <v>556</v>
      </c>
      <c r="O207" s="536"/>
      <c r="P207" s="536"/>
      <c r="Q207" s="576"/>
      <c r="R207" s="576"/>
      <c r="S207" s="577"/>
      <c r="T207" s="577"/>
      <c r="U207" s="577"/>
      <c r="V207" s="577"/>
      <c r="W207" s="577"/>
      <c r="X207" s="549"/>
    </row>
    <row r="208" spans="2:25" s="550" customFormat="1" ht="12.95" customHeight="1">
      <c r="C208" s="552" t="s">
        <v>672</v>
      </c>
      <c r="D208" s="537">
        <v>45268</v>
      </c>
      <c r="E208" s="538"/>
      <c r="F208" s="582" t="s">
        <v>673</v>
      </c>
      <c r="G208" s="575"/>
      <c r="H208" s="541">
        <v>32590</v>
      </c>
      <c r="I208" s="542">
        <f t="shared" si="4"/>
        <v>5866.2</v>
      </c>
      <c r="J208" s="543">
        <f t="shared" si="5"/>
        <v>38456.199999999997</v>
      </c>
      <c r="K208" s="813" t="s">
        <v>518</v>
      </c>
      <c r="L208" s="544" t="s">
        <v>58</v>
      </c>
      <c r="M208" s="536" t="s">
        <v>556</v>
      </c>
      <c r="N208" s="536" t="s">
        <v>556</v>
      </c>
      <c r="O208" s="536"/>
      <c r="P208" s="536"/>
      <c r="Q208" s="547"/>
      <c r="R208" s="547"/>
      <c r="S208" s="548"/>
      <c r="T208" s="548"/>
      <c r="U208" s="548"/>
      <c r="V208" s="548"/>
      <c r="W208" s="548"/>
      <c r="X208" s="583"/>
    </row>
    <row r="209" spans="3:24" s="550" customFormat="1" ht="12.95" customHeight="1">
      <c r="C209" s="552" t="s">
        <v>672</v>
      </c>
      <c r="D209" s="537">
        <v>45268</v>
      </c>
      <c r="E209" s="538"/>
      <c r="F209" s="582" t="s">
        <v>674</v>
      </c>
      <c r="G209" s="575"/>
      <c r="H209" s="541">
        <v>14170</v>
      </c>
      <c r="I209" s="542">
        <f t="shared" si="4"/>
        <v>2550.6</v>
      </c>
      <c r="J209" s="543">
        <f t="shared" si="5"/>
        <v>16720.599999999999</v>
      </c>
      <c r="K209" s="813" t="s">
        <v>519</v>
      </c>
      <c r="L209" s="544" t="s">
        <v>58</v>
      </c>
      <c r="M209" s="536" t="s">
        <v>556</v>
      </c>
      <c r="N209" s="536" t="s">
        <v>556</v>
      </c>
      <c r="O209" s="536"/>
      <c r="P209" s="536"/>
      <c r="Q209" s="576"/>
      <c r="R209" s="576"/>
      <c r="S209" s="577"/>
      <c r="T209" s="577"/>
      <c r="U209" s="577"/>
      <c r="V209" s="577"/>
      <c r="W209" s="577"/>
      <c r="X209" s="549"/>
    </row>
    <row r="210" spans="3:24" s="550" customFormat="1" ht="12.95" customHeight="1">
      <c r="C210" s="536" t="s">
        <v>622</v>
      </c>
      <c r="D210" s="537">
        <v>45259</v>
      </c>
      <c r="E210" s="538"/>
      <c r="F210" s="559" t="s">
        <v>675</v>
      </c>
      <c r="G210" s="575"/>
      <c r="H210" s="541">
        <v>348378</v>
      </c>
      <c r="I210" s="542">
        <f t="shared" si="4"/>
        <v>62708.04</v>
      </c>
      <c r="J210" s="543">
        <f t="shared" si="5"/>
        <v>411086.04</v>
      </c>
      <c r="K210" s="813" t="s">
        <v>513</v>
      </c>
      <c r="L210" s="584" t="s">
        <v>676</v>
      </c>
      <c r="M210" s="536" t="s">
        <v>556</v>
      </c>
      <c r="N210" s="536"/>
      <c r="O210" s="536"/>
      <c r="P210" s="536"/>
      <c r="Q210" s="576"/>
      <c r="R210" s="576"/>
      <c r="S210" s="577"/>
      <c r="T210" s="577"/>
      <c r="U210" s="577"/>
      <c r="V210" s="577"/>
      <c r="W210" s="577"/>
      <c r="X210" s="549"/>
    </row>
    <row r="211" spans="3:24" s="550" customFormat="1" ht="12.95" customHeight="1">
      <c r="C211" s="536" t="s">
        <v>677</v>
      </c>
      <c r="D211" s="537">
        <v>45264</v>
      </c>
      <c r="E211" s="538"/>
      <c r="F211" s="559" t="s">
        <v>678</v>
      </c>
      <c r="G211" s="575"/>
      <c r="H211" s="541">
        <v>175000</v>
      </c>
      <c r="I211" s="542">
        <f t="shared" si="4"/>
        <v>31500</v>
      </c>
      <c r="J211" s="543">
        <f t="shared" si="5"/>
        <v>206500</v>
      </c>
      <c r="K211" s="813" t="s">
        <v>513</v>
      </c>
      <c r="L211" s="584" t="s">
        <v>679</v>
      </c>
      <c r="M211" s="536" t="s">
        <v>556</v>
      </c>
      <c r="N211" s="536"/>
      <c r="O211" s="536"/>
      <c r="P211" s="536"/>
      <c r="Q211" s="576"/>
      <c r="R211" s="576"/>
      <c r="S211" s="577"/>
      <c r="T211" s="577"/>
      <c r="U211" s="577"/>
      <c r="V211" s="577"/>
      <c r="W211" s="577"/>
      <c r="X211" s="549"/>
    </row>
    <row r="212" spans="3:24" s="550" customFormat="1" ht="12.95" customHeight="1">
      <c r="C212" s="536" t="s">
        <v>632</v>
      </c>
      <c r="D212" s="537">
        <v>45272</v>
      </c>
      <c r="E212" s="538"/>
      <c r="F212" s="559" t="s">
        <v>680</v>
      </c>
      <c r="G212" s="575"/>
      <c r="H212" s="541">
        <v>51350</v>
      </c>
      <c r="I212" s="542">
        <f t="shared" si="4"/>
        <v>9243</v>
      </c>
      <c r="J212" s="543">
        <f t="shared" si="5"/>
        <v>60593</v>
      </c>
      <c r="K212" s="813" t="s">
        <v>360</v>
      </c>
      <c r="L212" s="544" t="s">
        <v>58</v>
      </c>
      <c r="M212" s="536" t="s">
        <v>556</v>
      </c>
      <c r="N212" s="536" t="s">
        <v>556</v>
      </c>
      <c r="O212" s="536"/>
      <c r="P212" s="536"/>
      <c r="Q212" s="576"/>
      <c r="R212" s="576"/>
      <c r="S212" s="577"/>
      <c r="T212" s="577"/>
      <c r="U212" s="577"/>
      <c r="V212" s="577"/>
      <c r="W212" s="577"/>
      <c r="X212" s="549"/>
    </row>
    <row r="213" spans="3:24" s="550" customFormat="1" ht="12.95" customHeight="1">
      <c r="C213" s="536" t="s">
        <v>632</v>
      </c>
      <c r="D213" s="537">
        <v>45272</v>
      </c>
      <c r="E213" s="538"/>
      <c r="F213" s="559" t="s">
        <v>681</v>
      </c>
      <c r="G213" s="575"/>
      <c r="H213" s="541">
        <v>56400</v>
      </c>
      <c r="I213" s="542">
        <f t="shared" si="4"/>
        <v>10152</v>
      </c>
      <c r="J213" s="543">
        <f t="shared" si="5"/>
        <v>66552</v>
      </c>
      <c r="K213" s="813" t="s">
        <v>500</v>
      </c>
      <c r="L213" s="544" t="s">
        <v>58</v>
      </c>
      <c r="M213" s="536" t="s">
        <v>556</v>
      </c>
      <c r="N213" s="536" t="s">
        <v>556</v>
      </c>
      <c r="O213" s="536"/>
      <c r="P213" s="536"/>
      <c r="Q213" s="576"/>
      <c r="R213" s="576"/>
      <c r="S213" s="577"/>
      <c r="T213" s="577"/>
      <c r="U213" s="577"/>
      <c r="V213" s="577"/>
      <c r="W213" s="577"/>
      <c r="X213" s="549"/>
    </row>
    <row r="214" spans="3:24" s="550" customFormat="1" ht="12.95" customHeight="1">
      <c r="C214" s="536" t="s">
        <v>632</v>
      </c>
      <c r="D214" s="537">
        <v>45272</v>
      </c>
      <c r="E214" s="538"/>
      <c r="F214" s="559" t="s">
        <v>682</v>
      </c>
      <c r="G214" s="575"/>
      <c r="H214" s="541">
        <v>35500</v>
      </c>
      <c r="I214" s="542">
        <f t="shared" si="4"/>
        <v>6390</v>
      </c>
      <c r="J214" s="543">
        <f t="shared" si="5"/>
        <v>41890</v>
      </c>
      <c r="K214" s="813" t="s">
        <v>501</v>
      </c>
      <c r="L214" s="544" t="s">
        <v>58</v>
      </c>
      <c r="M214" s="536" t="s">
        <v>556</v>
      </c>
      <c r="N214" s="536" t="s">
        <v>556</v>
      </c>
      <c r="O214" s="536"/>
      <c r="P214" s="536"/>
      <c r="Q214" s="576"/>
      <c r="R214" s="576"/>
      <c r="S214" s="577"/>
      <c r="T214" s="577"/>
      <c r="U214" s="577"/>
      <c r="V214" s="577"/>
      <c r="W214" s="577"/>
      <c r="X214" s="549"/>
    </row>
    <row r="215" spans="3:24" s="550" customFormat="1" ht="12.95" customHeight="1">
      <c r="C215" s="536" t="s">
        <v>632</v>
      </c>
      <c r="D215" s="537">
        <v>45272</v>
      </c>
      <c r="E215" s="538"/>
      <c r="F215" s="559" t="s">
        <v>683</v>
      </c>
      <c r="G215" s="575"/>
      <c r="H215" s="541">
        <v>119800</v>
      </c>
      <c r="I215" s="542">
        <f t="shared" si="4"/>
        <v>21564</v>
      </c>
      <c r="J215" s="543">
        <f t="shared" si="5"/>
        <v>141364</v>
      </c>
      <c r="K215" s="813" t="s">
        <v>856</v>
      </c>
      <c r="L215" s="544" t="s">
        <v>58</v>
      </c>
      <c r="M215" s="536" t="s">
        <v>556</v>
      </c>
      <c r="N215" s="536" t="s">
        <v>556</v>
      </c>
      <c r="O215" s="536"/>
      <c r="P215" s="536"/>
      <c r="Q215" s="547"/>
      <c r="R215" s="547"/>
      <c r="S215" s="548"/>
      <c r="T215" s="548"/>
      <c r="U215" s="548"/>
      <c r="V215" s="548"/>
      <c r="W215" s="548"/>
      <c r="X215" s="549"/>
    </row>
    <row r="216" spans="3:24" s="550" customFormat="1" ht="12.95" customHeight="1">
      <c r="C216" s="536" t="s">
        <v>632</v>
      </c>
      <c r="D216" s="537">
        <v>45272</v>
      </c>
      <c r="E216" s="538"/>
      <c r="F216" s="559" t="s">
        <v>684</v>
      </c>
      <c r="G216" s="568"/>
      <c r="H216" s="541">
        <v>26600</v>
      </c>
      <c r="I216" s="542">
        <f t="shared" si="4"/>
        <v>4788</v>
      </c>
      <c r="J216" s="543">
        <f t="shared" si="5"/>
        <v>31388</v>
      </c>
      <c r="K216" s="813" t="s">
        <v>510</v>
      </c>
      <c r="L216" s="544" t="s">
        <v>58</v>
      </c>
      <c r="M216" s="536" t="s">
        <v>556</v>
      </c>
      <c r="N216" s="536" t="s">
        <v>556</v>
      </c>
      <c r="O216" s="536"/>
      <c r="P216" s="536"/>
      <c r="Q216" s="547"/>
      <c r="R216" s="547"/>
      <c r="S216" s="548"/>
      <c r="T216" s="548"/>
      <c r="U216" s="548"/>
      <c r="V216" s="548"/>
      <c r="W216" s="548"/>
      <c r="X216" s="549"/>
    </row>
    <row r="217" spans="3:24" s="550" customFormat="1" ht="12.95" customHeight="1">
      <c r="C217" s="536" t="s">
        <v>632</v>
      </c>
      <c r="D217" s="537">
        <v>45272</v>
      </c>
      <c r="E217" s="538"/>
      <c r="F217" s="559" t="s">
        <v>685</v>
      </c>
      <c r="G217" s="568"/>
      <c r="H217" s="541">
        <v>25400</v>
      </c>
      <c r="I217" s="542">
        <f t="shared" si="4"/>
        <v>4572</v>
      </c>
      <c r="J217" s="543">
        <f t="shared" si="5"/>
        <v>29972</v>
      </c>
      <c r="K217" s="813" t="s">
        <v>510</v>
      </c>
      <c r="L217" s="544" t="s">
        <v>58</v>
      </c>
      <c r="M217" s="536" t="s">
        <v>556</v>
      </c>
      <c r="N217" s="536" t="s">
        <v>556</v>
      </c>
      <c r="O217" s="536"/>
      <c r="P217" s="536"/>
      <c r="Q217" s="547"/>
      <c r="R217" s="547"/>
      <c r="S217" s="548"/>
      <c r="T217" s="548"/>
      <c r="U217" s="548"/>
      <c r="V217" s="548"/>
      <c r="W217" s="548"/>
      <c r="X217" s="549"/>
    </row>
    <row r="218" spans="3:24" s="550" customFormat="1" ht="12.95" customHeight="1">
      <c r="C218" s="536" t="s">
        <v>632</v>
      </c>
      <c r="D218" s="537">
        <v>45265</v>
      </c>
      <c r="E218" s="538"/>
      <c r="F218" s="559" t="s">
        <v>640</v>
      </c>
      <c r="G218" s="568"/>
      <c r="H218" s="541">
        <v>86100</v>
      </c>
      <c r="I218" s="542">
        <f t="shared" si="4"/>
        <v>15498</v>
      </c>
      <c r="J218" s="543">
        <f t="shared" si="5"/>
        <v>101598</v>
      </c>
      <c r="K218" s="813" t="s">
        <v>518</v>
      </c>
      <c r="L218" s="544" t="s">
        <v>58</v>
      </c>
      <c r="M218" s="536" t="s">
        <v>556</v>
      </c>
      <c r="N218" s="536" t="s">
        <v>556</v>
      </c>
      <c r="O218" s="536"/>
      <c r="P218" s="536"/>
      <c r="Q218" s="547"/>
      <c r="R218" s="547"/>
      <c r="S218" s="548"/>
      <c r="T218" s="548"/>
      <c r="U218" s="548"/>
      <c r="V218" s="548"/>
      <c r="W218" s="548"/>
      <c r="X218" s="549"/>
    </row>
    <row r="219" spans="3:24" s="550" customFormat="1" ht="12.95" customHeight="1">
      <c r="C219" s="536" t="s">
        <v>632</v>
      </c>
      <c r="D219" s="537">
        <v>45265</v>
      </c>
      <c r="E219" s="538"/>
      <c r="F219" s="556" t="s">
        <v>633</v>
      </c>
      <c r="G219" s="568"/>
      <c r="H219" s="541">
        <v>46300</v>
      </c>
      <c r="I219" s="542">
        <f t="shared" si="4"/>
        <v>8334</v>
      </c>
      <c r="J219" s="543">
        <f t="shared" si="5"/>
        <v>54634</v>
      </c>
      <c r="K219" s="813" t="s">
        <v>519</v>
      </c>
      <c r="L219" s="544" t="s">
        <v>58</v>
      </c>
      <c r="M219" s="536" t="s">
        <v>556</v>
      </c>
      <c r="N219" s="536" t="s">
        <v>556</v>
      </c>
      <c r="O219" s="536"/>
      <c r="P219" s="536"/>
      <c r="Q219" s="547"/>
      <c r="R219" s="547"/>
      <c r="S219" s="548"/>
      <c r="T219" s="548"/>
      <c r="U219" s="548"/>
      <c r="V219" s="548"/>
      <c r="W219" s="548"/>
      <c r="X219" s="549"/>
    </row>
    <row r="220" spans="3:24" s="550" customFormat="1" ht="12.95" customHeight="1">
      <c r="C220" s="536" t="s">
        <v>632</v>
      </c>
      <c r="D220" s="537">
        <v>45265</v>
      </c>
      <c r="E220" s="538"/>
      <c r="F220" s="556" t="s">
        <v>627</v>
      </c>
      <c r="G220" s="568"/>
      <c r="H220" s="541">
        <v>69500</v>
      </c>
      <c r="I220" s="542">
        <f t="shared" si="4"/>
        <v>12510</v>
      </c>
      <c r="J220" s="543">
        <f t="shared" si="5"/>
        <v>82010</v>
      </c>
      <c r="K220" s="813" t="s">
        <v>463</v>
      </c>
      <c r="L220" s="544" t="s">
        <v>58</v>
      </c>
      <c r="M220" s="536" t="s">
        <v>556</v>
      </c>
      <c r="N220" s="536" t="s">
        <v>556</v>
      </c>
      <c r="O220" s="536"/>
      <c r="P220" s="536"/>
      <c r="Q220" s="547"/>
      <c r="R220" s="547"/>
      <c r="S220" s="548"/>
      <c r="T220" s="548"/>
      <c r="U220" s="548"/>
      <c r="V220" s="548"/>
      <c r="W220" s="548"/>
      <c r="X220" s="549"/>
    </row>
    <row r="221" spans="3:24" s="550" customFormat="1" ht="12.95" customHeight="1">
      <c r="C221" s="547" t="s">
        <v>630</v>
      </c>
      <c r="D221" s="537">
        <v>45265</v>
      </c>
      <c r="E221" s="538"/>
      <c r="F221" s="556" t="s">
        <v>631</v>
      </c>
      <c r="G221" s="568"/>
      <c r="H221" s="541">
        <v>120000</v>
      </c>
      <c r="I221" s="542">
        <f t="shared" si="4"/>
        <v>21600</v>
      </c>
      <c r="J221" s="543">
        <f t="shared" si="5"/>
        <v>141600</v>
      </c>
      <c r="K221" s="813" t="s">
        <v>463</v>
      </c>
      <c r="L221" s="544" t="s">
        <v>58</v>
      </c>
      <c r="M221" s="536" t="s">
        <v>556</v>
      </c>
      <c r="N221" s="536" t="s">
        <v>556</v>
      </c>
      <c r="O221" s="536"/>
      <c r="P221" s="536"/>
      <c r="Q221" s="547"/>
      <c r="R221" s="547"/>
      <c r="S221" s="548"/>
      <c r="T221" s="548"/>
      <c r="U221" s="548"/>
      <c r="V221" s="548"/>
      <c r="W221" s="548"/>
      <c r="X221" s="549"/>
    </row>
    <row r="222" spans="3:24" s="550" customFormat="1" ht="12.95" customHeight="1">
      <c r="C222" s="536" t="s">
        <v>632</v>
      </c>
      <c r="D222" s="537">
        <v>45265</v>
      </c>
      <c r="E222" s="538"/>
      <c r="F222" s="556" t="s">
        <v>636</v>
      </c>
      <c r="G222" s="568"/>
      <c r="H222" s="541">
        <v>103850</v>
      </c>
      <c r="I222" s="542">
        <f t="shared" si="4"/>
        <v>18693</v>
      </c>
      <c r="J222" s="578">
        <f t="shared" si="5"/>
        <v>122543</v>
      </c>
      <c r="K222" s="813" t="s">
        <v>859</v>
      </c>
      <c r="L222" s="544" t="s">
        <v>58</v>
      </c>
      <c r="M222" s="536" t="s">
        <v>556</v>
      </c>
      <c r="N222" s="536" t="s">
        <v>556</v>
      </c>
      <c r="O222" s="536"/>
      <c r="P222" s="536"/>
      <c r="Q222" s="547"/>
      <c r="R222" s="547"/>
      <c r="S222" s="548"/>
      <c r="T222" s="548"/>
      <c r="U222" s="548"/>
      <c r="V222" s="548"/>
      <c r="W222" s="548"/>
      <c r="X222" s="549"/>
    </row>
    <row r="223" spans="3:24" s="550" customFormat="1" ht="12.95" customHeight="1">
      <c r="C223" s="536" t="s">
        <v>660</v>
      </c>
      <c r="D223" s="537">
        <v>45267</v>
      </c>
      <c r="E223" s="538"/>
      <c r="F223" s="556" t="s">
        <v>686</v>
      </c>
      <c r="G223" s="568"/>
      <c r="H223" s="541">
        <v>31500</v>
      </c>
      <c r="I223" s="541">
        <f t="shared" si="4"/>
        <v>5670</v>
      </c>
      <c r="J223" s="543">
        <f t="shared" si="5"/>
        <v>37170</v>
      </c>
      <c r="K223" s="813" t="s">
        <v>500</v>
      </c>
      <c r="L223" s="544" t="s">
        <v>58</v>
      </c>
      <c r="M223" s="536" t="s">
        <v>556</v>
      </c>
      <c r="N223" s="536" t="s">
        <v>556</v>
      </c>
      <c r="O223" s="536"/>
      <c r="P223" s="536"/>
      <c r="Q223" s="547"/>
      <c r="R223" s="547"/>
      <c r="S223" s="548"/>
      <c r="T223" s="548"/>
      <c r="U223" s="548"/>
      <c r="V223" s="548"/>
      <c r="W223" s="548"/>
      <c r="X223" s="549"/>
    </row>
    <row r="224" spans="3:24" s="550" customFormat="1" ht="12.95" customHeight="1">
      <c r="C224" s="536" t="s">
        <v>626</v>
      </c>
      <c r="D224" s="537">
        <v>45265</v>
      </c>
      <c r="E224" s="538"/>
      <c r="F224" s="556" t="s">
        <v>639</v>
      </c>
      <c r="G224" s="568"/>
      <c r="H224" s="541">
        <v>112000</v>
      </c>
      <c r="I224" s="541">
        <f t="shared" si="4"/>
        <v>20160</v>
      </c>
      <c r="J224" s="543">
        <f t="shared" si="5"/>
        <v>132160</v>
      </c>
      <c r="K224" s="813" t="s">
        <v>859</v>
      </c>
      <c r="L224" s="544" t="s">
        <v>58</v>
      </c>
      <c r="M224" s="536" t="s">
        <v>556</v>
      </c>
      <c r="N224" s="536" t="s">
        <v>556</v>
      </c>
      <c r="O224" s="536"/>
      <c r="P224" s="536"/>
      <c r="Q224" s="547"/>
      <c r="R224" s="547"/>
      <c r="S224" s="548"/>
      <c r="T224" s="548"/>
      <c r="U224" s="548"/>
      <c r="V224" s="548"/>
      <c r="W224" s="548"/>
      <c r="X224" s="549"/>
    </row>
    <row r="225" spans="3:24" s="550" customFormat="1" ht="12.95" customHeight="1">
      <c r="C225" s="536" t="s">
        <v>687</v>
      </c>
      <c r="D225" s="537">
        <v>45024</v>
      </c>
      <c r="E225" s="538"/>
      <c r="F225" s="556" t="s">
        <v>570</v>
      </c>
      <c r="G225" s="568"/>
      <c r="H225" s="541">
        <v>380000</v>
      </c>
      <c r="I225" s="541">
        <f t="shared" si="4"/>
        <v>68400</v>
      </c>
      <c r="J225" s="543">
        <f t="shared" si="5"/>
        <v>448400</v>
      </c>
      <c r="K225" s="813" t="s">
        <v>474</v>
      </c>
      <c r="L225" s="544" t="s">
        <v>555</v>
      </c>
      <c r="M225" s="536" t="s">
        <v>556</v>
      </c>
      <c r="N225" s="536" t="s">
        <v>556</v>
      </c>
      <c r="O225" s="536"/>
      <c r="P225" s="536"/>
      <c r="Q225" s="547"/>
      <c r="R225" s="547"/>
      <c r="S225" s="548"/>
      <c r="T225" s="548"/>
      <c r="U225" s="548"/>
      <c r="V225" s="548"/>
      <c r="W225" s="548"/>
      <c r="X225" s="549"/>
    </row>
    <row r="226" spans="3:24" s="550" customFormat="1" ht="12.95" customHeight="1">
      <c r="C226" s="536" t="s">
        <v>688</v>
      </c>
      <c r="D226" s="537">
        <v>45280</v>
      </c>
      <c r="E226" s="538"/>
      <c r="F226" s="547" t="s">
        <v>689</v>
      </c>
      <c r="G226" s="568"/>
      <c r="H226" s="541">
        <v>108444.7</v>
      </c>
      <c r="I226" s="541">
        <f t="shared" si="4"/>
        <v>19520.045999999998</v>
      </c>
      <c r="J226" s="543">
        <f t="shared" si="5"/>
        <v>127964.746</v>
      </c>
      <c r="K226" s="813" t="s">
        <v>429</v>
      </c>
      <c r="L226" s="544" t="s">
        <v>24</v>
      </c>
      <c r="M226" s="536" t="s">
        <v>556</v>
      </c>
      <c r="N226" s="536" t="s">
        <v>556</v>
      </c>
      <c r="O226" s="536"/>
      <c r="P226" s="536"/>
      <c r="Q226" s="547"/>
      <c r="R226" s="547"/>
      <c r="S226" s="548"/>
      <c r="T226" s="548"/>
      <c r="U226" s="548"/>
      <c r="V226" s="548"/>
      <c r="W226" s="548"/>
      <c r="X226" s="549"/>
    </row>
    <row r="227" spans="3:24" s="550" customFormat="1" ht="12.95" customHeight="1">
      <c r="C227" s="536" t="s">
        <v>688</v>
      </c>
      <c r="D227" s="537">
        <v>45280</v>
      </c>
      <c r="E227" s="538"/>
      <c r="F227" s="547" t="s">
        <v>690</v>
      </c>
      <c r="G227" s="568"/>
      <c r="H227" s="541">
        <v>48850.17</v>
      </c>
      <c r="I227" s="541">
        <f t="shared" si="4"/>
        <v>8793.0306</v>
      </c>
      <c r="J227" s="543">
        <f t="shared" si="5"/>
        <v>57643.200599999996</v>
      </c>
      <c r="K227" s="813" t="s">
        <v>356</v>
      </c>
      <c r="L227" s="544" t="s">
        <v>24</v>
      </c>
      <c r="M227" s="536" t="s">
        <v>556</v>
      </c>
      <c r="N227" s="536" t="s">
        <v>556</v>
      </c>
      <c r="O227" s="536"/>
      <c r="P227" s="536"/>
      <c r="Q227" s="547"/>
      <c r="R227" s="547"/>
      <c r="S227" s="548"/>
      <c r="T227" s="548"/>
      <c r="U227" s="548"/>
      <c r="V227" s="548"/>
      <c r="W227" s="548"/>
      <c r="X227" s="549"/>
    </row>
    <row r="228" spans="3:24" s="550" customFormat="1" ht="12.95" customHeight="1">
      <c r="C228" s="536" t="s">
        <v>688</v>
      </c>
      <c r="D228" s="537">
        <v>45280</v>
      </c>
      <c r="E228" s="538"/>
      <c r="F228" s="547" t="s">
        <v>691</v>
      </c>
      <c r="G228" s="568"/>
      <c r="H228" s="541">
        <v>36921.25</v>
      </c>
      <c r="I228" s="541">
        <f t="shared" si="4"/>
        <v>6645.8249999999998</v>
      </c>
      <c r="J228" s="543">
        <f t="shared" si="5"/>
        <v>43567.074999999997</v>
      </c>
      <c r="K228" s="813" t="s">
        <v>508</v>
      </c>
      <c r="L228" s="544" t="s">
        <v>24</v>
      </c>
      <c r="M228" s="536" t="s">
        <v>556</v>
      </c>
      <c r="N228" s="536" t="s">
        <v>556</v>
      </c>
      <c r="O228" s="536"/>
      <c r="P228" s="536"/>
      <c r="Q228" s="547"/>
      <c r="R228" s="547"/>
      <c r="S228" s="548"/>
      <c r="T228" s="548"/>
      <c r="U228" s="548"/>
      <c r="V228" s="548"/>
      <c r="W228" s="548"/>
      <c r="X228" s="549"/>
    </row>
    <row r="229" spans="3:24" s="550" customFormat="1" ht="12.95" customHeight="1">
      <c r="C229" s="536" t="s">
        <v>688</v>
      </c>
      <c r="D229" s="537">
        <v>45280</v>
      </c>
      <c r="E229" s="538"/>
      <c r="F229" s="547" t="s">
        <v>692</v>
      </c>
      <c r="G229" s="568"/>
      <c r="H229" s="541">
        <v>71406.66</v>
      </c>
      <c r="I229" s="541">
        <f t="shared" si="4"/>
        <v>12853.1988</v>
      </c>
      <c r="J229" s="543">
        <f t="shared" si="5"/>
        <v>84259.858800000002</v>
      </c>
      <c r="K229" s="812" t="s">
        <v>509</v>
      </c>
      <c r="L229" s="544" t="s">
        <v>24</v>
      </c>
      <c r="M229" s="536" t="s">
        <v>556</v>
      </c>
      <c r="N229" s="536" t="s">
        <v>556</v>
      </c>
      <c r="O229" s="536"/>
      <c r="P229" s="536"/>
      <c r="Q229" s="547"/>
      <c r="R229" s="547"/>
      <c r="S229" s="548"/>
      <c r="T229" s="548"/>
      <c r="U229" s="548"/>
      <c r="V229" s="548"/>
      <c r="W229" s="548"/>
      <c r="X229" s="549"/>
    </row>
    <row r="230" spans="3:24" s="550" customFormat="1" ht="12.95" customHeight="1">
      <c r="C230" s="536" t="s">
        <v>688</v>
      </c>
      <c r="D230" s="537">
        <v>45280</v>
      </c>
      <c r="E230" s="538"/>
      <c r="F230" s="547" t="s">
        <v>693</v>
      </c>
      <c r="G230" s="568"/>
      <c r="H230" s="541">
        <v>97450</v>
      </c>
      <c r="I230" s="541">
        <f t="shared" si="4"/>
        <v>17541</v>
      </c>
      <c r="J230" s="543">
        <f t="shared" si="5"/>
        <v>114991</v>
      </c>
      <c r="K230" s="813" t="s">
        <v>501</v>
      </c>
      <c r="L230" s="544" t="s">
        <v>24</v>
      </c>
      <c r="M230" s="536" t="s">
        <v>556</v>
      </c>
      <c r="N230" s="536" t="s">
        <v>556</v>
      </c>
      <c r="O230" s="536"/>
      <c r="P230" s="536"/>
      <c r="Q230" s="547"/>
      <c r="R230" s="547"/>
      <c r="S230" s="548"/>
      <c r="T230" s="548"/>
      <c r="U230" s="548"/>
      <c r="V230" s="548"/>
      <c r="W230" s="548"/>
      <c r="X230" s="549"/>
    </row>
    <row r="231" spans="3:24" s="550" customFormat="1" ht="12.95" customHeight="1">
      <c r="C231" s="536" t="s">
        <v>688</v>
      </c>
      <c r="D231" s="537">
        <v>45280</v>
      </c>
      <c r="E231" s="538"/>
      <c r="F231" s="547" t="s">
        <v>694</v>
      </c>
      <c r="G231" s="568"/>
      <c r="H231" s="541">
        <v>116052.51</v>
      </c>
      <c r="I231" s="541">
        <f t="shared" si="4"/>
        <v>20889.451799999999</v>
      </c>
      <c r="J231" s="543">
        <f t="shared" si="5"/>
        <v>136941.96179999999</v>
      </c>
      <c r="K231" s="813" t="s">
        <v>518</v>
      </c>
      <c r="L231" s="544" t="s">
        <v>24</v>
      </c>
      <c r="M231" s="536" t="s">
        <v>556</v>
      </c>
      <c r="N231" s="536" t="s">
        <v>556</v>
      </c>
      <c r="O231" s="536"/>
      <c r="P231" s="536"/>
      <c r="Q231" s="547"/>
      <c r="R231" s="547"/>
      <c r="S231" s="548"/>
      <c r="T231" s="548"/>
      <c r="U231" s="548"/>
      <c r="V231" s="548"/>
      <c r="W231" s="548"/>
      <c r="X231" s="549"/>
    </row>
    <row r="232" spans="3:24" s="550" customFormat="1" ht="12.95" customHeight="1">
      <c r="C232" s="536" t="s">
        <v>688</v>
      </c>
      <c r="D232" s="537">
        <v>45280</v>
      </c>
      <c r="E232" s="538"/>
      <c r="F232" s="547" t="s">
        <v>695</v>
      </c>
      <c r="G232" s="568"/>
      <c r="H232" s="541">
        <v>100970</v>
      </c>
      <c r="I232" s="541">
        <f t="shared" si="4"/>
        <v>18174.599999999999</v>
      </c>
      <c r="J232" s="543">
        <f t="shared" si="5"/>
        <v>119144.6</v>
      </c>
      <c r="K232" s="813" t="s">
        <v>519</v>
      </c>
      <c r="L232" s="544" t="s">
        <v>24</v>
      </c>
      <c r="M232" s="536" t="s">
        <v>556</v>
      </c>
      <c r="N232" s="536" t="s">
        <v>556</v>
      </c>
      <c r="O232" s="536"/>
      <c r="P232" s="536"/>
      <c r="Q232" s="547"/>
      <c r="R232" s="547"/>
      <c r="S232" s="548"/>
      <c r="T232" s="548"/>
      <c r="U232" s="548"/>
      <c r="V232" s="548"/>
      <c r="W232" s="548"/>
      <c r="X232" s="549"/>
    </row>
    <row r="233" spans="3:24" s="550" customFormat="1" ht="12.95" customHeight="1">
      <c r="C233" s="536" t="s">
        <v>688</v>
      </c>
      <c r="D233" s="537">
        <v>45280</v>
      </c>
      <c r="E233" s="538"/>
      <c r="F233" s="547" t="s">
        <v>696</v>
      </c>
      <c r="G233" s="568"/>
      <c r="H233" s="541">
        <v>37455.129999999997</v>
      </c>
      <c r="I233" s="541">
        <f t="shared" si="4"/>
        <v>6741.9233999999997</v>
      </c>
      <c r="J233" s="543">
        <f t="shared" si="5"/>
        <v>44197.053399999997</v>
      </c>
      <c r="K233" s="813" t="s">
        <v>512</v>
      </c>
      <c r="L233" s="544" t="s">
        <v>24</v>
      </c>
      <c r="M233" s="536" t="s">
        <v>556</v>
      </c>
      <c r="N233" s="536" t="s">
        <v>556</v>
      </c>
      <c r="O233" s="536"/>
      <c r="P233" s="536"/>
      <c r="Q233" s="547"/>
      <c r="R233" s="547"/>
      <c r="S233" s="548"/>
      <c r="T233" s="548"/>
      <c r="U233" s="548"/>
      <c r="V233" s="548"/>
      <c r="W233" s="548"/>
      <c r="X233" s="549"/>
    </row>
    <row r="234" spans="3:24" s="550" customFormat="1" ht="12.95" customHeight="1">
      <c r="C234" s="536" t="s">
        <v>688</v>
      </c>
      <c r="D234" s="537">
        <v>45280</v>
      </c>
      <c r="E234" s="538"/>
      <c r="F234" s="547" t="s">
        <v>697</v>
      </c>
      <c r="G234" s="568"/>
      <c r="H234" s="541">
        <v>56958.49</v>
      </c>
      <c r="I234" s="541">
        <f t="shared" si="4"/>
        <v>10252.528199999999</v>
      </c>
      <c r="J234" s="543">
        <f t="shared" si="5"/>
        <v>67211.018199999991</v>
      </c>
      <c r="K234" s="813" t="s">
        <v>500</v>
      </c>
      <c r="L234" s="544" t="s">
        <v>24</v>
      </c>
      <c r="M234" s="536" t="s">
        <v>556</v>
      </c>
      <c r="N234" s="536" t="s">
        <v>556</v>
      </c>
      <c r="O234" s="536"/>
      <c r="P234" s="536"/>
      <c r="Q234" s="547"/>
      <c r="R234" s="547"/>
      <c r="S234" s="548"/>
      <c r="T234" s="548"/>
      <c r="U234" s="548"/>
      <c r="V234" s="548"/>
      <c r="W234" s="548"/>
      <c r="X234" s="549"/>
    </row>
    <row r="235" spans="3:24" s="550" customFormat="1" ht="12.95" customHeight="1">
      <c r="C235" s="552" t="s">
        <v>698</v>
      </c>
      <c r="D235" s="537">
        <v>45286</v>
      </c>
      <c r="E235" s="538"/>
      <c r="F235" s="547" t="s">
        <v>699</v>
      </c>
      <c r="G235" s="568"/>
      <c r="H235" s="541">
        <v>59000</v>
      </c>
      <c r="I235" s="541">
        <f t="shared" si="4"/>
        <v>10620</v>
      </c>
      <c r="J235" s="543">
        <f t="shared" si="5"/>
        <v>69620</v>
      </c>
      <c r="K235" s="813" t="s">
        <v>463</v>
      </c>
      <c r="L235" s="544" t="s">
        <v>58</v>
      </c>
      <c r="M235" s="536" t="s">
        <v>556</v>
      </c>
      <c r="N235" s="536" t="s">
        <v>556</v>
      </c>
      <c r="O235" s="536"/>
      <c r="P235" s="536"/>
      <c r="Q235" s="547"/>
      <c r="R235" s="547"/>
      <c r="S235" s="548"/>
      <c r="T235" s="548"/>
      <c r="U235" s="548"/>
      <c r="V235" s="548"/>
      <c r="W235" s="548"/>
      <c r="X235" s="549"/>
    </row>
    <row r="236" spans="3:24" s="550" customFormat="1" ht="12.95" customHeight="1">
      <c r="C236" s="552" t="s">
        <v>698</v>
      </c>
      <c r="D236" s="537">
        <v>45286</v>
      </c>
      <c r="E236" s="538"/>
      <c r="F236" s="547" t="s">
        <v>700</v>
      </c>
      <c r="G236" s="568"/>
      <c r="H236" s="541">
        <v>342733</v>
      </c>
      <c r="I236" s="541">
        <f t="shared" si="4"/>
        <v>61691.939999999995</v>
      </c>
      <c r="J236" s="543">
        <f t="shared" si="5"/>
        <v>404424.94</v>
      </c>
      <c r="K236" s="813" t="s">
        <v>500</v>
      </c>
      <c r="L236" s="544" t="s">
        <v>58</v>
      </c>
      <c r="M236" s="536" t="s">
        <v>556</v>
      </c>
      <c r="N236" s="536" t="s">
        <v>556</v>
      </c>
      <c r="O236" s="536"/>
      <c r="P236" s="536"/>
      <c r="Q236" s="547"/>
      <c r="R236" s="547"/>
      <c r="S236" s="548"/>
      <c r="T236" s="548"/>
      <c r="U236" s="548"/>
      <c r="V236" s="548"/>
      <c r="W236" s="548"/>
      <c r="X236" s="549"/>
    </row>
    <row r="237" spans="3:24" s="550" customFormat="1" ht="12.95" customHeight="1">
      <c r="C237" s="552" t="s">
        <v>698</v>
      </c>
      <c r="D237" s="537">
        <v>45286</v>
      </c>
      <c r="E237" s="538"/>
      <c r="F237" s="547" t="s">
        <v>701</v>
      </c>
      <c r="G237" s="568"/>
      <c r="H237" s="541">
        <v>458266</v>
      </c>
      <c r="I237" s="541">
        <f t="shared" si="4"/>
        <v>82487.87999999999</v>
      </c>
      <c r="J237" s="543">
        <f t="shared" si="5"/>
        <v>540753.88</v>
      </c>
      <c r="K237" s="813" t="s">
        <v>429</v>
      </c>
      <c r="L237" s="544" t="s">
        <v>58</v>
      </c>
      <c r="M237" s="536" t="s">
        <v>556</v>
      </c>
      <c r="N237" s="536" t="s">
        <v>556</v>
      </c>
      <c r="O237" s="536"/>
      <c r="P237" s="536"/>
      <c r="Q237" s="547"/>
      <c r="R237" s="547"/>
      <c r="S237" s="548"/>
      <c r="T237" s="548"/>
      <c r="U237" s="548"/>
      <c r="V237" s="548"/>
      <c r="W237" s="548"/>
      <c r="X237" s="549"/>
    </row>
    <row r="238" spans="3:24" s="550" customFormat="1" ht="12.95" customHeight="1">
      <c r="C238" s="552" t="s">
        <v>698</v>
      </c>
      <c r="D238" s="537">
        <v>45286</v>
      </c>
      <c r="E238" s="538"/>
      <c r="F238" s="547" t="s">
        <v>702</v>
      </c>
      <c r="G238" s="568"/>
      <c r="H238" s="541">
        <v>125000</v>
      </c>
      <c r="I238" s="541">
        <f t="shared" si="4"/>
        <v>22500</v>
      </c>
      <c r="J238" s="543">
        <f t="shared" si="5"/>
        <v>147500</v>
      </c>
      <c r="K238" s="813" t="s">
        <v>501</v>
      </c>
      <c r="L238" s="544" t="s">
        <v>58</v>
      </c>
      <c r="M238" s="536" t="s">
        <v>556</v>
      </c>
      <c r="N238" s="536" t="s">
        <v>556</v>
      </c>
      <c r="O238" s="536"/>
      <c r="P238" s="536"/>
      <c r="Q238" s="547"/>
      <c r="R238" s="547"/>
      <c r="S238" s="548"/>
      <c r="T238" s="548"/>
      <c r="U238" s="548"/>
      <c r="V238" s="548"/>
      <c r="W238" s="548"/>
      <c r="X238" s="549"/>
    </row>
    <row r="239" spans="3:24" s="550" customFormat="1" ht="12.95" customHeight="1">
      <c r="C239" s="536" t="s">
        <v>703</v>
      </c>
      <c r="D239" s="537">
        <v>45287</v>
      </c>
      <c r="E239" s="538"/>
      <c r="F239" s="547" t="s">
        <v>704</v>
      </c>
      <c r="G239" s="568"/>
      <c r="H239" s="541">
        <v>65000</v>
      </c>
      <c r="I239" s="541">
        <f t="shared" si="4"/>
        <v>11700</v>
      </c>
      <c r="J239" s="543">
        <f t="shared" si="5"/>
        <v>76700</v>
      </c>
      <c r="K239" s="813" t="s">
        <v>429</v>
      </c>
      <c r="L239" s="544" t="s">
        <v>58</v>
      </c>
      <c r="M239" s="536" t="s">
        <v>556</v>
      </c>
      <c r="N239" s="536" t="s">
        <v>556</v>
      </c>
      <c r="O239" s="536"/>
      <c r="P239" s="536"/>
      <c r="Q239" s="547"/>
      <c r="R239" s="547"/>
      <c r="S239" s="548"/>
      <c r="T239" s="548"/>
      <c r="U239" s="548"/>
      <c r="V239" s="548"/>
      <c r="W239" s="548"/>
      <c r="X239" s="549"/>
    </row>
    <row r="240" spans="3:24" s="550" customFormat="1" ht="12.95" customHeight="1">
      <c r="C240" s="536" t="s">
        <v>703</v>
      </c>
      <c r="D240" s="537">
        <v>45287</v>
      </c>
      <c r="E240" s="538"/>
      <c r="F240" s="547" t="s">
        <v>705</v>
      </c>
      <c r="G240" s="568"/>
      <c r="H240" s="541">
        <v>65000</v>
      </c>
      <c r="I240" s="541">
        <f t="shared" si="4"/>
        <v>11700</v>
      </c>
      <c r="J240" s="543">
        <f t="shared" si="5"/>
        <v>76700</v>
      </c>
      <c r="K240" s="813" t="s">
        <v>510</v>
      </c>
      <c r="L240" s="544" t="s">
        <v>58</v>
      </c>
      <c r="M240" s="536" t="s">
        <v>556</v>
      </c>
      <c r="N240" s="536" t="s">
        <v>556</v>
      </c>
      <c r="O240" s="536"/>
      <c r="P240" s="536"/>
      <c r="Q240" s="547"/>
      <c r="R240" s="547"/>
      <c r="S240" s="548"/>
      <c r="T240" s="548"/>
      <c r="U240" s="548"/>
      <c r="V240" s="548"/>
      <c r="W240" s="548"/>
      <c r="X240" s="549"/>
    </row>
    <row r="241" spans="3:24 16384:16384" s="550" customFormat="1" ht="12.95" customHeight="1">
      <c r="C241" s="536" t="s">
        <v>703</v>
      </c>
      <c r="D241" s="537">
        <v>45287</v>
      </c>
      <c r="E241" s="538"/>
      <c r="F241" s="547" t="s">
        <v>706</v>
      </c>
      <c r="G241" s="568"/>
      <c r="H241" s="541">
        <v>65000</v>
      </c>
      <c r="I241" s="541">
        <f t="shared" si="4"/>
        <v>11700</v>
      </c>
      <c r="J241" s="543">
        <f t="shared" si="5"/>
        <v>76700</v>
      </c>
      <c r="K241" s="813" t="s">
        <v>510</v>
      </c>
      <c r="L241" s="544" t="s">
        <v>58</v>
      </c>
      <c r="M241" s="536" t="s">
        <v>556</v>
      </c>
      <c r="N241" s="536" t="s">
        <v>556</v>
      </c>
      <c r="O241" s="536"/>
      <c r="P241" s="536"/>
      <c r="Q241" s="547"/>
      <c r="R241" s="547"/>
      <c r="S241" s="548"/>
      <c r="T241" s="548"/>
      <c r="U241" s="548"/>
      <c r="V241" s="548"/>
      <c r="W241" s="548"/>
      <c r="X241" s="549"/>
    </row>
    <row r="242" spans="3:24 16384:16384" s="550" customFormat="1" ht="12.95" customHeight="1">
      <c r="C242" s="536" t="s">
        <v>703</v>
      </c>
      <c r="D242" s="537">
        <v>45287</v>
      </c>
      <c r="E242" s="538"/>
      <c r="F242" s="547" t="s">
        <v>707</v>
      </c>
      <c r="G242" s="568"/>
      <c r="H242" s="541">
        <v>65000</v>
      </c>
      <c r="I242" s="541">
        <f t="shared" si="4"/>
        <v>11700</v>
      </c>
      <c r="J242" s="543">
        <f t="shared" si="5"/>
        <v>76700</v>
      </c>
      <c r="K242" s="813" t="s">
        <v>856</v>
      </c>
      <c r="L242" s="544" t="s">
        <v>58</v>
      </c>
      <c r="M242" s="536" t="s">
        <v>556</v>
      </c>
      <c r="N242" s="536" t="s">
        <v>556</v>
      </c>
      <c r="O242" s="536"/>
      <c r="P242" s="536"/>
      <c r="Q242" s="547"/>
      <c r="R242" s="547"/>
      <c r="S242" s="548"/>
      <c r="T242" s="548"/>
      <c r="U242" s="548"/>
      <c r="V242" s="548"/>
      <c r="W242" s="548"/>
      <c r="X242" s="549"/>
    </row>
    <row r="243" spans="3:24 16384:16384" s="589" customFormat="1" ht="12.95" customHeight="1">
      <c r="C243" s="536" t="s">
        <v>688</v>
      </c>
      <c r="D243" s="537">
        <v>45287</v>
      </c>
      <c r="E243" s="585"/>
      <c r="F243" s="547" t="s">
        <v>708</v>
      </c>
      <c r="G243" s="586"/>
      <c r="H243" s="541">
        <v>42610.43</v>
      </c>
      <c r="I243" s="541">
        <f t="shared" si="4"/>
        <v>7669.8773999999994</v>
      </c>
      <c r="J243" s="543">
        <f t="shared" si="5"/>
        <v>50280.307399999998</v>
      </c>
      <c r="K243" s="813" t="s">
        <v>215</v>
      </c>
      <c r="L243" s="544" t="s">
        <v>24</v>
      </c>
      <c r="M243" s="536" t="s">
        <v>556</v>
      </c>
      <c r="N243" s="536" t="s">
        <v>556</v>
      </c>
      <c r="O243" s="587"/>
      <c r="P243" s="587"/>
      <c r="Q243" s="553"/>
      <c r="R243" s="553"/>
      <c r="S243" s="588"/>
      <c r="T243" s="588"/>
      <c r="U243" s="588"/>
      <c r="V243" s="588"/>
      <c r="W243" s="588"/>
      <c r="X243" s="549"/>
      <c r="XFD243" s="550"/>
    </row>
    <row r="244" spans="3:24 16384:16384" s="589" customFormat="1" ht="12.95" customHeight="1">
      <c r="C244" s="633" t="s">
        <v>574</v>
      </c>
      <c r="D244" s="634">
        <v>45287</v>
      </c>
      <c r="E244" s="635"/>
      <c r="F244" s="630" t="s">
        <v>709</v>
      </c>
      <c r="G244" s="586"/>
      <c r="H244" s="542">
        <v>1050000</v>
      </c>
      <c r="I244" s="542">
        <f t="shared" si="4"/>
        <v>189000</v>
      </c>
      <c r="J244" s="578">
        <f t="shared" si="5"/>
        <v>1239000</v>
      </c>
      <c r="K244" s="816" t="s">
        <v>857</v>
      </c>
      <c r="L244" s="584" t="s">
        <v>596</v>
      </c>
      <c r="M244" s="536" t="s">
        <v>556</v>
      </c>
      <c r="N244" s="536" t="s">
        <v>556</v>
      </c>
      <c r="O244" s="587"/>
      <c r="P244" s="587"/>
      <c r="Q244" s="553"/>
      <c r="R244" s="553"/>
      <c r="S244" s="588"/>
      <c r="T244" s="588"/>
      <c r="U244" s="588"/>
      <c r="V244" s="588"/>
      <c r="W244" s="588"/>
      <c r="X244" s="549"/>
    </row>
    <row r="245" spans="3:24 16384:16384" s="589" customFormat="1" ht="12.95" customHeight="1">
      <c r="C245" s="633" t="s">
        <v>574</v>
      </c>
      <c r="D245" s="634">
        <v>45287</v>
      </c>
      <c r="E245" s="635"/>
      <c r="F245" s="630" t="s">
        <v>710</v>
      </c>
      <c r="G245" s="586"/>
      <c r="H245" s="542">
        <v>1075000</v>
      </c>
      <c r="I245" s="542">
        <f t="shared" si="4"/>
        <v>193500</v>
      </c>
      <c r="J245" s="578">
        <f t="shared" si="5"/>
        <v>1268500</v>
      </c>
      <c r="K245" s="816" t="s">
        <v>858</v>
      </c>
      <c r="L245" s="584" t="s">
        <v>596</v>
      </c>
      <c r="M245" s="536" t="s">
        <v>556</v>
      </c>
      <c r="N245" s="536" t="s">
        <v>556</v>
      </c>
      <c r="O245" s="587"/>
      <c r="P245" s="587"/>
      <c r="Q245" s="553"/>
      <c r="R245" s="553"/>
      <c r="S245" s="588"/>
      <c r="T245" s="588"/>
      <c r="U245" s="588"/>
      <c r="V245" s="588"/>
      <c r="W245" s="588"/>
      <c r="X245" s="549"/>
    </row>
    <row r="246" spans="3:24 16384:16384" s="589" customFormat="1" ht="12.95" customHeight="1">
      <c r="C246" s="587" t="s">
        <v>711</v>
      </c>
      <c r="D246" s="537">
        <v>45288</v>
      </c>
      <c r="E246" s="585"/>
      <c r="F246" s="547" t="s">
        <v>712</v>
      </c>
      <c r="G246" s="586"/>
      <c r="H246" s="541">
        <v>1211011</v>
      </c>
      <c r="I246" s="541">
        <f t="shared" si="4"/>
        <v>217981.97999999998</v>
      </c>
      <c r="J246" s="578">
        <f t="shared" si="5"/>
        <v>1428992.98</v>
      </c>
      <c r="K246" s="813" t="s">
        <v>856</v>
      </c>
      <c r="L246" s="544" t="s">
        <v>596</v>
      </c>
      <c r="M246" s="536" t="s">
        <v>556</v>
      </c>
      <c r="N246" s="536" t="s">
        <v>556</v>
      </c>
      <c r="O246" s="587"/>
      <c r="P246" s="587"/>
      <c r="Q246" s="590"/>
      <c r="R246" s="590"/>
      <c r="S246" s="591"/>
      <c r="T246" s="591"/>
      <c r="U246" s="591"/>
      <c r="V246" s="591"/>
      <c r="W246" s="591"/>
      <c r="X246" s="549"/>
    </row>
    <row r="247" spans="3:24 16384:16384" s="589" customFormat="1" ht="12.95" customHeight="1">
      <c r="C247" s="587" t="s">
        <v>711</v>
      </c>
      <c r="D247" s="537">
        <v>45288</v>
      </c>
      <c r="E247" s="585"/>
      <c r="F247" s="547" t="s">
        <v>713</v>
      </c>
      <c r="G247" s="586"/>
      <c r="H247" s="541">
        <v>866785</v>
      </c>
      <c r="I247" s="541">
        <f t="shared" si="4"/>
        <v>156021.29999999999</v>
      </c>
      <c r="J247" s="543">
        <f t="shared" si="5"/>
        <v>1022806.3</v>
      </c>
      <c r="K247" s="813" t="s">
        <v>859</v>
      </c>
      <c r="L247" s="544" t="s">
        <v>596</v>
      </c>
      <c r="M247" s="536" t="s">
        <v>556</v>
      </c>
      <c r="N247" s="536" t="s">
        <v>556</v>
      </c>
      <c r="O247" s="587"/>
      <c r="P247" s="587"/>
      <c r="Q247" s="590"/>
      <c r="R247" s="590"/>
      <c r="S247" s="591"/>
      <c r="T247" s="591"/>
      <c r="U247" s="591"/>
      <c r="V247" s="591"/>
      <c r="W247" s="591"/>
      <c r="X247" s="549"/>
    </row>
    <row r="248" spans="3:24 16384:16384" s="589" customFormat="1" ht="12.95" customHeight="1">
      <c r="C248" s="587" t="s">
        <v>714</v>
      </c>
      <c r="D248" s="537">
        <v>45296</v>
      </c>
      <c r="E248" s="585"/>
      <c r="F248" s="547" t="s">
        <v>715</v>
      </c>
      <c r="G248" s="586"/>
      <c r="H248" s="541">
        <v>28400</v>
      </c>
      <c r="I248" s="541">
        <v>5112</v>
      </c>
      <c r="J248" s="543">
        <f t="shared" si="5"/>
        <v>33512</v>
      </c>
      <c r="K248" s="813" t="s">
        <v>360</v>
      </c>
      <c r="L248" s="544" t="s">
        <v>58</v>
      </c>
      <c r="M248" s="536" t="s">
        <v>556</v>
      </c>
      <c r="N248" s="536" t="s">
        <v>556</v>
      </c>
      <c r="O248" s="587"/>
      <c r="P248" s="587"/>
      <c r="Q248" s="590"/>
      <c r="R248" s="590"/>
      <c r="S248" s="591"/>
      <c r="T248" s="591"/>
      <c r="U248" s="591"/>
      <c r="V248" s="591"/>
      <c r="W248" s="591"/>
      <c r="X248" s="549"/>
    </row>
    <row r="249" spans="3:24 16384:16384" s="589" customFormat="1" ht="12.95" customHeight="1">
      <c r="C249" s="587" t="s">
        <v>716</v>
      </c>
      <c r="D249" s="537">
        <v>45296</v>
      </c>
      <c r="E249" s="585"/>
      <c r="F249" s="592" t="s">
        <v>717</v>
      </c>
      <c r="G249" s="586"/>
      <c r="H249" s="541">
        <v>1114158</v>
      </c>
      <c r="I249" s="541">
        <v>200548.44</v>
      </c>
      <c r="J249" s="543">
        <f t="shared" si="5"/>
        <v>1314706.44</v>
      </c>
      <c r="K249" s="813" t="s">
        <v>429</v>
      </c>
      <c r="L249" s="544" t="s">
        <v>58</v>
      </c>
      <c r="M249" s="536" t="s">
        <v>556</v>
      </c>
      <c r="N249" s="536" t="s">
        <v>556</v>
      </c>
      <c r="O249" s="587"/>
      <c r="P249" s="587"/>
      <c r="Q249" s="590"/>
      <c r="R249" s="590"/>
      <c r="S249" s="591"/>
      <c r="T249" s="591"/>
      <c r="U249" s="591"/>
      <c r="V249" s="591"/>
      <c r="W249" s="591"/>
      <c r="X249" s="549"/>
    </row>
    <row r="250" spans="3:24 16384:16384" s="589" customFormat="1" ht="12.95" customHeight="1">
      <c r="C250" s="587" t="s">
        <v>716</v>
      </c>
      <c r="D250" s="537">
        <v>45296</v>
      </c>
      <c r="E250" s="585"/>
      <c r="F250" s="592" t="s">
        <v>718</v>
      </c>
      <c r="G250" s="586"/>
      <c r="H250" s="541">
        <v>162500</v>
      </c>
      <c r="I250" s="541">
        <v>45500</v>
      </c>
      <c r="J250" s="543">
        <f t="shared" si="5"/>
        <v>208000</v>
      </c>
      <c r="K250" s="813" t="s">
        <v>500</v>
      </c>
      <c r="L250" s="544" t="s">
        <v>58</v>
      </c>
      <c r="M250" s="536" t="s">
        <v>556</v>
      </c>
      <c r="N250" s="536" t="s">
        <v>556</v>
      </c>
      <c r="O250" s="587"/>
      <c r="P250" s="587"/>
      <c r="Q250" s="553"/>
      <c r="R250" s="553"/>
      <c r="S250" s="588"/>
      <c r="T250" s="588"/>
      <c r="U250" s="588"/>
      <c r="V250" s="588"/>
      <c r="W250" s="588"/>
      <c r="X250" s="549"/>
    </row>
    <row r="251" spans="3:24 16384:16384" s="589" customFormat="1" ht="12.95" customHeight="1">
      <c r="C251" s="587" t="s">
        <v>632</v>
      </c>
      <c r="D251" s="537">
        <v>45295</v>
      </c>
      <c r="E251" s="585"/>
      <c r="F251" s="592" t="s">
        <v>719</v>
      </c>
      <c r="G251" s="586"/>
      <c r="H251" s="541">
        <v>17750</v>
      </c>
      <c r="I251" s="541">
        <v>3195</v>
      </c>
      <c r="J251" s="543">
        <f t="shared" si="5"/>
        <v>20945</v>
      </c>
      <c r="K251" s="813" t="s">
        <v>514</v>
      </c>
      <c r="L251" s="544" t="s">
        <v>58</v>
      </c>
      <c r="M251" s="536" t="s">
        <v>556</v>
      </c>
      <c r="N251" s="536" t="s">
        <v>556</v>
      </c>
      <c r="O251" s="587"/>
      <c r="P251" s="587"/>
      <c r="Q251" s="553"/>
      <c r="R251" s="553"/>
      <c r="S251" s="588"/>
      <c r="T251" s="588"/>
      <c r="U251" s="588"/>
      <c r="V251" s="588"/>
      <c r="W251" s="588"/>
      <c r="X251" s="549"/>
    </row>
    <row r="252" spans="3:24 16384:16384" s="589" customFormat="1" ht="12.95" customHeight="1">
      <c r="C252" s="587" t="s">
        <v>626</v>
      </c>
      <c r="D252" s="537">
        <v>45295</v>
      </c>
      <c r="E252" s="585"/>
      <c r="F252" s="592" t="s">
        <v>720</v>
      </c>
      <c r="G252" s="586"/>
      <c r="H252" s="541">
        <v>206250</v>
      </c>
      <c r="I252" s="541">
        <v>37125</v>
      </c>
      <c r="J252" s="543">
        <f t="shared" si="5"/>
        <v>243375</v>
      </c>
      <c r="K252" s="813" t="s">
        <v>514</v>
      </c>
      <c r="L252" s="544" t="s">
        <v>58</v>
      </c>
      <c r="M252" s="536" t="s">
        <v>556</v>
      </c>
      <c r="N252" s="536" t="s">
        <v>556</v>
      </c>
      <c r="O252" s="587"/>
      <c r="P252" s="587"/>
      <c r="Q252" s="553"/>
      <c r="R252" s="553"/>
      <c r="S252" s="588"/>
      <c r="T252" s="588"/>
      <c r="U252" s="588"/>
      <c r="V252" s="588"/>
      <c r="W252" s="588"/>
      <c r="X252" s="549"/>
    </row>
    <row r="253" spans="3:24 16384:16384" s="589" customFormat="1" ht="12.95" customHeight="1">
      <c r="C253" s="587" t="s">
        <v>721</v>
      </c>
      <c r="D253" s="537">
        <v>45295</v>
      </c>
      <c r="E253" s="585"/>
      <c r="F253" s="592" t="s">
        <v>722</v>
      </c>
      <c r="G253" s="586"/>
      <c r="H253" s="541">
        <v>250252</v>
      </c>
      <c r="I253" s="541">
        <v>45045.36</v>
      </c>
      <c r="J253" s="543">
        <f t="shared" si="5"/>
        <v>295297.36</v>
      </c>
      <c r="K253" s="813" t="s">
        <v>512</v>
      </c>
      <c r="L253" s="544" t="s">
        <v>58</v>
      </c>
      <c r="M253" s="536" t="s">
        <v>556</v>
      </c>
      <c r="N253" s="536" t="s">
        <v>556</v>
      </c>
      <c r="O253" s="587"/>
      <c r="P253" s="587"/>
      <c r="Q253" s="553"/>
      <c r="R253" s="553"/>
      <c r="S253" s="588"/>
      <c r="T253" s="588"/>
      <c r="U253" s="588"/>
      <c r="V253" s="588"/>
      <c r="W253" s="588"/>
      <c r="X253" s="549"/>
    </row>
    <row r="254" spans="3:24 16384:16384" s="589" customFormat="1" ht="12.95" customHeight="1">
      <c r="C254" s="587" t="s">
        <v>723</v>
      </c>
      <c r="D254" s="537">
        <v>45295</v>
      </c>
      <c r="E254" s="585"/>
      <c r="F254" s="592" t="s">
        <v>724</v>
      </c>
      <c r="G254" s="586"/>
      <c r="H254" s="541">
        <v>27495</v>
      </c>
      <c r="I254" s="541">
        <v>4949.1000000000004</v>
      </c>
      <c r="J254" s="543">
        <f t="shared" si="5"/>
        <v>32444.1</v>
      </c>
      <c r="K254" s="813" t="s">
        <v>514</v>
      </c>
      <c r="L254" s="544" t="s">
        <v>58</v>
      </c>
      <c r="M254" s="536" t="s">
        <v>556</v>
      </c>
      <c r="N254" s="536" t="s">
        <v>556</v>
      </c>
      <c r="O254" s="587"/>
      <c r="P254" s="587"/>
      <c r="Q254" s="553"/>
      <c r="R254" s="553"/>
      <c r="S254" s="588"/>
      <c r="T254" s="588"/>
      <c r="U254" s="588"/>
      <c r="V254" s="588"/>
      <c r="W254" s="588"/>
      <c r="X254" s="549"/>
    </row>
    <row r="255" spans="3:24 16384:16384" s="589" customFormat="1" ht="12.95" customHeight="1">
      <c r="C255" s="587" t="s">
        <v>725</v>
      </c>
      <c r="D255" s="537">
        <v>45295</v>
      </c>
      <c r="E255" s="585"/>
      <c r="F255" s="592" t="s">
        <v>726</v>
      </c>
      <c r="G255" s="586"/>
      <c r="H255" s="541">
        <v>409000</v>
      </c>
      <c r="I255" s="541">
        <v>73620</v>
      </c>
      <c r="J255" s="543">
        <f t="shared" si="5"/>
        <v>482620</v>
      </c>
      <c r="K255" s="812" t="s">
        <v>503</v>
      </c>
      <c r="L255" s="544" t="s">
        <v>58</v>
      </c>
      <c r="M255" s="536" t="s">
        <v>556</v>
      </c>
      <c r="N255" s="536" t="s">
        <v>556</v>
      </c>
      <c r="O255" s="587"/>
      <c r="P255" s="587"/>
      <c r="Q255" s="553"/>
      <c r="R255" s="553"/>
      <c r="S255" s="588"/>
      <c r="T255" s="588"/>
      <c r="U255" s="588"/>
      <c r="V255" s="588"/>
      <c r="W255" s="588"/>
      <c r="X255" s="549"/>
    </row>
    <row r="256" spans="3:24 16384:16384" s="589" customFormat="1" ht="12.95" customHeight="1">
      <c r="C256" s="587" t="s">
        <v>643</v>
      </c>
      <c r="D256" s="537">
        <v>45295</v>
      </c>
      <c r="E256" s="585"/>
      <c r="F256" s="592" t="s">
        <v>727</v>
      </c>
      <c r="G256" s="586"/>
      <c r="H256" s="541">
        <v>14400</v>
      </c>
      <c r="I256" s="541">
        <v>2592</v>
      </c>
      <c r="J256" s="543">
        <f t="shared" si="5"/>
        <v>16992</v>
      </c>
      <c r="K256" s="813" t="s">
        <v>500</v>
      </c>
      <c r="L256" s="544" t="s">
        <v>58</v>
      </c>
      <c r="M256" s="536" t="s">
        <v>556</v>
      </c>
      <c r="N256" s="536" t="s">
        <v>556</v>
      </c>
      <c r="O256" s="587"/>
      <c r="P256" s="587"/>
      <c r="Q256" s="553"/>
      <c r="R256" s="553"/>
      <c r="S256" s="588"/>
      <c r="T256" s="588"/>
      <c r="U256" s="588"/>
      <c r="V256" s="588"/>
      <c r="W256" s="588"/>
      <c r="X256" s="549"/>
    </row>
    <row r="257" spans="3:24" s="589" customFormat="1" ht="12.95" customHeight="1">
      <c r="C257" s="587" t="s">
        <v>728</v>
      </c>
      <c r="D257" s="537">
        <v>45294</v>
      </c>
      <c r="E257" s="585"/>
      <c r="F257" s="592" t="s">
        <v>729</v>
      </c>
      <c r="G257" s="586"/>
      <c r="H257" s="541">
        <v>1427140</v>
      </c>
      <c r="I257" s="541">
        <v>256885.2</v>
      </c>
      <c r="J257" s="543">
        <f t="shared" si="5"/>
        <v>1684025.2</v>
      </c>
      <c r="K257" s="813" t="s">
        <v>512</v>
      </c>
      <c r="L257" s="544" t="s">
        <v>58</v>
      </c>
      <c r="M257" s="536" t="s">
        <v>556</v>
      </c>
      <c r="N257" s="536" t="s">
        <v>556</v>
      </c>
      <c r="O257" s="587"/>
      <c r="P257" s="587"/>
      <c r="Q257" s="553"/>
      <c r="R257" s="553"/>
      <c r="S257" s="588"/>
      <c r="T257" s="588"/>
      <c r="U257" s="588"/>
      <c r="V257" s="588"/>
      <c r="W257" s="588"/>
      <c r="X257" s="549"/>
    </row>
    <row r="258" spans="3:24" s="550" customFormat="1" ht="12.95" customHeight="1">
      <c r="C258" s="587" t="s">
        <v>730</v>
      </c>
      <c r="D258" s="537">
        <v>45293</v>
      </c>
      <c r="E258" s="585"/>
      <c r="F258" s="592" t="s">
        <v>731</v>
      </c>
      <c r="G258" s="586"/>
      <c r="H258" s="541">
        <v>5500</v>
      </c>
      <c r="I258" s="541">
        <v>990</v>
      </c>
      <c r="J258" s="543">
        <f t="shared" si="5"/>
        <v>6490</v>
      </c>
      <c r="K258" s="813" t="s">
        <v>510</v>
      </c>
      <c r="L258" s="544" t="s">
        <v>58</v>
      </c>
      <c r="M258" s="536" t="s">
        <v>556</v>
      </c>
      <c r="N258" s="536" t="s">
        <v>556</v>
      </c>
      <c r="O258" s="536"/>
      <c r="P258" s="536"/>
      <c r="Q258" s="547"/>
      <c r="R258" s="547"/>
      <c r="S258" s="548"/>
      <c r="T258" s="548"/>
      <c r="U258" s="548"/>
      <c r="V258" s="548"/>
      <c r="W258" s="548"/>
      <c r="X258" s="549"/>
    </row>
    <row r="259" spans="3:24" s="550" customFormat="1" ht="12.95" customHeight="1">
      <c r="C259" s="587" t="s">
        <v>732</v>
      </c>
      <c r="D259" s="537">
        <v>45293</v>
      </c>
      <c r="E259" s="585"/>
      <c r="F259" s="592" t="s">
        <v>733</v>
      </c>
      <c r="G259" s="586"/>
      <c r="H259" s="541">
        <v>42406</v>
      </c>
      <c r="I259" s="541">
        <v>6473.88</v>
      </c>
      <c r="J259" s="543">
        <f t="shared" si="5"/>
        <v>48879.88</v>
      </c>
      <c r="K259" s="813" t="s">
        <v>510</v>
      </c>
      <c r="L259" s="544" t="s">
        <v>58</v>
      </c>
      <c r="M259" s="536" t="s">
        <v>556</v>
      </c>
      <c r="N259" s="536" t="s">
        <v>556</v>
      </c>
      <c r="O259" s="536"/>
      <c r="P259" s="536"/>
      <c r="Q259" s="547"/>
      <c r="R259" s="547"/>
      <c r="S259" s="548"/>
      <c r="T259" s="548"/>
      <c r="U259" s="548"/>
      <c r="V259" s="548"/>
      <c r="W259" s="548"/>
      <c r="X259" s="549"/>
    </row>
    <row r="260" spans="3:24" s="550" customFormat="1" ht="12.95" customHeight="1">
      <c r="C260" s="587" t="s">
        <v>732</v>
      </c>
      <c r="D260" s="537">
        <v>45293</v>
      </c>
      <c r="E260" s="585"/>
      <c r="F260" s="592" t="s">
        <v>734</v>
      </c>
      <c r="G260" s="586"/>
      <c r="H260" s="541">
        <v>58148</v>
      </c>
      <c r="I260" s="541">
        <v>8261.16</v>
      </c>
      <c r="J260" s="543">
        <f t="shared" si="5"/>
        <v>66409.16</v>
      </c>
      <c r="K260" s="813" t="s">
        <v>856</v>
      </c>
      <c r="L260" s="544" t="s">
        <v>55</v>
      </c>
      <c r="M260" s="536" t="s">
        <v>556</v>
      </c>
      <c r="N260" s="536" t="s">
        <v>556</v>
      </c>
      <c r="O260" s="536"/>
      <c r="P260" s="536"/>
      <c r="Q260" s="547"/>
      <c r="R260" s="547"/>
      <c r="S260" s="548"/>
      <c r="T260" s="548"/>
      <c r="U260" s="548"/>
      <c r="V260" s="548"/>
      <c r="W260" s="548"/>
      <c r="X260" s="549"/>
    </row>
    <row r="261" spans="3:24" s="550" customFormat="1" ht="12.95" customHeight="1">
      <c r="C261" s="587" t="s">
        <v>735</v>
      </c>
      <c r="D261" s="537">
        <v>45290</v>
      </c>
      <c r="E261" s="585"/>
      <c r="F261" s="592" t="s">
        <v>736</v>
      </c>
      <c r="G261" s="586"/>
      <c r="H261" s="541">
        <v>4685815</v>
      </c>
      <c r="I261" s="541">
        <f>421723.35+421723.35</f>
        <v>843446.7</v>
      </c>
      <c r="J261" s="543">
        <f t="shared" si="5"/>
        <v>5529261.7000000002</v>
      </c>
      <c r="K261" s="813" t="s">
        <v>514</v>
      </c>
      <c r="L261" s="544" t="s">
        <v>596</v>
      </c>
      <c r="M261" s="536" t="s">
        <v>556</v>
      </c>
      <c r="N261" s="536" t="s">
        <v>556</v>
      </c>
      <c r="O261" s="536"/>
      <c r="P261" s="536"/>
      <c r="Q261" s="547"/>
      <c r="R261" s="547"/>
      <c r="S261" s="548"/>
      <c r="T261" s="548"/>
      <c r="U261" s="548"/>
      <c r="V261" s="548"/>
      <c r="W261" s="548"/>
      <c r="X261" s="549"/>
    </row>
    <row r="262" spans="3:24" s="550" customFormat="1" ht="12.95" customHeight="1">
      <c r="C262" s="587" t="s">
        <v>735</v>
      </c>
      <c r="D262" s="537">
        <v>45290</v>
      </c>
      <c r="E262" s="585"/>
      <c r="F262" s="592" t="s">
        <v>737</v>
      </c>
      <c r="G262" s="586"/>
      <c r="H262" s="541">
        <v>1383935</v>
      </c>
      <c r="I262" s="541">
        <f>124554.15+124554.15</f>
        <v>249108.3</v>
      </c>
      <c r="J262" s="543">
        <f t="shared" si="5"/>
        <v>1633043.3</v>
      </c>
      <c r="K262" s="813" t="s">
        <v>356</v>
      </c>
      <c r="L262" s="544" t="s">
        <v>596</v>
      </c>
      <c r="M262" s="536" t="s">
        <v>556</v>
      </c>
      <c r="N262" s="536" t="s">
        <v>556</v>
      </c>
      <c r="O262" s="536"/>
      <c r="P262" s="536"/>
      <c r="Q262" s="547"/>
      <c r="R262" s="547"/>
      <c r="S262" s="548"/>
      <c r="T262" s="548"/>
      <c r="U262" s="548"/>
      <c r="V262" s="548"/>
      <c r="W262" s="548"/>
      <c r="X262" s="549"/>
    </row>
    <row r="263" spans="3:24" s="550" customFormat="1" ht="12.95" customHeight="1">
      <c r="C263" s="587" t="s">
        <v>738</v>
      </c>
      <c r="D263" s="537">
        <v>45290</v>
      </c>
      <c r="E263" s="585"/>
      <c r="F263" s="592" t="s">
        <v>739</v>
      </c>
      <c r="G263" s="586"/>
      <c r="H263" s="541">
        <v>525700</v>
      </c>
      <c r="I263" s="541">
        <v>94626</v>
      </c>
      <c r="J263" s="543">
        <f t="shared" si="5"/>
        <v>620326</v>
      </c>
      <c r="K263" s="813" t="s">
        <v>501</v>
      </c>
      <c r="L263" s="544" t="s">
        <v>58</v>
      </c>
      <c r="M263" s="536" t="s">
        <v>556</v>
      </c>
      <c r="N263" s="536" t="s">
        <v>556</v>
      </c>
      <c r="O263" s="536"/>
      <c r="P263" s="536"/>
      <c r="Q263" s="547"/>
      <c r="R263" s="547"/>
      <c r="S263" s="548"/>
      <c r="T263" s="548"/>
      <c r="U263" s="548"/>
      <c r="V263" s="548"/>
      <c r="W263" s="548"/>
      <c r="X263" s="549"/>
    </row>
    <row r="264" spans="3:24" s="550" customFormat="1" ht="12.95" customHeight="1">
      <c r="C264" s="587" t="s">
        <v>714</v>
      </c>
      <c r="D264" s="537">
        <v>45290</v>
      </c>
      <c r="E264" s="585"/>
      <c r="F264" s="592" t="s">
        <v>740</v>
      </c>
      <c r="G264" s="586"/>
      <c r="H264" s="541">
        <v>116582</v>
      </c>
      <c r="I264" s="541">
        <v>20984.76</v>
      </c>
      <c r="J264" s="543">
        <f t="shared" si="5"/>
        <v>137566.76</v>
      </c>
      <c r="K264" s="813" t="s">
        <v>429</v>
      </c>
      <c r="L264" s="544" t="s">
        <v>58</v>
      </c>
      <c r="M264" s="536" t="s">
        <v>556</v>
      </c>
      <c r="N264" s="536" t="s">
        <v>556</v>
      </c>
      <c r="O264" s="536"/>
      <c r="P264" s="536"/>
      <c r="Q264" s="547"/>
      <c r="R264" s="547"/>
      <c r="S264" s="548"/>
      <c r="T264" s="548"/>
      <c r="U264" s="548"/>
      <c r="V264" s="548"/>
      <c r="W264" s="548"/>
      <c r="X264" s="549"/>
    </row>
    <row r="265" spans="3:24" s="550" customFormat="1" ht="12.95" customHeight="1">
      <c r="C265" s="587" t="s">
        <v>741</v>
      </c>
      <c r="D265" s="537">
        <v>45290</v>
      </c>
      <c r="E265" s="585"/>
      <c r="F265" s="592" t="s">
        <v>742</v>
      </c>
      <c r="G265" s="586"/>
      <c r="H265" s="541">
        <v>30000</v>
      </c>
      <c r="I265" s="541">
        <f>2700+2700</f>
        <v>5400</v>
      </c>
      <c r="J265" s="543">
        <f t="shared" ref="J265:J283" si="6">H265+I265</f>
        <v>35400</v>
      </c>
      <c r="K265" s="813" t="s">
        <v>512</v>
      </c>
      <c r="L265" s="544" t="s">
        <v>58</v>
      </c>
      <c r="M265" s="536" t="s">
        <v>556</v>
      </c>
      <c r="N265" s="536" t="s">
        <v>556</v>
      </c>
      <c r="O265" s="536"/>
      <c r="P265" s="536"/>
      <c r="Q265" s="547"/>
      <c r="R265" s="547"/>
      <c r="S265" s="548"/>
      <c r="T265" s="548"/>
      <c r="U265" s="548"/>
      <c r="V265" s="548"/>
      <c r="W265" s="548"/>
      <c r="X265" s="549"/>
    </row>
    <row r="266" spans="3:24" s="550" customFormat="1" ht="12.95" customHeight="1">
      <c r="C266" s="587" t="s">
        <v>743</v>
      </c>
      <c r="D266" s="537">
        <v>45290</v>
      </c>
      <c r="E266" s="585"/>
      <c r="F266" s="592" t="s">
        <v>744</v>
      </c>
      <c r="G266" s="586"/>
      <c r="H266" s="541">
        <v>14100</v>
      </c>
      <c r="I266" s="541">
        <v>2538</v>
      </c>
      <c r="J266" s="543">
        <f t="shared" si="6"/>
        <v>16638</v>
      </c>
      <c r="K266" s="813" t="s">
        <v>500</v>
      </c>
      <c r="L266" s="544" t="s">
        <v>58</v>
      </c>
      <c r="M266" s="536" t="s">
        <v>556</v>
      </c>
      <c r="N266" s="536" t="s">
        <v>556</v>
      </c>
      <c r="O266" s="536"/>
      <c r="P266" s="536"/>
      <c r="Q266" s="547"/>
      <c r="R266" s="547"/>
      <c r="S266" s="548"/>
      <c r="T266" s="548"/>
      <c r="U266" s="548"/>
      <c r="V266" s="548"/>
      <c r="W266" s="548"/>
      <c r="X266" s="549"/>
    </row>
    <row r="267" spans="3:24" s="550" customFormat="1" ht="12.95" customHeight="1">
      <c r="C267" s="587" t="s">
        <v>745</v>
      </c>
      <c r="D267" s="537">
        <v>45301</v>
      </c>
      <c r="E267" s="585"/>
      <c r="F267" s="592" t="s">
        <v>746</v>
      </c>
      <c r="G267" s="586"/>
      <c r="H267" s="541">
        <v>102725</v>
      </c>
      <c r="I267" s="541">
        <f>9245.25+9245.25</f>
        <v>18490.5</v>
      </c>
      <c r="J267" s="543">
        <f>H267+I267</f>
        <v>121215.5</v>
      </c>
      <c r="K267" s="813" t="s">
        <v>500</v>
      </c>
      <c r="L267" s="544" t="s">
        <v>54</v>
      </c>
      <c r="M267" s="536" t="s">
        <v>556</v>
      </c>
      <c r="N267" s="536" t="s">
        <v>556</v>
      </c>
      <c r="O267" s="536"/>
      <c r="P267" s="536"/>
      <c r="Q267" s="547"/>
      <c r="R267" s="547"/>
      <c r="S267" s="548"/>
      <c r="T267" s="548"/>
      <c r="U267" s="548"/>
      <c r="V267" s="548"/>
      <c r="W267" s="548"/>
      <c r="X267" s="549"/>
    </row>
    <row r="268" spans="3:24" s="550" customFormat="1" ht="12.95" customHeight="1">
      <c r="C268" s="587" t="s">
        <v>745</v>
      </c>
      <c r="D268" s="537">
        <v>45301</v>
      </c>
      <c r="E268" s="585"/>
      <c r="F268" s="592" t="s">
        <v>747</v>
      </c>
      <c r="G268" s="586"/>
      <c r="H268" s="541">
        <v>31680</v>
      </c>
      <c r="I268" s="541">
        <f>2851.2+2851.2</f>
        <v>5702.4</v>
      </c>
      <c r="J268" s="543">
        <f t="shared" si="6"/>
        <v>37382.400000000001</v>
      </c>
      <c r="K268" s="813" t="s">
        <v>515</v>
      </c>
      <c r="L268" s="544" t="s">
        <v>54</v>
      </c>
      <c r="M268" s="536" t="s">
        <v>556</v>
      </c>
      <c r="N268" s="536" t="s">
        <v>556</v>
      </c>
      <c r="O268" s="536"/>
      <c r="P268" s="536"/>
      <c r="Q268" s="547"/>
      <c r="R268" s="547"/>
      <c r="S268" s="548"/>
      <c r="T268" s="548"/>
      <c r="U268" s="548"/>
      <c r="V268" s="548"/>
      <c r="W268" s="548"/>
      <c r="X268" s="549"/>
    </row>
    <row r="269" spans="3:24" s="550" customFormat="1" ht="12.95" customHeight="1">
      <c r="C269" s="587" t="s">
        <v>745</v>
      </c>
      <c r="D269" s="537">
        <v>45301</v>
      </c>
      <c r="E269" s="585"/>
      <c r="F269" s="592" t="s">
        <v>748</v>
      </c>
      <c r="G269" s="586"/>
      <c r="H269" s="541">
        <v>51050</v>
      </c>
      <c r="I269" s="541">
        <f>H269*18%</f>
        <v>9189</v>
      </c>
      <c r="J269" s="543">
        <f t="shared" si="6"/>
        <v>60239</v>
      </c>
      <c r="K269" s="813" t="s">
        <v>215</v>
      </c>
      <c r="L269" s="544" t="s">
        <v>54</v>
      </c>
      <c r="M269" s="536" t="s">
        <v>556</v>
      </c>
      <c r="N269" s="536" t="s">
        <v>556</v>
      </c>
      <c r="O269" s="536"/>
      <c r="P269" s="536"/>
      <c r="Q269" s="547"/>
      <c r="R269" s="547"/>
      <c r="S269" s="548"/>
      <c r="T269" s="548"/>
      <c r="U269" s="548"/>
      <c r="V269" s="548"/>
      <c r="W269" s="548"/>
      <c r="X269" s="549"/>
    </row>
    <row r="270" spans="3:24" s="550" customFormat="1" ht="12.95" customHeight="1">
      <c r="C270" s="587" t="s">
        <v>745</v>
      </c>
      <c r="D270" s="537">
        <v>45301</v>
      </c>
      <c r="E270" s="585"/>
      <c r="F270" s="592" t="s">
        <v>749</v>
      </c>
      <c r="G270" s="586"/>
      <c r="H270" s="541">
        <v>378400</v>
      </c>
      <c r="I270" s="541">
        <f t="shared" ref="I270:I289" si="7">H270*18%</f>
        <v>68112</v>
      </c>
      <c r="J270" s="543">
        <f t="shared" si="6"/>
        <v>446512</v>
      </c>
      <c r="K270" s="813" t="s">
        <v>518</v>
      </c>
      <c r="L270" s="544" t="s">
        <v>54</v>
      </c>
      <c r="M270" s="536" t="s">
        <v>556</v>
      </c>
      <c r="N270" s="536" t="s">
        <v>556</v>
      </c>
      <c r="O270" s="536"/>
      <c r="P270" s="536"/>
      <c r="Q270" s="547"/>
      <c r="R270" s="547"/>
      <c r="S270" s="548"/>
      <c r="T270" s="548"/>
      <c r="U270" s="548"/>
      <c r="V270" s="548"/>
      <c r="W270" s="548"/>
      <c r="X270" s="549"/>
    </row>
    <row r="271" spans="3:24" s="550" customFormat="1" ht="12.95" customHeight="1">
      <c r="C271" s="587" t="s">
        <v>745</v>
      </c>
      <c r="D271" s="537">
        <v>45302</v>
      </c>
      <c r="E271" s="538"/>
      <c r="F271" s="592" t="s">
        <v>750</v>
      </c>
      <c r="G271" s="586"/>
      <c r="H271" s="541">
        <v>25500</v>
      </c>
      <c r="I271" s="541">
        <f t="shared" si="7"/>
        <v>4590</v>
      </c>
      <c r="J271" s="543">
        <f t="shared" si="6"/>
        <v>30090</v>
      </c>
      <c r="K271" s="813" t="s">
        <v>519</v>
      </c>
      <c r="L271" s="544" t="s">
        <v>54</v>
      </c>
      <c r="M271" s="536" t="s">
        <v>556</v>
      </c>
      <c r="N271" s="536" t="s">
        <v>556</v>
      </c>
      <c r="O271" s="536"/>
      <c r="P271" s="536"/>
      <c r="Q271" s="547"/>
      <c r="R271" s="547"/>
      <c r="S271" s="548"/>
      <c r="T271" s="548"/>
      <c r="U271" s="548"/>
      <c r="V271" s="548"/>
      <c r="W271" s="548"/>
      <c r="X271" s="549"/>
    </row>
    <row r="272" spans="3:24" s="550" customFormat="1" ht="12.95" customHeight="1">
      <c r="C272" s="587" t="s">
        <v>751</v>
      </c>
      <c r="D272" s="537">
        <v>45304</v>
      </c>
      <c r="E272" s="585"/>
      <c r="F272" s="592" t="s">
        <v>752</v>
      </c>
      <c r="G272" s="586"/>
      <c r="H272" s="541">
        <f>319000+83333.34</f>
        <v>402333.33999999997</v>
      </c>
      <c r="I272" s="541">
        <f t="shared" si="7"/>
        <v>72420.001199999984</v>
      </c>
      <c r="J272" s="543">
        <f t="shared" si="6"/>
        <v>474753.34119999997</v>
      </c>
      <c r="K272" s="813" t="s">
        <v>463</v>
      </c>
      <c r="L272" s="544" t="s">
        <v>596</v>
      </c>
      <c r="M272" s="536" t="s">
        <v>753</v>
      </c>
      <c r="N272" s="536" t="s">
        <v>753</v>
      </c>
      <c r="O272" s="536"/>
      <c r="P272" s="536"/>
      <c r="Q272" s="547"/>
      <c r="R272" s="547"/>
      <c r="S272" s="548"/>
      <c r="T272" s="548"/>
      <c r="U272" s="548"/>
      <c r="V272" s="548"/>
      <c r="W272" s="548"/>
      <c r="X272" s="549"/>
    </row>
    <row r="273" spans="2:24" s="550" customFormat="1" ht="12.95" customHeight="1">
      <c r="C273" s="587" t="s">
        <v>751</v>
      </c>
      <c r="D273" s="537">
        <v>45304</v>
      </c>
      <c r="E273" s="585"/>
      <c r="F273" s="592" t="s">
        <v>754</v>
      </c>
      <c r="G273" s="586"/>
      <c r="H273" s="541">
        <f>884000+83333.34</f>
        <v>967333.34</v>
      </c>
      <c r="I273" s="541">
        <f t="shared" si="7"/>
        <v>174120.0012</v>
      </c>
      <c r="J273" s="543">
        <f t="shared" si="6"/>
        <v>1141453.3411999999</v>
      </c>
      <c r="K273" s="813" t="s">
        <v>510</v>
      </c>
      <c r="L273" s="544" t="s">
        <v>596</v>
      </c>
      <c r="M273" s="536" t="s">
        <v>753</v>
      </c>
      <c r="N273" s="536" t="s">
        <v>753</v>
      </c>
      <c r="O273" s="536"/>
      <c r="P273" s="536"/>
      <c r="Q273" s="547"/>
      <c r="R273" s="547"/>
      <c r="S273" s="548"/>
      <c r="T273" s="548"/>
      <c r="U273" s="548"/>
      <c r="V273" s="548"/>
      <c r="W273" s="548"/>
      <c r="X273" s="549"/>
    </row>
    <row r="274" spans="2:24" s="550" customFormat="1" ht="12.95" customHeight="1">
      <c r="C274" s="587" t="s">
        <v>751</v>
      </c>
      <c r="D274" s="537">
        <v>45304</v>
      </c>
      <c r="E274" s="585"/>
      <c r="F274" s="592" t="s">
        <v>755</v>
      </c>
      <c r="G274" s="586"/>
      <c r="H274" s="541">
        <f>1569375+83333.34</f>
        <v>1652708.34</v>
      </c>
      <c r="I274" s="541">
        <f t="shared" si="7"/>
        <v>297487.5012</v>
      </c>
      <c r="J274" s="543">
        <f t="shared" si="6"/>
        <v>1950195.8412000001</v>
      </c>
      <c r="K274" s="813" t="s">
        <v>501</v>
      </c>
      <c r="L274" s="544" t="s">
        <v>596</v>
      </c>
      <c r="M274" s="536" t="s">
        <v>753</v>
      </c>
      <c r="N274" s="536" t="s">
        <v>753</v>
      </c>
      <c r="O274" s="536"/>
      <c r="P274" s="536"/>
      <c r="Q274" s="547"/>
      <c r="R274" s="547"/>
      <c r="S274" s="548"/>
      <c r="T274" s="548"/>
      <c r="U274" s="548"/>
      <c r="V274" s="548"/>
      <c r="W274" s="548"/>
      <c r="X274" s="549"/>
    </row>
    <row r="275" spans="2:24" s="550" customFormat="1" ht="12.95" customHeight="1">
      <c r="C275" s="587" t="s">
        <v>732</v>
      </c>
      <c r="D275" s="537">
        <v>45302</v>
      </c>
      <c r="E275" s="585"/>
      <c r="F275" s="592" t="s">
        <v>756</v>
      </c>
      <c r="G275" s="586"/>
      <c r="H275" s="541">
        <v>38311</v>
      </c>
      <c r="I275" s="541">
        <v>5518.5</v>
      </c>
      <c r="J275" s="543">
        <f t="shared" si="6"/>
        <v>43829.5</v>
      </c>
      <c r="K275" s="813" t="s">
        <v>510</v>
      </c>
      <c r="L275" s="544" t="s">
        <v>58</v>
      </c>
      <c r="M275" s="536" t="s">
        <v>753</v>
      </c>
      <c r="N275" s="536" t="s">
        <v>753</v>
      </c>
      <c r="O275" s="536"/>
      <c r="P275" s="536"/>
      <c r="Q275" s="547"/>
      <c r="R275" s="547"/>
      <c r="S275" s="548"/>
      <c r="T275" s="548"/>
      <c r="U275" s="548"/>
      <c r="V275" s="548"/>
      <c r="W275" s="548"/>
      <c r="X275" s="549"/>
    </row>
    <row r="276" spans="2:24" s="550" customFormat="1" ht="12.95" customHeight="1">
      <c r="C276" s="587" t="s">
        <v>745</v>
      </c>
      <c r="D276" s="537">
        <v>45301</v>
      </c>
      <c r="E276" s="585"/>
      <c r="F276" s="592" t="s">
        <v>757</v>
      </c>
      <c r="G276" s="586"/>
      <c r="H276" s="541">
        <v>350650</v>
      </c>
      <c r="I276" s="541">
        <f t="shared" si="7"/>
        <v>63117</v>
      </c>
      <c r="J276" s="543">
        <f t="shared" si="6"/>
        <v>413767</v>
      </c>
      <c r="K276" s="813" t="s">
        <v>510</v>
      </c>
      <c r="L276" s="544" t="s">
        <v>54</v>
      </c>
      <c r="M276" s="536" t="s">
        <v>753</v>
      </c>
      <c r="N276" s="536" t="s">
        <v>753</v>
      </c>
      <c r="O276" s="536"/>
      <c r="P276" s="536"/>
      <c r="Q276" s="547"/>
      <c r="R276" s="547"/>
      <c r="S276" s="548"/>
      <c r="T276" s="548"/>
      <c r="U276" s="548"/>
      <c r="V276" s="548"/>
      <c r="W276" s="548"/>
      <c r="X276" s="549"/>
    </row>
    <row r="277" spans="2:24" s="550" customFormat="1" ht="12.95" customHeight="1">
      <c r="C277" s="587" t="s">
        <v>745</v>
      </c>
      <c r="D277" s="537">
        <v>45301</v>
      </c>
      <c r="E277" s="585"/>
      <c r="F277" s="592" t="s">
        <v>758</v>
      </c>
      <c r="G277" s="586"/>
      <c r="H277" s="541">
        <v>37290</v>
      </c>
      <c r="I277" s="541">
        <f t="shared" si="7"/>
        <v>6712.2</v>
      </c>
      <c r="J277" s="543">
        <f t="shared" si="6"/>
        <v>44002.2</v>
      </c>
      <c r="K277" s="813" t="s">
        <v>463</v>
      </c>
      <c r="L277" s="544" t="s">
        <v>54</v>
      </c>
      <c r="M277" s="536" t="s">
        <v>753</v>
      </c>
      <c r="N277" s="536" t="s">
        <v>753</v>
      </c>
      <c r="O277" s="536"/>
      <c r="P277" s="536"/>
      <c r="Q277" s="547"/>
      <c r="R277" s="547"/>
      <c r="S277" s="548"/>
      <c r="T277" s="548"/>
      <c r="U277" s="548"/>
      <c r="V277" s="548"/>
      <c r="W277" s="548"/>
      <c r="X277" s="549"/>
    </row>
    <row r="278" spans="2:24" s="550" customFormat="1" ht="12.95" customHeight="1">
      <c r="C278" s="587" t="s">
        <v>716</v>
      </c>
      <c r="D278" s="537">
        <v>45296</v>
      </c>
      <c r="E278" s="585"/>
      <c r="F278" s="592" t="s">
        <v>759</v>
      </c>
      <c r="G278" s="586"/>
      <c r="H278" s="541">
        <v>105000</v>
      </c>
      <c r="I278" s="541">
        <v>29400</v>
      </c>
      <c r="J278" s="543">
        <f t="shared" si="6"/>
        <v>134400</v>
      </c>
      <c r="K278" s="813" t="s">
        <v>501</v>
      </c>
      <c r="L278" s="544" t="s">
        <v>58</v>
      </c>
      <c r="M278" s="536" t="s">
        <v>753</v>
      </c>
      <c r="N278" s="536" t="s">
        <v>753</v>
      </c>
      <c r="O278" s="536"/>
      <c r="P278" s="536"/>
      <c r="Q278" s="547"/>
      <c r="R278" s="547"/>
      <c r="S278" s="548"/>
      <c r="T278" s="548"/>
      <c r="U278" s="548"/>
      <c r="V278" s="548"/>
      <c r="W278" s="548"/>
      <c r="X278" s="549"/>
    </row>
    <row r="279" spans="2:24" s="550" customFormat="1" ht="12.95" customHeight="1">
      <c r="C279" s="587" t="s">
        <v>643</v>
      </c>
      <c r="D279" s="537">
        <v>45290</v>
      </c>
      <c r="E279" s="585"/>
      <c r="F279" s="592" t="s">
        <v>760</v>
      </c>
      <c r="G279" s="586"/>
      <c r="H279" s="541">
        <v>80000</v>
      </c>
      <c r="I279" s="541">
        <f t="shared" si="7"/>
        <v>14400</v>
      </c>
      <c r="J279" s="543">
        <f t="shared" si="6"/>
        <v>94400</v>
      </c>
      <c r="K279" s="813" t="s">
        <v>429</v>
      </c>
      <c r="L279" s="544" t="s">
        <v>58</v>
      </c>
      <c r="M279" s="536" t="s">
        <v>753</v>
      </c>
      <c r="N279" s="536" t="s">
        <v>753</v>
      </c>
      <c r="O279" s="536"/>
      <c r="P279" s="536"/>
      <c r="Q279" s="547"/>
      <c r="R279" s="547"/>
      <c r="S279" s="548"/>
      <c r="T279" s="548"/>
      <c r="U279" s="548"/>
      <c r="V279" s="548"/>
      <c r="W279" s="548"/>
      <c r="X279" s="549"/>
    </row>
    <row r="280" spans="2:24" s="550" customFormat="1" ht="12.95" customHeight="1">
      <c r="C280" s="587" t="s">
        <v>643</v>
      </c>
      <c r="D280" s="537">
        <v>45290</v>
      </c>
      <c r="E280" s="585"/>
      <c r="F280" s="592" t="s">
        <v>761</v>
      </c>
      <c r="G280" s="586"/>
      <c r="H280" s="541">
        <v>24000</v>
      </c>
      <c r="I280" s="541">
        <f t="shared" si="7"/>
        <v>4320</v>
      </c>
      <c r="J280" s="543">
        <f t="shared" si="6"/>
        <v>28320</v>
      </c>
      <c r="K280" s="813" t="s">
        <v>510</v>
      </c>
      <c r="L280" s="544" t="s">
        <v>58</v>
      </c>
      <c r="M280" s="536" t="s">
        <v>753</v>
      </c>
      <c r="N280" s="536" t="s">
        <v>753</v>
      </c>
      <c r="O280" s="536"/>
      <c r="P280" s="536"/>
      <c r="Q280" s="547"/>
      <c r="R280" s="547"/>
      <c r="S280" s="548"/>
      <c r="T280" s="548"/>
      <c r="U280" s="548"/>
      <c r="V280" s="548"/>
      <c r="W280" s="548"/>
      <c r="X280" s="549"/>
    </row>
    <row r="281" spans="2:24" s="550" customFormat="1" ht="12.95" customHeight="1">
      <c r="C281" s="587" t="s">
        <v>643</v>
      </c>
      <c r="D281" s="537">
        <v>45290</v>
      </c>
      <c r="E281" s="585"/>
      <c r="F281" s="592" t="s">
        <v>762</v>
      </c>
      <c r="G281" s="586"/>
      <c r="H281" s="541">
        <v>371800</v>
      </c>
      <c r="I281" s="541">
        <v>90824</v>
      </c>
      <c r="J281" s="543">
        <f t="shared" si="6"/>
        <v>462624</v>
      </c>
      <c r="K281" s="813" t="s">
        <v>429</v>
      </c>
      <c r="L281" s="544" t="s">
        <v>58</v>
      </c>
      <c r="M281" s="536" t="s">
        <v>753</v>
      </c>
      <c r="N281" s="536" t="s">
        <v>753</v>
      </c>
      <c r="O281" s="536"/>
      <c r="P281" s="536"/>
      <c r="Q281" s="547"/>
      <c r="R281" s="547"/>
      <c r="S281" s="548"/>
      <c r="T281" s="548"/>
      <c r="U281" s="548"/>
      <c r="V281" s="548"/>
      <c r="W281" s="548"/>
      <c r="X281" s="549"/>
    </row>
    <row r="282" spans="2:24" s="550" customFormat="1" ht="12.95" customHeight="1">
      <c r="C282" s="587" t="s">
        <v>643</v>
      </c>
      <c r="D282" s="537">
        <v>45290</v>
      </c>
      <c r="E282" s="585"/>
      <c r="F282" s="592" t="s">
        <v>763</v>
      </c>
      <c r="G282" s="586"/>
      <c r="H282" s="541">
        <v>744000</v>
      </c>
      <c r="I282" s="541">
        <f t="shared" si="7"/>
        <v>133920</v>
      </c>
      <c r="J282" s="543">
        <f t="shared" si="6"/>
        <v>877920</v>
      </c>
      <c r="K282" s="813" t="s">
        <v>512</v>
      </c>
      <c r="L282" s="544" t="s">
        <v>58</v>
      </c>
      <c r="M282" s="536" t="s">
        <v>753</v>
      </c>
      <c r="N282" s="536" t="s">
        <v>753</v>
      </c>
      <c r="O282" s="536"/>
      <c r="P282" s="536"/>
      <c r="Q282" s="547"/>
      <c r="R282" s="547"/>
      <c r="S282" s="548"/>
      <c r="T282" s="548"/>
      <c r="U282" s="548"/>
      <c r="V282" s="548"/>
      <c r="W282" s="548"/>
      <c r="X282" s="549"/>
    </row>
    <row r="283" spans="2:24" s="550" customFormat="1" ht="12.95" customHeight="1">
      <c r="C283" s="587" t="s">
        <v>616</v>
      </c>
      <c r="D283" s="537" t="s">
        <v>764</v>
      </c>
      <c r="E283" s="538"/>
      <c r="F283" s="559" t="s">
        <v>765</v>
      </c>
      <c r="G283" s="586"/>
      <c r="H283" s="541"/>
      <c r="I283" s="541">
        <f t="shared" si="7"/>
        <v>0</v>
      </c>
      <c r="J283" s="543">
        <f t="shared" si="6"/>
        <v>0</v>
      </c>
      <c r="K283" s="813" t="s">
        <v>215</v>
      </c>
      <c r="L283" s="544"/>
      <c r="M283" s="536" t="s">
        <v>766</v>
      </c>
      <c r="N283" s="536"/>
      <c r="O283" s="536"/>
      <c r="P283" s="536"/>
      <c r="Q283" s="547"/>
      <c r="R283" s="547"/>
      <c r="S283" s="548"/>
      <c r="T283" s="548"/>
      <c r="U283" s="548"/>
      <c r="V283" s="548"/>
      <c r="W283" s="548"/>
      <c r="X283" s="549"/>
    </row>
    <row r="284" spans="2:24" s="589" customFormat="1" ht="12.95" customHeight="1">
      <c r="B284" s="550"/>
      <c r="C284" s="587" t="s">
        <v>616</v>
      </c>
      <c r="D284" s="632" t="s">
        <v>764</v>
      </c>
      <c r="E284" s="585"/>
      <c r="F284" s="630" t="s">
        <v>767</v>
      </c>
      <c r="G284" s="586"/>
      <c r="H284" s="541">
        <f t="shared" ref="H284:H289" si="8">J284/1.18</f>
        <v>247000</v>
      </c>
      <c r="I284" s="541">
        <f t="shared" si="7"/>
        <v>44460</v>
      </c>
      <c r="J284" s="541">
        <v>291460</v>
      </c>
      <c r="K284" s="813" t="s">
        <v>215</v>
      </c>
      <c r="L284" s="557" t="s">
        <v>35</v>
      </c>
      <c r="M284" s="587" t="s">
        <v>766</v>
      </c>
      <c r="N284" s="587"/>
      <c r="O284" s="587"/>
      <c r="P284" s="587"/>
      <c r="Q284" s="553"/>
      <c r="R284" s="553"/>
      <c r="S284" s="588"/>
      <c r="T284" s="588"/>
      <c r="U284" s="588"/>
      <c r="V284" s="588"/>
      <c r="W284" s="588"/>
      <c r="X284" s="549"/>
    </row>
    <row r="285" spans="2:24" s="550" customFormat="1" ht="12.95" customHeight="1">
      <c r="C285" s="587" t="s">
        <v>632</v>
      </c>
      <c r="D285" s="537" t="s">
        <v>768</v>
      </c>
      <c r="E285" s="538"/>
      <c r="F285" s="817" t="s">
        <v>769</v>
      </c>
      <c r="G285" s="586"/>
      <c r="H285" s="541">
        <f>J285/1.18*0</f>
        <v>0</v>
      </c>
      <c r="I285" s="541">
        <f t="shared" si="7"/>
        <v>0</v>
      </c>
      <c r="J285" s="541">
        <f>143311*0</f>
        <v>0</v>
      </c>
      <c r="K285" s="813" t="s">
        <v>859</v>
      </c>
      <c r="L285" s="544" t="s">
        <v>58</v>
      </c>
      <c r="M285" s="536" t="s">
        <v>863</v>
      </c>
      <c r="N285" s="536"/>
      <c r="O285" s="536"/>
      <c r="P285" s="536"/>
      <c r="Q285" s="547"/>
      <c r="R285" s="547"/>
      <c r="S285" s="548"/>
      <c r="T285" s="548"/>
      <c r="U285" s="548"/>
      <c r="V285" s="548"/>
      <c r="W285" s="548"/>
      <c r="X285" s="549"/>
    </row>
    <row r="286" spans="2:24" s="550" customFormat="1" ht="12.95" customHeight="1">
      <c r="C286" s="587" t="s">
        <v>626</v>
      </c>
      <c r="D286" s="537" t="s">
        <v>768</v>
      </c>
      <c r="E286" s="538"/>
      <c r="F286" s="559" t="s">
        <v>770</v>
      </c>
      <c r="G286" s="586"/>
      <c r="H286" s="541">
        <f t="shared" si="8"/>
        <v>112000</v>
      </c>
      <c r="I286" s="541">
        <f t="shared" si="7"/>
        <v>20160</v>
      </c>
      <c r="J286" s="541">
        <v>132160</v>
      </c>
      <c r="K286" s="813" t="s">
        <v>859</v>
      </c>
      <c r="L286" s="544" t="s">
        <v>58</v>
      </c>
      <c r="M286" s="536" t="s">
        <v>766</v>
      </c>
      <c r="N286" s="536"/>
      <c r="O286" s="536"/>
      <c r="P286" s="536"/>
      <c r="Q286" s="547"/>
      <c r="R286" s="547"/>
      <c r="S286" s="548"/>
      <c r="T286" s="548"/>
      <c r="U286" s="548"/>
      <c r="V286" s="548"/>
      <c r="W286" s="548"/>
      <c r="X286" s="549"/>
    </row>
    <row r="287" spans="2:24" s="550" customFormat="1" ht="12.95" customHeight="1">
      <c r="C287" s="587" t="s">
        <v>630</v>
      </c>
      <c r="D287" s="537" t="s">
        <v>768</v>
      </c>
      <c r="E287" s="538"/>
      <c r="F287" s="559" t="s">
        <v>771</v>
      </c>
      <c r="G287" s="586"/>
      <c r="H287" s="541">
        <f t="shared" si="8"/>
        <v>68000</v>
      </c>
      <c r="I287" s="541">
        <f t="shared" si="7"/>
        <v>12240</v>
      </c>
      <c r="J287" s="541">
        <v>80240</v>
      </c>
      <c r="K287" s="813" t="s">
        <v>859</v>
      </c>
      <c r="L287" s="544" t="s">
        <v>58</v>
      </c>
      <c r="M287" s="536" t="s">
        <v>766</v>
      </c>
      <c r="N287" s="536"/>
      <c r="O287" s="536"/>
      <c r="P287" s="536"/>
      <c r="Q287" s="547"/>
      <c r="R287" s="547"/>
      <c r="S287" s="548"/>
      <c r="T287" s="548"/>
      <c r="U287" s="548"/>
      <c r="V287" s="548"/>
      <c r="W287" s="548"/>
      <c r="X287" s="549"/>
    </row>
    <row r="288" spans="2:24" s="550" customFormat="1" ht="12.95" customHeight="1">
      <c r="C288" s="587" t="s">
        <v>723</v>
      </c>
      <c r="D288" s="537" t="s">
        <v>768</v>
      </c>
      <c r="E288" s="538"/>
      <c r="F288" s="559" t="s">
        <v>772</v>
      </c>
      <c r="G288" s="586"/>
      <c r="H288" s="541">
        <f t="shared" si="8"/>
        <v>23450</v>
      </c>
      <c r="I288" s="541">
        <f t="shared" si="7"/>
        <v>4221</v>
      </c>
      <c r="J288" s="541">
        <v>27671</v>
      </c>
      <c r="K288" s="813" t="s">
        <v>859</v>
      </c>
      <c r="L288" s="544" t="s">
        <v>58</v>
      </c>
      <c r="M288" s="536" t="s">
        <v>766</v>
      </c>
      <c r="N288" s="536"/>
      <c r="O288" s="536"/>
      <c r="P288" s="536"/>
      <c r="Q288" s="547"/>
      <c r="R288" s="547"/>
      <c r="S288" s="548"/>
      <c r="T288" s="548"/>
      <c r="U288" s="548"/>
      <c r="V288" s="548"/>
      <c r="W288" s="548"/>
      <c r="X288" s="549"/>
    </row>
    <row r="289" spans="3:24" s="550" customFormat="1" ht="12.95" customHeight="1">
      <c r="C289" s="587" t="s">
        <v>773</v>
      </c>
      <c r="D289" s="537" t="s">
        <v>768</v>
      </c>
      <c r="E289" s="538"/>
      <c r="F289" s="559" t="s">
        <v>774</v>
      </c>
      <c r="G289" s="586"/>
      <c r="H289" s="541">
        <f t="shared" si="8"/>
        <v>170000</v>
      </c>
      <c r="I289" s="541">
        <f t="shared" si="7"/>
        <v>30600</v>
      </c>
      <c r="J289" s="541">
        <v>200600</v>
      </c>
      <c r="K289" s="813" t="s">
        <v>856</v>
      </c>
      <c r="L289" s="544" t="s">
        <v>58</v>
      </c>
      <c r="M289" s="536" t="s">
        <v>766</v>
      </c>
      <c r="N289" s="536"/>
      <c r="O289" s="536"/>
      <c r="P289" s="536"/>
      <c r="Q289" s="547"/>
      <c r="R289" s="547"/>
      <c r="S289" s="548"/>
      <c r="T289" s="548"/>
      <c r="U289" s="548"/>
      <c r="V289" s="548"/>
      <c r="W289" s="548"/>
      <c r="X289" s="549"/>
    </row>
    <row r="290" spans="3:24" s="550" customFormat="1" ht="12.95" customHeight="1">
      <c r="C290" s="587" t="s">
        <v>775</v>
      </c>
      <c r="D290" s="537" t="s">
        <v>776</v>
      </c>
      <c r="E290" s="538"/>
      <c r="F290" s="592" t="s">
        <v>777</v>
      </c>
      <c r="G290" s="586"/>
      <c r="H290" s="541">
        <f t="shared" ref="H290:H297" si="9">J290/1.28</f>
        <v>186400</v>
      </c>
      <c r="I290" s="541">
        <f t="shared" ref="I290:I297" si="10">H290*28%</f>
        <v>52192.000000000007</v>
      </c>
      <c r="J290" s="541">
        <v>238592</v>
      </c>
      <c r="K290" s="813" t="s">
        <v>514</v>
      </c>
      <c r="L290" s="544" t="s">
        <v>54</v>
      </c>
      <c r="M290" s="536" t="s">
        <v>766</v>
      </c>
      <c r="N290" s="536"/>
      <c r="O290" s="536"/>
      <c r="P290" s="536"/>
      <c r="Q290" s="547"/>
      <c r="R290" s="547"/>
      <c r="S290" s="548"/>
      <c r="T290" s="548"/>
      <c r="U290" s="548"/>
      <c r="V290" s="548"/>
      <c r="W290" s="548"/>
      <c r="X290" s="549"/>
    </row>
    <row r="291" spans="3:24" s="550" customFormat="1" ht="12.95" customHeight="1">
      <c r="C291" s="587" t="s">
        <v>775</v>
      </c>
      <c r="D291" s="537" t="s">
        <v>776</v>
      </c>
      <c r="E291" s="538"/>
      <c r="F291" s="592" t="s">
        <v>778</v>
      </c>
      <c r="G291" s="586"/>
      <c r="H291" s="541">
        <f t="shared" si="9"/>
        <v>46600</v>
      </c>
      <c r="I291" s="541">
        <f t="shared" si="10"/>
        <v>13048.000000000002</v>
      </c>
      <c r="J291" s="541">
        <v>59648</v>
      </c>
      <c r="K291" s="813" t="s">
        <v>519</v>
      </c>
      <c r="L291" s="544" t="s">
        <v>54</v>
      </c>
      <c r="M291" s="536" t="s">
        <v>766</v>
      </c>
      <c r="N291" s="536"/>
      <c r="O291" s="536"/>
      <c r="P291" s="536"/>
      <c r="Q291" s="547"/>
      <c r="R291" s="547"/>
      <c r="S291" s="548"/>
      <c r="T291" s="548"/>
      <c r="U291" s="548"/>
      <c r="V291" s="548"/>
      <c r="W291" s="548"/>
      <c r="X291" s="549"/>
    </row>
    <row r="292" spans="3:24" s="550" customFormat="1" ht="12.95" customHeight="1">
      <c r="C292" s="587" t="s">
        <v>775</v>
      </c>
      <c r="D292" s="537" t="s">
        <v>776</v>
      </c>
      <c r="E292" s="538"/>
      <c r="F292" s="592" t="s">
        <v>779</v>
      </c>
      <c r="G292" s="586"/>
      <c r="H292" s="541">
        <f t="shared" si="9"/>
        <v>46600</v>
      </c>
      <c r="I292" s="541">
        <f t="shared" si="10"/>
        <v>13048.000000000002</v>
      </c>
      <c r="J292" s="541">
        <v>59648</v>
      </c>
      <c r="K292" s="813" t="s">
        <v>500</v>
      </c>
      <c r="L292" s="544" t="s">
        <v>54</v>
      </c>
      <c r="M292" s="536" t="s">
        <v>766</v>
      </c>
      <c r="N292" s="536"/>
      <c r="O292" s="536"/>
      <c r="P292" s="536"/>
      <c r="Q292" s="547"/>
      <c r="R292" s="547"/>
      <c r="S292" s="548"/>
      <c r="T292" s="548"/>
      <c r="U292" s="548"/>
      <c r="V292" s="548"/>
      <c r="W292" s="548"/>
      <c r="X292" s="549"/>
    </row>
    <row r="293" spans="3:24" s="550" customFormat="1" ht="12.95" customHeight="1">
      <c r="C293" s="587" t="s">
        <v>775</v>
      </c>
      <c r="D293" s="537" t="s">
        <v>776</v>
      </c>
      <c r="E293" s="538"/>
      <c r="F293" s="592" t="s">
        <v>780</v>
      </c>
      <c r="G293" s="586"/>
      <c r="H293" s="541">
        <f t="shared" si="9"/>
        <v>46600</v>
      </c>
      <c r="I293" s="541">
        <f t="shared" si="10"/>
        <v>13048.000000000002</v>
      </c>
      <c r="J293" s="541">
        <v>59648</v>
      </c>
      <c r="K293" s="813" t="s">
        <v>519</v>
      </c>
      <c r="L293" s="544" t="s">
        <v>54</v>
      </c>
      <c r="M293" s="536" t="s">
        <v>766</v>
      </c>
      <c r="N293" s="536"/>
      <c r="O293" s="536"/>
      <c r="P293" s="536"/>
      <c r="Q293" s="547"/>
      <c r="R293" s="547"/>
      <c r="S293" s="548"/>
      <c r="T293" s="548"/>
      <c r="U293" s="548"/>
      <c r="V293" s="548"/>
      <c r="W293" s="548"/>
      <c r="X293" s="549"/>
    </row>
    <row r="294" spans="3:24" s="550" customFormat="1" ht="12.95" customHeight="1">
      <c r="C294" s="587" t="s">
        <v>775</v>
      </c>
      <c r="D294" s="537" t="s">
        <v>776</v>
      </c>
      <c r="E294" s="538"/>
      <c r="F294" s="592" t="s">
        <v>781</v>
      </c>
      <c r="G294" s="586"/>
      <c r="H294" s="541">
        <f t="shared" si="9"/>
        <v>46600</v>
      </c>
      <c r="I294" s="541">
        <f t="shared" si="10"/>
        <v>13048.000000000002</v>
      </c>
      <c r="J294" s="541">
        <v>59648</v>
      </c>
      <c r="K294" s="814" t="s">
        <v>504</v>
      </c>
      <c r="L294" s="544" t="s">
        <v>54</v>
      </c>
      <c r="M294" s="536" t="s">
        <v>766</v>
      </c>
      <c r="N294" s="536"/>
      <c r="O294" s="536"/>
      <c r="P294" s="536"/>
      <c r="Q294" s="547"/>
      <c r="R294" s="547"/>
      <c r="S294" s="548"/>
      <c r="T294" s="548"/>
      <c r="U294" s="548"/>
      <c r="V294" s="548"/>
      <c r="W294" s="548"/>
      <c r="X294" s="549"/>
    </row>
    <row r="295" spans="3:24" s="550" customFormat="1" ht="12.95" customHeight="1">
      <c r="C295" s="587" t="s">
        <v>775</v>
      </c>
      <c r="D295" s="537" t="s">
        <v>776</v>
      </c>
      <c r="E295" s="538"/>
      <c r="F295" s="592" t="s">
        <v>782</v>
      </c>
      <c r="G295" s="586"/>
      <c r="H295" s="541">
        <f t="shared" si="9"/>
        <v>93200</v>
      </c>
      <c r="I295" s="541">
        <f t="shared" si="10"/>
        <v>26096.000000000004</v>
      </c>
      <c r="J295" s="541">
        <v>119296</v>
      </c>
      <c r="K295" s="813" t="s">
        <v>356</v>
      </c>
      <c r="L295" s="544" t="s">
        <v>54</v>
      </c>
      <c r="M295" s="536" t="s">
        <v>766</v>
      </c>
      <c r="N295" s="536"/>
      <c r="O295" s="536"/>
      <c r="P295" s="536"/>
      <c r="Q295" s="547"/>
      <c r="R295" s="547"/>
      <c r="S295" s="548"/>
      <c r="T295" s="548"/>
      <c r="U295" s="548"/>
      <c r="V295" s="548"/>
      <c r="W295" s="548"/>
      <c r="X295" s="549"/>
    </row>
    <row r="296" spans="3:24" s="550" customFormat="1" ht="12.95" customHeight="1">
      <c r="C296" s="587" t="s">
        <v>775</v>
      </c>
      <c r="D296" s="537" t="s">
        <v>776</v>
      </c>
      <c r="E296" s="538"/>
      <c r="F296" s="592" t="s">
        <v>783</v>
      </c>
      <c r="G296" s="586"/>
      <c r="H296" s="541">
        <f t="shared" si="9"/>
        <v>139800</v>
      </c>
      <c r="I296" s="541">
        <f t="shared" si="10"/>
        <v>39144.000000000007</v>
      </c>
      <c r="J296" s="541">
        <v>178944</v>
      </c>
      <c r="K296" s="813" t="s">
        <v>510</v>
      </c>
      <c r="L296" s="544" t="s">
        <v>54</v>
      </c>
      <c r="M296" s="536" t="s">
        <v>766</v>
      </c>
      <c r="N296" s="536"/>
      <c r="O296" s="536"/>
      <c r="P296" s="536"/>
      <c r="Q296" s="547"/>
      <c r="R296" s="547"/>
      <c r="S296" s="548"/>
      <c r="T296" s="548"/>
      <c r="U296" s="548"/>
      <c r="V296" s="548"/>
      <c r="W296" s="548"/>
      <c r="X296" s="549"/>
    </row>
    <row r="297" spans="3:24" s="550" customFormat="1" ht="12.95" customHeight="1">
      <c r="C297" s="587" t="s">
        <v>775</v>
      </c>
      <c r="D297" s="537" t="s">
        <v>776</v>
      </c>
      <c r="E297" s="538"/>
      <c r="F297" s="592" t="s">
        <v>784</v>
      </c>
      <c r="G297" s="586"/>
      <c r="H297" s="541">
        <f t="shared" si="9"/>
        <v>50600</v>
      </c>
      <c r="I297" s="541">
        <f t="shared" si="10"/>
        <v>14168.000000000002</v>
      </c>
      <c r="J297" s="541">
        <v>64768</v>
      </c>
      <c r="K297" s="813" t="s">
        <v>215</v>
      </c>
      <c r="L297" s="544" t="s">
        <v>54</v>
      </c>
      <c r="M297" s="536" t="s">
        <v>766</v>
      </c>
      <c r="N297" s="536"/>
      <c r="O297" s="536"/>
      <c r="P297" s="536"/>
      <c r="Q297" s="547"/>
      <c r="R297" s="547"/>
      <c r="S297" s="548"/>
      <c r="T297" s="548"/>
      <c r="U297" s="548"/>
      <c r="V297" s="548"/>
      <c r="W297" s="548"/>
      <c r="X297" s="549"/>
    </row>
    <row r="298" spans="3:24" s="550" customFormat="1" ht="12.95" customHeight="1">
      <c r="C298" s="587" t="s">
        <v>751</v>
      </c>
      <c r="D298" s="537" t="s">
        <v>776</v>
      </c>
      <c r="E298" s="538"/>
      <c r="F298" s="559" t="s">
        <v>785</v>
      </c>
      <c r="G298" s="586"/>
      <c r="H298" s="541">
        <f>J298/1.18</f>
        <v>291333.3389830509</v>
      </c>
      <c r="I298" s="541">
        <f>H298*18%</f>
        <v>52440.001016949158</v>
      </c>
      <c r="J298" s="541">
        <v>343773.34</v>
      </c>
      <c r="K298" s="813" t="s">
        <v>505</v>
      </c>
      <c r="L298" s="544" t="s">
        <v>47</v>
      </c>
      <c r="M298" s="536" t="s">
        <v>766</v>
      </c>
      <c r="N298" s="536"/>
      <c r="O298" s="536"/>
      <c r="P298" s="536"/>
      <c r="Q298" s="547"/>
      <c r="R298" s="547"/>
      <c r="S298" s="548"/>
      <c r="T298" s="548"/>
      <c r="U298" s="548"/>
      <c r="V298" s="548"/>
      <c r="W298" s="548"/>
      <c r="X298" s="549"/>
    </row>
    <row r="299" spans="3:24" s="550" customFormat="1" ht="12.95" customHeight="1">
      <c r="C299" s="587" t="s">
        <v>775</v>
      </c>
      <c r="D299" s="537" t="s">
        <v>776</v>
      </c>
      <c r="E299" s="538"/>
      <c r="F299" s="592" t="s">
        <v>786</v>
      </c>
      <c r="G299" s="586"/>
      <c r="H299" s="541">
        <f>J299/1.28</f>
        <v>93200</v>
      </c>
      <c r="I299" s="541">
        <f>H299*28%</f>
        <v>26096.000000000004</v>
      </c>
      <c r="J299" s="541">
        <v>119296</v>
      </c>
      <c r="K299" s="812" t="s">
        <v>503</v>
      </c>
      <c r="L299" s="544" t="s">
        <v>54</v>
      </c>
      <c r="M299" s="536" t="s">
        <v>766</v>
      </c>
      <c r="N299" s="536"/>
      <c r="O299" s="536"/>
      <c r="P299" s="536"/>
      <c r="Q299" s="547"/>
      <c r="R299" s="547"/>
      <c r="S299" s="548"/>
      <c r="T299" s="548"/>
      <c r="U299" s="548"/>
      <c r="V299" s="548"/>
      <c r="W299" s="548"/>
      <c r="X299" s="549"/>
    </row>
    <row r="300" spans="3:24" s="550" customFormat="1" ht="12.95" customHeight="1">
      <c r="C300" s="587" t="s">
        <v>751</v>
      </c>
      <c r="D300" s="537" t="s">
        <v>776</v>
      </c>
      <c r="E300" s="538"/>
      <c r="F300" s="559" t="s">
        <v>787</v>
      </c>
      <c r="G300" s="586"/>
      <c r="H300" s="541">
        <f t="shared" ref="H300:H309" si="11">J300/1.18</f>
        <v>660833.3389830509</v>
      </c>
      <c r="I300" s="541">
        <f t="shared" ref="I300:I309" si="12">H300*18%</f>
        <v>118950.00101694916</v>
      </c>
      <c r="J300" s="541">
        <v>779783.34</v>
      </c>
      <c r="K300" s="813" t="s">
        <v>518</v>
      </c>
      <c r="L300" s="544" t="s">
        <v>47</v>
      </c>
      <c r="M300" s="536" t="s">
        <v>766</v>
      </c>
      <c r="N300" s="536"/>
      <c r="O300" s="536"/>
      <c r="P300" s="536"/>
      <c r="Q300" s="547"/>
      <c r="R300" s="547"/>
      <c r="S300" s="548"/>
      <c r="T300" s="548"/>
      <c r="U300" s="548"/>
      <c r="V300" s="548"/>
      <c r="W300" s="548"/>
      <c r="X300" s="549"/>
    </row>
    <row r="301" spans="3:24" s="550" customFormat="1" ht="12.95" customHeight="1">
      <c r="C301" s="587" t="s">
        <v>735</v>
      </c>
      <c r="D301" s="632" t="s">
        <v>776</v>
      </c>
      <c r="E301" s="585"/>
      <c r="F301" s="630" t="s">
        <v>788</v>
      </c>
      <c r="G301" s="586"/>
      <c r="H301" s="541">
        <f t="shared" si="11"/>
        <v>118050</v>
      </c>
      <c r="I301" s="541">
        <f t="shared" si="12"/>
        <v>21249</v>
      </c>
      <c r="J301" s="541">
        <v>139299</v>
      </c>
      <c r="K301" s="818" t="s">
        <v>503</v>
      </c>
      <c r="L301" s="557" t="s">
        <v>31</v>
      </c>
      <c r="M301" s="587" t="s">
        <v>766</v>
      </c>
      <c r="N301" s="631"/>
      <c r="O301" s="536"/>
      <c r="P301" s="536"/>
      <c r="Q301" s="547"/>
      <c r="R301" s="547"/>
      <c r="S301" s="548"/>
      <c r="T301" s="548"/>
      <c r="U301" s="548"/>
      <c r="V301" s="548"/>
      <c r="W301" s="548"/>
      <c r="X301" s="549"/>
    </row>
    <row r="302" spans="3:24" s="550" customFormat="1" ht="12.95" customHeight="1">
      <c r="C302" s="587" t="s">
        <v>735</v>
      </c>
      <c r="D302" s="537" t="s">
        <v>776</v>
      </c>
      <c r="E302" s="538"/>
      <c r="F302" s="559" t="s">
        <v>789</v>
      </c>
      <c r="G302" s="586"/>
      <c r="H302" s="541">
        <f t="shared" si="11"/>
        <v>415944</v>
      </c>
      <c r="I302" s="541">
        <f t="shared" si="12"/>
        <v>74869.919999999998</v>
      </c>
      <c r="J302" s="541">
        <v>490813.92</v>
      </c>
      <c r="K302" s="812" t="s">
        <v>503</v>
      </c>
      <c r="L302" s="544" t="s">
        <v>35</v>
      </c>
      <c r="M302" s="536" t="s">
        <v>766</v>
      </c>
      <c r="N302" s="536"/>
      <c r="O302" s="536"/>
      <c r="P302" s="536"/>
      <c r="Q302" s="547"/>
      <c r="R302" s="547"/>
      <c r="S302" s="548"/>
      <c r="T302" s="548"/>
      <c r="U302" s="548"/>
      <c r="V302" s="548"/>
      <c r="W302" s="548"/>
      <c r="X302" s="549"/>
    </row>
    <row r="303" spans="3:24" s="550" customFormat="1" ht="12.95" customHeight="1">
      <c r="C303" s="587" t="s">
        <v>735</v>
      </c>
      <c r="D303" s="537" t="s">
        <v>776</v>
      </c>
      <c r="E303" s="538"/>
      <c r="F303" s="559" t="s">
        <v>790</v>
      </c>
      <c r="G303" s="586"/>
      <c r="H303" s="541">
        <f t="shared" si="11"/>
        <v>79650</v>
      </c>
      <c r="I303" s="541">
        <f t="shared" si="12"/>
        <v>14337</v>
      </c>
      <c r="J303" s="541">
        <v>93987</v>
      </c>
      <c r="K303" s="812" t="s">
        <v>503</v>
      </c>
      <c r="L303" s="544" t="s">
        <v>601</v>
      </c>
      <c r="M303" s="536" t="s">
        <v>766</v>
      </c>
      <c r="N303" s="536"/>
      <c r="O303" s="536"/>
      <c r="P303" s="536"/>
      <c r="Q303" s="547"/>
      <c r="R303" s="547"/>
      <c r="S303" s="548"/>
      <c r="T303" s="548"/>
      <c r="U303" s="548"/>
      <c r="V303" s="548"/>
      <c r="W303" s="548"/>
      <c r="X303" s="549"/>
    </row>
    <row r="304" spans="3:24" s="550" customFormat="1" ht="12.95" customHeight="1">
      <c r="C304" s="587" t="s">
        <v>653</v>
      </c>
      <c r="D304" s="537" t="s">
        <v>776</v>
      </c>
      <c r="E304" s="538"/>
      <c r="F304" s="817" t="s">
        <v>791</v>
      </c>
      <c r="G304" s="586"/>
      <c r="H304" s="541">
        <f>J304/1.18*0</f>
        <v>0</v>
      </c>
      <c r="I304" s="541">
        <f t="shared" si="12"/>
        <v>0</v>
      </c>
      <c r="J304" s="541">
        <f>62540*0</f>
        <v>0</v>
      </c>
      <c r="K304" s="813" t="s">
        <v>215</v>
      </c>
      <c r="L304" s="544" t="s">
        <v>58</v>
      </c>
      <c r="M304" s="536" t="s">
        <v>863</v>
      </c>
      <c r="N304" s="536"/>
      <c r="O304" s="536"/>
      <c r="P304" s="536"/>
      <c r="Q304" s="547"/>
      <c r="R304" s="547"/>
      <c r="S304" s="548"/>
      <c r="T304" s="548"/>
      <c r="U304" s="548"/>
      <c r="V304" s="548"/>
      <c r="W304" s="548"/>
      <c r="X304" s="549"/>
    </row>
    <row r="305" spans="2:24" s="550" customFormat="1" ht="12.95" customHeight="1">
      <c r="C305" s="587" t="s">
        <v>735</v>
      </c>
      <c r="D305" s="537" t="s">
        <v>776</v>
      </c>
      <c r="E305" s="538"/>
      <c r="F305" s="559" t="s">
        <v>792</v>
      </c>
      <c r="G305" s="586"/>
      <c r="H305" s="541">
        <f t="shared" si="11"/>
        <v>165719.00000000003</v>
      </c>
      <c r="I305" s="541">
        <f t="shared" si="12"/>
        <v>29829.420000000006</v>
      </c>
      <c r="J305" s="541">
        <v>195548.42</v>
      </c>
      <c r="K305" s="812" t="s">
        <v>503</v>
      </c>
      <c r="L305" s="544" t="s">
        <v>36</v>
      </c>
      <c r="M305" s="536" t="s">
        <v>766</v>
      </c>
      <c r="N305" s="536"/>
      <c r="O305" s="536"/>
      <c r="P305" s="536"/>
      <c r="Q305" s="547"/>
      <c r="R305" s="547"/>
      <c r="S305" s="548"/>
      <c r="T305" s="548"/>
      <c r="U305" s="548"/>
      <c r="V305" s="548"/>
      <c r="W305" s="548"/>
      <c r="X305" s="549"/>
    </row>
    <row r="306" spans="2:24" s="550" customFormat="1" ht="12.95" customHeight="1">
      <c r="C306" s="587" t="s">
        <v>735</v>
      </c>
      <c r="D306" s="537" t="s">
        <v>776</v>
      </c>
      <c r="E306" s="538"/>
      <c r="F306" s="559" t="s">
        <v>793</v>
      </c>
      <c r="G306" s="586"/>
      <c r="H306" s="541">
        <f t="shared" si="11"/>
        <v>1466965</v>
      </c>
      <c r="I306" s="541">
        <f t="shared" si="12"/>
        <v>264053.7</v>
      </c>
      <c r="J306" s="541">
        <v>1731018.7</v>
      </c>
      <c r="K306" s="812" t="s">
        <v>503</v>
      </c>
      <c r="L306" s="544" t="s">
        <v>596</v>
      </c>
      <c r="M306" s="536" t="s">
        <v>766</v>
      </c>
      <c r="N306" s="536"/>
      <c r="O306" s="536"/>
      <c r="P306" s="536"/>
      <c r="Q306" s="547"/>
      <c r="R306" s="547"/>
      <c r="S306" s="548"/>
      <c r="T306" s="548"/>
      <c r="U306" s="548"/>
      <c r="V306" s="548"/>
      <c r="W306" s="548"/>
      <c r="X306" s="549"/>
    </row>
    <row r="307" spans="2:24" s="550" customFormat="1" ht="12.95" customHeight="1">
      <c r="C307" s="587" t="s">
        <v>794</v>
      </c>
      <c r="D307" s="537" t="s">
        <v>776</v>
      </c>
      <c r="E307" s="538"/>
      <c r="F307" s="559" t="s">
        <v>795</v>
      </c>
      <c r="G307" s="586"/>
      <c r="H307" s="541">
        <f t="shared" si="11"/>
        <v>88200</v>
      </c>
      <c r="I307" s="541">
        <f t="shared" si="12"/>
        <v>15876</v>
      </c>
      <c r="J307" s="541">
        <v>104076</v>
      </c>
      <c r="K307" s="813" t="s">
        <v>510</v>
      </c>
      <c r="L307" s="544" t="s">
        <v>58</v>
      </c>
      <c r="M307" s="536" t="s">
        <v>766</v>
      </c>
      <c r="N307" s="536"/>
      <c r="O307" s="536"/>
      <c r="P307" s="536"/>
      <c r="Q307" s="547"/>
      <c r="R307" s="547"/>
      <c r="S307" s="548"/>
      <c r="T307" s="548"/>
      <c r="U307" s="548"/>
      <c r="V307" s="548"/>
      <c r="W307" s="548"/>
      <c r="X307" s="549"/>
    </row>
    <row r="308" spans="2:24" s="550" customFormat="1" ht="12.95" customHeight="1">
      <c r="C308" s="587" t="s">
        <v>794</v>
      </c>
      <c r="D308" s="537" t="s">
        <v>776</v>
      </c>
      <c r="E308" s="538"/>
      <c r="F308" s="559" t="s">
        <v>796</v>
      </c>
      <c r="G308" s="586"/>
      <c r="H308" s="541">
        <f t="shared" si="11"/>
        <v>69500</v>
      </c>
      <c r="I308" s="541">
        <f t="shared" si="12"/>
        <v>12510</v>
      </c>
      <c r="J308" s="541">
        <v>82010</v>
      </c>
      <c r="K308" s="813" t="s">
        <v>510</v>
      </c>
      <c r="L308" s="544" t="s">
        <v>58</v>
      </c>
      <c r="M308" s="536" t="s">
        <v>766</v>
      </c>
      <c r="N308" s="536"/>
      <c r="O308" s="536"/>
      <c r="P308" s="536"/>
      <c r="Q308" s="547"/>
      <c r="R308" s="547"/>
      <c r="S308" s="548"/>
      <c r="T308" s="548"/>
      <c r="U308" s="548"/>
      <c r="V308" s="548"/>
      <c r="W308" s="548"/>
      <c r="X308" s="549"/>
    </row>
    <row r="309" spans="2:24" s="550" customFormat="1" ht="12.95" customHeight="1">
      <c r="C309" s="587" t="s">
        <v>794</v>
      </c>
      <c r="D309" s="537" t="s">
        <v>776</v>
      </c>
      <c r="E309" s="538"/>
      <c r="F309" s="559" t="s">
        <v>797</v>
      </c>
      <c r="G309" s="586"/>
      <c r="H309" s="541">
        <f t="shared" si="11"/>
        <v>216150</v>
      </c>
      <c r="I309" s="541">
        <f t="shared" si="12"/>
        <v>38907</v>
      </c>
      <c r="J309" s="541">
        <v>255057</v>
      </c>
      <c r="K309" s="813" t="s">
        <v>856</v>
      </c>
      <c r="L309" s="544" t="s">
        <v>58</v>
      </c>
      <c r="M309" s="536" t="s">
        <v>766</v>
      </c>
      <c r="N309" s="536"/>
      <c r="O309" s="536"/>
      <c r="P309" s="536"/>
      <c r="Q309" s="547"/>
      <c r="R309" s="547"/>
      <c r="S309" s="548"/>
      <c r="T309" s="548"/>
      <c r="U309" s="548"/>
      <c r="V309" s="548"/>
      <c r="W309" s="548"/>
      <c r="X309" s="549"/>
    </row>
    <row r="310" spans="2:24" s="550" customFormat="1" ht="12.95" customHeight="1">
      <c r="C310" s="587" t="s">
        <v>775</v>
      </c>
      <c r="D310" s="537" t="s">
        <v>776</v>
      </c>
      <c r="E310" s="538"/>
      <c r="F310" s="592" t="s">
        <v>798</v>
      </c>
      <c r="G310" s="586"/>
      <c r="H310" s="541">
        <f>J310/1.28</f>
        <v>101200</v>
      </c>
      <c r="I310" s="541">
        <f>H310*28%</f>
        <v>28336.000000000004</v>
      </c>
      <c r="J310" s="541">
        <v>129536</v>
      </c>
      <c r="K310" s="813" t="s">
        <v>356</v>
      </c>
      <c r="L310" s="544" t="s">
        <v>54</v>
      </c>
      <c r="M310" s="536" t="s">
        <v>766</v>
      </c>
      <c r="N310" s="536"/>
      <c r="O310" s="536"/>
      <c r="P310" s="536"/>
      <c r="Q310" s="547"/>
      <c r="R310" s="547"/>
      <c r="S310" s="548"/>
      <c r="T310" s="548"/>
      <c r="U310" s="548"/>
      <c r="V310" s="548"/>
      <c r="W310" s="548"/>
      <c r="X310" s="549"/>
    </row>
    <row r="311" spans="2:24" s="550" customFormat="1" ht="12.95" customHeight="1">
      <c r="C311" s="587" t="s">
        <v>775</v>
      </c>
      <c r="D311" s="537" t="s">
        <v>776</v>
      </c>
      <c r="E311" s="538"/>
      <c r="F311" s="817" t="s">
        <v>799</v>
      </c>
      <c r="G311" s="586"/>
      <c r="H311" s="541">
        <f>J311/1.18</f>
        <v>0</v>
      </c>
      <c r="I311" s="541">
        <f>H311*18%</f>
        <v>0</v>
      </c>
      <c r="J311" s="541">
        <f>130508*0</f>
        <v>0</v>
      </c>
      <c r="K311" s="813" t="s">
        <v>505</v>
      </c>
      <c r="L311" s="544" t="s">
        <v>54</v>
      </c>
      <c r="M311" s="536" t="s">
        <v>863</v>
      </c>
      <c r="N311" s="536"/>
      <c r="O311" s="536"/>
      <c r="P311" s="536"/>
      <c r="Q311" s="547"/>
      <c r="R311" s="547"/>
      <c r="S311" s="548"/>
      <c r="T311" s="548"/>
      <c r="U311" s="548"/>
      <c r="V311" s="548"/>
      <c r="W311" s="548"/>
      <c r="X311" s="549"/>
    </row>
    <row r="312" spans="2:24" s="550" customFormat="1" ht="12.95" customHeight="1">
      <c r="C312" s="587" t="s">
        <v>775</v>
      </c>
      <c r="D312" s="537" t="s">
        <v>776</v>
      </c>
      <c r="E312" s="538"/>
      <c r="F312" s="817" t="s">
        <v>800</v>
      </c>
      <c r="G312" s="586"/>
      <c r="H312" s="541">
        <f>J312/1.18</f>
        <v>0</v>
      </c>
      <c r="I312" s="541">
        <f>H312*18%</f>
        <v>0</v>
      </c>
      <c r="J312" s="541">
        <f>130508*0</f>
        <v>0</v>
      </c>
      <c r="K312" s="813" t="s">
        <v>505</v>
      </c>
      <c r="L312" s="544" t="s">
        <v>54</v>
      </c>
      <c r="M312" s="536" t="s">
        <v>863</v>
      </c>
      <c r="N312" s="536"/>
      <c r="O312" s="536"/>
      <c r="P312" s="536"/>
      <c r="Q312" s="547"/>
      <c r="R312" s="547"/>
      <c r="S312" s="548"/>
      <c r="T312" s="548"/>
      <c r="U312" s="548"/>
      <c r="V312" s="548"/>
      <c r="W312" s="548"/>
      <c r="X312" s="549"/>
    </row>
    <row r="313" spans="2:24" s="550" customFormat="1" ht="12.95" customHeight="1">
      <c r="C313" s="587" t="s">
        <v>775</v>
      </c>
      <c r="D313" s="537" t="s">
        <v>776</v>
      </c>
      <c r="E313" s="538"/>
      <c r="F313" s="592" t="s">
        <v>801</v>
      </c>
      <c r="G313" s="586"/>
      <c r="H313" s="541">
        <f>J313/1.28</f>
        <v>278300</v>
      </c>
      <c r="I313" s="541">
        <f>H313*28%</f>
        <v>77924.000000000015</v>
      </c>
      <c r="J313" s="541">
        <v>356224</v>
      </c>
      <c r="K313" s="812" t="s">
        <v>509</v>
      </c>
      <c r="L313" s="544" t="s">
        <v>54</v>
      </c>
      <c r="M313" s="536" t="s">
        <v>766</v>
      </c>
      <c r="N313" s="536"/>
      <c r="O313" s="536"/>
      <c r="P313" s="536"/>
      <c r="Q313" s="547"/>
      <c r="R313" s="547"/>
      <c r="S313" s="548"/>
      <c r="T313" s="548"/>
      <c r="U313" s="548"/>
      <c r="V313" s="548"/>
      <c r="W313" s="548"/>
      <c r="X313" s="549"/>
    </row>
    <row r="314" spans="2:24" s="550" customFormat="1" ht="12.95" customHeight="1">
      <c r="C314" s="587" t="s">
        <v>775</v>
      </c>
      <c r="D314" s="537" t="s">
        <v>776</v>
      </c>
      <c r="E314" s="538"/>
      <c r="F314" s="592" t="s">
        <v>802</v>
      </c>
      <c r="G314" s="586"/>
      <c r="H314" s="541">
        <f>J314/1.18</f>
        <v>63200</v>
      </c>
      <c r="I314" s="541">
        <f>H314*18%</f>
        <v>11376</v>
      </c>
      <c r="J314" s="541">
        <v>74576</v>
      </c>
      <c r="K314" s="813" t="s">
        <v>515</v>
      </c>
      <c r="L314" s="544" t="s">
        <v>54</v>
      </c>
      <c r="M314" s="536" t="s">
        <v>766</v>
      </c>
      <c r="N314" s="536"/>
      <c r="O314" s="536"/>
      <c r="P314" s="536"/>
      <c r="Q314" s="547"/>
      <c r="R314" s="547"/>
      <c r="S314" s="548"/>
      <c r="T314" s="548"/>
      <c r="U314" s="548"/>
      <c r="V314" s="548"/>
      <c r="W314" s="548"/>
      <c r="X314" s="549"/>
    </row>
    <row r="315" spans="2:24" s="550" customFormat="1" ht="12.95" customHeight="1">
      <c r="C315" s="587" t="s">
        <v>775</v>
      </c>
      <c r="D315" s="537" t="s">
        <v>776</v>
      </c>
      <c r="E315" s="538"/>
      <c r="F315" s="592" t="s">
        <v>803</v>
      </c>
      <c r="G315" s="586"/>
      <c r="H315" s="541">
        <f>J315/1.18</f>
        <v>63200</v>
      </c>
      <c r="I315" s="541">
        <f>H315*18%</f>
        <v>11376</v>
      </c>
      <c r="J315" s="541">
        <v>74576</v>
      </c>
      <c r="K315" s="813" t="s">
        <v>516</v>
      </c>
      <c r="L315" s="544" t="s">
        <v>54</v>
      </c>
      <c r="M315" s="536" t="s">
        <v>766</v>
      </c>
      <c r="N315" s="536"/>
      <c r="O315" s="536"/>
      <c r="P315" s="536"/>
      <c r="Q315" s="547"/>
      <c r="R315" s="547"/>
      <c r="S315" s="548"/>
      <c r="T315" s="548"/>
      <c r="U315" s="548"/>
      <c r="V315" s="548"/>
      <c r="W315" s="548"/>
      <c r="X315" s="549"/>
    </row>
    <row r="316" spans="2:24" s="550" customFormat="1" ht="12.95" customHeight="1">
      <c r="C316" s="587" t="s">
        <v>732</v>
      </c>
      <c r="D316" s="537" t="s">
        <v>776</v>
      </c>
      <c r="E316" s="538"/>
      <c r="F316" s="559" t="s">
        <v>804</v>
      </c>
      <c r="G316" s="586"/>
      <c r="H316" s="541">
        <f t="shared" ref="H316:H332" si="13">J316/1.18</f>
        <v>44954.067796610172</v>
      </c>
      <c r="I316" s="541">
        <f t="shared" ref="I316:I379" si="14">H316*18%</f>
        <v>8091.7322033898308</v>
      </c>
      <c r="J316" s="541">
        <v>53045.8</v>
      </c>
      <c r="K316" s="813" t="s">
        <v>519</v>
      </c>
      <c r="L316" s="544" t="s">
        <v>58</v>
      </c>
      <c r="M316" s="536" t="s">
        <v>766</v>
      </c>
      <c r="N316" s="536"/>
      <c r="O316" s="536"/>
      <c r="P316" s="536"/>
      <c r="Q316" s="547"/>
      <c r="R316" s="547"/>
      <c r="S316" s="548"/>
      <c r="T316" s="548"/>
      <c r="U316" s="548"/>
      <c r="V316" s="548"/>
      <c r="W316" s="548"/>
      <c r="X316" s="549"/>
    </row>
    <row r="317" spans="2:24" s="589" customFormat="1" ht="12.95" customHeight="1">
      <c r="B317" s="550"/>
      <c r="C317" s="587" t="s">
        <v>616</v>
      </c>
      <c r="D317" s="632" t="s">
        <v>805</v>
      </c>
      <c r="E317" s="585"/>
      <c r="F317" s="630" t="s">
        <v>806</v>
      </c>
      <c r="G317" s="586"/>
      <c r="H317" s="541">
        <f t="shared" si="13"/>
        <v>18575</v>
      </c>
      <c r="I317" s="541">
        <f t="shared" si="14"/>
        <v>3343.5</v>
      </c>
      <c r="J317" s="541">
        <v>21918.5</v>
      </c>
      <c r="K317" s="813" t="s">
        <v>215</v>
      </c>
      <c r="L317" s="557" t="s">
        <v>31</v>
      </c>
      <c r="M317" s="587" t="s">
        <v>766</v>
      </c>
      <c r="N317" s="587"/>
      <c r="O317" s="587"/>
      <c r="P317" s="587"/>
      <c r="Q317" s="553"/>
      <c r="R317" s="553"/>
      <c r="S317" s="588"/>
      <c r="T317" s="588"/>
      <c r="U317" s="588"/>
      <c r="V317" s="588"/>
      <c r="W317" s="588"/>
      <c r="X317" s="549"/>
    </row>
    <row r="318" spans="2:24" s="589" customFormat="1" ht="12.95" customHeight="1">
      <c r="B318" s="550"/>
      <c r="C318" s="587" t="s">
        <v>616</v>
      </c>
      <c r="D318" s="632" t="s">
        <v>805</v>
      </c>
      <c r="E318" s="585"/>
      <c r="F318" s="630" t="s">
        <v>807</v>
      </c>
      <c r="G318" s="586"/>
      <c r="H318" s="541">
        <f t="shared" si="13"/>
        <v>56200</v>
      </c>
      <c r="I318" s="541">
        <f t="shared" si="14"/>
        <v>10116</v>
      </c>
      <c r="J318" s="541">
        <v>66316</v>
      </c>
      <c r="K318" s="813" t="s">
        <v>215</v>
      </c>
      <c r="L318" s="557" t="s">
        <v>601</v>
      </c>
      <c r="M318" s="587" t="s">
        <v>766</v>
      </c>
      <c r="N318" s="587"/>
      <c r="O318" s="587"/>
      <c r="P318" s="587"/>
      <c r="Q318" s="553"/>
      <c r="R318" s="553"/>
      <c r="S318" s="588"/>
      <c r="T318" s="588"/>
      <c r="U318" s="588"/>
      <c r="V318" s="588"/>
      <c r="W318" s="588"/>
      <c r="X318" s="549"/>
    </row>
    <row r="319" spans="2:24" s="589" customFormat="1" ht="12.95" customHeight="1">
      <c r="B319" s="550"/>
      <c r="C319" s="587" t="s">
        <v>616</v>
      </c>
      <c r="D319" s="632" t="s">
        <v>805</v>
      </c>
      <c r="E319" s="585"/>
      <c r="F319" s="630" t="s">
        <v>808</v>
      </c>
      <c r="G319" s="586"/>
      <c r="H319" s="541">
        <f t="shared" si="13"/>
        <v>62250</v>
      </c>
      <c r="I319" s="541">
        <f t="shared" si="14"/>
        <v>11205</v>
      </c>
      <c r="J319" s="541">
        <v>73455</v>
      </c>
      <c r="K319" s="813" t="s">
        <v>215</v>
      </c>
      <c r="L319" s="557" t="s">
        <v>31</v>
      </c>
      <c r="M319" s="587" t="s">
        <v>766</v>
      </c>
      <c r="N319" s="587"/>
      <c r="O319" s="587"/>
      <c r="P319" s="587"/>
      <c r="Q319" s="553"/>
      <c r="R319" s="553"/>
      <c r="S319" s="588"/>
      <c r="T319" s="588"/>
      <c r="U319" s="588"/>
      <c r="V319" s="588"/>
      <c r="W319" s="588"/>
      <c r="X319" s="549"/>
    </row>
    <row r="320" spans="2:24" s="550" customFormat="1" ht="12.95" customHeight="1">
      <c r="C320" s="587" t="s">
        <v>732</v>
      </c>
      <c r="D320" s="537" t="s">
        <v>805</v>
      </c>
      <c r="E320" s="538"/>
      <c r="F320" s="559" t="s">
        <v>809</v>
      </c>
      <c r="G320" s="586"/>
      <c r="H320" s="541">
        <f t="shared" si="13"/>
        <v>44954.067796610172</v>
      </c>
      <c r="I320" s="541">
        <f t="shared" si="14"/>
        <v>8091.7322033898308</v>
      </c>
      <c r="J320" s="541">
        <v>53045.8</v>
      </c>
      <c r="K320" s="813" t="s">
        <v>519</v>
      </c>
      <c r="L320" s="544" t="s">
        <v>58</v>
      </c>
      <c r="M320" s="536" t="s">
        <v>766</v>
      </c>
      <c r="N320" s="536"/>
      <c r="O320" s="536"/>
      <c r="P320" s="536"/>
      <c r="Q320" s="547"/>
      <c r="R320" s="547"/>
      <c r="S320" s="548"/>
      <c r="T320" s="548"/>
      <c r="U320" s="548"/>
      <c r="V320" s="548"/>
      <c r="W320" s="548"/>
      <c r="X320" s="549"/>
    </row>
    <row r="321" spans="3:24" s="550" customFormat="1" ht="12.95" customHeight="1">
      <c r="C321" s="587" t="s">
        <v>732</v>
      </c>
      <c r="D321" s="537" t="s">
        <v>810</v>
      </c>
      <c r="E321" s="538"/>
      <c r="F321" s="559" t="s">
        <v>811</v>
      </c>
      <c r="G321" s="586"/>
      <c r="H321" s="541">
        <f t="shared" si="13"/>
        <v>164734.01694915257</v>
      </c>
      <c r="I321" s="541">
        <f t="shared" si="14"/>
        <v>29652.123050847462</v>
      </c>
      <c r="J321" s="541">
        <v>194386.14</v>
      </c>
      <c r="K321" s="813" t="s">
        <v>500</v>
      </c>
      <c r="L321" s="544" t="s">
        <v>55</v>
      </c>
      <c r="M321" s="536" t="s">
        <v>766</v>
      </c>
      <c r="N321" s="536"/>
      <c r="O321" s="536"/>
      <c r="P321" s="536"/>
      <c r="Q321" s="547"/>
      <c r="R321" s="547"/>
      <c r="S321" s="548"/>
      <c r="T321" s="548"/>
      <c r="U321" s="548"/>
      <c r="V321" s="548"/>
      <c r="W321" s="548"/>
      <c r="X321" s="549"/>
    </row>
    <row r="322" spans="3:24" s="550" customFormat="1" ht="12.95" customHeight="1">
      <c r="C322" s="587" t="s">
        <v>812</v>
      </c>
      <c r="D322" s="537" t="s">
        <v>810</v>
      </c>
      <c r="E322" s="538"/>
      <c r="F322" s="559" t="s">
        <v>813</v>
      </c>
      <c r="G322" s="586"/>
      <c r="H322" s="541">
        <f t="shared" si="13"/>
        <v>8665.7627118644068</v>
      </c>
      <c r="I322" s="541">
        <f t="shared" si="14"/>
        <v>1559.8372881355931</v>
      </c>
      <c r="J322" s="541">
        <v>10225.6</v>
      </c>
      <c r="K322" s="813" t="s">
        <v>500</v>
      </c>
      <c r="L322" s="544" t="s">
        <v>55</v>
      </c>
      <c r="M322" s="536" t="s">
        <v>766</v>
      </c>
      <c r="N322" s="536"/>
      <c r="O322" s="536"/>
      <c r="P322" s="536"/>
      <c r="Q322" s="547"/>
      <c r="R322" s="547"/>
      <c r="S322" s="548"/>
      <c r="T322" s="548"/>
      <c r="U322" s="548"/>
      <c r="V322" s="548"/>
      <c r="W322" s="548"/>
      <c r="X322" s="549"/>
    </row>
    <row r="323" spans="3:24" s="550" customFormat="1" ht="12.95" customHeight="1">
      <c r="C323" s="587" t="s">
        <v>814</v>
      </c>
      <c r="D323" s="537" t="s">
        <v>810</v>
      </c>
      <c r="E323" s="538"/>
      <c r="F323" s="559" t="s">
        <v>815</v>
      </c>
      <c r="G323" s="586"/>
      <c r="H323" s="541">
        <f t="shared" si="13"/>
        <v>35728.47457627119</v>
      </c>
      <c r="I323" s="541">
        <f t="shared" si="14"/>
        <v>6431.125423728814</v>
      </c>
      <c r="J323" s="541">
        <v>42159.6</v>
      </c>
      <c r="K323" s="813" t="s">
        <v>500</v>
      </c>
      <c r="L323" s="544" t="s">
        <v>55</v>
      </c>
      <c r="M323" s="536" t="s">
        <v>766</v>
      </c>
      <c r="N323" s="536"/>
      <c r="O323" s="536"/>
      <c r="P323" s="536"/>
      <c r="Q323" s="547"/>
      <c r="R323" s="547"/>
      <c r="S323" s="548"/>
      <c r="T323" s="548"/>
      <c r="U323" s="548"/>
      <c r="V323" s="548"/>
      <c r="W323" s="548"/>
      <c r="X323" s="549"/>
    </row>
    <row r="324" spans="3:24" s="550" customFormat="1" ht="12.95" customHeight="1">
      <c r="C324" s="587" t="s">
        <v>816</v>
      </c>
      <c r="D324" s="537" t="s">
        <v>810</v>
      </c>
      <c r="E324" s="538"/>
      <c r="F324" s="559" t="s">
        <v>817</v>
      </c>
      <c r="G324" s="586"/>
      <c r="H324" s="541">
        <f t="shared" si="13"/>
        <v>251152.43220338985</v>
      </c>
      <c r="I324" s="541">
        <f t="shared" si="14"/>
        <v>45207.437796610175</v>
      </c>
      <c r="J324" s="541">
        <v>296359.87</v>
      </c>
      <c r="K324" s="813" t="s">
        <v>500</v>
      </c>
      <c r="L324" s="544" t="s">
        <v>55</v>
      </c>
      <c r="M324" s="536" t="s">
        <v>766</v>
      </c>
      <c r="N324" s="536"/>
      <c r="O324" s="536"/>
      <c r="P324" s="536"/>
      <c r="Q324" s="547"/>
      <c r="R324" s="547"/>
      <c r="S324" s="548"/>
      <c r="T324" s="548"/>
      <c r="U324" s="548"/>
      <c r="V324" s="548"/>
      <c r="W324" s="548"/>
      <c r="X324" s="549"/>
    </row>
    <row r="325" spans="3:24" s="550" customFormat="1" ht="12.95" customHeight="1">
      <c r="C325" s="587" t="s">
        <v>818</v>
      </c>
      <c r="D325" s="537" t="s">
        <v>810</v>
      </c>
      <c r="E325" s="538"/>
      <c r="F325" s="559" t="s">
        <v>819</v>
      </c>
      <c r="G325" s="586"/>
      <c r="H325" s="541">
        <f t="shared" si="13"/>
        <v>72307.203389830509</v>
      </c>
      <c r="I325" s="541">
        <f t="shared" si="14"/>
        <v>13015.296610169491</v>
      </c>
      <c r="J325" s="541">
        <v>85322.5</v>
      </c>
      <c r="K325" s="813" t="s">
        <v>500</v>
      </c>
      <c r="L325" s="544" t="s">
        <v>55</v>
      </c>
      <c r="M325" s="536" t="s">
        <v>766</v>
      </c>
      <c r="N325" s="536"/>
      <c r="O325" s="536"/>
      <c r="P325" s="536"/>
      <c r="Q325" s="547"/>
      <c r="R325" s="547"/>
      <c r="S325" s="548"/>
      <c r="T325" s="548"/>
      <c r="U325" s="548"/>
      <c r="V325" s="548"/>
      <c r="W325" s="548"/>
      <c r="X325" s="549"/>
    </row>
    <row r="326" spans="3:24" s="550" customFormat="1" ht="12.95" customHeight="1">
      <c r="C326" s="587" t="s">
        <v>820</v>
      </c>
      <c r="D326" s="537" t="s">
        <v>821</v>
      </c>
      <c r="E326" s="538"/>
      <c r="F326" s="559" t="s">
        <v>822</v>
      </c>
      <c r="G326" s="586"/>
      <c r="H326" s="541">
        <f t="shared" si="13"/>
        <v>130000</v>
      </c>
      <c r="I326" s="541">
        <f t="shared" si="14"/>
        <v>23400</v>
      </c>
      <c r="J326" s="541">
        <v>153400</v>
      </c>
      <c r="K326" s="813" t="s">
        <v>429</v>
      </c>
      <c r="L326" s="544" t="s">
        <v>58</v>
      </c>
      <c r="M326" s="536" t="s">
        <v>766</v>
      </c>
      <c r="N326" s="536"/>
      <c r="O326" s="536"/>
      <c r="P326" s="536"/>
      <c r="Q326" s="547"/>
      <c r="R326" s="547"/>
      <c r="S326" s="548"/>
      <c r="T326" s="548"/>
      <c r="U326" s="548"/>
      <c r="V326" s="548"/>
      <c r="W326" s="548"/>
      <c r="X326" s="549"/>
    </row>
    <row r="327" spans="3:24" s="550" customFormat="1" ht="12.95" customHeight="1">
      <c r="C327" s="587" t="s">
        <v>751</v>
      </c>
      <c r="D327" s="537" t="s">
        <v>823</v>
      </c>
      <c r="E327" s="538"/>
      <c r="F327" s="559" t="s">
        <v>824</v>
      </c>
      <c r="G327" s="586"/>
      <c r="H327" s="541">
        <f t="shared" si="13"/>
        <v>658833.3389830509</v>
      </c>
      <c r="I327" s="541">
        <f t="shared" si="14"/>
        <v>118590.00101694916</v>
      </c>
      <c r="J327" s="541">
        <v>777423.34</v>
      </c>
      <c r="K327" s="813" t="s">
        <v>514</v>
      </c>
      <c r="L327" s="544" t="s">
        <v>47</v>
      </c>
      <c r="M327" s="536" t="s">
        <v>825</v>
      </c>
      <c r="N327" s="536"/>
      <c r="O327" s="536"/>
      <c r="P327" s="536"/>
      <c r="Q327" s="547"/>
      <c r="R327" s="547"/>
      <c r="S327" s="548"/>
      <c r="T327" s="548"/>
      <c r="U327" s="548"/>
      <c r="V327" s="548"/>
      <c r="W327" s="548"/>
      <c r="X327" s="549"/>
    </row>
    <row r="328" spans="3:24" s="550" customFormat="1" ht="12.95" customHeight="1">
      <c r="C328" s="587" t="s">
        <v>826</v>
      </c>
      <c r="D328" s="537" t="s">
        <v>823</v>
      </c>
      <c r="E328" s="538"/>
      <c r="F328" s="559" t="s">
        <v>827</v>
      </c>
      <c r="G328" s="586"/>
      <c r="H328" s="541">
        <f t="shared" si="13"/>
        <v>118800</v>
      </c>
      <c r="I328" s="541">
        <f t="shared" si="14"/>
        <v>21384</v>
      </c>
      <c r="J328" s="541">
        <v>140184</v>
      </c>
      <c r="K328" s="813" t="s">
        <v>856</v>
      </c>
      <c r="L328" s="544" t="s">
        <v>58</v>
      </c>
      <c r="M328" s="536" t="s">
        <v>825</v>
      </c>
      <c r="N328" s="536"/>
      <c r="O328" s="536"/>
      <c r="P328" s="536"/>
      <c r="Q328" s="547"/>
      <c r="R328" s="547"/>
      <c r="S328" s="548"/>
      <c r="T328" s="548"/>
      <c r="U328" s="548"/>
      <c r="V328" s="548"/>
      <c r="W328" s="548"/>
      <c r="X328" s="549"/>
    </row>
    <row r="329" spans="3:24" s="550" customFormat="1" ht="12.95" customHeight="1">
      <c r="C329" s="587" t="s">
        <v>826</v>
      </c>
      <c r="D329" s="537" t="s">
        <v>823</v>
      </c>
      <c r="E329" s="538"/>
      <c r="F329" s="559" t="s">
        <v>828</v>
      </c>
      <c r="G329" s="586"/>
      <c r="H329" s="541">
        <f t="shared" si="13"/>
        <v>21900</v>
      </c>
      <c r="I329" s="541">
        <f t="shared" si="14"/>
        <v>3942</v>
      </c>
      <c r="J329" s="541">
        <v>25842</v>
      </c>
      <c r="K329" s="813" t="s">
        <v>429</v>
      </c>
      <c r="L329" s="544" t="s">
        <v>58</v>
      </c>
      <c r="M329" s="536" t="s">
        <v>825</v>
      </c>
      <c r="N329" s="536"/>
      <c r="O329" s="536"/>
      <c r="P329" s="536"/>
      <c r="Q329" s="547"/>
      <c r="R329" s="547"/>
      <c r="S329" s="548"/>
      <c r="T329" s="548"/>
      <c r="U329" s="548"/>
      <c r="V329" s="548"/>
      <c r="W329" s="548"/>
      <c r="X329" s="549"/>
    </row>
    <row r="330" spans="3:24" s="550" customFormat="1" ht="12.95" customHeight="1">
      <c r="C330" s="587" t="s">
        <v>632</v>
      </c>
      <c r="D330" s="537" t="s">
        <v>823</v>
      </c>
      <c r="E330" s="538"/>
      <c r="F330" s="559" t="s">
        <v>829</v>
      </c>
      <c r="G330" s="586"/>
      <c r="H330" s="541">
        <f t="shared" si="13"/>
        <v>4658121.0000000009</v>
      </c>
      <c r="I330" s="541">
        <f t="shared" si="14"/>
        <v>838461.78000000014</v>
      </c>
      <c r="J330" s="541">
        <v>5496582.7800000003</v>
      </c>
      <c r="K330" s="813" t="s">
        <v>512</v>
      </c>
      <c r="L330" s="544" t="s">
        <v>58</v>
      </c>
      <c r="M330" s="536" t="s">
        <v>766</v>
      </c>
      <c r="N330" s="536"/>
      <c r="O330" s="536"/>
      <c r="P330" s="536"/>
      <c r="Q330" s="547"/>
      <c r="R330" s="547"/>
      <c r="S330" s="548"/>
      <c r="T330" s="548"/>
      <c r="U330" s="548"/>
      <c r="V330" s="548"/>
      <c r="W330" s="548"/>
      <c r="X330" s="549"/>
    </row>
    <row r="331" spans="3:24" s="550" customFormat="1" ht="12.95" customHeight="1">
      <c r="C331" s="587" t="s">
        <v>830</v>
      </c>
      <c r="D331" s="537" t="s">
        <v>831</v>
      </c>
      <c r="E331" s="538"/>
      <c r="F331" s="817" t="s">
        <v>832</v>
      </c>
      <c r="G331" s="586"/>
      <c r="H331" s="541">
        <f t="shared" si="13"/>
        <v>0</v>
      </c>
      <c r="I331" s="541">
        <f t="shared" si="14"/>
        <v>0</v>
      </c>
      <c r="J331" s="541">
        <f>428505*0</f>
        <v>0</v>
      </c>
      <c r="K331" s="814" t="s">
        <v>517</v>
      </c>
      <c r="L331" s="544"/>
      <c r="M331" s="536" t="s">
        <v>863</v>
      </c>
      <c r="N331" s="536"/>
      <c r="O331" s="536"/>
      <c r="P331" s="536"/>
      <c r="Q331" s="547"/>
      <c r="R331" s="547"/>
      <c r="S331" s="548"/>
      <c r="T331" s="548"/>
      <c r="U331" s="548"/>
      <c r="V331" s="548"/>
      <c r="W331" s="548"/>
      <c r="X331" s="549"/>
    </row>
    <row r="332" spans="3:24" s="550" customFormat="1" ht="12.95" customHeight="1">
      <c r="C332" s="587" t="s">
        <v>833</v>
      </c>
      <c r="D332" s="537" t="s">
        <v>834</v>
      </c>
      <c r="F332" s="817" t="s">
        <v>835</v>
      </c>
      <c r="G332" s="586"/>
      <c r="H332" s="541">
        <f t="shared" si="13"/>
        <v>0</v>
      </c>
      <c r="I332" s="541">
        <f t="shared" si="14"/>
        <v>0</v>
      </c>
      <c r="J332" s="541">
        <f>97965.11*0</f>
        <v>0</v>
      </c>
      <c r="K332" s="814" t="s">
        <v>517</v>
      </c>
      <c r="L332" s="544"/>
      <c r="M332" s="536" t="s">
        <v>863</v>
      </c>
      <c r="N332" s="536"/>
      <c r="O332" s="536"/>
      <c r="P332" s="536"/>
      <c r="Q332" s="547"/>
      <c r="R332" s="547"/>
      <c r="S332" s="548"/>
      <c r="T332" s="548"/>
      <c r="U332" s="548"/>
      <c r="V332" s="548"/>
      <c r="W332" s="548"/>
      <c r="X332" s="549"/>
    </row>
    <row r="333" spans="3:24" s="550" customFormat="1" ht="12.95" customHeight="1">
      <c r="C333" s="587" t="s">
        <v>830</v>
      </c>
      <c r="D333" s="537" t="s">
        <v>836</v>
      </c>
      <c r="E333" s="538"/>
      <c r="F333" s="817" t="s">
        <v>837</v>
      </c>
      <c r="G333" s="586"/>
      <c r="H333" s="541">
        <f>J333/1.05</f>
        <v>0</v>
      </c>
      <c r="I333" s="541">
        <f t="shared" si="14"/>
        <v>0</v>
      </c>
      <c r="J333" s="541">
        <f>44635.5*0</f>
        <v>0</v>
      </c>
      <c r="K333" s="814" t="s">
        <v>517</v>
      </c>
      <c r="L333" s="544"/>
      <c r="M333" s="536" t="s">
        <v>863</v>
      </c>
      <c r="N333" s="536"/>
      <c r="O333" s="536"/>
      <c r="P333" s="536"/>
      <c r="Q333" s="547"/>
      <c r="R333" s="547"/>
      <c r="S333" s="548"/>
      <c r="T333" s="548"/>
      <c r="U333" s="548"/>
      <c r="V333" s="548"/>
      <c r="W333" s="548"/>
      <c r="X333" s="549"/>
    </row>
    <row r="334" spans="3:24" s="550" customFormat="1" ht="12.95" customHeight="1">
      <c r="C334" s="552" t="s">
        <v>626</v>
      </c>
      <c r="D334" s="537">
        <v>45275</v>
      </c>
      <c r="E334" s="538"/>
      <c r="F334" s="553" t="s">
        <v>838</v>
      </c>
      <c r="G334" s="547"/>
      <c r="H334" s="541">
        <v>43650</v>
      </c>
      <c r="I334" s="541">
        <f t="shared" si="14"/>
        <v>7857</v>
      </c>
      <c r="J334" s="543">
        <f t="shared" ref="J334:J345" si="15">H334+I334</f>
        <v>51507</v>
      </c>
      <c r="K334" s="813" t="s">
        <v>510</v>
      </c>
      <c r="L334" s="544" t="s">
        <v>58</v>
      </c>
      <c r="M334" s="536"/>
      <c r="N334" s="536"/>
      <c r="O334" s="536"/>
      <c r="P334" s="536"/>
      <c r="Q334" s="547"/>
      <c r="R334" s="547"/>
      <c r="S334" s="548"/>
      <c r="T334" s="548"/>
      <c r="U334" s="548"/>
      <c r="V334" s="548"/>
      <c r="W334" s="548"/>
      <c r="X334" s="549"/>
    </row>
    <row r="335" spans="3:24" s="550" customFormat="1" ht="12.95" customHeight="1">
      <c r="C335" s="552" t="s">
        <v>626</v>
      </c>
      <c r="D335" s="537">
        <v>45275</v>
      </c>
      <c r="E335" s="538"/>
      <c r="F335" s="553" t="s">
        <v>839</v>
      </c>
      <c r="G335" s="547"/>
      <c r="H335" s="541">
        <v>183500</v>
      </c>
      <c r="I335" s="541">
        <f t="shared" si="14"/>
        <v>33030</v>
      </c>
      <c r="J335" s="543">
        <f t="shared" si="15"/>
        <v>216530</v>
      </c>
      <c r="K335" s="813" t="s">
        <v>500</v>
      </c>
      <c r="L335" s="544" t="s">
        <v>58</v>
      </c>
      <c r="M335" s="536"/>
      <c r="N335" s="536"/>
      <c r="O335" s="536"/>
      <c r="P335" s="536"/>
      <c r="Q335" s="547"/>
      <c r="R335" s="547"/>
      <c r="S335" s="548"/>
      <c r="T335" s="548"/>
      <c r="U335" s="548"/>
      <c r="V335" s="548"/>
      <c r="W335" s="548"/>
      <c r="X335" s="549"/>
    </row>
    <row r="336" spans="3:24" s="550" customFormat="1" ht="12.95" customHeight="1">
      <c r="C336" s="552" t="s">
        <v>626</v>
      </c>
      <c r="D336" s="537">
        <v>45275</v>
      </c>
      <c r="E336" s="538"/>
      <c r="F336" s="553" t="s">
        <v>840</v>
      </c>
      <c r="G336" s="547"/>
      <c r="H336" s="541">
        <v>95488</v>
      </c>
      <c r="I336" s="541">
        <f t="shared" si="14"/>
        <v>17187.84</v>
      </c>
      <c r="J336" s="543">
        <f t="shared" si="15"/>
        <v>112675.84</v>
      </c>
      <c r="K336" s="813" t="s">
        <v>501</v>
      </c>
      <c r="L336" s="544" t="s">
        <v>58</v>
      </c>
      <c r="M336" s="536"/>
      <c r="N336" s="536"/>
      <c r="O336" s="536"/>
      <c r="P336" s="536"/>
      <c r="Q336" s="547"/>
      <c r="R336" s="547"/>
      <c r="S336" s="548"/>
      <c r="T336" s="548"/>
      <c r="U336" s="548"/>
      <c r="V336" s="548"/>
      <c r="W336" s="548"/>
      <c r="X336" s="549"/>
    </row>
    <row r="337" spans="3:24" s="550" customFormat="1" ht="12.95" customHeight="1">
      <c r="C337" s="552" t="s">
        <v>626</v>
      </c>
      <c r="D337" s="537">
        <v>45275</v>
      </c>
      <c r="E337" s="538"/>
      <c r="F337" s="553" t="s">
        <v>841</v>
      </c>
      <c r="G337" s="547"/>
      <c r="H337" s="541">
        <v>43650</v>
      </c>
      <c r="I337" s="541">
        <f t="shared" si="14"/>
        <v>7857</v>
      </c>
      <c r="J337" s="543">
        <f t="shared" si="15"/>
        <v>51507</v>
      </c>
      <c r="K337" s="813" t="s">
        <v>856</v>
      </c>
      <c r="L337" s="544" t="s">
        <v>58</v>
      </c>
      <c r="M337" s="536"/>
      <c r="N337" s="536"/>
      <c r="O337" s="536"/>
      <c r="P337" s="536"/>
      <c r="Q337" s="547"/>
      <c r="R337" s="547"/>
      <c r="S337" s="548"/>
      <c r="T337" s="548"/>
      <c r="U337" s="548"/>
      <c r="V337" s="548"/>
      <c r="W337" s="548"/>
      <c r="X337" s="549"/>
    </row>
    <row r="338" spans="3:24" s="550" customFormat="1" ht="12.95" customHeight="1">
      <c r="C338" s="552" t="s">
        <v>626</v>
      </c>
      <c r="D338" s="537">
        <v>45275</v>
      </c>
      <c r="E338" s="538"/>
      <c r="F338" s="553" t="s">
        <v>842</v>
      </c>
      <c r="G338" s="547"/>
      <c r="H338" s="541">
        <v>243470</v>
      </c>
      <c r="I338" s="541">
        <f t="shared" si="14"/>
        <v>43824.6</v>
      </c>
      <c r="J338" s="543">
        <f t="shared" si="15"/>
        <v>287294.59999999998</v>
      </c>
      <c r="K338" s="813" t="s">
        <v>508</v>
      </c>
      <c r="L338" s="544" t="s">
        <v>58</v>
      </c>
      <c r="M338" s="536"/>
      <c r="N338" s="536"/>
      <c r="O338" s="536"/>
      <c r="P338" s="536"/>
      <c r="Q338" s="547"/>
      <c r="R338" s="547"/>
      <c r="S338" s="548"/>
      <c r="T338" s="548"/>
      <c r="U338" s="548"/>
      <c r="V338" s="548"/>
      <c r="W338" s="548"/>
      <c r="X338" s="549"/>
    </row>
    <row r="339" spans="3:24" s="550" customFormat="1" ht="12.95" customHeight="1">
      <c r="C339" s="552" t="s">
        <v>626</v>
      </c>
      <c r="D339" s="537">
        <v>45275</v>
      </c>
      <c r="E339" s="538"/>
      <c r="F339" s="547" t="s">
        <v>843</v>
      </c>
      <c r="G339" s="547"/>
      <c r="H339" s="541">
        <v>99500</v>
      </c>
      <c r="I339" s="541">
        <f t="shared" si="14"/>
        <v>17910</v>
      </c>
      <c r="J339" s="543">
        <f t="shared" si="15"/>
        <v>117410</v>
      </c>
      <c r="K339" s="813" t="s">
        <v>512</v>
      </c>
      <c r="L339" s="544" t="s">
        <v>58</v>
      </c>
      <c r="M339" s="536"/>
      <c r="N339" s="536"/>
      <c r="O339" s="536"/>
      <c r="P339" s="536"/>
      <c r="Q339" s="547"/>
      <c r="R339" s="547"/>
      <c r="S339" s="548"/>
      <c r="T339" s="548"/>
      <c r="U339" s="548"/>
      <c r="V339" s="548"/>
      <c r="W339" s="548"/>
      <c r="X339" s="549"/>
    </row>
    <row r="340" spans="3:24" s="550" customFormat="1" ht="12.95" customHeight="1">
      <c r="C340" s="552" t="s">
        <v>657</v>
      </c>
      <c r="D340" s="537">
        <v>45275</v>
      </c>
      <c r="E340" s="538"/>
      <c r="F340" s="547" t="s">
        <v>844</v>
      </c>
      <c r="G340" s="547"/>
      <c r="H340" s="541">
        <v>310000</v>
      </c>
      <c r="I340" s="541">
        <f t="shared" si="14"/>
        <v>55800</v>
      </c>
      <c r="J340" s="543">
        <f t="shared" si="15"/>
        <v>365800</v>
      </c>
      <c r="K340" s="813" t="s">
        <v>505</v>
      </c>
      <c r="L340" s="544" t="s">
        <v>58</v>
      </c>
      <c r="M340" s="536"/>
      <c r="N340" s="536"/>
      <c r="O340" s="536"/>
      <c r="P340" s="536"/>
      <c r="Q340" s="547"/>
      <c r="R340" s="547"/>
      <c r="S340" s="548"/>
      <c r="T340" s="548"/>
      <c r="U340" s="548"/>
      <c r="V340" s="548"/>
      <c r="W340" s="548"/>
      <c r="X340" s="549"/>
    </row>
    <row r="341" spans="3:24" s="550" customFormat="1" ht="12.95" customHeight="1">
      <c r="C341" s="552" t="s">
        <v>632</v>
      </c>
      <c r="D341" s="537">
        <v>45275</v>
      </c>
      <c r="E341" s="538"/>
      <c r="F341" s="547" t="s">
        <v>845</v>
      </c>
      <c r="G341" s="547"/>
      <c r="H341" s="541">
        <v>77300</v>
      </c>
      <c r="I341" s="541">
        <f t="shared" si="14"/>
        <v>13914</v>
      </c>
      <c r="J341" s="543">
        <f t="shared" si="15"/>
        <v>91214</v>
      </c>
      <c r="K341" s="813" t="s">
        <v>505</v>
      </c>
      <c r="L341" s="544" t="s">
        <v>58</v>
      </c>
      <c r="M341" s="536"/>
      <c r="N341" s="536"/>
      <c r="O341" s="536"/>
      <c r="P341" s="536"/>
      <c r="Q341" s="547"/>
      <c r="R341" s="547"/>
      <c r="S341" s="548"/>
      <c r="T341" s="548"/>
      <c r="U341" s="548"/>
      <c r="V341" s="548"/>
      <c r="W341" s="548"/>
      <c r="X341" s="549"/>
    </row>
    <row r="342" spans="3:24" s="550" customFormat="1" ht="12.95" customHeight="1">
      <c r="C342" s="552" t="s">
        <v>632</v>
      </c>
      <c r="D342" s="537">
        <v>45275</v>
      </c>
      <c r="E342" s="538"/>
      <c r="F342" s="547" t="s">
        <v>846</v>
      </c>
      <c r="G342" s="547"/>
      <c r="H342" s="541">
        <v>77300</v>
      </c>
      <c r="I342" s="541">
        <f t="shared" si="14"/>
        <v>13914</v>
      </c>
      <c r="J342" s="543">
        <f t="shared" si="15"/>
        <v>91214</v>
      </c>
      <c r="K342" s="813" t="s">
        <v>505</v>
      </c>
      <c r="L342" s="544" t="s">
        <v>58</v>
      </c>
      <c r="M342" s="536"/>
      <c r="N342" s="536"/>
      <c r="O342" s="536"/>
      <c r="P342" s="536"/>
      <c r="Q342" s="547"/>
      <c r="R342" s="547"/>
      <c r="S342" s="548"/>
      <c r="T342" s="548"/>
      <c r="U342" s="548"/>
      <c r="V342" s="548"/>
      <c r="W342" s="548"/>
      <c r="X342" s="549"/>
    </row>
    <row r="343" spans="3:24" s="550" customFormat="1" ht="12.95" customHeight="1">
      <c r="C343" s="552" t="s">
        <v>630</v>
      </c>
      <c r="D343" s="537">
        <v>45275</v>
      </c>
      <c r="E343" s="538"/>
      <c r="F343" s="547" t="s">
        <v>847</v>
      </c>
      <c r="G343" s="547"/>
      <c r="H343" s="541">
        <v>320000</v>
      </c>
      <c r="I343" s="541">
        <f t="shared" si="14"/>
        <v>57600</v>
      </c>
      <c r="J343" s="543">
        <f t="shared" si="15"/>
        <v>377600</v>
      </c>
      <c r="K343" s="813" t="s">
        <v>505</v>
      </c>
      <c r="L343" s="544" t="s">
        <v>58</v>
      </c>
      <c r="M343" s="536"/>
      <c r="N343" s="536"/>
      <c r="O343" s="536"/>
      <c r="P343" s="536"/>
      <c r="Q343" s="547"/>
      <c r="R343" s="547"/>
      <c r="S343" s="548"/>
      <c r="T343" s="548"/>
      <c r="U343" s="548"/>
      <c r="V343" s="548"/>
      <c r="W343" s="548"/>
      <c r="X343" s="549"/>
    </row>
    <row r="344" spans="3:24" s="550" customFormat="1" ht="12.95" customHeight="1">
      <c r="C344" s="552" t="s">
        <v>630</v>
      </c>
      <c r="D344" s="537">
        <v>45275</v>
      </c>
      <c r="E344" s="538"/>
      <c r="F344" s="547" t="s">
        <v>848</v>
      </c>
      <c r="G344" s="547"/>
      <c r="H344" s="541">
        <v>320000</v>
      </c>
      <c r="I344" s="541">
        <f t="shared" si="14"/>
        <v>57600</v>
      </c>
      <c r="J344" s="543">
        <f t="shared" si="15"/>
        <v>377600</v>
      </c>
      <c r="K344" s="813" t="s">
        <v>505</v>
      </c>
      <c r="L344" s="544" t="s">
        <v>58</v>
      </c>
      <c r="M344" s="536"/>
      <c r="N344" s="536"/>
      <c r="O344" s="536"/>
      <c r="P344" s="536"/>
      <c r="Q344" s="547"/>
      <c r="R344" s="547"/>
      <c r="S344" s="548"/>
      <c r="T344" s="548"/>
      <c r="U344" s="548"/>
      <c r="V344" s="548"/>
      <c r="W344" s="548"/>
      <c r="X344" s="549"/>
    </row>
    <row r="345" spans="3:24" s="550" customFormat="1" ht="12.95" customHeight="1">
      <c r="C345" s="552" t="s">
        <v>657</v>
      </c>
      <c r="D345" s="537">
        <v>45275</v>
      </c>
      <c r="E345" s="538"/>
      <c r="F345" s="547" t="s">
        <v>849</v>
      </c>
      <c r="G345" s="547"/>
      <c r="H345" s="541">
        <v>310000</v>
      </c>
      <c r="I345" s="541">
        <f t="shared" si="14"/>
        <v>55800</v>
      </c>
      <c r="J345" s="543">
        <f t="shared" si="15"/>
        <v>365800</v>
      </c>
      <c r="K345" s="813" t="s">
        <v>505</v>
      </c>
      <c r="L345" s="544" t="s">
        <v>58</v>
      </c>
      <c r="M345" s="536"/>
      <c r="N345" s="536"/>
      <c r="O345" s="536"/>
      <c r="P345" s="536"/>
      <c r="Q345" s="547"/>
      <c r="R345" s="547"/>
      <c r="S345" s="548"/>
      <c r="T345" s="548"/>
      <c r="U345" s="548"/>
      <c r="V345" s="548"/>
      <c r="W345" s="548"/>
      <c r="X345" s="549"/>
    </row>
    <row r="346" spans="3:24" s="550" customFormat="1" ht="12.95" customHeight="1">
      <c r="C346" s="552" t="s">
        <v>864</v>
      </c>
      <c r="D346" s="537" t="s">
        <v>865</v>
      </c>
      <c r="E346" s="538"/>
      <c r="F346" s="547" t="s">
        <v>866</v>
      </c>
      <c r="G346" s="547"/>
      <c r="H346" s="541">
        <f>J346/1.18</f>
        <v>93400</v>
      </c>
      <c r="I346" s="541">
        <f t="shared" si="14"/>
        <v>16812</v>
      </c>
      <c r="J346" s="543">
        <v>110212</v>
      </c>
      <c r="K346" s="813" t="s">
        <v>505</v>
      </c>
      <c r="L346" s="544" t="s">
        <v>54</v>
      </c>
      <c r="M346" s="536"/>
      <c r="N346" s="536"/>
      <c r="O346" s="536"/>
      <c r="P346" s="536"/>
      <c r="Q346" s="547"/>
      <c r="R346" s="547"/>
      <c r="S346" s="548"/>
      <c r="T346" s="548"/>
      <c r="U346" s="548"/>
      <c r="V346" s="548"/>
      <c r="W346" s="548"/>
      <c r="X346" s="549"/>
    </row>
    <row r="347" spans="3:24" s="550" customFormat="1" ht="12.95" customHeight="1">
      <c r="C347" s="552" t="s">
        <v>864</v>
      </c>
      <c r="D347" s="537" t="s">
        <v>865</v>
      </c>
      <c r="E347" s="538"/>
      <c r="F347" s="547" t="s">
        <v>867</v>
      </c>
      <c r="G347" s="547"/>
      <c r="H347" s="541">
        <f t="shared" ref="H347:H410" si="16">J347/1.18</f>
        <v>88500</v>
      </c>
      <c r="I347" s="541">
        <f t="shared" si="14"/>
        <v>15930</v>
      </c>
      <c r="J347" s="543">
        <v>104430</v>
      </c>
      <c r="K347" s="813" t="s">
        <v>506</v>
      </c>
      <c r="L347" s="544" t="s">
        <v>54</v>
      </c>
      <c r="M347" s="536"/>
      <c r="N347" s="536"/>
      <c r="O347" s="536"/>
      <c r="P347" s="536"/>
      <c r="Q347" s="547"/>
      <c r="R347" s="547"/>
      <c r="S347" s="548"/>
      <c r="T347" s="548"/>
      <c r="U347" s="548"/>
      <c r="V347" s="548"/>
      <c r="W347" s="548"/>
      <c r="X347" s="549"/>
    </row>
    <row r="348" spans="3:24" s="550" customFormat="1" ht="12.95" customHeight="1">
      <c r="C348" s="552" t="s">
        <v>864</v>
      </c>
      <c r="D348" s="537" t="s">
        <v>865</v>
      </c>
      <c r="E348" s="538"/>
      <c r="F348" s="547" t="s">
        <v>868</v>
      </c>
      <c r="G348" s="547"/>
      <c r="H348" s="541">
        <f t="shared" si="16"/>
        <v>114600</v>
      </c>
      <c r="I348" s="541">
        <f t="shared" si="14"/>
        <v>20628</v>
      </c>
      <c r="J348" s="543">
        <v>135228</v>
      </c>
      <c r="K348" s="813" t="s">
        <v>501</v>
      </c>
      <c r="L348" s="544" t="s">
        <v>54</v>
      </c>
      <c r="M348" s="536"/>
      <c r="N348" s="536"/>
      <c r="O348" s="536"/>
      <c r="P348" s="536"/>
      <c r="Q348" s="547"/>
      <c r="R348" s="547"/>
      <c r="S348" s="548"/>
      <c r="T348" s="548"/>
      <c r="U348" s="548"/>
      <c r="V348" s="548"/>
      <c r="W348" s="548"/>
      <c r="X348" s="549"/>
    </row>
    <row r="349" spans="3:24" s="550" customFormat="1" ht="12.95" customHeight="1">
      <c r="C349" s="552" t="s">
        <v>869</v>
      </c>
      <c r="D349" s="537" t="s">
        <v>865</v>
      </c>
      <c r="E349" s="538"/>
      <c r="F349" s="547" t="s">
        <v>870</v>
      </c>
      <c r="G349" s="547"/>
      <c r="H349" s="541">
        <f t="shared" si="16"/>
        <v>153451</v>
      </c>
      <c r="I349" s="541">
        <f t="shared" si="14"/>
        <v>27621.18</v>
      </c>
      <c r="J349" s="543">
        <v>181072.18</v>
      </c>
      <c r="K349" s="813" t="s">
        <v>510</v>
      </c>
      <c r="L349" s="544" t="s">
        <v>38</v>
      </c>
      <c r="M349" s="536"/>
      <c r="N349" s="536"/>
      <c r="O349" s="536"/>
      <c r="P349" s="536"/>
      <c r="Q349" s="547"/>
      <c r="R349" s="547"/>
      <c r="S349" s="548"/>
      <c r="T349" s="548"/>
      <c r="U349" s="548"/>
      <c r="V349" s="548"/>
      <c r="W349" s="548"/>
      <c r="X349" s="549"/>
    </row>
    <row r="350" spans="3:24" s="550" customFormat="1" ht="12.95" customHeight="1">
      <c r="C350" s="552" t="s">
        <v>869</v>
      </c>
      <c r="D350" s="537" t="s">
        <v>865</v>
      </c>
      <c r="E350" s="538"/>
      <c r="F350" s="547" t="s">
        <v>871</v>
      </c>
      <c r="G350" s="547"/>
      <c r="H350" s="541">
        <f t="shared" si="16"/>
        <v>250462</v>
      </c>
      <c r="I350" s="541">
        <f t="shared" si="14"/>
        <v>45083.159999999996</v>
      </c>
      <c r="J350" s="543">
        <v>295545.15999999997</v>
      </c>
      <c r="K350" s="813" t="s">
        <v>356</v>
      </c>
      <c r="L350" s="544" t="s">
        <v>38</v>
      </c>
      <c r="M350" s="536"/>
      <c r="N350" s="536"/>
      <c r="O350" s="536"/>
      <c r="P350" s="536"/>
      <c r="Q350" s="547"/>
      <c r="R350" s="547"/>
      <c r="S350" s="548"/>
      <c r="T350" s="548"/>
      <c r="U350" s="548"/>
      <c r="V350" s="548"/>
      <c r="W350" s="548"/>
      <c r="X350" s="549"/>
    </row>
    <row r="351" spans="3:24" s="550" customFormat="1" ht="12.95" customHeight="1">
      <c r="C351" s="552" t="s">
        <v>869</v>
      </c>
      <c r="D351" s="537" t="s">
        <v>865</v>
      </c>
      <c r="E351" s="538"/>
      <c r="F351" s="547" t="s">
        <v>872</v>
      </c>
      <c r="G351" s="547"/>
      <c r="H351" s="541">
        <f t="shared" si="16"/>
        <v>160850</v>
      </c>
      <c r="I351" s="541">
        <f t="shared" si="14"/>
        <v>28953</v>
      </c>
      <c r="J351" s="543">
        <v>189803</v>
      </c>
      <c r="K351" s="813" t="s">
        <v>500</v>
      </c>
      <c r="L351" s="544" t="s">
        <v>38</v>
      </c>
      <c r="M351" s="536"/>
      <c r="N351" s="536"/>
      <c r="O351" s="536"/>
      <c r="P351" s="536"/>
      <c r="Q351" s="547"/>
      <c r="R351" s="547"/>
      <c r="S351" s="548"/>
      <c r="T351" s="548"/>
      <c r="U351" s="548"/>
      <c r="V351" s="548"/>
      <c r="W351" s="548"/>
      <c r="X351" s="549"/>
    </row>
    <row r="352" spans="3:24" s="550" customFormat="1" ht="12.95" customHeight="1">
      <c r="C352" s="552" t="s">
        <v>630</v>
      </c>
      <c r="D352" s="537" t="s">
        <v>873</v>
      </c>
      <c r="E352" s="538"/>
      <c r="F352" s="547" t="s">
        <v>874</v>
      </c>
      <c r="G352" s="547"/>
      <c r="H352" s="541">
        <f t="shared" si="16"/>
        <v>12500</v>
      </c>
      <c r="I352" s="541">
        <f t="shared" si="14"/>
        <v>2250</v>
      </c>
      <c r="J352" s="543">
        <v>14750</v>
      </c>
      <c r="K352" s="816" t="s">
        <v>857</v>
      </c>
      <c r="L352" s="544" t="s">
        <v>58</v>
      </c>
      <c r="M352" s="536"/>
      <c r="N352" s="536"/>
      <c r="O352" s="536"/>
      <c r="P352" s="536"/>
      <c r="Q352" s="547"/>
      <c r="R352" s="547"/>
      <c r="S352" s="548"/>
      <c r="T352" s="548"/>
      <c r="U352" s="548"/>
      <c r="V352" s="548"/>
      <c r="W352" s="548"/>
      <c r="X352" s="549"/>
    </row>
    <row r="353" spans="3:24" s="550" customFormat="1" ht="12.95" customHeight="1">
      <c r="C353" s="552" t="s">
        <v>875</v>
      </c>
      <c r="D353" s="537" t="s">
        <v>873</v>
      </c>
      <c r="E353" s="538"/>
      <c r="F353" s="547" t="s">
        <v>876</v>
      </c>
      <c r="G353" s="547"/>
      <c r="H353" s="541">
        <f t="shared" si="16"/>
        <v>22410</v>
      </c>
      <c r="I353" s="541">
        <f t="shared" si="14"/>
        <v>4033.7999999999997</v>
      </c>
      <c r="J353" s="543">
        <v>26443.8</v>
      </c>
      <c r="K353" s="816" t="s">
        <v>857</v>
      </c>
      <c r="L353" s="544" t="s">
        <v>58</v>
      </c>
      <c r="M353" s="536"/>
      <c r="N353" s="536"/>
      <c r="O353" s="536"/>
      <c r="P353" s="536"/>
      <c r="Q353" s="547"/>
      <c r="R353" s="547"/>
      <c r="S353" s="548"/>
      <c r="T353" s="548"/>
      <c r="U353" s="548"/>
      <c r="V353" s="548"/>
      <c r="W353" s="548"/>
      <c r="X353" s="549"/>
    </row>
    <row r="354" spans="3:24" s="550" customFormat="1" ht="12.95" customHeight="1">
      <c r="C354" s="552" t="s">
        <v>626</v>
      </c>
      <c r="D354" s="537" t="s">
        <v>873</v>
      </c>
      <c r="E354" s="538"/>
      <c r="F354" s="547" t="s">
        <v>877</v>
      </c>
      <c r="G354" s="547"/>
      <c r="H354" s="541">
        <f t="shared" si="16"/>
        <v>87300</v>
      </c>
      <c r="I354" s="541">
        <f t="shared" si="14"/>
        <v>15714</v>
      </c>
      <c r="J354" s="543">
        <v>103014</v>
      </c>
      <c r="K354" s="816" t="s">
        <v>857</v>
      </c>
      <c r="L354" s="544" t="s">
        <v>58</v>
      </c>
      <c r="M354" s="536"/>
      <c r="N354" s="536"/>
      <c r="O354" s="536"/>
      <c r="P354" s="536"/>
      <c r="Q354" s="547"/>
      <c r="R354" s="547"/>
      <c r="S354" s="548"/>
      <c r="T354" s="548"/>
      <c r="U354" s="548"/>
      <c r="V354" s="548"/>
      <c r="W354" s="548"/>
      <c r="X354" s="549"/>
    </row>
    <row r="355" spans="3:24" s="550" customFormat="1" ht="12.95" customHeight="1">
      <c r="C355" s="552" t="s">
        <v>826</v>
      </c>
      <c r="D355" s="537" t="s">
        <v>873</v>
      </c>
      <c r="E355" s="538"/>
      <c r="F355" s="547" t="s">
        <v>878</v>
      </c>
      <c r="G355" s="547"/>
      <c r="H355" s="541">
        <f t="shared" si="16"/>
        <v>39600</v>
      </c>
      <c r="I355" s="541">
        <f t="shared" si="14"/>
        <v>7128</v>
      </c>
      <c r="J355" s="543">
        <v>46728</v>
      </c>
      <c r="K355" s="816" t="s">
        <v>857</v>
      </c>
      <c r="L355" s="544" t="s">
        <v>58</v>
      </c>
      <c r="M355" s="536"/>
      <c r="N355" s="536"/>
      <c r="O355" s="536"/>
      <c r="P355" s="536"/>
      <c r="Q355" s="547"/>
      <c r="R355" s="547"/>
      <c r="S355" s="548"/>
      <c r="T355" s="548"/>
      <c r="U355" s="548"/>
      <c r="V355" s="548"/>
      <c r="W355" s="548"/>
      <c r="X355" s="549"/>
    </row>
    <row r="356" spans="3:24" s="550" customFormat="1" ht="12.95" customHeight="1">
      <c r="C356" s="552" t="s">
        <v>875</v>
      </c>
      <c r="D356" s="537" t="s">
        <v>873</v>
      </c>
      <c r="E356" s="538"/>
      <c r="F356" s="547" t="s">
        <v>879</v>
      </c>
      <c r="G356" s="547"/>
      <c r="H356" s="541">
        <f t="shared" si="16"/>
        <v>36520</v>
      </c>
      <c r="I356" s="541">
        <f t="shared" si="14"/>
        <v>6573.5999999999995</v>
      </c>
      <c r="J356" s="543">
        <v>43093.599999999999</v>
      </c>
      <c r="K356" s="816" t="s">
        <v>857</v>
      </c>
      <c r="L356" s="544" t="s">
        <v>58</v>
      </c>
      <c r="M356" s="536"/>
      <c r="N356" s="536"/>
      <c r="O356" s="536"/>
      <c r="P356" s="536"/>
      <c r="Q356" s="547"/>
      <c r="R356" s="547"/>
      <c r="S356" s="548"/>
      <c r="T356" s="548"/>
      <c r="U356" s="548"/>
      <c r="V356" s="548"/>
      <c r="W356" s="548"/>
      <c r="X356" s="549"/>
    </row>
    <row r="357" spans="3:24" s="550" customFormat="1" ht="12.95" customHeight="1">
      <c r="C357" s="552" t="s">
        <v>794</v>
      </c>
      <c r="D357" s="537" t="s">
        <v>873</v>
      </c>
      <c r="E357" s="538"/>
      <c r="F357" s="547" t="s">
        <v>880</v>
      </c>
      <c r="G357" s="547"/>
      <c r="H357" s="541">
        <f t="shared" si="16"/>
        <v>29000</v>
      </c>
      <c r="I357" s="541">
        <f t="shared" si="14"/>
        <v>5220</v>
      </c>
      <c r="J357" s="543">
        <v>34220</v>
      </c>
      <c r="K357" s="813" t="s">
        <v>856</v>
      </c>
      <c r="L357" s="544" t="s">
        <v>58</v>
      </c>
      <c r="M357" s="536"/>
      <c r="N357" s="536"/>
      <c r="O357" s="536"/>
      <c r="P357" s="536"/>
      <c r="Q357" s="547"/>
      <c r="R357" s="547"/>
      <c r="S357" s="548"/>
      <c r="T357" s="548"/>
      <c r="U357" s="548"/>
      <c r="V357" s="548"/>
      <c r="W357" s="548"/>
      <c r="X357" s="549"/>
    </row>
    <row r="358" spans="3:24" s="550" customFormat="1" ht="12.95" customHeight="1">
      <c r="C358" s="552" t="s">
        <v>881</v>
      </c>
      <c r="D358" s="537" t="s">
        <v>873</v>
      </c>
      <c r="E358" s="538"/>
      <c r="F358" s="547" t="s">
        <v>882</v>
      </c>
      <c r="G358" s="547"/>
      <c r="H358" s="541">
        <f t="shared" si="16"/>
        <v>13000</v>
      </c>
      <c r="I358" s="541">
        <f t="shared" si="14"/>
        <v>2340</v>
      </c>
      <c r="J358" s="543">
        <v>15340</v>
      </c>
      <c r="K358" s="813" t="s">
        <v>514</v>
      </c>
      <c r="L358" s="544" t="s">
        <v>58</v>
      </c>
      <c r="M358" s="536"/>
      <c r="N358" s="536"/>
      <c r="O358" s="536"/>
      <c r="P358" s="536"/>
      <c r="Q358" s="547"/>
      <c r="R358" s="547"/>
      <c r="S358" s="548"/>
      <c r="T358" s="548"/>
      <c r="U358" s="548"/>
      <c r="V358" s="548"/>
      <c r="W358" s="548"/>
      <c r="X358" s="549"/>
    </row>
    <row r="359" spans="3:24" s="550" customFormat="1" ht="12.95" customHeight="1">
      <c r="C359" s="552" t="s">
        <v>881</v>
      </c>
      <c r="D359" s="537" t="s">
        <v>873</v>
      </c>
      <c r="E359" s="538"/>
      <c r="F359" s="547" t="s">
        <v>883</v>
      </c>
      <c r="G359" s="547"/>
      <c r="H359" s="541">
        <f t="shared" si="16"/>
        <v>13000</v>
      </c>
      <c r="I359" s="541">
        <f t="shared" si="14"/>
        <v>2340</v>
      </c>
      <c r="J359" s="543">
        <v>15340</v>
      </c>
      <c r="K359" s="812" t="s">
        <v>503</v>
      </c>
      <c r="L359" s="544" t="s">
        <v>58</v>
      </c>
      <c r="M359" s="536"/>
      <c r="N359" s="536"/>
      <c r="O359" s="536"/>
      <c r="P359" s="536"/>
      <c r="Q359" s="547"/>
      <c r="R359" s="547"/>
      <c r="S359" s="548"/>
      <c r="T359" s="548"/>
      <c r="U359" s="548"/>
      <c r="V359" s="548"/>
      <c r="W359" s="548"/>
      <c r="X359" s="549"/>
    </row>
    <row r="360" spans="3:24" s="550" customFormat="1" ht="12.95" customHeight="1">
      <c r="C360" s="552" t="s">
        <v>723</v>
      </c>
      <c r="D360" s="537" t="s">
        <v>873</v>
      </c>
      <c r="E360" s="538"/>
      <c r="F360" s="547" t="s">
        <v>884</v>
      </c>
      <c r="G360" s="547"/>
      <c r="H360" s="541">
        <f t="shared" si="16"/>
        <v>27495</v>
      </c>
      <c r="I360" s="541">
        <f t="shared" si="14"/>
        <v>4949.0999999999995</v>
      </c>
      <c r="J360" s="543">
        <v>32444.1</v>
      </c>
      <c r="K360" s="812" t="s">
        <v>503</v>
      </c>
      <c r="L360" s="544" t="s">
        <v>58</v>
      </c>
      <c r="M360" s="536"/>
      <c r="N360" s="536"/>
      <c r="O360" s="536"/>
      <c r="P360" s="536"/>
      <c r="Q360" s="547"/>
      <c r="R360" s="547"/>
      <c r="S360" s="548"/>
      <c r="T360" s="548"/>
      <c r="U360" s="548"/>
      <c r="V360" s="548"/>
      <c r="W360" s="548"/>
      <c r="X360" s="549"/>
    </row>
    <row r="361" spans="3:24" s="550" customFormat="1" ht="12.95" customHeight="1">
      <c r="C361" s="552" t="s">
        <v>725</v>
      </c>
      <c r="D361" s="537" t="s">
        <v>873</v>
      </c>
      <c r="E361" s="538"/>
      <c r="F361" s="547" t="s">
        <v>885</v>
      </c>
      <c r="G361" s="547"/>
      <c r="H361" s="541">
        <f t="shared" si="16"/>
        <v>409000</v>
      </c>
      <c r="I361" s="541">
        <f t="shared" si="14"/>
        <v>73620</v>
      </c>
      <c r="J361" s="543">
        <v>482620</v>
      </c>
      <c r="K361" s="812" t="s">
        <v>503</v>
      </c>
      <c r="L361" s="544" t="s">
        <v>58</v>
      </c>
      <c r="M361" s="536"/>
      <c r="N361" s="536"/>
      <c r="O361" s="536"/>
      <c r="P361" s="536"/>
      <c r="Q361" s="547"/>
      <c r="R361" s="547"/>
      <c r="S361" s="548"/>
      <c r="T361" s="548"/>
      <c r="U361" s="548"/>
      <c r="V361" s="548"/>
      <c r="W361" s="548"/>
      <c r="X361" s="549"/>
    </row>
    <row r="362" spans="3:24" s="550" customFormat="1" ht="12.95" customHeight="1">
      <c r="C362" s="552" t="s">
        <v>632</v>
      </c>
      <c r="D362" s="537" t="s">
        <v>873</v>
      </c>
      <c r="E362" s="538"/>
      <c r="F362" s="547" t="s">
        <v>886</v>
      </c>
      <c r="G362" s="547"/>
      <c r="H362" s="541">
        <f t="shared" si="16"/>
        <v>17750</v>
      </c>
      <c r="I362" s="541">
        <f t="shared" si="14"/>
        <v>3195</v>
      </c>
      <c r="J362" s="543">
        <v>20945</v>
      </c>
      <c r="K362" s="812" t="s">
        <v>503</v>
      </c>
      <c r="L362" s="544" t="s">
        <v>58</v>
      </c>
      <c r="M362" s="536"/>
      <c r="N362" s="536"/>
      <c r="O362" s="536"/>
      <c r="P362" s="536"/>
      <c r="Q362" s="547"/>
      <c r="R362" s="547"/>
      <c r="S362" s="548"/>
      <c r="T362" s="548"/>
      <c r="U362" s="548"/>
      <c r="V362" s="548"/>
      <c r="W362" s="548"/>
      <c r="X362" s="549"/>
    </row>
    <row r="363" spans="3:24" s="550" customFormat="1" ht="12.95" customHeight="1">
      <c r="C363" s="552" t="s">
        <v>626</v>
      </c>
      <c r="D363" s="537" t="s">
        <v>873</v>
      </c>
      <c r="E363" s="538"/>
      <c r="F363" s="547" t="s">
        <v>887</v>
      </c>
      <c r="G363" s="547"/>
      <c r="H363" s="541">
        <f t="shared" si="16"/>
        <v>206250</v>
      </c>
      <c r="I363" s="541">
        <f t="shared" si="14"/>
        <v>37125</v>
      </c>
      <c r="J363" s="543">
        <v>243375</v>
      </c>
      <c r="K363" s="812" t="s">
        <v>503</v>
      </c>
      <c r="L363" s="544" t="s">
        <v>58</v>
      </c>
      <c r="M363" s="536"/>
      <c r="N363" s="536"/>
      <c r="O363" s="536"/>
      <c r="P363" s="536"/>
      <c r="Q363" s="547"/>
      <c r="R363" s="547"/>
      <c r="S363" s="548"/>
      <c r="T363" s="548"/>
      <c r="U363" s="548"/>
      <c r="V363" s="548"/>
      <c r="W363" s="548"/>
      <c r="X363" s="549"/>
    </row>
    <row r="364" spans="3:24" s="550" customFormat="1" ht="12.95" customHeight="1">
      <c r="C364" s="552" t="s">
        <v>888</v>
      </c>
      <c r="D364" s="537" t="s">
        <v>889</v>
      </c>
      <c r="E364" s="538"/>
      <c r="F364" s="547" t="s">
        <v>890</v>
      </c>
      <c r="G364" s="547"/>
      <c r="H364" s="541">
        <f t="shared" si="16"/>
        <v>500500</v>
      </c>
      <c r="I364" s="541">
        <f t="shared" si="14"/>
        <v>90090</v>
      </c>
      <c r="J364" s="543">
        <v>590590</v>
      </c>
      <c r="K364" s="813" t="s">
        <v>514</v>
      </c>
      <c r="L364" s="544" t="s">
        <v>58</v>
      </c>
      <c r="M364" s="536"/>
      <c r="N364" s="536"/>
      <c r="O364" s="536"/>
      <c r="P364" s="536"/>
      <c r="Q364" s="547"/>
      <c r="R364" s="547"/>
      <c r="S364" s="548"/>
      <c r="T364" s="548"/>
      <c r="U364" s="548"/>
      <c r="V364" s="548"/>
      <c r="W364" s="548"/>
      <c r="X364" s="549"/>
    </row>
    <row r="365" spans="3:24" s="550" customFormat="1" ht="12.95" customHeight="1">
      <c r="C365" s="552" t="s">
        <v>588</v>
      </c>
      <c r="D365" s="537" t="s">
        <v>889</v>
      </c>
      <c r="E365" s="538"/>
      <c r="F365" s="547" t="s">
        <v>891</v>
      </c>
      <c r="G365" s="547"/>
      <c r="H365" s="541">
        <f t="shared" si="16"/>
        <v>76713.94915254238</v>
      </c>
      <c r="I365" s="541">
        <f t="shared" si="14"/>
        <v>13808.510847457628</v>
      </c>
      <c r="J365" s="543">
        <v>90522.46</v>
      </c>
      <c r="K365" s="813" t="s">
        <v>474</v>
      </c>
      <c r="L365" s="544" t="s">
        <v>24</v>
      </c>
      <c r="M365" s="536"/>
      <c r="N365" s="536"/>
      <c r="O365" s="536"/>
      <c r="P365" s="536"/>
      <c r="Q365" s="547"/>
      <c r="R365" s="547"/>
      <c r="S365" s="548"/>
      <c r="T365" s="548"/>
      <c r="U365" s="548"/>
      <c r="V365" s="548"/>
      <c r="W365" s="548"/>
      <c r="X365" s="549"/>
    </row>
    <row r="366" spans="3:24" s="550" customFormat="1" ht="12.95" customHeight="1">
      <c r="C366" s="552" t="s">
        <v>888</v>
      </c>
      <c r="D366" s="537" t="s">
        <v>889</v>
      </c>
      <c r="E366" s="538"/>
      <c r="F366" s="547" t="s">
        <v>892</v>
      </c>
      <c r="G366" s="547"/>
      <c r="H366" s="541">
        <f t="shared" si="16"/>
        <v>500500</v>
      </c>
      <c r="I366" s="541">
        <f t="shared" si="14"/>
        <v>90090</v>
      </c>
      <c r="J366" s="543">
        <v>590590</v>
      </c>
      <c r="K366" s="812" t="s">
        <v>503</v>
      </c>
      <c r="L366" s="544" t="s">
        <v>58</v>
      </c>
      <c r="M366" s="536"/>
      <c r="N366" s="536"/>
      <c r="O366" s="536"/>
      <c r="P366" s="536"/>
      <c r="Q366" s="547"/>
      <c r="R366" s="547"/>
      <c r="S366" s="548"/>
      <c r="T366" s="548"/>
      <c r="U366" s="548"/>
      <c r="V366" s="548"/>
      <c r="W366" s="548"/>
      <c r="X366" s="549"/>
    </row>
    <row r="367" spans="3:24" s="550" customFormat="1" ht="12.95" customHeight="1">
      <c r="C367" s="552" t="s">
        <v>630</v>
      </c>
      <c r="D367" s="537" t="s">
        <v>889</v>
      </c>
      <c r="E367" s="538"/>
      <c r="F367" s="547" t="s">
        <v>893</v>
      </c>
      <c r="G367" s="547"/>
      <c r="H367" s="541">
        <f t="shared" si="16"/>
        <v>12700</v>
      </c>
      <c r="I367" s="541">
        <f t="shared" si="14"/>
        <v>2286</v>
      </c>
      <c r="J367" s="543">
        <v>14986</v>
      </c>
      <c r="K367" s="813" t="s">
        <v>514</v>
      </c>
      <c r="L367" s="544" t="s">
        <v>58</v>
      </c>
      <c r="M367" s="536"/>
      <c r="N367" s="536"/>
      <c r="O367" s="536"/>
      <c r="P367" s="536"/>
      <c r="Q367" s="547"/>
      <c r="R367" s="547"/>
      <c r="S367" s="548"/>
      <c r="T367" s="548"/>
      <c r="U367" s="548"/>
      <c r="V367" s="548"/>
      <c r="W367" s="548"/>
      <c r="X367" s="549"/>
    </row>
    <row r="368" spans="3:24" ht="12.95" customHeight="1">
      <c r="C368" s="552" t="s">
        <v>723</v>
      </c>
      <c r="D368" s="537" t="s">
        <v>889</v>
      </c>
      <c r="E368" s="538"/>
      <c r="F368" s="547" t="s">
        <v>894</v>
      </c>
      <c r="G368" s="547"/>
      <c r="H368" s="541">
        <f t="shared" si="16"/>
        <v>30450</v>
      </c>
      <c r="I368" s="541">
        <f t="shared" si="14"/>
        <v>5481</v>
      </c>
      <c r="J368" s="543">
        <v>35931</v>
      </c>
      <c r="K368" s="813" t="s">
        <v>514</v>
      </c>
      <c r="L368" s="544" t="s">
        <v>58</v>
      </c>
      <c r="M368" s="536"/>
      <c r="N368" s="536"/>
      <c r="O368" s="593"/>
      <c r="P368" s="593"/>
      <c r="Q368" s="547"/>
      <c r="R368" s="547"/>
      <c r="S368" s="548"/>
      <c r="T368" s="548"/>
      <c r="U368" s="548"/>
      <c r="V368" s="548"/>
      <c r="W368" s="548"/>
      <c r="X368" s="594"/>
    </row>
    <row r="369" spans="3:24" ht="12.95" customHeight="1">
      <c r="C369" s="552" t="s">
        <v>626</v>
      </c>
      <c r="D369" s="537" t="s">
        <v>889</v>
      </c>
      <c r="E369" s="538"/>
      <c r="F369" s="547" t="s">
        <v>895</v>
      </c>
      <c r="G369" s="547"/>
      <c r="H369" s="541">
        <f t="shared" si="16"/>
        <v>56000</v>
      </c>
      <c r="I369" s="541">
        <f t="shared" si="14"/>
        <v>10080</v>
      </c>
      <c r="J369" s="543">
        <v>66080</v>
      </c>
      <c r="K369" s="813" t="s">
        <v>514</v>
      </c>
      <c r="L369" s="544" t="s">
        <v>58</v>
      </c>
      <c r="M369" s="536"/>
      <c r="N369" s="536"/>
      <c r="O369" s="593"/>
      <c r="P369" s="593"/>
      <c r="Q369" s="547"/>
      <c r="R369" s="547"/>
      <c r="S369" s="548"/>
      <c r="T369" s="548"/>
      <c r="U369" s="548"/>
      <c r="V369" s="548"/>
      <c r="W369" s="548"/>
      <c r="X369" s="594"/>
    </row>
    <row r="370" spans="3:24" ht="12.95" customHeight="1">
      <c r="C370" s="552" t="s">
        <v>875</v>
      </c>
      <c r="D370" s="537" t="s">
        <v>889</v>
      </c>
      <c r="E370" s="538"/>
      <c r="F370" s="547" t="s">
        <v>896</v>
      </c>
      <c r="G370" s="547"/>
      <c r="H370" s="541">
        <f t="shared" si="16"/>
        <v>58930</v>
      </c>
      <c r="I370" s="541">
        <f t="shared" si="14"/>
        <v>10607.4</v>
      </c>
      <c r="J370" s="543">
        <v>69537.399999999994</v>
      </c>
      <c r="K370" s="813" t="s">
        <v>514</v>
      </c>
      <c r="L370" s="544" t="s">
        <v>58</v>
      </c>
      <c r="M370" s="536"/>
      <c r="N370" s="536"/>
      <c r="O370" s="593"/>
      <c r="P370" s="593"/>
      <c r="Q370" s="547"/>
      <c r="R370" s="547"/>
      <c r="S370" s="548"/>
      <c r="T370" s="548"/>
      <c r="U370" s="548"/>
      <c r="V370" s="548"/>
      <c r="W370" s="548"/>
      <c r="X370" s="594"/>
    </row>
    <row r="371" spans="3:24" ht="12.95" customHeight="1">
      <c r="C371" s="552" t="s">
        <v>826</v>
      </c>
      <c r="D371" s="537" t="s">
        <v>889</v>
      </c>
      <c r="E371" s="538"/>
      <c r="F371" s="547" t="s">
        <v>897</v>
      </c>
      <c r="G371" s="547"/>
      <c r="H371" s="541">
        <f t="shared" si="16"/>
        <v>61500</v>
      </c>
      <c r="I371" s="541">
        <f t="shared" si="14"/>
        <v>11070</v>
      </c>
      <c r="J371" s="543">
        <v>72570</v>
      </c>
      <c r="K371" s="813" t="s">
        <v>514</v>
      </c>
      <c r="L371" s="544" t="s">
        <v>58</v>
      </c>
      <c r="M371" s="536"/>
      <c r="N371" s="536"/>
      <c r="O371" s="593"/>
      <c r="P371" s="593"/>
      <c r="Q371" s="547"/>
      <c r="R371" s="547"/>
      <c r="S371" s="548"/>
      <c r="T371" s="548"/>
      <c r="U371" s="548"/>
      <c r="V371" s="548"/>
      <c r="W371" s="548"/>
      <c r="X371" s="594"/>
    </row>
    <row r="372" spans="3:24" ht="12.95" customHeight="1">
      <c r="C372" s="552" t="s">
        <v>630</v>
      </c>
      <c r="D372" s="537" t="s">
        <v>889</v>
      </c>
      <c r="E372" s="538"/>
      <c r="F372" s="547" t="s">
        <v>898</v>
      </c>
      <c r="G372" s="547"/>
      <c r="H372" s="541">
        <f t="shared" si="16"/>
        <v>188000</v>
      </c>
      <c r="I372" s="541">
        <f t="shared" si="14"/>
        <v>33840</v>
      </c>
      <c r="J372" s="543">
        <v>221840</v>
      </c>
      <c r="K372" s="813" t="s">
        <v>514</v>
      </c>
      <c r="L372" s="544" t="s">
        <v>58</v>
      </c>
      <c r="M372" s="536"/>
      <c r="N372" s="536"/>
      <c r="O372" s="593"/>
      <c r="P372" s="593"/>
      <c r="Q372" s="547"/>
      <c r="R372" s="547"/>
      <c r="S372" s="548"/>
      <c r="T372" s="548"/>
      <c r="U372" s="548"/>
      <c r="V372" s="548"/>
      <c r="W372" s="548"/>
      <c r="X372" s="594"/>
    </row>
    <row r="373" spans="3:24" ht="12.95" customHeight="1">
      <c r="C373" s="552" t="s">
        <v>632</v>
      </c>
      <c r="D373" s="537" t="s">
        <v>889</v>
      </c>
      <c r="E373" s="538"/>
      <c r="F373" s="547" t="s">
        <v>899</v>
      </c>
      <c r="G373" s="547"/>
      <c r="H373" s="541">
        <f t="shared" si="16"/>
        <v>41800</v>
      </c>
      <c r="I373" s="541">
        <f t="shared" si="14"/>
        <v>7524</v>
      </c>
      <c r="J373" s="543">
        <v>49324</v>
      </c>
      <c r="K373" s="813" t="s">
        <v>514</v>
      </c>
      <c r="L373" s="544" t="s">
        <v>58</v>
      </c>
      <c r="M373" s="536"/>
      <c r="N373" s="536"/>
      <c r="O373" s="593"/>
      <c r="P373" s="593"/>
      <c r="Q373" s="547"/>
      <c r="R373" s="547"/>
      <c r="S373" s="548"/>
      <c r="T373" s="548"/>
      <c r="U373" s="548"/>
      <c r="V373" s="548"/>
      <c r="W373" s="548"/>
      <c r="X373" s="594"/>
    </row>
    <row r="374" spans="3:24" ht="12.95" customHeight="1">
      <c r="C374" s="552" t="s">
        <v>875</v>
      </c>
      <c r="D374" s="537" t="s">
        <v>889</v>
      </c>
      <c r="E374" s="538"/>
      <c r="F374" s="547" t="s">
        <v>900</v>
      </c>
      <c r="G374" s="547"/>
      <c r="H374" s="541">
        <f t="shared" si="16"/>
        <v>36520</v>
      </c>
      <c r="I374" s="541">
        <f t="shared" si="14"/>
        <v>6573.5999999999995</v>
      </c>
      <c r="J374" s="543">
        <v>43093.599999999999</v>
      </c>
      <c r="K374" s="813" t="s">
        <v>859</v>
      </c>
      <c r="L374" s="544" t="s">
        <v>58</v>
      </c>
      <c r="M374" s="536"/>
      <c r="N374" s="536"/>
      <c r="O374" s="593"/>
      <c r="P374" s="593"/>
      <c r="Q374" s="547"/>
      <c r="R374" s="547"/>
      <c r="S374" s="548"/>
      <c r="T374" s="548"/>
      <c r="U374" s="548"/>
      <c r="V374" s="548"/>
      <c r="W374" s="548"/>
      <c r="X374" s="594"/>
    </row>
    <row r="375" spans="3:24" ht="12.95" customHeight="1">
      <c r="C375" s="552" t="s">
        <v>632</v>
      </c>
      <c r="D375" s="537" t="s">
        <v>889</v>
      </c>
      <c r="E375" s="538"/>
      <c r="F375" s="547" t="s">
        <v>901</v>
      </c>
      <c r="G375" s="547"/>
      <c r="H375" s="541">
        <f t="shared" si="16"/>
        <v>78450</v>
      </c>
      <c r="I375" s="541">
        <f t="shared" si="14"/>
        <v>14121</v>
      </c>
      <c r="J375" s="543">
        <v>92571</v>
      </c>
      <c r="K375" s="813" t="s">
        <v>859</v>
      </c>
      <c r="L375" s="544" t="s">
        <v>58</v>
      </c>
      <c r="M375" s="536"/>
      <c r="N375" s="536"/>
      <c r="O375" s="593"/>
      <c r="P375" s="593"/>
      <c r="Q375" s="547"/>
      <c r="R375" s="547"/>
      <c r="S375" s="548"/>
      <c r="T375" s="548"/>
      <c r="U375" s="548"/>
      <c r="V375" s="548"/>
      <c r="W375" s="548"/>
      <c r="X375" s="594"/>
    </row>
    <row r="376" spans="3:24" ht="12.95" customHeight="1">
      <c r="C376" s="552" t="s">
        <v>626</v>
      </c>
      <c r="D376" s="537" t="s">
        <v>889</v>
      </c>
      <c r="E376" s="538"/>
      <c r="F376" s="547" t="s">
        <v>902</v>
      </c>
      <c r="G376" s="547"/>
      <c r="H376" s="541">
        <f t="shared" si="16"/>
        <v>112000</v>
      </c>
      <c r="I376" s="541">
        <f t="shared" si="14"/>
        <v>20160</v>
      </c>
      <c r="J376" s="543">
        <v>132160</v>
      </c>
      <c r="K376" s="813" t="s">
        <v>859</v>
      </c>
      <c r="L376" s="544" t="s">
        <v>58</v>
      </c>
      <c r="M376" s="536"/>
      <c r="N376" s="536"/>
      <c r="O376" s="593"/>
      <c r="P376" s="593"/>
      <c r="Q376" s="547"/>
      <c r="R376" s="547"/>
      <c r="S376" s="548"/>
      <c r="T376" s="548"/>
      <c r="U376" s="548"/>
      <c r="V376" s="548"/>
      <c r="W376" s="548"/>
      <c r="X376" s="594"/>
    </row>
    <row r="377" spans="3:24" ht="12.95" customHeight="1">
      <c r="C377" s="552" t="s">
        <v>723</v>
      </c>
      <c r="D377" s="537" t="s">
        <v>889</v>
      </c>
      <c r="E377" s="538"/>
      <c r="F377" s="547" t="s">
        <v>903</v>
      </c>
      <c r="G377" s="547"/>
      <c r="H377" s="541">
        <f t="shared" si="16"/>
        <v>23450</v>
      </c>
      <c r="I377" s="541">
        <f t="shared" si="14"/>
        <v>4221</v>
      </c>
      <c r="J377" s="543">
        <v>27671</v>
      </c>
      <c r="K377" s="813" t="s">
        <v>859</v>
      </c>
      <c r="L377" s="544" t="s">
        <v>58</v>
      </c>
      <c r="M377" s="536"/>
      <c r="N377" s="536"/>
      <c r="O377" s="593"/>
      <c r="P377" s="593"/>
      <c r="Q377" s="547"/>
      <c r="R377" s="547"/>
      <c r="S377" s="548"/>
      <c r="T377" s="548"/>
      <c r="U377" s="548"/>
      <c r="V377" s="548"/>
      <c r="W377" s="548"/>
      <c r="X377" s="594"/>
    </row>
    <row r="378" spans="3:24" ht="12.95" customHeight="1">
      <c r="C378" s="552" t="s">
        <v>630</v>
      </c>
      <c r="D378" s="537" t="s">
        <v>889</v>
      </c>
      <c r="E378" s="538"/>
      <c r="F378" s="547" t="s">
        <v>904</v>
      </c>
      <c r="G378" s="547"/>
      <c r="H378" s="541">
        <f t="shared" si="16"/>
        <v>68000</v>
      </c>
      <c r="I378" s="541">
        <f t="shared" si="14"/>
        <v>12240</v>
      </c>
      <c r="J378" s="543">
        <v>80240</v>
      </c>
      <c r="K378" s="813" t="s">
        <v>859</v>
      </c>
      <c r="L378" s="544" t="s">
        <v>58</v>
      </c>
      <c r="M378" s="536"/>
      <c r="N378" s="536"/>
      <c r="O378" s="593"/>
      <c r="P378" s="593"/>
      <c r="Q378" s="547"/>
      <c r="R378" s="547"/>
      <c r="S378" s="548"/>
      <c r="T378" s="548"/>
      <c r="U378" s="548"/>
      <c r="V378" s="548"/>
      <c r="W378" s="548"/>
      <c r="X378" s="594"/>
    </row>
    <row r="379" spans="3:24" ht="12.95" customHeight="1">
      <c r="C379" s="552" t="s">
        <v>888</v>
      </c>
      <c r="D379" s="537" t="s">
        <v>889</v>
      </c>
      <c r="E379" s="538"/>
      <c r="F379" s="547" t="s">
        <v>905</v>
      </c>
      <c r="G379" s="547"/>
      <c r="H379" s="541">
        <f t="shared" si="16"/>
        <v>225500</v>
      </c>
      <c r="I379" s="541">
        <f t="shared" si="14"/>
        <v>40590</v>
      </c>
      <c r="J379" s="543">
        <v>266090</v>
      </c>
      <c r="K379" s="813" t="s">
        <v>859</v>
      </c>
      <c r="L379" s="544" t="s">
        <v>58</v>
      </c>
      <c r="M379" s="536"/>
      <c r="N379" s="536"/>
      <c r="O379" s="593"/>
      <c r="P379" s="593"/>
      <c r="Q379" s="547"/>
      <c r="R379" s="547"/>
      <c r="S379" s="548"/>
      <c r="T379" s="548"/>
      <c r="U379" s="548"/>
      <c r="V379" s="548"/>
      <c r="W379" s="548"/>
      <c r="X379" s="594"/>
    </row>
    <row r="380" spans="3:24" ht="12.95" customHeight="1">
      <c r="C380" s="552" t="s">
        <v>875</v>
      </c>
      <c r="D380" s="537" t="s">
        <v>889</v>
      </c>
      <c r="E380" s="538"/>
      <c r="F380" s="547" t="s">
        <v>906</v>
      </c>
      <c r="G380" s="547"/>
      <c r="H380" s="541">
        <f t="shared" si="16"/>
        <v>36520</v>
      </c>
      <c r="I380" s="541">
        <f t="shared" ref="I380:I442" si="17">H380*18%</f>
        <v>6573.5999999999995</v>
      </c>
      <c r="J380" s="543">
        <v>43093.599999999999</v>
      </c>
      <c r="K380" s="813" t="s">
        <v>215</v>
      </c>
      <c r="L380" s="544" t="s">
        <v>58</v>
      </c>
      <c r="M380" s="536"/>
      <c r="N380" s="536"/>
      <c r="O380" s="593"/>
      <c r="P380" s="593"/>
      <c r="Q380" s="547"/>
      <c r="R380" s="547"/>
      <c r="S380" s="548"/>
      <c r="T380" s="548"/>
      <c r="U380" s="548"/>
      <c r="V380" s="548"/>
      <c r="W380" s="548"/>
      <c r="X380" s="594"/>
    </row>
    <row r="381" spans="3:24" ht="12.95" customHeight="1">
      <c r="C381" s="552" t="s">
        <v>632</v>
      </c>
      <c r="D381" s="537" t="s">
        <v>889</v>
      </c>
      <c r="E381" s="538"/>
      <c r="F381" s="547" t="s">
        <v>907</v>
      </c>
      <c r="G381" s="547"/>
      <c r="H381" s="541">
        <f t="shared" si="16"/>
        <v>78450</v>
      </c>
      <c r="I381" s="541">
        <f t="shared" si="17"/>
        <v>14121</v>
      </c>
      <c r="J381" s="543">
        <v>92571</v>
      </c>
      <c r="K381" s="813" t="s">
        <v>215</v>
      </c>
      <c r="L381" s="544" t="s">
        <v>58</v>
      </c>
      <c r="M381" s="536"/>
      <c r="N381" s="536"/>
      <c r="O381" s="593"/>
      <c r="P381" s="593"/>
      <c r="Q381" s="547"/>
      <c r="R381" s="547"/>
      <c r="S381" s="548"/>
      <c r="T381" s="548"/>
      <c r="U381" s="548"/>
      <c r="V381" s="548"/>
      <c r="W381" s="548"/>
      <c r="X381" s="594"/>
    </row>
    <row r="382" spans="3:24" ht="12.95" customHeight="1">
      <c r="C382" s="552" t="s">
        <v>732</v>
      </c>
      <c r="D382" s="537" t="s">
        <v>889</v>
      </c>
      <c r="E382" s="538"/>
      <c r="F382" s="547" t="s">
        <v>908</v>
      </c>
      <c r="G382" s="547"/>
      <c r="H382" s="541">
        <f t="shared" si="16"/>
        <v>30447.118644067796</v>
      </c>
      <c r="I382" s="541">
        <f t="shared" si="17"/>
        <v>5480.4813559322029</v>
      </c>
      <c r="J382" s="543">
        <v>35927.599999999999</v>
      </c>
      <c r="K382" s="813" t="s">
        <v>500</v>
      </c>
      <c r="L382" s="544" t="s">
        <v>55</v>
      </c>
      <c r="M382" s="536"/>
      <c r="N382" s="536"/>
      <c r="O382" s="593"/>
      <c r="P382" s="593"/>
      <c r="Q382" s="547"/>
      <c r="R382" s="547"/>
      <c r="S382" s="548"/>
      <c r="T382" s="548"/>
      <c r="U382" s="548"/>
      <c r="V382" s="548"/>
      <c r="W382" s="548"/>
      <c r="X382" s="594"/>
    </row>
    <row r="383" spans="3:24" ht="12.95" customHeight="1">
      <c r="C383" s="552" t="s">
        <v>816</v>
      </c>
      <c r="D383" s="537" t="s">
        <v>889</v>
      </c>
      <c r="E383" s="538"/>
      <c r="F383" s="547" t="s">
        <v>909</v>
      </c>
      <c r="G383" s="547"/>
      <c r="H383" s="541">
        <f t="shared" si="16"/>
        <v>151043.58474576272</v>
      </c>
      <c r="I383" s="541">
        <f t="shared" si="17"/>
        <v>27187.845254237291</v>
      </c>
      <c r="J383" s="543">
        <v>178231.43</v>
      </c>
      <c r="K383" s="813" t="s">
        <v>500</v>
      </c>
      <c r="L383" s="544" t="s">
        <v>55</v>
      </c>
      <c r="M383" s="536"/>
      <c r="N383" s="536"/>
      <c r="O383" s="593"/>
      <c r="P383" s="593"/>
      <c r="Q383" s="547"/>
      <c r="R383" s="547"/>
      <c r="S383" s="548"/>
      <c r="T383" s="548"/>
      <c r="U383" s="548"/>
      <c r="V383" s="548"/>
      <c r="W383" s="548"/>
      <c r="X383" s="594"/>
    </row>
    <row r="384" spans="3:24" ht="12.95" customHeight="1">
      <c r="C384" s="552" t="s">
        <v>588</v>
      </c>
      <c r="D384" s="537" t="s">
        <v>910</v>
      </c>
      <c r="E384" s="538"/>
      <c r="F384" s="819" t="s">
        <v>911</v>
      </c>
      <c r="G384" s="547"/>
      <c r="H384" s="541">
        <f t="shared" si="16"/>
        <v>0</v>
      </c>
      <c r="I384" s="541">
        <f t="shared" si="17"/>
        <v>0</v>
      </c>
      <c r="J384" s="543">
        <f>10040.55*0</f>
        <v>0</v>
      </c>
      <c r="K384" s="813" t="s">
        <v>518</v>
      </c>
      <c r="L384" s="544"/>
      <c r="M384" s="536" t="s">
        <v>863</v>
      </c>
      <c r="N384" s="536"/>
      <c r="O384" s="593"/>
      <c r="P384" s="593"/>
      <c r="Q384" s="547"/>
      <c r="R384" s="547"/>
      <c r="S384" s="548"/>
      <c r="T384" s="548"/>
      <c r="U384" s="548"/>
      <c r="V384" s="548"/>
      <c r="W384" s="548"/>
      <c r="X384" s="594"/>
    </row>
    <row r="385" spans="3:24" ht="12.95" customHeight="1">
      <c r="C385" s="552" t="s">
        <v>588</v>
      </c>
      <c r="D385" s="537" t="s">
        <v>910</v>
      </c>
      <c r="E385" s="538"/>
      <c r="F385" s="819" t="s">
        <v>912</v>
      </c>
      <c r="G385" s="547"/>
      <c r="H385" s="541">
        <f t="shared" si="16"/>
        <v>0</v>
      </c>
      <c r="I385" s="541">
        <f t="shared" si="17"/>
        <v>0</v>
      </c>
      <c r="J385" s="543">
        <f>100.42*0</f>
        <v>0</v>
      </c>
      <c r="K385" s="812" t="s">
        <v>509</v>
      </c>
      <c r="L385" s="544"/>
      <c r="M385" s="536" t="s">
        <v>863</v>
      </c>
      <c r="N385" s="536"/>
      <c r="O385" s="593"/>
      <c r="P385" s="593"/>
      <c r="Q385" s="547"/>
      <c r="R385" s="547"/>
      <c r="S385" s="548"/>
      <c r="T385" s="548"/>
      <c r="U385" s="548"/>
      <c r="V385" s="548"/>
      <c r="W385" s="548"/>
      <c r="X385" s="594"/>
    </row>
    <row r="386" spans="3:24" ht="12.95" customHeight="1">
      <c r="C386" s="552" t="s">
        <v>588</v>
      </c>
      <c r="D386" s="537" t="s">
        <v>910</v>
      </c>
      <c r="E386" s="538"/>
      <c r="F386" s="819" t="s">
        <v>913</v>
      </c>
      <c r="G386" s="547"/>
      <c r="H386" s="541">
        <f t="shared" si="16"/>
        <v>0</v>
      </c>
      <c r="I386" s="541">
        <f t="shared" si="17"/>
        <v>0</v>
      </c>
      <c r="J386" s="543">
        <f>10591.8*0</f>
        <v>0</v>
      </c>
      <c r="K386" s="813" t="s">
        <v>508</v>
      </c>
      <c r="L386" s="544"/>
      <c r="M386" s="536" t="s">
        <v>863</v>
      </c>
      <c r="N386" s="536"/>
      <c r="O386" s="593"/>
      <c r="P386" s="593"/>
      <c r="Q386" s="547"/>
      <c r="R386" s="547"/>
      <c r="S386" s="548"/>
      <c r="T386" s="548"/>
      <c r="U386" s="548"/>
      <c r="V386" s="548"/>
      <c r="W386" s="548"/>
      <c r="X386" s="594"/>
    </row>
    <row r="387" spans="3:24" ht="12.95" customHeight="1">
      <c r="C387" s="552" t="s">
        <v>588</v>
      </c>
      <c r="D387" s="537" t="s">
        <v>910</v>
      </c>
      <c r="E387" s="538"/>
      <c r="F387" s="819" t="s">
        <v>914</v>
      </c>
      <c r="G387" s="547"/>
      <c r="H387" s="541">
        <f t="shared" si="16"/>
        <v>0</v>
      </c>
      <c r="I387" s="541">
        <f t="shared" si="17"/>
        <v>0</v>
      </c>
      <c r="J387" s="543">
        <f>26184.19*0</f>
        <v>0</v>
      </c>
      <c r="K387" s="813" t="s">
        <v>501</v>
      </c>
      <c r="L387" s="544"/>
      <c r="M387" s="536" t="s">
        <v>863</v>
      </c>
      <c r="N387" s="536"/>
      <c r="O387" s="593"/>
      <c r="P387" s="593"/>
      <c r="Q387" s="547"/>
      <c r="R387" s="547"/>
      <c r="S387" s="548"/>
      <c r="T387" s="548"/>
      <c r="U387" s="548"/>
      <c r="V387" s="548"/>
      <c r="W387" s="548"/>
      <c r="X387" s="594"/>
    </row>
    <row r="388" spans="3:24" ht="12.95" customHeight="1">
      <c r="C388" s="552" t="s">
        <v>588</v>
      </c>
      <c r="D388" s="537" t="s">
        <v>910</v>
      </c>
      <c r="E388" s="538"/>
      <c r="F388" s="819" t="s">
        <v>915</v>
      </c>
      <c r="G388" s="547"/>
      <c r="H388" s="541">
        <f t="shared" si="16"/>
        <v>0</v>
      </c>
      <c r="I388" s="541">
        <f t="shared" si="17"/>
        <v>0</v>
      </c>
      <c r="J388" s="543">
        <f>13229.9*0</f>
        <v>0</v>
      </c>
      <c r="K388" s="813" t="s">
        <v>500</v>
      </c>
      <c r="L388" s="544"/>
      <c r="M388" s="536" t="s">
        <v>863</v>
      </c>
      <c r="N388" s="536"/>
      <c r="O388" s="593"/>
      <c r="P388" s="593"/>
      <c r="Q388" s="547"/>
      <c r="R388" s="547"/>
      <c r="S388" s="548"/>
      <c r="T388" s="548"/>
      <c r="U388" s="548"/>
      <c r="V388" s="548"/>
      <c r="W388" s="548"/>
      <c r="X388" s="594"/>
    </row>
    <row r="389" spans="3:24" ht="12.95" customHeight="1">
      <c r="C389" s="552" t="s">
        <v>588</v>
      </c>
      <c r="D389" s="537" t="s">
        <v>910</v>
      </c>
      <c r="E389" s="538"/>
      <c r="F389" s="819" t="s">
        <v>916</v>
      </c>
      <c r="G389" s="547"/>
      <c r="H389" s="541">
        <f t="shared" si="16"/>
        <v>0</v>
      </c>
      <c r="I389" s="541">
        <f t="shared" si="17"/>
        <v>0</v>
      </c>
      <c r="J389" s="543">
        <f>29078.22*0</f>
        <v>0</v>
      </c>
      <c r="K389" s="813" t="s">
        <v>356</v>
      </c>
      <c r="L389" s="544"/>
      <c r="M389" s="536" t="s">
        <v>863</v>
      </c>
      <c r="N389" s="536"/>
      <c r="O389" s="593"/>
      <c r="P389" s="593"/>
      <c r="Q389" s="547"/>
      <c r="R389" s="547"/>
      <c r="S389" s="548"/>
      <c r="T389" s="548"/>
      <c r="U389" s="548"/>
      <c r="V389" s="548"/>
      <c r="W389" s="548"/>
      <c r="X389" s="594"/>
    </row>
    <row r="390" spans="3:24" ht="12.95" customHeight="1">
      <c r="C390" s="552" t="s">
        <v>917</v>
      </c>
      <c r="D390" s="537" t="s">
        <v>910</v>
      </c>
      <c r="E390" s="538"/>
      <c r="F390" s="547" t="s">
        <v>918</v>
      </c>
      <c r="G390" s="547"/>
      <c r="H390" s="541">
        <f t="shared" si="16"/>
        <v>228528</v>
      </c>
      <c r="I390" s="541">
        <f t="shared" si="17"/>
        <v>41135.040000000001</v>
      </c>
      <c r="J390" s="543">
        <v>269663.03999999998</v>
      </c>
      <c r="K390" s="813" t="s">
        <v>501</v>
      </c>
      <c r="L390" s="544" t="s">
        <v>58</v>
      </c>
      <c r="M390" s="536"/>
      <c r="N390" s="536"/>
      <c r="O390" s="593"/>
      <c r="P390" s="593"/>
      <c r="Q390" s="547"/>
      <c r="R390" s="547"/>
      <c r="S390" s="548"/>
      <c r="T390" s="548"/>
      <c r="U390" s="548"/>
      <c r="V390" s="548"/>
      <c r="W390" s="548"/>
      <c r="X390" s="594"/>
    </row>
    <row r="391" spans="3:24" ht="12.95" customHeight="1">
      <c r="C391" s="552" t="s">
        <v>919</v>
      </c>
      <c r="D391" s="537" t="s">
        <v>920</v>
      </c>
      <c r="E391" s="538"/>
      <c r="F391" s="547" t="s">
        <v>921</v>
      </c>
      <c r="G391" s="547"/>
      <c r="H391" s="541">
        <f t="shared" si="16"/>
        <v>155992.5</v>
      </c>
      <c r="I391" s="541">
        <f t="shared" si="17"/>
        <v>28078.649999999998</v>
      </c>
      <c r="J391" s="543">
        <v>184071.15</v>
      </c>
      <c r="K391" s="813" t="s">
        <v>506</v>
      </c>
      <c r="L391" s="544" t="s">
        <v>55</v>
      </c>
      <c r="M391" s="536"/>
      <c r="N391" s="536"/>
      <c r="O391" s="593"/>
      <c r="P391" s="593"/>
      <c r="Q391" s="547"/>
      <c r="R391" s="547"/>
      <c r="S391" s="548"/>
      <c r="T391" s="548"/>
      <c r="U391" s="548"/>
      <c r="V391" s="548"/>
      <c r="W391" s="548"/>
      <c r="X391" s="594"/>
    </row>
    <row r="392" spans="3:24" ht="12.95" customHeight="1">
      <c r="C392" s="552" t="s">
        <v>919</v>
      </c>
      <c r="D392" s="537" t="s">
        <v>920</v>
      </c>
      <c r="E392" s="538"/>
      <c r="F392" s="547" t="s">
        <v>922</v>
      </c>
      <c r="G392" s="547"/>
      <c r="H392" s="541">
        <f t="shared" si="16"/>
        <v>155992.5</v>
      </c>
      <c r="I392" s="541">
        <f t="shared" si="17"/>
        <v>28078.649999999998</v>
      </c>
      <c r="J392" s="543">
        <v>184071.15</v>
      </c>
      <c r="K392" s="813" t="s">
        <v>505</v>
      </c>
      <c r="L392" s="544" t="s">
        <v>55</v>
      </c>
      <c r="M392" s="536"/>
      <c r="N392" s="536"/>
      <c r="O392" s="593"/>
      <c r="P392" s="593"/>
      <c r="Q392" s="547"/>
      <c r="R392" s="547"/>
      <c r="S392" s="548"/>
      <c r="T392" s="548"/>
      <c r="U392" s="548"/>
      <c r="V392" s="548"/>
      <c r="W392" s="548"/>
      <c r="X392" s="594"/>
    </row>
    <row r="393" spans="3:24" ht="12.95" customHeight="1">
      <c r="C393" s="552" t="s">
        <v>826</v>
      </c>
      <c r="D393" s="537" t="s">
        <v>923</v>
      </c>
      <c r="E393" s="538"/>
      <c r="F393" s="547" t="s">
        <v>924</v>
      </c>
      <c r="G393" s="547"/>
      <c r="H393" s="541">
        <f t="shared" si="16"/>
        <v>21900</v>
      </c>
      <c r="I393" s="541">
        <f t="shared" si="17"/>
        <v>3942</v>
      </c>
      <c r="J393" s="543">
        <v>25842</v>
      </c>
      <c r="K393" s="813" t="s">
        <v>856</v>
      </c>
      <c r="L393" s="544" t="s">
        <v>58</v>
      </c>
      <c r="M393" s="536"/>
      <c r="N393" s="536"/>
      <c r="O393" s="593"/>
      <c r="P393" s="593"/>
      <c r="Q393" s="547"/>
      <c r="R393" s="547"/>
      <c r="S393" s="548"/>
      <c r="T393" s="548"/>
      <c r="U393" s="548"/>
      <c r="V393" s="548"/>
      <c r="W393" s="548"/>
      <c r="X393" s="594"/>
    </row>
    <row r="394" spans="3:24" ht="12.95" customHeight="1">
      <c r="C394" s="552" t="s">
        <v>630</v>
      </c>
      <c r="D394" s="537" t="s">
        <v>923</v>
      </c>
      <c r="E394" s="538"/>
      <c r="F394" s="547" t="s">
        <v>925</v>
      </c>
      <c r="G394" s="547"/>
      <c r="H394" s="541">
        <f t="shared" si="16"/>
        <v>164200</v>
      </c>
      <c r="I394" s="541">
        <f t="shared" si="17"/>
        <v>29556</v>
      </c>
      <c r="J394" s="543">
        <v>193756</v>
      </c>
      <c r="K394" s="813" t="s">
        <v>856</v>
      </c>
      <c r="L394" s="544" t="s">
        <v>58</v>
      </c>
      <c r="M394" s="536"/>
      <c r="N394" s="536"/>
      <c r="O394" s="593"/>
      <c r="P394" s="593"/>
      <c r="Q394" s="547"/>
      <c r="R394" s="547"/>
      <c r="S394" s="548"/>
      <c r="T394" s="548"/>
      <c r="U394" s="548"/>
      <c r="V394" s="548"/>
      <c r="W394" s="548"/>
      <c r="X394" s="594"/>
    </row>
    <row r="395" spans="3:24" ht="12.95" customHeight="1">
      <c r="C395" s="552" t="s">
        <v>626</v>
      </c>
      <c r="D395" s="537" t="s">
        <v>923</v>
      </c>
      <c r="E395" s="538"/>
      <c r="F395" s="547" t="s">
        <v>926</v>
      </c>
      <c r="G395" s="547"/>
      <c r="H395" s="541">
        <f t="shared" si="16"/>
        <v>118500</v>
      </c>
      <c r="I395" s="541">
        <f t="shared" si="17"/>
        <v>21330</v>
      </c>
      <c r="J395" s="543">
        <v>139830</v>
      </c>
      <c r="K395" s="813" t="s">
        <v>856</v>
      </c>
      <c r="L395" s="544" t="s">
        <v>58</v>
      </c>
      <c r="M395" s="536"/>
      <c r="N395" s="536"/>
      <c r="O395" s="593"/>
      <c r="P395" s="593"/>
      <c r="Q395" s="547"/>
      <c r="R395" s="547"/>
      <c r="S395" s="548"/>
      <c r="T395" s="548"/>
      <c r="U395" s="548"/>
      <c r="V395" s="548"/>
      <c r="W395" s="548"/>
      <c r="X395" s="594"/>
    </row>
    <row r="396" spans="3:24" ht="12.95" customHeight="1">
      <c r="C396" s="552" t="s">
        <v>743</v>
      </c>
      <c r="D396" s="537" t="s">
        <v>923</v>
      </c>
      <c r="E396" s="538"/>
      <c r="F396" s="547" t="s">
        <v>927</v>
      </c>
      <c r="G396" s="547"/>
      <c r="H396" s="541">
        <f t="shared" si="16"/>
        <v>4700</v>
      </c>
      <c r="I396" s="541">
        <f t="shared" si="17"/>
        <v>846</v>
      </c>
      <c r="J396" s="543">
        <v>5546</v>
      </c>
      <c r="K396" s="813" t="s">
        <v>856</v>
      </c>
      <c r="L396" s="544" t="s">
        <v>58</v>
      </c>
      <c r="M396" s="536"/>
      <c r="N396" s="536"/>
      <c r="O396" s="593"/>
      <c r="P396" s="593"/>
      <c r="Q396" s="547"/>
      <c r="R396" s="547"/>
      <c r="S396" s="548"/>
      <c r="T396" s="548"/>
      <c r="U396" s="548"/>
      <c r="V396" s="548"/>
      <c r="W396" s="548"/>
      <c r="X396" s="594"/>
    </row>
    <row r="397" spans="3:24" ht="12.95" customHeight="1">
      <c r="C397" s="552" t="s">
        <v>928</v>
      </c>
      <c r="D397" s="537" t="s">
        <v>923</v>
      </c>
      <c r="E397" s="538"/>
      <c r="F397" s="547" t="s">
        <v>929</v>
      </c>
      <c r="G397" s="547"/>
      <c r="H397" s="541">
        <f t="shared" si="16"/>
        <v>147000</v>
      </c>
      <c r="I397" s="541">
        <f t="shared" si="17"/>
        <v>26460</v>
      </c>
      <c r="J397" s="543">
        <v>173460</v>
      </c>
      <c r="K397" s="813" t="s">
        <v>856</v>
      </c>
      <c r="L397" s="544" t="s">
        <v>58</v>
      </c>
      <c r="M397" s="536"/>
      <c r="N397" s="536"/>
      <c r="O397" s="593"/>
      <c r="P397" s="593"/>
      <c r="Q397" s="547"/>
      <c r="R397" s="547"/>
      <c r="S397" s="548"/>
      <c r="T397" s="548"/>
      <c r="U397" s="548"/>
      <c r="V397" s="548"/>
      <c r="W397" s="548"/>
      <c r="X397" s="594"/>
    </row>
    <row r="398" spans="3:24" ht="12.95" customHeight="1">
      <c r="C398" s="552" t="s">
        <v>930</v>
      </c>
      <c r="D398" s="537" t="s">
        <v>923</v>
      </c>
      <c r="E398" s="538"/>
      <c r="F398" s="547" t="s">
        <v>931</v>
      </c>
      <c r="G398" s="547"/>
      <c r="H398" s="541">
        <f t="shared" si="16"/>
        <v>2496151.5084745763</v>
      </c>
      <c r="I398" s="541">
        <f t="shared" si="17"/>
        <v>449307.27152542374</v>
      </c>
      <c r="J398" s="543">
        <v>2945458.78</v>
      </c>
      <c r="K398" s="813" t="s">
        <v>508</v>
      </c>
      <c r="L398" s="544" t="s">
        <v>58</v>
      </c>
      <c r="M398" s="536"/>
      <c r="N398" s="536"/>
      <c r="O398" s="593"/>
      <c r="P398" s="593"/>
      <c r="Q398" s="547"/>
      <c r="R398" s="547"/>
      <c r="S398" s="548"/>
      <c r="T398" s="548"/>
      <c r="U398" s="548"/>
      <c r="V398" s="548"/>
      <c r="W398" s="548"/>
      <c r="X398" s="594"/>
    </row>
    <row r="399" spans="3:24" ht="12.95" customHeight="1">
      <c r="C399" s="552" t="s">
        <v>630</v>
      </c>
      <c r="D399" s="537" t="s">
        <v>923</v>
      </c>
      <c r="E399" s="538"/>
      <c r="F399" s="547" t="s">
        <v>932</v>
      </c>
      <c r="G399" s="547"/>
      <c r="H399" s="541">
        <f t="shared" si="16"/>
        <v>1335991</v>
      </c>
      <c r="I399" s="541">
        <f t="shared" si="17"/>
        <v>240478.38</v>
      </c>
      <c r="J399" s="543">
        <v>1576469.38</v>
      </c>
      <c r="K399" s="813" t="s">
        <v>356</v>
      </c>
      <c r="L399" s="544" t="s">
        <v>58</v>
      </c>
      <c r="M399" s="536"/>
      <c r="N399" s="536"/>
      <c r="O399" s="593"/>
      <c r="P399" s="593"/>
      <c r="Q399" s="547"/>
      <c r="R399" s="547"/>
      <c r="S399" s="548"/>
      <c r="T399" s="548"/>
      <c r="U399" s="548"/>
      <c r="V399" s="548"/>
      <c r="W399" s="548"/>
      <c r="X399" s="594"/>
    </row>
    <row r="400" spans="3:24" ht="12.95" customHeight="1">
      <c r="C400" s="552" t="s">
        <v>933</v>
      </c>
      <c r="D400" s="537" t="s">
        <v>923</v>
      </c>
      <c r="E400" s="538"/>
      <c r="F400" s="547" t="s">
        <v>934</v>
      </c>
      <c r="G400" s="547"/>
      <c r="H400" s="541">
        <f t="shared" si="16"/>
        <v>145556</v>
      </c>
      <c r="I400" s="541">
        <f t="shared" si="17"/>
        <v>26200.079999999998</v>
      </c>
      <c r="J400" s="543">
        <v>171756.08</v>
      </c>
      <c r="K400" s="813" t="s">
        <v>356</v>
      </c>
      <c r="L400" s="544" t="s">
        <v>58</v>
      </c>
      <c r="M400" s="536"/>
      <c r="N400" s="536"/>
      <c r="O400" s="593"/>
      <c r="P400" s="593"/>
      <c r="Q400" s="547"/>
      <c r="R400" s="547"/>
      <c r="S400" s="548"/>
      <c r="T400" s="548"/>
      <c r="U400" s="548"/>
      <c r="V400" s="548"/>
      <c r="W400" s="548"/>
      <c r="X400" s="594"/>
    </row>
    <row r="401" spans="3:24" ht="12.95" customHeight="1">
      <c r="C401" s="552" t="s">
        <v>935</v>
      </c>
      <c r="D401" s="537" t="s">
        <v>923</v>
      </c>
      <c r="E401" s="538"/>
      <c r="F401" s="547" t="s">
        <v>936</v>
      </c>
      <c r="G401" s="547"/>
      <c r="H401" s="541">
        <f t="shared" si="16"/>
        <v>458296.00000000006</v>
      </c>
      <c r="I401" s="541">
        <f t="shared" si="17"/>
        <v>82493.280000000013</v>
      </c>
      <c r="J401" s="543">
        <v>540789.28</v>
      </c>
      <c r="K401" s="813" t="s">
        <v>356</v>
      </c>
      <c r="L401" s="544" t="s">
        <v>58</v>
      </c>
      <c r="M401" s="536"/>
      <c r="N401" s="536"/>
      <c r="O401" s="593"/>
      <c r="P401" s="593"/>
      <c r="Q401" s="547"/>
      <c r="R401" s="547"/>
      <c r="S401" s="548"/>
      <c r="T401" s="548"/>
      <c r="U401" s="548"/>
      <c r="V401" s="548"/>
      <c r="W401" s="548"/>
      <c r="X401" s="594"/>
    </row>
    <row r="402" spans="3:24" ht="12.95" customHeight="1">
      <c r="C402" s="552" t="s">
        <v>632</v>
      </c>
      <c r="D402" s="537" t="s">
        <v>923</v>
      </c>
      <c r="E402" s="538"/>
      <c r="F402" s="547" t="s">
        <v>937</v>
      </c>
      <c r="G402" s="547"/>
      <c r="H402" s="541">
        <f t="shared" si="16"/>
        <v>20900</v>
      </c>
      <c r="I402" s="541">
        <f t="shared" si="17"/>
        <v>3762</v>
      </c>
      <c r="J402" s="543">
        <v>24662</v>
      </c>
      <c r="K402" s="813" t="s">
        <v>356</v>
      </c>
      <c r="L402" s="544" t="s">
        <v>58</v>
      </c>
      <c r="M402" s="536"/>
      <c r="N402" s="536"/>
      <c r="O402" s="593"/>
      <c r="P402" s="593"/>
      <c r="Q402" s="547"/>
      <c r="R402" s="547"/>
      <c r="S402" s="548"/>
      <c r="T402" s="548"/>
      <c r="U402" s="548"/>
      <c r="V402" s="548"/>
      <c r="W402" s="548"/>
      <c r="X402" s="594"/>
    </row>
    <row r="403" spans="3:24" ht="12.95" customHeight="1">
      <c r="C403" s="552" t="s">
        <v>938</v>
      </c>
      <c r="D403" s="537" t="s">
        <v>923</v>
      </c>
      <c r="E403" s="538"/>
      <c r="F403" s="547" t="s">
        <v>939</v>
      </c>
      <c r="G403" s="547"/>
      <c r="H403" s="541">
        <f t="shared" si="16"/>
        <v>28280.000000000004</v>
      </c>
      <c r="I403" s="541">
        <f t="shared" si="17"/>
        <v>5090.4000000000005</v>
      </c>
      <c r="J403" s="543">
        <v>33370.400000000001</v>
      </c>
      <c r="K403" s="813" t="s">
        <v>356</v>
      </c>
      <c r="L403" s="544" t="s">
        <v>58</v>
      </c>
      <c r="M403" s="536"/>
      <c r="N403" s="536"/>
      <c r="O403" s="593"/>
      <c r="P403" s="593"/>
      <c r="Q403" s="547"/>
      <c r="R403" s="547"/>
      <c r="S403" s="548"/>
      <c r="T403" s="548"/>
      <c r="U403" s="548"/>
      <c r="V403" s="548"/>
      <c r="W403" s="548"/>
      <c r="X403" s="594"/>
    </row>
    <row r="404" spans="3:24" ht="12.95" customHeight="1">
      <c r="C404" s="552" t="s">
        <v>743</v>
      </c>
      <c r="D404" s="537" t="s">
        <v>923</v>
      </c>
      <c r="E404" s="538"/>
      <c r="F404" s="547" t="s">
        <v>940</v>
      </c>
      <c r="G404" s="547"/>
      <c r="H404" s="541">
        <f t="shared" si="16"/>
        <v>34250</v>
      </c>
      <c r="I404" s="541">
        <f t="shared" si="17"/>
        <v>6165</v>
      </c>
      <c r="J404" s="543">
        <v>40415</v>
      </c>
      <c r="K404" s="813" t="s">
        <v>356</v>
      </c>
      <c r="L404" s="544" t="s">
        <v>58</v>
      </c>
      <c r="M404" s="536"/>
      <c r="N404" s="536"/>
      <c r="O404" s="593"/>
      <c r="P404" s="593"/>
      <c r="Q404" s="593"/>
      <c r="R404" s="593"/>
    </row>
    <row r="405" spans="3:24" ht="12.95" customHeight="1">
      <c r="C405" s="552" t="s">
        <v>941</v>
      </c>
      <c r="D405" s="537" t="s">
        <v>923</v>
      </c>
      <c r="E405" s="538"/>
      <c r="F405" s="547" t="s">
        <v>942</v>
      </c>
      <c r="G405" s="547"/>
      <c r="H405" s="541">
        <f t="shared" si="16"/>
        <v>4500</v>
      </c>
      <c r="I405" s="541">
        <f t="shared" si="17"/>
        <v>810</v>
      </c>
      <c r="J405" s="543">
        <v>5310</v>
      </c>
      <c r="K405" s="813" t="s">
        <v>356</v>
      </c>
      <c r="L405" s="544" t="s">
        <v>58</v>
      </c>
      <c r="M405" s="536"/>
      <c r="N405" s="536"/>
      <c r="O405" s="593"/>
      <c r="P405" s="593"/>
      <c r="Q405" s="593"/>
      <c r="R405" s="593"/>
    </row>
    <row r="406" spans="3:24" ht="12.95" customHeight="1">
      <c r="C406" s="552" t="s">
        <v>943</v>
      </c>
      <c r="D406" s="537" t="s">
        <v>923</v>
      </c>
      <c r="E406" s="538"/>
      <c r="F406" s="547" t="s">
        <v>944</v>
      </c>
      <c r="G406" s="547"/>
      <c r="H406" s="541">
        <f t="shared" si="16"/>
        <v>34300</v>
      </c>
      <c r="I406" s="541">
        <f t="shared" si="17"/>
        <v>6174</v>
      </c>
      <c r="J406" s="543">
        <v>40474</v>
      </c>
      <c r="K406" s="813" t="s">
        <v>356</v>
      </c>
      <c r="L406" s="544" t="s">
        <v>58</v>
      </c>
      <c r="M406" s="536"/>
      <c r="N406" s="536"/>
      <c r="O406" s="593"/>
      <c r="P406" s="593"/>
      <c r="Q406" s="593"/>
      <c r="R406" s="593"/>
    </row>
    <row r="407" spans="3:24" ht="12.95" customHeight="1">
      <c r="C407" s="552" t="s">
        <v>945</v>
      </c>
      <c r="D407" s="537" t="s">
        <v>923</v>
      </c>
      <c r="E407" s="538"/>
      <c r="F407" s="547" t="s">
        <v>946</v>
      </c>
      <c r="G407" s="547"/>
      <c r="H407" s="541">
        <f t="shared" si="16"/>
        <v>185000</v>
      </c>
      <c r="I407" s="541">
        <f t="shared" si="17"/>
        <v>33300</v>
      </c>
      <c r="J407" s="543">
        <v>218300</v>
      </c>
      <c r="K407" s="813" t="s">
        <v>356</v>
      </c>
      <c r="L407" s="544" t="s">
        <v>58</v>
      </c>
      <c r="M407" s="536"/>
      <c r="N407" s="536"/>
      <c r="O407" s="595"/>
      <c r="P407" s="595"/>
      <c r="Q407" s="595"/>
      <c r="R407" s="595"/>
    </row>
    <row r="408" spans="3:24" ht="12.95" customHeight="1">
      <c r="C408" s="552" t="s">
        <v>616</v>
      </c>
      <c r="D408" s="537" t="s">
        <v>923</v>
      </c>
      <c r="E408" s="538"/>
      <c r="F408" s="547" t="s">
        <v>947</v>
      </c>
      <c r="G408" s="547"/>
      <c r="H408" s="541">
        <f t="shared" si="16"/>
        <v>94150</v>
      </c>
      <c r="I408" s="541">
        <f t="shared" si="17"/>
        <v>16947</v>
      </c>
      <c r="J408" s="543">
        <v>111097</v>
      </c>
      <c r="K408" s="813" t="s">
        <v>215</v>
      </c>
      <c r="L408" s="544" t="s">
        <v>48</v>
      </c>
      <c r="M408" s="536"/>
      <c r="N408" s="536"/>
    </row>
    <row r="409" spans="3:24" ht="12.95" customHeight="1">
      <c r="C409" s="552" t="s">
        <v>732</v>
      </c>
      <c r="D409" s="537" t="s">
        <v>923</v>
      </c>
      <c r="E409" s="538"/>
      <c r="F409" s="547" t="s">
        <v>948</v>
      </c>
      <c r="G409" s="547"/>
      <c r="H409" s="541">
        <f t="shared" si="16"/>
        <v>40859.322033898308</v>
      </c>
      <c r="I409" s="541">
        <f t="shared" si="17"/>
        <v>7354.6779661016953</v>
      </c>
      <c r="J409" s="543">
        <v>48214</v>
      </c>
      <c r="K409" s="813" t="s">
        <v>514</v>
      </c>
      <c r="L409" s="544" t="s">
        <v>55</v>
      </c>
      <c r="M409" s="536"/>
      <c r="N409" s="536"/>
    </row>
    <row r="410" spans="3:24" ht="12.95" customHeight="1">
      <c r="C410" s="552" t="s">
        <v>888</v>
      </c>
      <c r="D410" s="537" t="s">
        <v>764</v>
      </c>
      <c r="E410" s="538"/>
      <c r="F410" s="547" t="s">
        <v>949</v>
      </c>
      <c r="G410" s="547"/>
      <c r="H410" s="541">
        <f t="shared" si="16"/>
        <v>200000</v>
      </c>
      <c r="I410" s="541">
        <f t="shared" si="17"/>
        <v>36000</v>
      </c>
      <c r="J410" s="543">
        <v>236000</v>
      </c>
      <c r="K410" s="813" t="s">
        <v>215</v>
      </c>
      <c r="L410" s="544" t="s">
        <v>58</v>
      </c>
      <c r="M410" s="536"/>
      <c r="N410" s="536"/>
    </row>
    <row r="411" spans="3:24" ht="12.95" customHeight="1">
      <c r="C411" s="552" t="s">
        <v>775</v>
      </c>
      <c r="D411" s="537" t="s">
        <v>764</v>
      </c>
      <c r="E411" s="538"/>
      <c r="F411" s="547" t="s">
        <v>950</v>
      </c>
      <c r="G411" s="547"/>
      <c r="H411" s="541">
        <f>J411/1.28</f>
        <v>101959.375</v>
      </c>
      <c r="I411" s="541">
        <f>H411*28%</f>
        <v>28548.625000000004</v>
      </c>
      <c r="J411" s="543">
        <v>130508</v>
      </c>
      <c r="K411" s="813" t="s">
        <v>506</v>
      </c>
      <c r="L411" s="544" t="s">
        <v>54</v>
      </c>
      <c r="M411" s="536"/>
      <c r="N411" s="536"/>
    </row>
    <row r="412" spans="3:24" ht="12.95" customHeight="1">
      <c r="C412" s="552" t="s">
        <v>775</v>
      </c>
      <c r="D412" s="537" t="s">
        <v>764</v>
      </c>
      <c r="E412" s="538"/>
      <c r="F412" s="547" t="s">
        <v>951</v>
      </c>
      <c r="G412" s="547"/>
      <c r="H412" s="541">
        <f>J412/1.28</f>
        <v>101959.375</v>
      </c>
      <c r="I412" s="541">
        <f>H412*28%</f>
        <v>28548.625000000004</v>
      </c>
      <c r="J412" s="543">
        <v>130508</v>
      </c>
      <c r="K412" s="813" t="s">
        <v>505</v>
      </c>
      <c r="L412" s="544" t="s">
        <v>54</v>
      </c>
      <c r="M412" s="536"/>
      <c r="N412" s="536"/>
    </row>
    <row r="413" spans="3:24" ht="12.95" customHeight="1">
      <c r="C413" s="552" t="s">
        <v>735</v>
      </c>
      <c r="D413" s="537" t="s">
        <v>776</v>
      </c>
      <c r="E413" s="538"/>
      <c r="F413" s="547" t="s">
        <v>952</v>
      </c>
      <c r="G413" s="547"/>
      <c r="H413" s="541">
        <f>J413/1.18</f>
        <v>73700</v>
      </c>
      <c r="I413" s="541">
        <f>H413*18%</f>
        <v>13266</v>
      </c>
      <c r="J413" s="543">
        <v>86966</v>
      </c>
      <c r="K413" s="813" t="s">
        <v>503</v>
      </c>
      <c r="L413" s="544" t="s">
        <v>48</v>
      </c>
      <c r="M413" s="536"/>
      <c r="N413" s="536"/>
    </row>
    <row r="414" spans="3:24" ht="12.95" customHeight="1">
      <c r="C414" s="552" t="s">
        <v>735</v>
      </c>
      <c r="D414" s="537" t="s">
        <v>776</v>
      </c>
      <c r="E414" s="538"/>
      <c r="F414" s="547" t="s">
        <v>953</v>
      </c>
      <c r="G414" s="547"/>
      <c r="H414" s="541">
        <f>J414/1.18</f>
        <v>244200</v>
      </c>
      <c r="I414" s="541">
        <f>H414*18%</f>
        <v>43956</v>
      </c>
      <c r="J414" s="543">
        <v>288156</v>
      </c>
      <c r="K414" s="813" t="s">
        <v>503</v>
      </c>
      <c r="L414" s="544" t="s">
        <v>47</v>
      </c>
      <c r="M414" s="536"/>
      <c r="N414" s="536"/>
    </row>
    <row r="415" spans="3:24" ht="12.95" customHeight="1">
      <c r="C415" s="552" t="s">
        <v>732</v>
      </c>
      <c r="D415" s="537" t="s">
        <v>954</v>
      </c>
      <c r="E415" s="538"/>
      <c r="F415" s="547" t="s">
        <v>955</v>
      </c>
      <c r="G415" s="547"/>
      <c r="H415" s="541">
        <f>J415/1.18</f>
        <v>59281.983050847462</v>
      </c>
      <c r="I415" s="541">
        <f>H415*18%</f>
        <v>10670.756949152543</v>
      </c>
      <c r="J415" s="543">
        <v>69952.740000000005</v>
      </c>
      <c r="K415" s="813" t="s">
        <v>463</v>
      </c>
      <c r="L415" s="544" t="s">
        <v>55</v>
      </c>
      <c r="M415" s="536"/>
      <c r="N415" s="536"/>
    </row>
    <row r="416" spans="3:24" ht="12.95" customHeight="1">
      <c r="C416" s="552" t="s">
        <v>588</v>
      </c>
      <c r="D416" s="537" t="s">
        <v>956</v>
      </c>
      <c r="E416" s="538"/>
      <c r="F416" s="547" t="s">
        <v>957</v>
      </c>
      <c r="G416" s="547"/>
      <c r="H416" s="541">
        <f t="shared" ref="H416:H442" si="18">J416/1.18</f>
        <v>213694.9152542373</v>
      </c>
      <c r="I416" s="541">
        <f t="shared" ref="I416:I442" si="19">H416*18%</f>
        <v>38465.084745762717</v>
      </c>
      <c r="J416" s="543">
        <v>252160</v>
      </c>
      <c r="K416" s="813" t="s">
        <v>501</v>
      </c>
      <c r="L416" s="544" t="s">
        <v>36</v>
      </c>
      <c r="M416" s="536"/>
      <c r="N416" s="536"/>
    </row>
    <row r="417" spans="3:14" ht="12.95" customHeight="1">
      <c r="C417" s="552" t="s">
        <v>594</v>
      </c>
      <c r="D417" s="537" t="s">
        <v>956</v>
      </c>
      <c r="E417" s="538"/>
      <c r="F417" s="547" t="s">
        <v>958</v>
      </c>
      <c r="G417" s="547"/>
      <c r="H417" s="541">
        <f t="shared" si="18"/>
        <v>415695</v>
      </c>
      <c r="I417" s="541">
        <f t="shared" si="19"/>
        <v>74825.099999999991</v>
      </c>
      <c r="J417" s="543">
        <v>490520.1</v>
      </c>
      <c r="K417" s="813" t="s">
        <v>510</v>
      </c>
      <c r="L417" s="544" t="s">
        <v>596</v>
      </c>
      <c r="M417" s="536"/>
      <c r="N417" s="536"/>
    </row>
    <row r="418" spans="3:14" ht="12.95" customHeight="1">
      <c r="C418" s="552" t="s">
        <v>594</v>
      </c>
      <c r="D418" s="537" t="s">
        <v>956</v>
      </c>
      <c r="E418" s="538"/>
      <c r="F418" s="547" t="s">
        <v>959</v>
      </c>
      <c r="G418" s="547"/>
      <c r="H418" s="541">
        <f t="shared" si="18"/>
        <v>165275</v>
      </c>
      <c r="I418" s="541">
        <f t="shared" si="19"/>
        <v>29749.5</v>
      </c>
      <c r="J418" s="543">
        <v>195024.5</v>
      </c>
      <c r="K418" s="813" t="s">
        <v>505</v>
      </c>
      <c r="L418" s="544" t="s">
        <v>596</v>
      </c>
      <c r="M418" s="536"/>
      <c r="N418" s="536"/>
    </row>
    <row r="419" spans="3:14" ht="12.95" customHeight="1">
      <c r="C419" s="552" t="s">
        <v>594</v>
      </c>
      <c r="D419" s="537" t="s">
        <v>956</v>
      </c>
      <c r="E419" s="538"/>
      <c r="F419" s="547" t="s">
        <v>960</v>
      </c>
      <c r="G419" s="547"/>
      <c r="H419" s="541">
        <f t="shared" si="18"/>
        <v>131250</v>
      </c>
      <c r="I419" s="541">
        <f t="shared" si="19"/>
        <v>23625</v>
      </c>
      <c r="J419" s="543">
        <v>154875</v>
      </c>
      <c r="K419" s="813" t="s">
        <v>506</v>
      </c>
      <c r="L419" s="544" t="s">
        <v>596</v>
      </c>
      <c r="M419" s="536"/>
      <c r="N419" s="536"/>
    </row>
    <row r="420" spans="3:14" ht="12.95" customHeight="1">
      <c r="C420" s="552" t="s">
        <v>594</v>
      </c>
      <c r="D420" s="537" t="s">
        <v>956</v>
      </c>
      <c r="E420" s="538"/>
      <c r="F420" s="547" t="s">
        <v>961</v>
      </c>
      <c r="G420" s="547"/>
      <c r="H420" s="541">
        <f t="shared" si="18"/>
        <v>836780.00000000012</v>
      </c>
      <c r="I420" s="541">
        <f t="shared" si="19"/>
        <v>150620.40000000002</v>
      </c>
      <c r="J420" s="543">
        <v>987400.4</v>
      </c>
      <c r="K420" s="813" t="s">
        <v>500</v>
      </c>
      <c r="L420" s="544" t="s">
        <v>596</v>
      </c>
      <c r="M420" s="536"/>
      <c r="N420" s="536"/>
    </row>
    <row r="421" spans="3:14" ht="12.95" customHeight="1">
      <c r="C421" s="552" t="s">
        <v>962</v>
      </c>
      <c r="D421" s="537" t="s">
        <v>956</v>
      </c>
      <c r="E421" s="538"/>
      <c r="F421" s="547" t="s">
        <v>963</v>
      </c>
      <c r="G421" s="547"/>
      <c r="H421" s="541">
        <f t="shared" si="18"/>
        <v>204550</v>
      </c>
      <c r="I421" s="541">
        <f t="shared" si="19"/>
        <v>36819</v>
      </c>
      <c r="J421" s="543">
        <v>241369</v>
      </c>
      <c r="K421" s="813" t="s">
        <v>514</v>
      </c>
      <c r="L421" s="544" t="s">
        <v>54</v>
      </c>
      <c r="M421" s="536"/>
      <c r="N421" s="536"/>
    </row>
    <row r="422" spans="3:14" ht="12.95" customHeight="1">
      <c r="C422" s="552" t="s">
        <v>962</v>
      </c>
      <c r="D422" s="537" t="s">
        <v>956</v>
      </c>
      <c r="E422" s="538"/>
      <c r="F422" s="547" t="s">
        <v>964</v>
      </c>
      <c r="G422" s="547"/>
      <c r="H422" s="541">
        <f t="shared" si="18"/>
        <v>36500</v>
      </c>
      <c r="I422" s="541">
        <f t="shared" si="19"/>
        <v>6570</v>
      </c>
      <c r="J422" s="543">
        <v>43070</v>
      </c>
      <c r="K422" s="813" t="s">
        <v>503</v>
      </c>
      <c r="L422" s="544" t="s">
        <v>54</v>
      </c>
      <c r="M422" s="536"/>
      <c r="N422" s="536"/>
    </row>
    <row r="423" spans="3:14" ht="12.95" customHeight="1">
      <c r="C423" s="552" t="s">
        <v>962</v>
      </c>
      <c r="D423" s="537" t="s">
        <v>956</v>
      </c>
      <c r="E423" s="538"/>
      <c r="F423" s="547" t="s">
        <v>965</v>
      </c>
      <c r="G423" s="547"/>
      <c r="H423" s="541">
        <f t="shared" si="18"/>
        <v>27800</v>
      </c>
      <c r="I423" s="541">
        <f t="shared" si="19"/>
        <v>5004</v>
      </c>
      <c r="J423" s="543">
        <v>32804</v>
      </c>
      <c r="K423" s="813" t="s">
        <v>215</v>
      </c>
      <c r="L423" s="544" t="s">
        <v>54</v>
      </c>
      <c r="M423" s="536"/>
      <c r="N423" s="536"/>
    </row>
    <row r="424" spans="3:14" ht="12.95" customHeight="1">
      <c r="C424" s="552" t="s">
        <v>966</v>
      </c>
      <c r="D424" s="537" t="s">
        <v>865</v>
      </c>
      <c r="E424" s="538"/>
      <c r="F424" s="547" t="s">
        <v>967</v>
      </c>
      <c r="G424" s="547">
        <v>69952.740000000005</v>
      </c>
      <c r="H424" s="541">
        <f t="shared" si="18"/>
        <v>517077.55084745766</v>
      </c>
      <c r="I424" s="541">
        <f t="shared" si="19"/>
        <v>93073.959152542375</v>
      </c>
      <c r="J424" s="543">
        <v>610151.51</v>
      </c>
      <c r="K424" s="813" t="s">
        <v>501</v>
      </c>
      <c r="L424" s="544" t="s">
        <v>48</v>
      </c>
      <c r="M424" s="536"/>
      <c r="N424" s="536"/>
    </row>
    <row r="425" spans="3:14" ht="12.95" customHeight="1">
      <c r="C425" s="552" t="s">
        <v>775</v>
      </c>
      <c r="D425" s="537" t="s">
        <v>865</v>
      </c>
      <c r="E425" s="538"/>
      <c r="F425" s="547" t="s">
        <v>968</v>
      </c>
      <c r="G425" s="547"/>
      <c r="H425" s="541">
        <f t="shared" si="18"/>
        <v>25274.576271186441</v>
      </c>
      <c r="I425" s="541">
        <f t="shared" si="19"/>
        <v>4549.4237288135591</v>
      </c>
      <c r="J425" s="543">
        <v>29824</v>
      </c>
      <c r="K425" s="813" t="s">
        <v>500</v>
      </c>
      <c r="L425" s="544" t="s">
        <v>54</v>
      </c>
      <c r="M425" s="536"/>
      <c r="N425" s="536"/>
    </row>
    <row r="426" spans="3:14" ht="12.95" customHeight="1">
      <c r="C426" s="552" t="s">
        <v>743</v>
      </c>
      <c r="D426" s="537" t="s">
        <v>865</v>
      </c>
      <c r="E426" s="538"/>
      <c r="F426" s="547" t="s">
        <v>969</v>
      </c>
      <c r="G426" s="547"/>
      <c r="H426" s="541">
        <f t="shared" si="18"/>
        <v>9400</v>
      </c>
      <c r="I426" s="541">
        <f t="shared" si="19"/>
        <v>1692</v>
      </c>
      <c r="J426" s="543">
        <v>11092</v>
      </c>
      <c r="K426" s="813" t="s">
        <v>513</v>
      </c>
      <c r="L426" s="544" t="s">
        <v>58</v>
      </c>
      <c r="M426" s="536"/>
      <c r="N426" s="536"/>
    </row>
    <row r="427" spans="3:14" ht="12.95" customHeight="1">
      <c r="C427" s="552" t="s">
        <v>630</v>
      </c>
      <c r="D427" s="537" t="s">
        <v>865</v>
      </c>
      <c r="E427" s="538"/>
      <c r="F427" s="547" t="s">
        <v>970</v>
      </c>
      <c r="G427" s="547"/>
      <c r="H427" s="541">
        <f t="shared" si="18"/>
        <v>316000</v>
      </c>
      <c r="I427" s="541">
        <f t="shared" si="19"/>
        <v>56880</v>
      </c>
      <c r="J427" s="543">
        <v>372880</v>
      </c>
      <c r="K427" s="813" t="s">
        <v>513</v>
      </c>
      <c r="L427" s="544" t="s">
        <v>58</v>
      </c>
      <c r="M427" s="536"/>
      <c r="N427" s="536"/>
    </row>
    <row r="428" spans="3:14" ht="12.95" customHeight="1">
      <c r="C428" s="552" t="s">
        <v>732</v>
      </c>
      <c r="D428" s="537" t="s">
        <v>865</v>
      </c>
      <c r="E428" s="538"/>
      <c r="F428" s="547" t="s">
        <v>971</v>
      </c>
      <c r="G428" s="547"/>
      <c r="H428" s="541">
        <f t="shared" si="18"/>
        <v>45000</v>
      </c>
      <c r="I428" s="541">
        <f t="shared" si="19"/>
        <v>8100</v>
      </c>
      <c r="J428" s="543">
        <v>53100</v>
      </c>
      <c r="K428" s="813" t="s">
        <v>513</v>
      </c>
      <c r="L428" s="544" t="s">
        <v>55</v>
      </c>
      <c r="M428" s="536"/>
      <c r="N428" s="536"/>
    </row>
    <row r="429" spans="3:14" ht="12.95" customHeight="1">
      <c r="C429" s="552" t="s">
        <v>941</v>
      </c>
      <c r="D429" s="537" t="s">
        <v>865</v>
      </c>
      <c r="E429" s="538"/>
      <c r="F429" s="547" t="s">
        <v>972</v>
      </c>
      <c r="G429" s="547"/>
      <c r="H429" s="541">
        <f t="shared" si="18"/>
        <v>34000</v>
      </c>
      <c r="I429" s="541">
        <f t="shared" si="19"/>
        <v>6120</v>
      </c>
      <c r="J429" s="543">
        <v>40120</v>
      </c>
      <c r="K429" s="813" t="s">
        <v>513</v>
      </c>
      <c r="L429" s="544" t="s">
        <v>58</v>
      </c>
      <c r="M429" s="536"/>
      <c r="N429" s="536"/>
    </row>
    <row r="430" spans="3:14" ht="12.95" customHeight="1">
      <c r="C430" s="552" t="s">
        <v>888</v>
      </c>
      <c r="D430" s="537" t="s">
        <v>973</v>
      </c>
      <c r="E430" s="538"/>
      <c r="F430" s="547" t="s">
        <v>974</v>
      </c>
      <c r="G430" s="547"/>
      <c r="H430" s="541">
        <f t="shared" si="18"/>
        <v>1700</v>
      </c>
      <c r="I430" s="541">
        <f t="shared" si="19"/>
        <v>306</v>
      </c>
      <c r="J430" s="543">
        <v>2006</v>
      </c>
      <c r="K430" s="813" t="s">
        <v>500</v>
      </c>
      <c r="L430" s="544" t="s">
        <v>58</v>
      </c>
      <c r="M430" s="536"/>
      <c r="N430" s="536"/>
    </row>
    <row r="431" spans="3:14" ht="12.95" customHeight="1">
      <c r="C431" s="552" t="s">
        <v>745</v>
      </c>
      <c r="D431" s="537" t="s">
        <v>973</v>
      </c>
      <c r="E431" s="538"/>
      <c r="F431" s="547" t="s">
        <v>975</v>
      </c>
      <c r="G431" s="547"/>
      <c r="H431" s="541">
        <f t="shared" si="18"/>
        <v>2565</v>
      </c>
      <c r="I431" s="541">
        <f t="shared" si="19"/>
        <v>461.7</v>
      </c>
      <c r="J431" s="543">
        <v>3026.7</v>
      </c>
      <c r="K431" s="813" t="s">
        <v>518</v>
      </c>
      <c r="L431" s="544" t="s">
        <v>54</v>
      </c>
      <c r="M431" s="536"/>
      <c r="N431" s="536"/>
    </row>
    <row r="432" spans="3:14" ht="12.95" customHeight="1">
      <c r="C432" s="552" t="s">
        <v>976</v>
      </c>
      <c r="D432" s="537" t="s">
        <v>889</v>
      </c>
      <c r="E432" s="538"/>
      <c r="F432" s="547" t="s">
        <v>977</v>
      </c>
      <c r="G432" s="547"/>
      <c r="H432" s="541">
        <f t="shared" si="18"/>
        <v>12420.000000000002</v>
      </c>
      <c r="I432" s="541">
        <f t="shared" si="19"/>
        <v>2235.6000000000004</v>
      </c>
      <c r="J432" s="543">
        <v>14655.6</v>
      </c>
      <c r="K432" s="813" t="s">
        <v>500</v>
      </c>
      <c r="L432" s="544" t="s">
        <v>55</v>
      </c>
      <c r="M432" s="536"/>
      <c r="N432" s="536"/>
    </row>
    <row r="433" spans="3:14" ht="12.95" customHeight="1">
      <c r="C433" s="552" t="s">
        <v>930</v>
      </c>
      <c r="D433" s="537" t="s">
        <v>889</v>
      </c>
      <c r="E433" s="538"/>
      <c r="F433" s="547" t="s">
        <v>978</v>
      </c>
      <c r="G433" s="547"/>
      <c r="H433" s="541">
        <f t="shared" si="18"/>
        <v>488210.00000000006</v>
      </c>
      <c r="I433" s="541">
        <f t="shared" si="19"/>
        <v>87877.8</v>
      </c>
      <c r="J433" s="543">
        <v>576087.80000000005</v>
      </c>
      <c r="K433" s="813" t="s">
        <v>508</v>
      </c>
      <c r="L433" s="544" t="s">
        <v>58</v>
      </c>
      <c r="M433" s="536"/>
      <c r="N433" s="536"/>
    </row>
    <row r="434" spans="3:14" ht="12.95" customHeight="1">
      <c r="C434" s="552" t="s">
        <v>738</v>
      </c>
      <c r="D434" s="537" t="s">
        <v>889</v>
      </c>
      <c r="E434" s="538"/>
      <c r="F434" s="547" t="s">
        <v>979</v>
      </c>
      <c r="G434" s="547"/>
      <c r="H434" s="541">
        <f t="shared" si="18"/>
        <v>101082</v>
      </c>
      <c r="I434" s="541">
        <f t="shared" si="19"/>
        <v>18194.759999999998</v>
      </c>
      <c r="J434" s="543">
        <v>119276.76</v>
      </c>
      <c r="K434" s="813" t="s">
        <v>500</v>
      </c>
      <c r="L434" s="544" t="s">
        <v>58</v>
      </c>
      <c r="M434" s="536"/>
      <c r="N434" s="536"/>
    </row>
    <row r="435" spans="3:14" ht="12.95" customHeight="1">
      <c r="C435" s="552" t="s">
        <v>643</v>
      </c>
      <c r="D435" s="537" t="s">
        <v>910</v>
      </c>
      <c r="E435" s="538"/>
      <c r="F435" s="547" t="s">
        <v>980</v>
      </c>
      <c r="G435" s="547"/>
      <c r="H435" s="541">
        <f t="shared" si="18"/>
        <v>199000</v>
      </c>
      <c r="I435" s="541">
        <f t="shared" si="19"/>
        <v>35820</v>
      </c>
      <c r="J435" s="543">
        <v>234820</v>
      </c>
      <c r="K435" s="813" t="s">
        <v>512</v>
      </c>
      <c r="L435" s="544" t="s">
        <v>58</v>
      </c>
      <c r="M435" s="536"/>
      <c r="N435" s="536"/>
    </row>
    <row r="436" spans="3:14" ht="12.95" customHeight="1">
      <c r="C436" s="552" t="s">
        <v>745</v>
      </c>
      <c r="D436" s="537" t="s">
        <v>910</v>
      </c>
      <c r="E436" s="538"/>
      <c r="F436" s="547" t="s">
        <v>981</v>
      </c>
      <c r="G436" s="547"/>
      <c r="H436" s="541">
        <f t="shared" si="18"/>
        <v>8640.0000000000018</v>
      </c>
      <c r="I436" s="541">
        <f t="shared" si="19"/>
        <v>1555.2000000000003</v>
      </c>
      <c r="J436" s="543">
        <v>10195.200000000001</v>
      </c>
      <c r="K436" s="813" t="s">
        <v>505</v>
      </c>
      <c r="L436" s="544" t="s">
        <v>54</v>
      </c>
      <c r="M436" s="536"/>
      <c r="N436" s="536"/>
    </row>
    <row r="437" spans="3:14" ht="12.95" customHeight="1">
      <c r="C437" s="552" t="s">
        <v>745</v>
      </c>
      <c r="D437" s="537" t="s">
        <v>910</v>
      </c>
      <c r="E437" s="538"/>
      <c r="F437" s="547" t="s">
        <v>982</v>
      </c>
      <c r="G437" s="547"/>
      <c r="H437" s="541">
        <f t="shared" si="18"/>
        <v>12825</v>
      </c>
      <c r="I437" s="541">
        <f t="shared" si="19"/>
        <v>2308.5</v>
      </c>
      <c r="J437" s="543">
        <v>15133.5</v>
      </c>
      <c r="K437" s="813" t="s">
        <v>463</v>
      </c>
      <c r="L437" s="544" t="s">
        <v>54</v>
      </c>
      <c r="M437" s="536"/>
      <c r="N437" s="536"/>
    </row>
    <row r="438" spans="3:14" ht="12.95" customHeight="1">
      <c r="C438" s="552" t="s">
        <v>745</v>
      </c>
      <c r="D438" s="537" t="s">
        <v>910</v>
      </c>
      <c r="E438" s="538"/>
      <c r="F438" s="547" t="s">
        <v>983</v>
      </c>
      <c r="G438" s="547"/>
      <c r="H438" s="541">
        <f t="shared" si="18"/>
        <v>6682.5000000000009</v>
      </c>
      <c r="I438" s="541">
        <f t="shared" si="19"/>
        <v>1202.8500000000001</v>
      </c>
      <c r="J438" s="543">
        <v>7885.35</v>
      </c>
      <c r="K438" s="813" t="s">
        <v>500</v>
      </c>
      <c r="L438" s="544" t="s">
        <v>54</v>
      </c>
      <c r="M438" s="536"/>
      <c r="N438" s="536"/>
    </row>
    <row r="439" spans="3:14" ht="12.95" customHeight="1">
      <c r="C439" s="552" t="s">
        <v>745</v>
      </c>
      <c r="D439" s="537" t="s">
        <v>910</v>
      </c>
      <c r="E439" s="538"/>
      <c r="F439" s="547" t="s">
        <v>984</v>
      </c>
      <c r="G439" s="547"/>
      <c r="H439" s="541">
        <f t="shared" si="18"/>
        <v>2052</v>
      </c>
      <c r="I439" s="541">
        <f t="shared" si="19"/>
        <v>369.36</v>
      </c>
      <c r="J439" s="543">
        <v>2421.36</v>
      </c>
      <c r="K439" s="813" t="s">
        <v>215</v>
      </c>
      <c r="L439" s="544" t="s">
        <v>54</v>
      </c>
      <c r="M439" s="536"/>
      <c r="N439" s="536"/>
    </row>
    <row r="440" spans="3:14" ht="12.95" customHeight="1">
      <c r="C440" s="552" t="s">
        <v>745</v>
      </c>
      <c r="D440" s="537" t="s">
        <v>910</v>
      </c>
      <c r="E440" s="538"/>
      <c r="F440" s="547" t="s">
        <v>985</v>
      </c>
      <c r="G440" s="547"/>
      <c r="H440" s="541">
        <f t="shared" si="18"/>
        <v>14175</v>
      </c>
      <c r="I440" s="541">
        <f t="shared" si="19"/>
        <v>2551.5</v>
      </c>
      <c r="J440" s="543">
        <v>16726.5</v>
      </c>
      <c r="K440" s="813" t="s">
        <v>518</v>
      </c>
      <c r="L440" s="544" t="s">
        <v>54</v>
      </c>
      <c r="M440" s="536"/>
      <c r="N440" s="536"/>
    </row>
    <row r="441" spans="3:14" ht="12.95" customHeight="1">
      <c r="C441" s="552" t="s">
        <v>986</v>
      </c>
      <c r="D441" s="537" t="s">
        <v>923</v>
      </c>
      <c r="E441" s="538"/>
      <c r="F441" s="547" t="s">
        <v>987</v>
      </c>
      <c r="G441" s="547"/>
      <c r="H441" s="541">
        <f t="shared" si="18"/>
        <v>1924000</v>
      </c>
      <c r="I441" s="541">
        <f t="shared" si="19"/>
        <v>346320</v>
      </c>
      <c r="J441" s="543">
        <v>2270320</v>
      </c>
      <c r="K441" s="813" t="s">
        <v>356</v>
      </c>
      <c r="L441" s="544" t="s">
        <v>58</v>
      </c>
      <c r="M441" s="536"/>
      <c r="N441" s="536"/>
    </row>
    <row r="442" spans="3:14" ht="12.95" customHeight="1">
      <c r="C442" s="552" t="s">
        <v>738</v>
      </c>
      <c r="D442" s="537" t="s">
        <v>923</v>
      </c>
      <c r="E442" s="538"/>
      <c r="F442" s="547" t="s">
        <v>988</v>
      </c>
      <c r="G442" s="547"/>
      <c r="H442" s="541">
        <f t="shared" si="18"/>
        <v>98614.000000000015</v>
      </c>
      <c r="I442" s="541">
        <f t="shared" si="19"/>
        <v>17750.52</v>
      </c>
      <c r="J442" s="543">
        <v>116364.52</v>
      </c>
      <c r="K442" s="813" t="s">
        <v>356</v>
      </c>
      <c r="L442" s="544" t="s">
        <v>58</v>
      </c>
      <c r="M442" s="536"/>
      <c r="N442" s="536"/>
    </row>
    <row r="443" spans="3:14" ht="12.95" customHeight="1">
      <c r="C443" s="552"/>
      <c r="D443" s="537"/>
      <c r="E443" s="538"/>
      <c r="F443" s="547"/>
      <c r="G443" s="547"/>
      <c r="H443" s="541"/>
      <c r="I443" s="541"/>
      <c r="J443" s="543"/>
      <c r="K443" s="813"/>
      <c r="L443" s="544"/>
      <c r="M443" s="536"/>
      <c r="N443" s="536"/>
    </row>
    <row r="444" spans="3:14" ht="12.95" customHeight="1">
      <c r="C444" s="552"/>
      <c r="D444" s="537"/>
      <c r="E444" s="538"/>
      <c r="F444" s="547"/>
      <c r="G444" s="547"/>
      <c r="H444" s="541"/>
      <c r="I444" s="541"/>
      <c r="J444" s="543"/>
      <c r="K444" s="813"/>
      <c r="L444" s="544"/>
      <c r="M444" s="536"/>
      <c r="N444" s="536"/>
    </row>
    <row r="445" spans="3:14" ht="12.95" customHeight="1">
      <c r="C445" s="552"/>
      <c r="D445" s="537"/>
      <c r="E445" s="538"/>
      <c r="F445" s="547"/>
      <c r="G445" s="547"/>
      <c r="H445" s="541"/>
      <c r="I445" s="541"/>
      <c r="J445" s="543"/>
      <c r="K445" s="813"/>
      <c r="L445" s="544"/>
      <c r="M445" s="536"/>
      <c r="N445" s="536"/>
    </row>
    <row r="446" spans="3:14" ht="12.95" customHeight="1">
      <c r="C446" s="552"/>
      <c r="D446" s="537"/>
      <c r="E446" s="538"/>
      <c r="F446" s="547"/>
      <c r="G446" s="547"/>
      <c r="H446" s="541"/>
      <c r="I446" s="541"/>
      <c r="J446" s="543"/>
      <c r="K446" s="813"/>
      <c r="L446" s="544"/>
      <c r="M446" s="536"/>
      <c r="N446" s="536"/>
    </row>
    <row r="447" spans="3:14" ht="12.95" customHeight="1">
      <c r="C447" s="552"/>
      <c r="D447" s="537"/>
      <c r="E447" s="538"/>
      <c r="F447" s="547"/>
      <c r="G447" s="547"/>
      <c r="H447" s="541"/>
      <c r="I447" s="541"/>
      <c r="J447" s="543"/>
      <c r="K447" s="813"/>
      <c r="L447" s="544"/>
      <c r="M447" s="536"/>
      <c r="N447" s="536"/>
    </row>
    <row r="448" spans="3:14" ht="12.95" customHeight="1">
      <c r="C448" s="552"/>
      <c r="D448" s="537"/>
      <c r="E448" s="538"/>
      <c r="F448" s="547"/>
      <c r="G448" s="547"/>
      <c r="H448" s="541"/>
      <c r="I448" s="541"/>
      <c r="J448" s="543"/>
      <c r="K448" s="813"/>
      <c r="L448" s="544"/>
      <c r="M448" s="536"/>
      <c r="N448" s="536"/>
    </row>
  </sheetData>
  <autoFilter ref="B43:XFD448"/>
  <mergeCells count="2">
    <mergeCell ref="C1:J1"/>
    <mergeCell ref="M83:M85"/>
  </mergeCells>
  <conditionalFormatting sqref="I5:I7 I19:I40">
    <cfRule type="dataBar" priority="521">
      <dataBar>
        <cfvo type="num" val="0"/>
        <cfvo type="num" val="1"/>
        <color theme="4" tint="0.39997558519241921"/>
      </dataBar>
      <extLst>
        <ext xmlns:x14="http://schemas.microsoft.com/office/spreadsheetml/2009/9/main" uri="{B025F937-C7B1-47D3-B67F-A62EFF666E3E}">
          <x14:id>{77B7F4A7-FF96-4DA6-9FBD-7E7FD38FB2E3}</x14:id>
        </ext>
      </extLst>
    </cfRule>
  </conditionalFormatting>
  <conditionalFormatting sqref="I9:I16">
    <cfRule type="dataBar" priority="520">
      <dataBar>
        <cfvo type="num" val="0"/>
        <cfvo type="num" val="1"/>
        <color theme="4" tint="0.39997558519241921"/>
      </dataBar>
      <extLst>
        <ext xmlns:x14="http://schemas.microsoft.com/office/spreadsheetml/2009/9/main" uri="{B025F937-C7B1-47D3-B67F-A62EFF666E3E}">
          <x14:id>{29360DEC-ACD9-4896-99DD-A034D04099E6}</x14:id>
        </ext>
      </extLst>
    </cfRule>
  </conditionalFormatting>
  <conditionalFormatting sqref="F449:F1048576 F1:F43">
    <cfRule type="duplicateValues" dxfId="247" priority="515"/>
  </conditionalFormatting>
  <conditionalFormatting sqref="F449:F1048576">
    <cfRule type="duplicateValues" dxfId="246" priority="514"/>
  </conditionalFormatting>
  <conditionalFormatting sqref="F449:F1048576 F1:F43">
    <cfRule type="duplicateValues" dxfId="245" priority="505"/>
  </conditionalFormatting>
  <conditionalFormatting sqref="F449:F1048576 F1:F43">
    <cfRule type="duplicateValues" dxfId="244" priority="494"/>
  </conditionalFormatting>
  <conditionalFormatting sqref="F449:F1048576 F1:F43">
    <cfRule type="duplicateValues" dxfId="243" priority="487"/>
  </conditionalFormatting>
  <conditionalFormatting sqref="F449:F1048576 F1:F43">
    <cfRule type="duplicateValues" dxfId="242" priority="478"/>
  </conditionalFormatting>
  <conditionalFormatting sqref="F449:F1048576 F1:F43">
    <cfRule type="duplicateValues" dxfId="241" priority="468"/>
  </conditionalFormatting>
  <conditionalFormatting sqref="F449:F1048576 F1:F43">
    <cfRule type="duplicateValues" dxfId="240" priority="458"/>
  </conditionalFormatting>
  <conditionalFormatting sqref="F89:F91">
    <cfRule type="duplicateValues" dxfId="239" priority="98"/>
  </conditionalFormatting>
  <conditionalFormatting sqref="F89:F91">
    <cfRule type="duplicateValues" dxfId="238" priority="97"/>
  </conditionalFormatting>
  <conditionalFormatting sqref="F150">
    <cfRule type="duplicateValues" dxfId="237" priority="90"/>
  </conditionalFormatting>
  <conditionalFormatting sqref="F150">
    <cfRule type="duplicateValues" dxfId="236" priority="89"/>
  </conditionalFormatting>
  <conditionalFormatting sqref="F139">
    <cfRule type="duplicateValues" dxfId="235" priority="82"/>
  </conditionalFormatting>
  <conditionalFormatting sqref="F139">
    <cfRule type="duplicateValues" dxfId="234" priority="81"/>
  </conditionalFormatting>
  <conditionalFormatting sqref="F140">
    <cfRule type="duplicateValues" dxfId="233" priority="74"/>
  </conditionalFormatting>
  <conditionalFormatting sqref="F140">
    <cfRule type="duplicateValues" dxfId="232" priority="73"/>
  </conditionalFormatting>
  <conditionalFormatting sqref="F141">
    <cfRule type="duplicateValues" dxfId="231" priority="66"/>
  </conditionalFormatting>
  <conditionalFormatting sqref="F141">
    <cfRule type="duplicateValues" dxfId="230" priority="65"/>
  </conditionalFormatting>
  <conditionalFormatting sqref="F142">
    <cfRule type="duplicateValues" dxfId="229" priority="58"/>
  </conditionalFormatting>
  <conditionalFormatting sqref="F142">
    <cfRule type="duplicateValues" dxfId="228" priority="57"/>
  </conditionalFormatting>
  <conditionalFormatting sqref="F101:F105">
    <cfRule type="duplicateValues" dxfId="227" priority="48"/>
  </conditionalFormatting>
  <conditionalFormatting sqref="F101:F105">
    <cfRule type="duplicateValues" dxfId="226" priority="47"/>
  </conditionalFormatting>
  <conditionalFormatting sqref="F101:F105">
    <cfRule type="duplicateValues" dxfId="225" priority="46"/>
  </conditionalFormatting>
  <conditionalFormatting sqref="F101:F105">
    <cfRule type="duplicateValues" dxfId="224" priority="45"/>
  </conditionalFormatting>
  <conditionalFormatting sqref="F101:F105">
    <cfRule type="duplicateValues" dxfId="223" priority="44"/>
  </conditionalFormatting>
  <conditionalFormatting sqref="F101:F105">
    <cfRule type="duplicateValues" dxfId="222" priority="43"/>
  </conditionalFormatting>
  <conditionalFormatting sqref="F106:F107">
    <cfRule type="duplicateValues" dxfId="221" priority="40"/>
  </conditionalFormatting>
  <conditionalFormatting sqref="F106:F107">
    <cfRule type="duplicateValues" dxfId="220" priority="39"/>
  </conditionalFormatting>
  <conditionalFormatting sqref="F106:F107">
    <cfRule type="duplicateValues" dxfId="219" priority="38"/>
  </conditionalFormatting>
  <conditionalFormatting sqref="F106:F107">
    <cfRule type="duplicateValues" dxfId="218" priority="37"/>
  </conditionalFormatting>
  <conditionalFormatting sqref="F106:F107">
    <cfRule type="duplicateValues" dxfId="217" priority="36"/>
  </conditionalFormatting>
  <conditionalFormatting sqref="F106:F107">
    <cfRule type="duplicateValues" dxfId="216" priority="35"/>
  </conditionalFormatting>
  <conditionalFormatting sqref="F108">
    <cfRule type="duplicateValues" dxfId="215" priority="32"/>
  </conditionalFormatting>
  <conditionalFormatting sqref="F108">
    <cfRule type="duplicateValues" dxfId="214" priority="31"/>
  </conditionalFormatting>
  <conditionalFormatting sqref="F108">
    <cfRule type="duplicateValues" dxfId="213" priority="30"/>
  </conditionalFormatting>
  <conditionalFormatting sqref="F108">
    <cfRule type="duplicateValues" dxfId="212" priority="29"/>
  </conditionalFormatting>
  <conditionalFormatting sqref="F108">
    <cfRule type="duplicateValues" dxfId="211" priority="28"/>
  </conditionalFormatting>
  <conditionalFormatting sqref="F108">
    <cfRule type="duplicateValues" dxfId="210" priority="27"/>
  </conditionalFormatting>
  <conditionalFormatting sqref="F111">
    <cfRule type="duplicateValues" dxfId="209" priority="24"/>
  </conditionalFormatting>
  <conditionalFormatting sqref="F111">
    <cfRule type="duplicateValues" dxfId="208" priority="23"/>
  </conditionalFormatting>
  <conditionalFormatting sqref="F111">
    <cfRule type="duplicateValues" dxfId="207" priority="22"/>
  </conditionalFormatting>
  <conditionalFormatting sqref="F111">
    <cfRule type="duplicateValues" dxfId="206" priority="21"/>
  </conditionalFormatting>
  <conditionalFormatting sqref="F111">
    <cfRule type="duplicateValues" dxfId="205" priority="20"/>
  </conditionalFormatting>
  <conditionalFormatting sqref="F111">
    <cfRule type="duplicateValues" dxfId="204" priority="19"/>
  </conditionalFormatting>
  <conditionalFormatting sqref="F110">
    <cfRule type="duplicateValues" dxfId="203" priority="16"/>
  </conditionalFormatting>
  <conditionalFormatting sqref="F110">
    <cfRule type="duplicateValues" dxfId="202" priority="15"/>
  </conditionalFormatting>
  <conditionalFormatting sqref="F110">
    <cfRule type="duplicateValues" dxfId="201" priority="14"/>
  </conditionalFormatting>
  <conditionalFormatting sqref="F110">
    <cfRule type="duplicateValues" dxfId="200" priority="13"/>
  </conditionalFormatting>
  <conditionalFormatting sqref="F110">
    <cfRule type="duplicateValues" dxfId="199" priority="12"/>
  </conditionalFormatting>
  <conditionalFormatting sqref="F110">
    <cfRule type="duplicateValues" dxfId="198" priority="11"/>
  </conditionalFormatting>
  <conditionalFormatting sqref="F109">
    <cfRule type="duplicateValues" dxfId="197" priority="8"/>
  </conditionalFormatting>
  <conditionalFormatting sqref="F109">
    <cfRule type="duplicateValues" dxfId="196" priority="7"/>
  </conditionalFormatting>
  <conditionalFormatting sqref="F109">
    <cfRule type="duplicateValues" dxfId="195" priority="6"/>
  </conditionalFormatting>
  <conditionalFormatting sqref="F109">
    <cfRule type="duplicateValues" dxfId="194" priority="5"/>
  </conditionalFormatting>
  <conditionalFormatting sqref="F109">
    <cfRule type="duplicateValues" dxfId="193" priority="4"/>
  </conditionalFormatting>
  <conditionalFormatting sqref="F109">
    <cfRule type="duplicateValues" dxfId="192" priority="3"/>
  </conditionalFormatting>
  <conditionalFormatting sqref="F44:F85 F174:F247 F99:F100 F166">
    <cfRule type="duplicateValues" dxfId="191" priority="233"/>
  </conditionalFormatting>
  <conditionalFormatting sqref="F248">
    <cfRule type="duplicateValues" dxfId="190" priority="232"/>
  </conditionalFormatting>
  <conditionalFormatting sqref="F249">
    <cfRule type="duplicateValues" dxfId="189" priority="231"/>
  </conditionalFormatting>
  <conditionalFormatting sqref="F243:F249">
    <cfRule type="duplicateValues" dxfId="188" priority="230"/>
  </conditionalFormatting>
  <conditionalFormatting sqref="F44:F85 F174:F249 F99:F100 F166">
    <cfRule type="duplicateValues" dxfId="187" priority="229"/>
  </conditionalFormatting>
  <conditionalFormatting sqref="F250:F251">
    <cfRule type="duplicateValues" dxfId="186" priority="228"/>
  </conditionalFormatting>
  <conditionalFormatting sqref="F250:F251">
    <cfRule type="duplicateValues" dxfId="185" priority="227"/>
  </conditionalFormatting>
  <conditionalFormatting sqref="F250:F251">
    <cfRule type="duplicateValues" dxfId="184" priority="226"/>
  </conditionalFormatting>
  <conditionalFormatting sqref="F250:F251">
    <cfRule type="duplicateValues" dxfId="183" priority="225"/>
  </conditionalFormatting>
  <conditionalFormatting sqref="F252:F256">
    <cfRule type="duplicateValues" dxfId="182" priority="224"/>
  </conditionalFormatting>
  <conditionalFormatting sqref="F252:F256">
    <cfRule type="duplicateValues" dxfId="181" priority="223"/>
  </conditionalFormatting>
  <conditionalFormatting sqref="F252:F256">
    <cfRule type="duplicateValues" dxfId="180" priority="222"/>
  </conditionalFormatting>
  <conditionalFormatting sqref="F252:F256">
    <cfRule type="duplicateValues" dxfId="179" priority="221"/>
  </conditionalFormatting>
  <conditionalFormatting sqref="F44:F85 F174:F256 F99:F100 F166">
    <cfRule type="duplicateValues" dxfId="178" priority="220"/>
  </conditionalFormatting>
  <conditionalFormatting sqref="F257:F260">
    <cfRule type="duplicateValues" dxfId="177" priority="219"/>
  </conditionalFormatting>
  <conditionalFormatting sqref="F257:F260">
    <cfRule type="duplicateValues" dxfId="176" priority="218"/>
  </conditionalFormatting>
  <conditionalFormatting sqref="F257:F260">
    <cfRule type="duplicateValues" dxfId="175" priority="217"/>
  </conditionalFormatting>
  <conditionalFormatting sqref="F257:F260">
    <cfRule type="duplicateValues" dxfId="174" priority="216"/>
  </conditionalFormatting>
  <conditionalFormatting sqref="F257:F260">
    <cfRule type="duplicateValues" dxfId="173" priority="215"/>
  </conditionalFormatting>
  <conditionalFormatting sqref="F261:F265">
    <cfRule type="duplicateValues" dxfId="172" priority="214"/>
  </conditionalFormatting>
  <conditionalFormatting sqref="F261:F265">
    <cfRule type="duplicateValues" dxfId="171" priority="213"/>
  </conditionalFormatting>
  <conditionalFormatting sqref="F261:F265">
    <cfRule type="duplicateValues" dxfId="170" priority="212"/>
  </conditionalFormatting>
  <conditionalFormatting sqref="F261:F265">
    <cfRule type="duplicateValues" dxfId="169" priority="211"/>
  </conditionalFormatting>
  <conditionalFormatting sqref="F261:F265">
    <cfRule type="duplicateValues" dxfId="168" priority="210"/>
  </conditionalFormatting>
  <conditionalFormatting sqref="F44:F85 F174:F265 F99:F100 F166">
    <cfRule type="duplicateValues" dxfId="167" priority="209"/>
  </conditionalFormatting>
  <conditionalFormatting sqref="F266">
    <cfRule type="duplicateValues" dxfId="166" priority="208"/>
  </conditionalFormatting>
  <conditionalFormatting sqref="F266">
    <cfRule type="duplicateValues" dxfId="165" priority="207"/>
  </conditionalFormatting>
  <conditionalFormatting sqref="F266">
    <cfRule type="duplicateValues" dxfId="164" priority="206"/>
  </conditionalFormatting>
  <conditionalFormatting sqref="F266">
    <cfRule type="duplicateValues" dxfId="163" priority="205"/>
  </conditionalFormatting>
  <conditionalFormatting sqref="F266">
    <cfRule type="duplicateValues" dxfId="162" priority="204"/>
  </conditionalFormatting>
  <conditionalFormatting sqref="F266">
    <cfRule type="duplicateValues" dxfId="161" priority="203"/>
  </conditionalFormatting>
  <conditionalFormatting sqref="F44:F85 F174:F266 F99:F100 F166">
    <cfRule type="duplicateValues" dxfId="160" priority="202"/>
  </conditionalFormatting>
  <conditionalFormatting sqref="F267">
    <cfRule type="duplicateValues" dxfId="159" priority="201"/>
  </conditionalFormatting>
  <conditionalFormatting sqref="F267">
    <cfRule type="duplicateValues" dxfId="158" priority="200"/>
  </conditionalFormatting>
  <conditionalFormatting sqref="F267">
    <cfRule type="duplicateValues" dxfId="157" priority="199"/>
  </conditionalFormatting>
  <conditionalFormatting sqref="F267">
    <cfRule type="duplicateValues" dxfId="156" priority="198"/>
  </conditionalFormatting>
  <conditionalFormatting sqref="F267">
    <cfRule type="duplicateValues" dxfId="155" priority="197"/>
  </conditionalFormatting>
  <conditionalFormatting sqref="F267">
    <cfRule type="duplicateValues" dxfId="154" priority="196"/>
  </conditionalFormatting>
  <conditionalFormatting sqref="F267">
    <cfRule type="duplicateValues" dxfId="153" priority="195"/>
  </conditionalFormatting>
  <conditionalFormatting sqref="F267">
    <cfRule type="duplicateValues" dxfId="152" priority="194"/>
  </conditionalFormatting>
  <conditionalFormatting sqref="F44:F85 F174:F267 F99:F100 F166">
    <cfRule type="duplicateValues" dxfId="151" priority="193"/>
  </conditionalFormatting>
  <conditionalFormatting sqref="F268:F333">
    <cfRule type="duplicateValues" dxfId="150" priority="192"/>
  </conditionalFormatting>
  <conditionalFormatting sqref="F268:F333">
    <cfRule type="duplicateValues" dxfId="149" priority="191"/>
  </conditionalFormatting>
  <conditionalFormatting sqref="F268:F333">
    <cfRule type="duplicateValues" dxfId="148" priority="190"/>
  </conditionalFormatting>
  <conditionalFormatting sqref="F268:F333">
    <cfRule type="duplicateValues" dxfId="147" priority="189"/>
  </conditionalFormatting>
  <conditionalFormatting sqref="F268:F333">
    <cfRule type="duplicateValues" dxfId="146" priority="188"/>
  </conditionalFormatting>
  <conditionalFormatting sqref="F268:F333">
    <cfRule type="duplicateValues" dxfId="145" priority="187"/>
  </conditionalFormatting>
  <conditionalFormatting sqref="F268:F333">
    <cfRule type="duplicateValues" dxfId="144" priority="186"/>
  </conditionalFormatting>
  <conditionalFormatting sqref="F268:F333">
    <cfRule type="duplicateValues" dxfId="143" priority="185"/>
  </conditionalFormatting>
  <conditionalFormatting sqref="F268:F333">
    <cfRule type="duplicateValues" dxfId="142" priority="184"/>
  </conditionalFormatting>
  <conditionalFormatting sqref="F44:F85 F174:F333 F99:F100 F166">
    <cfRule type="duplicateValues" dxfId="141" priority="183"/>
  </conditionalFormatting>
  <conditionalFormatting sqref="F334:F338">
    <cfRule type="duplicateValues" dxfId="140" priority="182"/>
  </conditionalFormatting>
  <conditionalFormatting sqref="F334:F338">
    <cfRule type="duplicateValues" dxfId="139" priority="181"/>
  </conditionalFormatting>
  <conditionalFormatting sqref="F334:F338">
    <cfRule type="duplicateValues" dxfId="138" priority="180"/>
  </conditionalFormatting>
  <conditionalFormatting sqref="F334:F338">
    <cfRule type="duplicateValues" dxfId="137" priority="179"/>
  </conditionalFormatting>
  <conditionalFormatting sqref="F334:F338">
    <cfRule type="duplicateValues" dxfId="136" priority="178"/>
  </conditionalFormatting>
  <conditionalFormatting sqref="F334:F338">
    <cfRule type="duplicateValues" dxfId="135" priority="177"/>
  </conditionalFormatting>
  <conditionalFormatting sqref="F334:F338">
    <cfRule type="duplicateValues" dxfId="134" priority="176"/>
  </conditionalFormatting>
  <conditionalFormatting sqref="F334:F338">
    <cfRule type="duplicateValues" dxfId="133" priority="175"/>
  </conditionalFormatting>
  <conditionalFormatting sqref="F334:F338">
    <cfRule type="duplicateValues" dxfId="132" priority="174"/>
  </conditionalFormatting>
  <conditionalFormatting sqref="F174:F338 F44:F85 F99:F100 F166">
    <cfRule type="duplicateValues" dxfId="131" priority="173"/>
  </conditionalFormatting>
  <conditionalFormatting sqref="K60">
    <cfRule type="duplicateValues" dxfId="130" priority="172"/>
  </conditionalFormatting>
  <conditionalFormatting sqref="K294">
    <cfRule type="duplicateValues" dxfId="129" priority="171"/>
  </conditionalFormatting>
  <conditionalFormatting sqref="F112:F115 F118">
    <cfRule type="duplicateValues" dxfId="128" priority="170"/>
  </conditionalFormatting>
  <conditionalFormatting sqref="F112:F115">
    <cfRule type="duplicateValues" dxfId="127" priority="169"/>
  </conditionalFormatting>
  <conditionalFormatting sqref="F112:F115">
    <cfRule type="duplicateValues" dxfId="126" priority="168"/>
  </conditionalFormatting>
  <conditionalFormatting sqref="F112:F115">
    <cfRule type="duplicateValues" dxfId="125" priority="167"/>
  </conditionalFormatting>
  <conditionalFormatting sqref="F112:F115">
    <cfRule type="duplicateValues" dxfId="124" priority="166"/>
  </conditionalFormatting>
  <conditionalFormatting sqref="F112:F115">
    <cfRule type="duplicateValues" dxfId="123" priority="165"/>
  </conditionalFormatting>
  <conditionalFormatting sqref="F112:F115">
    <cfRule type="duplicateValues" dxfId="122" priority="164"/>
  </conditionalFormatting>
  <conditionalFormatting sqref="F112:F115">
    <cfRule type="duplicateValues" dxfId="121" priority="163"/>
  </conditionalFormatting>
  <conditionalFormatting sqref="F117">
    <cfRule type="duplicateValues" dxfId="120" priority="162"/>
  </conditionalFormatting>
  <conditionalFormatting sqref="F117">
    <cfRule type="duplicateValues" dxfId="119" priority="161"/>
  </conditionalFormatting>
  <conditionalFormatting sqref="F117">
    <cfRule type="duplicateValues" dxfId="118" priority="160"/>
  </conditionalFormatting>
  <conditionalFormatting sqref="F117">
    <cfRule type="duplicateValues" dxfId="117" priority="159"/>
  </conditionalFormatting>
  <conditionalFormatting sqref="F117">
    <cfRule type="duplicateValues" dxfId="116" priority="158"/>
  </conditionalFormatting>
  <conditionalFormatting sqref="F117">
    <cfRule type="duplicateValues" dxfId="115" priority="157"/>
  </conditionalFormatting>
  <conditionalFormatting sqref="F117">
    <cfRule type="duplicateValues" dxfId="114" priority="156"/>
  </conditionalFormatting>
  <conditionalFormatting sqref="F117">
    <cfRule type="duplicateValues" dxfId="113" priority="155"/>
  </conditionalFormatting>
  <conditionalFormatting sqref="F116">
    <cfRule type="duplicateValues" dxfId="112" priority="154"/>
  </conditionalFormatting>
  <conditionalFormatting sqref="F116">
    <cfRule type="duplicateValues" dxfId="111" priority="153"/>
  </conditionalFormatting>
  <conditionalFormatting sqref="F116">
    <cfRule type="duplicateValues" dxfId="110" priority="152"/>
  </conditionalFormatting>
  <conditionalFormatting sqref="F116">
    <cfRule type="duplicateValues" dxfId="109" priority="151"/>
  </conditionalFormatting>
  <conditionalFormatting sqref="F116">
    <cfRule type="duplicateValues" dxfId="108" priority="150"/>
  </conditionalFormatting>
  <conditionalFormatting sqref="F116">
    <cfRule type="duplicateValues" dxfId="107" priority="149"/>
  </conditionalFormatting>
  <conditionalFormatting sqref="F116">
    <cfRule type="duplicateValues" dxfId="106" priority="148"/>
  </conditionalFormatting>
  <conditionalFormatting sqref="F116">
    <cfRule type="duplicateValues" dxfId="105" priority="147"/>
  </conditionalFormatting>
  <conditionalFormatting sqref="F167:F173">
    <cfRule type="duplicateValues" dxfId="104" priority="234"/>
  </conditionalFormatting>
  <conditionalFormatting sqref="F119:F124">
    <cfRule type="duplicateValues" dxfId="103" priority="146"/>
  </conditionalFormatting>
  <conditionalFormatting sqref="F119:F124">
    <cfRule type="duplicateValues" dxfId="102" priority="145"/>
  </conditionalFormatting>
  <conditionalFormatting sqref="F119:F124">
    <cfRule type="duplicateValues" dxfId="101" priority="144"/>
  </conditionalFormatting>
  <conditionalFormatting sqref="F119:F124">
    <cfRule type="duplicateValues" dxfId="100" priority="143"/>
  </conditionalFormatting>
  <conditionalFormatting sqref="F119:F124">
    <cfRule type="duplicateValues" dxfId="99" priority="142"/>
  </conditionalFormatting>
  <conditionalFormatting sqref="F119:F124">
    <cfRule type="duplicateValues" dxfId="98" priority="141"/>
  </conditionalFormatting>
  <conditionalFormatting sqref="F119:F124">
    <cfRule type="duplicateValues" dxfId="97" priority="140"/>
  </conditionalFormatting>
  <conditionalFormatting sqref="F119:F124">
    <cfRule type="duplicateValues" dxfId="96" priority="139"/>
  </conditionalFormatting>
  <conditionalFormatting sqref="F125">
    <cfRule type="duplicateValues" dxfId="95" priority="138"/>
  </conditionalFormatting>
  <conditionalFormatting sqref="F125">
    <cfRule type="duplicateValues" dxfId="94" priority="137"/>
  </conditionalFormatting>
  <conditionalFormatting sqref="F125">
    <cfRule type="duplicateValues" dxfId="93" priority="136"/>
  </conditionalFormatting>
  <conditionalFormatting sqref="F125">
    <cfRule type="duplicateValues" dxfId="92" priority="135"/>
  </conditionalFormatting>
  <conditionalFormatting sqref="F125">
    <cfRule type="duplicateValues" dxfId="91" priority="134"/>
  </conditionalFormatting>
  <conditionalFormatting sqref="F125">
    <cfRule type="duplicateValues" dxfId="90" priority="133"/>
  </conditionalFormatting>
  <conditionalFormatting sqref="F125">
    <cfRule type="duplicateValues" dxfId="89" priority="132"/>
  </conditionalFormatting>
  <conditionalFormatting sqref="F125">
    <cfRule type="duplicateValues" dxfId="88" priority="131"/>
  </conditionalFormatting>
  <conditionalFormatting sqref="F151:F157">
    <cfRule type="duplicateValues" dxfId="87" priority="235"/>
  </conditionalFormatting>
  <conditionalFormatting sqref="F158">
    <cfRule type="duplicateValues" dxfId="86" priority="130"/>
  </conditionalFormatting>
  <conditionalFormatting sqref="F158">
    <cfRule type="duplicateValues" dxfId="85" priority="129"/>
  </conditionalFormatting>
  <conditionalFormatting sqref="F158">
    <cfRule type="duplicateValues" dxfId="84" priority="128"/>
  </conditionalFormatting>
  <conditionalFormatting sqref="F158">
    <cfRule type="duplicateValues" dxfId="83" priority="127"/>
  </conditionalFormatting>
  <conditionalFormatting sqref="F158">
    <cfRule type="duplicateValues" dxfId="82" priority="126"/>
  </conditionalFormatting>
  <conditionalFormatting sqref="F158">
    <cfRule type="duplicateValues" dxfId="81" priority="125"/>
  </conditionalFormatting>
  <conditionalFormatting sqref="F158">
    <cfRule type="duplicateValues" dxfId="80" priority="124"/>
  </conditionalFormatting>
  <conditionalFormatting sqref="F158">
    <cfRule type="duplicateValues" dxfId="79" priority="123"/>
  </conditionalFormatting>
  <conditionalFormatting sqref="F159:F165">
    <cfRule type="duplicateValues" dxfId="78" priority="122"/>
  </conditionalFormatting>
  <conditionalFormatting sqref="F159:F165">
    <cfRule type="duplicateValues" dxfId="77" priority="121"/>
  </conditionalFormatting>
  <conditionalFormatting sqref="F159:F165">
    <cfRule type="duplicateValues" dxfId="76" priority="120"/>
  </conditionalFormatting>
  <conditionalFormatting sqref="F159:F165">
    <cfRule type="duplicateValues" dxfId="75" priority="119"/>
  </conditionalFormatting>
  <conditionalFormatting sqref="F159:F165">
    <cfRule type="duplicateValues" dxfId="74" priority="118"/>
  </conditionalFormatting>
  <conditionalFormatting sqref="F159:F165">
    <cfRule type="duplicateValues" dxfId="73" priority="117"/>
  </conditionalFormatting>
  <conditionalFormatting sqref="F159:F165">
    <cfRule type="duplicateValues" dxfId="72" priority="116"/>
  </conditionalFormatting>
  <conditionalFormatting sqref="F159:F165">
    <cfRule type="duplicateValues" dxfId="71" priority="115"/>
  </conditionalFormatting>
  <conditionalFormatting sqref="F92:F98">
    <cfRule type="duplicateValues" dxfId="70" priority="236"/>
  </conditionalFormatting>
  <conditionalFormatting sqref="F143:F149">
    <cfRule type="duplicateValues" dxfId="69" priority="114"/>
  </conditionalFormatting>
  <conditionalFormatting sqref="F143:F149">
    <cfRule type="duplicateValues" dxfId="68" priority="113"/>
  </conditionalFormatting>
  <conditionalFormatting sqref="F143:F149">
    <cfRule type="duplicateValues" dxfId="67" priority="112"/>
  </conditionalFormatting>
  <conditionalFormatting sqref="F143:F149">
    <cfRule type="duplicateValues" dxfId="66" priority="111"/>
  </conditionalFormatting>
  <conditionalFormatting sqref="F143:F149">
    <cfRule type="duplicateValues" dxfId="65" priority="110"/>
  </conditionalFormatting>
  <conditionalFormatting sqref="F143:F149">
    <cfRule type="duplicateValues" dxfId="64" priority="109"/>
  </conditionalFormatting>
  <conditionalFormatting sqref="F143:F149">
    <cfRule type="duplicateValues" dxfId="63" priority="108"/>
  </conditionalFormatting>
  <conditionalFormatting sqref="F143:F149">
    <cfRule type="duplicateValues" dxfId="62" priority="107"/>
  </conditionalFormatting>
  <conditionalFormatting sqref="F126:F133">
    <cfRule type="duplicateValues" dxfId="61" priority="237"/>
  </conditionalFormatting>
  <conditionalFormatting sqref="F134:F138">
    <cfRule type="duplicateValues" dxfId="60" priority="106"/>
  </conditionalFormatting>
  <conditionalFormatting sqref="F134:F138">
    <cfRule type="duplicateValues" dxfId="59" priority="105"/>
  </conditionalFormatting>
  <conditionalFormatting sqref="F134:F138">
    <cfRule type="duplicateValues" dxfId="58" priority="104"/>
  </conditionalFormatting>
  <conditionalFormatting sqref="F134:F138">
    <cfRule type="duplicateValues" dxfId="57" priority="103"/>
  </conditionalFormatting>
  <conditionalFormatting sqref="F134:F138">
    <cfRule type="duplicateValues" dxfId="56" priority="102"/>
  </conditionalFormatting>
  <conditionalFormatting sqref="F134:F138">
    <cfRule type="duplicateValues" dxfId="55" priority="101"/>
  </conditionalFormatting>
  <conditionalFormatting sqref="F134:F138">
    <cfRule type="duplicateValues" dxfId="54" priority="100"/>
  </conditionalFormatting>
  <conditionalFormatting sqref="F134:F138">
    <cfRule type="duplicateValues" dxfId="53" priority="99"/>
  </conditionalFormatting>
  <conditionalFormatting sqref="F86:F88">
    <cfRule type="duplicateValues" dxfId="52" priority="238"/>
  </conditionalFormatting>
  <conditionalFormatting sqref="F89:F91">
    <cfRule type="duplicateValues" dxfId="51" priority="96"/>
  </conditionalFormatting>
  <conditionalFormatting sqref="F89:F91">
    <cfRule type="duplicateValues" dxfId="50" priority="95"/>
  </conditionalFormatting>
  <conditionalFormatting sqref="F89:F91">
    <cfRule type="duplicateValues" dxfId="49" priority="94"/>
  </conditionalFormatting>
  <conditionalFormatting sqref="F89:F91">
    <cfRule type="duplicateValues" dxfId="48" priority="93"/>
  </conditionalFormatting>
  <conditionalFormatting sqref="F89:F91">
    <cfRule type="duplicateValues" dxfId="47" priority="92"/>
  </conditionalFormatting>
  <conditionalFormatting sqref="F89:F91">
    <cfRule type="duplicateValues" dxfId="46" priority="91"/>
  </conditionalFormatting>
  <conditionalFormatting sqref="F150">
    <cfRule type="duplicateValues" dxfId="45" priority="88"/>
  </conditionalFormatting>
  <conditionalFormatting sqref="F150">
    <cfRule type="duplicateValues" dxfId="44" priority="87"/>
  </conditionalFormatting>
  <conditionalFormatting sqref="F150">
    <cfRule type="duplicateValues" dxfId="43" priority="86"/>
  </conditionalFormatting>
  <conditionalFormatting sqref="F150">
    <cfRule type="duplicateValues" dxfId="42" priority="85"/>
  </conditionalFormatting>
  <conditionalFormatting sqref="F150">
    <cfRule type="duplicateValues" dxfId="41" priority="84"/>
  </conditionalFormatting>
  <conditionalFormatting sqref="F150">
    <cfRule type="duplicateValues" dxfId="40" priority="83"/>
  </conditionalFormatting>
  <conditionalFormatting sqref="F139">
    <cfRule type="duplicateValues" dxfId="39" priority="80"/>
  </conditionalFormatting>
  <conditionalFormatting sqref="F139">
    <cfRule type="duplicateValues" dxfId="38" priority="79"/>
  </conditionalFormatting>
  <conditionalFormatting sqref="F139">
    <cfRule type="duplicateValues" dxfId="37" priority="78"/>
  </conditionalFormatting>
  <conditionalFormatting sqref="F139">
    <cfRule type="duplicateValues" dxfId="36" priority="77"/>
  </conditionalFormatting>
  <conditionalFormatting sqref="F139">
    <cfRule type="duplicateValues" dxfId="35" priority="76"/>
  </conditionalFormatting>
  <conditionalFormatting sqref="F139">
    <cfRule type="duplicateValues" dxfId="34" priority="75"/>
  </conditionalFormatting>
  <conditionalFormatting sqref="F140">
    <cfRule type="duplicateValues" dxfId="33" priority="72"/>
  </conditionalFormatting>
  <conditionalFormatting sqref="F140">
    <cfRule type="duplicateValues" dxfId="32" priority="71"/>
  </conditionalFormatting>
  <conditionalFormatting sqref="F140">
    <cfRule type="duplicateValues" dxfId="31" priority="70"/>
  </conditionalFormatting>
  <conditionalFormatting sqref="F140">
    <cfRule type="duplicateValues" dxfId="30" priority="69"/>
  </conditionalFormatting>
  <conditionalFormatting sqref="F140">
    <cfRule type="duplicateValues" dxfId="29" priority="68"/>
  </conditionalFormatting>
  <conditionalFormatting sqref="F140">
    <cfRule type="duplicateValues" dxfId="28" priority="67"/>
  </conditionalFormatting>
  <conditionalFormatting sqref="F141">
    <cfRule type="duplicateValues" dxfId="27" priority="64"/>
  </conditionalFormatting>
  <conditionalFormatting sqref="F141">
    <cfRule type="duplicateValues" dxfId="26" priority="63"/>
  </conditionalFormatting>
  <conditionalFormatting sqref="F141">
    <cfRule type="duplicateValues" dxfId="25" priority="62"/>
  </conditionalFormatting>
  <conditionalFormatting sqref="F141">
    <cfRule type="duplicateValues" dxfId="24" priority="61"/>
  </conditionalFormatting>
  <conditionalFormatting sqref="F141">
    <cfRule type="duplicateValues" dxfId="23" priority="60"/>
  </conditionalFormatting>
  <conditionalFormatting sqref="F141">
    <cfRule type="duplicateValues" dxfId="22" priority="59"/>
  </conditionalFormatting>
  <conditionalFormatting sqref="F142">
    <cfRule type="duplicateValues" dxfId="21" priority="56"/>
  </conditionalFormatting>
  <conditionalFormatting sqref="F142">
    <cfRule type="duplicateValues" dxfId="20" priority="55"/>
  </conditionalFormatting>
  <conditionalFormatting sqref="F142">
    <cfRule type="duplicateValues" dxfId="19" priority="54"/>
  </conditionalFormatting>
  <conditionalFormatting sqref="F142">
    <cfRule type="duplicateValues" dxfId="18" priority="53"/>
  </conditionalFormatting>
  <conditionalFormatting sqref="F142">
    <cfRule type="duplicateValues" dxfId="17" priority="52"/>
  </conditionalFormatting>
  <conditionalFormatting sqref="F142">
    <cfRule type="duplicateValues" dxfId="16" priority="51"/>
  </conditionalFormatting>
  <conditionalFormatting sqref="F101:F105">
    <cfRule type="duplicateValues" dxfId="15" priority="50"/>
  </conditionalFormatting>
  <conditionalFormatting sqref="F101:F105">
    <cfRule type="duplicateValues" dxfId="14" priority="49"/>
  </conditionalFormatting>
  <conditionalFormatting sqref="F106:F107">
    <cfRule type="duplicateValues" dxfId="13" priority="42"/>
  </conditionalFormatting>
  <conditionalFormatting sqref="F106:F107">
    <cfRule type="duplicateValues" dxfId="12" priority="41"/>
  </conditionalFormatting>
  <conditionalFormatting sqref="F108">
    <cfRule type="duplicateValues" dxfId="11" priority="34"/>
  </conditionalFormatting>
  <conditionalFormatting sqref="F108">
    <cfRule type="duplicateValues" dxfId="10" priority="33"/>
  </conditionalFormatting>
  <conditionalFormatting sqref="F111">
    <cfRule type="duplicateValues" dxfId="9" priority="26"/>
  </conditionalFormatting>
  <conditionalFormatting sqref="F111">
    <cfRule type="duplicateValues" dxfId="8" priority="25"/>
  </conditionalFormatting>
  <conditionalFormatting sqref="F110">
    <cfRule type="duplicateValues" dxfId="7" priority="18"/>
  </conditionalFormatting>
  <conditionalFormatting sqref="F110">
    <cfRule type="duplicateValues" dxfId="6" priority="17"/>
  </conditionalFormatting>
  <conditionalFormatting sqref="F109">
    <cfRule type="duplicateValues" dxfId="5" priority="10"/>
  </conditionalFormatting>
  <conditionalFormatting sqref="F109">
    <cfRule type="duplicateValues" dxfId="4" priority="9"/>
  </conditionalFormatting>
  <conditionalFormatting sqref="F410:F412">
    <cfRule type="duplicateValues" dxfId="3" priority="2"/>
  </conditionalFormatting>
  <conditionalFormatting sqref="F339:F409">
    <cfRule type="duplicateValues" dxfId="2" priority="239"/>
  </conditionalFormatting>
  <conditionalFormatting sqref="F413:F448">
    <cfRule type="duplicateValues" dxfId="1" priority="1"/>
  </conditionalFormatting>
  <dataValidations disablePrompts="1" count="2">
    <dataValidation allowBlank="1" showInputMessage="1" showErrorMessage="1" prompt="Enter Bid number in this column under this heading. Use heading filter to find specific entries." sqref="C18:E18 D4:E4 C8:E8"/>
    <dataValidation allowBlank="1" showInputMessage="1" showErrorMessage="1" prompt="Enter % Complete in this column under this heading. A status bar indicates progress toward completion." sqref="I18 I8"/>
  </dataValidations>
  <hyperlinks>
    <hyperlink ref="F44" r:id="rId1"/>
    <hyperlink ref="F45" r:id="rId2"/>
    <hyperlink ref="F46" r:id="rId3"/>
    <hyperlink ref="F47" r:id="rId4"/>
    <hyperlink ref="F48" r:id="rId5"/>
    <hyperlink ref="F49" r:id="rId6"/>
    <hyperlink ref="F50" r:id="rId7"/>
    <hyperlink ref="F51" r:id="rId8"/>
    <hyperlink ref="F52" r:id="rId9"/>
    <hyperlink ref="F53" r:id="rId10"/>
    <hyperlink ref="F54" r:id="rId11"/>
    <hyperlink ref="F55" r:id="rId12"/>
    <hyperlink ref="F56" r:id="rId13"/>
    <hyperlink ref="M44" r:id="rId14"/>
    <hyperlink ref="M45:M56" r:id="rId15" display="Approved"/>
    <hyperlink ref="F57" r:id="rId16"/>
  </hyperlinks>
  <pageMargins left="0.7" right="0.7" top="0.75" bottom="0.75" header="0.3" footer="0.3"/>
  <pageSetup orientation="portrait" r:id="rId17"/>
  <drawing r:id="rId18"/>
  <legacyDrawing r:id="rId19"/>
  <extLst>
    <ext xmlns:x14="http://schemas.microsoft.com/office/spreadsheetml/2009/9/main" uri="{78C0D931-6437-407d-A8EE-F0AAD7539E65}">
      <x14:conditionalFormattings>
        <x14:conditionalFormatting xmlns:xm="http://schemas.microsoft.com/office/excel/2006/main">
          <x14:cfRule type="dataBar" id="{77B7F4A7-FF96-4DA6-9FBD-7E7FD38FB2E3}">
            <x14:dataBar minLength="0" maxLength="100" gradient="0">
              <x14:cfvo type="num">
                <xm:f>0</xm:f>
              </x14:cfvo>
              <x14:cfvo type="num">
                <xm:f>1</xm:f>
              </x14:cfvo>
              <x14:negativeFillColor rgb="FFFF0000"/>
              <x14:axisColor rgb="FF000000"/>
            </x14:dataBar>
          </x14:cfRule>
          <xm:sqref>I5:I7 I19:I40</xm:sqref>
        </x14:conditionalFormatting>
        <x14:conditionalFormatting xmlns:xm="http://schemas.microsoft.com/office/excel/2006/main">
          <x14:cfRule type="dataBar" id="{29360DEC-ACD9-4896-99DD-A034D04099E6}">
            <x14:dataBar minLength="0" maxLength="100" gradient="0">
              <x14:cfvo type="num">
                <xm:f>0</xm:f>
              </x14:cfvo>
              <x14:cfvo type="num">
                <xm:f>1</xm:f>
              </x14:cfvo>
              <x14:negativeFillColor rgb="FFFF0000"/>
              <x14:axisColor rgb="FF000000"/>
            </x14:dataBar>
          </x14:cfRule>
          <xm:sqref>I9:I16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C58"/>
  <sheetViews>
    <sheetView topLeftCell="A22" zoomScale="55" zoomScaleNormal="55" workbookViewId="0">
      <selection activeCell="V24" sqref="V24"/>
    </sheetView>
  </sheetViews>
  <sheetFormatPr defaultColWidth="9.140625" defaultRowHeight="15"/>
  <cols>
    <col min="1" max="1" width="3.5703125" style="222" customWidth="1"/>
    <col min="2" max="2" width="9.28515625" style="235" hidden="1" customWidth="1"/>
    <col min="3" max="3" width="11.85546875" style="222" hidden="1" customWidth="1"/>
    <col min="4" max="4" width="12.42578125" style="222" hidden="1" customWidth="1"/>
    <col min="5" max="5" width="10.42578125" style="222" hidden="1" customWidth="1"/>
    <col min="6" max="6" width="12.140625" style="222" hidden="1" customWidth="1"/>
    <col min="7" max="7" width="35.42578125" style="222" hidden="1" customWidth="1"/>
    <col min="8" max="8" width="11.140625" style="222" hidden="1" customWidth="1"/>
    <col min="9" max="9" width="12.140625" style="222" hidden="1" customWidth="1"/>
    <col min="10" max="10" width="10.140625" style="222" hidden="1" customWidth="1"/>
    <col min="11" max="11" width="27.42578125" style="222" hidden="1" customWidth="1"/>
    <col min="12" max="12" width="23.5703125" style="222" hidden="1" customWidth="1"/>
    <col min="13" max="13" width="25.5703125" style="222" hidden="1" customWidth="1"/>
    <col min="14" max="14" width="26.5703125" style="222" hidden="1" customWidth="1"/>
    <col min="15" max="15" width="16.28515625" style="222" bestFit="1" customWidth="1"/>
    <col min="16" max="17" width="11.140625" style="222" customWidth="1"/>
    <col min="18" max="18" width="13.42578125" style="222" customWidth="1"/>
    <col min="19" max="19" width="15.140625" style="222" bestFit="1" customWidth="1"/>
    <col min="20" max="20" width="17.140625" style="222" customWidth="1"/>
    <col min="21" max="21" width="30.85546875" style="222" customWidth="1"/>
    <col min="22" max="22" width="23.5703125" style="222" bestFit="1" customWidth="1"/>
    <col min="23" max="23" width="25.5703125" style="222" bestFit="1" customWidth="1"/>
    <col min="24" max="24" width="21.7109375" style="222" customWidth="1"/>
    <col min="25" max="25" width="41" style="222" bestFit="1" customWidth="1"/>
    <col min="26" max="16384" width="9.140625" style="222"/>
  </cols>
  <sheetData>
    <row r="2" spans="2:25" ht="15.75">
      <c r="B2" s="785" t="s">
        <v>217</v>
      </c>
      <c r="C2" s="785"/>
      <c r="D2" s="785"/>
      <c r="E2" s="785"/>
      <c r="F2" s="785"/>
      <c r="G2" s="785"/>
      <c r="H2" s="785"/>
      <c r="I2" s="785"/>
      <c r="J2" s="785"/>
      <c r="K2" s="785"/>
      <c r="L2" s="785"/>
      <c r="M2" s="785"/>
      <c r="N2" s="785"/>
      <c r="O2" s="785"/>
      <c r="P2" s="785"/>
      <c r="Q2" s="785"/>
      <c r="R2" s="785"/>
      <c r="S2" s="785"/>
      <c r="T2" s="785"/>
      <c r="U2" s="785"/>
      <c r="V2" s="785"/>
      <c r="W2" s="785"/>
      <c r="X2" s="785"/>
    </row>
    <row r="3" spans="2:25" ht="15.75">
      <c r="B3" s="792" t="s">
        <v>65</v>
      </c>
      <c r="C3" s="793"/>
      <c r="D3" s="793"/>
      <c r="E3" s="793"/>
      <c r="F3" s="793"/>
      <c r="G3" s="793"/>
      <c r="H3" s="793"/>
      <c r="I3" s="793"/>
      <c r="J3" s="793"/>
      <c r="K3" s="793"/>
      <c r="L3" s="793"/>
      <c r="M3" s="793"/>
      <c r="N3" s="793"/>
      <c r="O3" s="793"/>
      <c r="P3" s="793"/>
      <c r="Q3" s="793"/>
      <c r="R3" s="793"/>
      <c r="S3" s="793"/>
      <c r="T3" s="793"/>
      <c r="U3" s="793"/>
      <c r="V3" s="793"/>
      <c r="W3" s="793"/>
      <c r="X3" s="794"/>
    </row>
    <row r="4" spans="2:25" ht="39" customHeight="1">
      <c r="B4" s="786" t="s">
        <v>270</v>
      </c>
      <c r="C4" s="787"/>
      <c r="D4" s="787"/>
      <c r="E4" s="787"/>
      <c r="F4" s="787"/>
      <c r="G4" s="787"/>
      <c r="H4" s="787"/>
      <c r="I4" s="787"/>
      <c r="J4" s="787"/>
      <c r="K4" s="787"/>
      <c r="L4" s="787"/>
      <c r="M4" s="787"/>
      <c r="N4" s="788"/>
      <c r="O4" s="789" t="s">
        <v>265</v>
      </c>
      <c r="P4" s="790"/>
      <c r="Q4" s="790"/>
      <c r="R4" s="790"/>
      <c r="S4" s="790"/>
      <c r="T4" s="790"/>
      <c r="U4" s="790"/>
      <c r="V4" s="790"/>
      <c r="W4" s="790"/>
      <c r="X4" s="791"/>
    </row>
    <row r="5" spans="2:25" ht="47.25">
      <c r="B5" s="236" t="s">
        <v>78</v>
      </c>
      <c r="C5" s="237" t="s">
        <v>74</v>
      </c>
      <c r="D5" s="236" t="s">
        <v>156</v>
      </c>
      <c r="E5" s="236" t="s">
        <v>198</v>
      </c>
      <c r="F5" s="236" t="s">
        <v>80</v>
      </c>
      <c r="G5" s="237"/>
      <c r="H5" s="236" t="s">
        <v>80</v>
      </c>
      <c r="I5" s="236" t="s">
        <v>88</v>
      </c>
      <c r="J5" s="237" t="s">
        <v>76</v>
      </c>
      <c r="K5" s="237" t="s">
        <v>75</v>
      </c>
      <c r="L5" s="108" t="s">
        <v>89</v>
      </c>
      <c r="M5" s="108" t="s">
        <v>73</v>
      </c>
      <c r="N5" s="109" t="s">
        <v>4</v>
      </c>
      <c r="O5" s="253" t="s">
        <v>78</v>
      </c>
      <c r="P5" s="253" t="s">
        <v>198</v>
      </c>
      <c r="Q5" s="253" t="s">
        <v>80</v>
      </c>
      <c r="R5" s="253" t="s">
        <v>266</v>
      </c>
      <c r="S5" s="253" t="s">
        <v>156</v>
      </c>
      <c r="T5" s="254" t="s">
        <v>76</v>
      </c>
      <c r="U5" s="254" t="s">
        <v>75</v>
      </c>
      <c r="V5" s="108" t="s">
        <v>89</v>
      </c>
      <c r="W5" s="108" t="s">
        <v>73</v>
      </c>
      <c r="X5" s="109" t="s">
        <v>4</v>
      </c>
    </row>
    <row r="6" spans="2:25" ht="63">
      <c r="B6" s="238" t="s">
        <v>161</v>
      </c>
      <c r="C6" s="239" t="s">
        <v>157</v>
      </c>
      <c r="D6" s="239" t="s">
        <v>158</v>
      </c>
      <c r="E6" s="239" t="s">
        <v>200</v>
      </c>
      <c r="F6" s="240">
        <v>94.4</v>
      </c>
      <c r="G6" s="241" t="s">
        <v>182</v>
      </c>
      <c r="H6" s="242">
        <f>F6</f>
        <v>94.4</v>
      </c>
      <c r="I6" s="243">
        <f>H6*10.76</f>
        <v>1015.744</v>
      </c>
      <c r="J6" s="243" t="s">
        <v>71</v>
      </c>
      <c r="K6" s="244" t="s">
        <v>182</v>
      </c>
      <c r="L6" s="89">
        <v>6805484.7999999998</v>
      </c>
      <c r="M6" s="89">
        <v>8030472.0639999993</v>
      </c>
      <c r="N6" s="204" t="s">
        <v>226</v>
      </c>
      <c r="O6" s="255" t="s">
        <v>236</v>
      </c>
      <c r="P6" s="255" t="s">
        <v>200</v>
      </c>
      <c r="Q6" s="255">
        <v>94.4</v>
      </c>
      <c r="R6" s="263">
        <f>+Q6*10.764/2</f>
        <v>508.06079999999997</v>
      </c>
      <c r="S6" s="255" t="s">
        <v>158</v>
      </c>
      <c r="T6" s="255" t="s">
        <v>244</v>
      </c>
      <c r="U6" s="256" t="s">
        <v>245</v>
      </c>
      <c r="V6" s="89">
        <f>+Details_OLD2!H3</f>
        <v>5850332.1909072353</v>
      </c>
      <c r="W6" s="89">
        <f>V6*118%</f>
        <v>6903391.9852705374</v>
      </c>
      <c r="X6" s="204"/>
      <c r="Y6" s="223" t="s">
        <v>313</v>
      </c>
    </row>
    <row r="7" spans="2:25" ht="63">
      <c r="B7" s="238"/>
      <c r="C7" s="239"/>
      <c r="D7" s="239"/>
      <c r="E7" s="239"/>
      <c r="F7" s="240"/>
      <c r="G7" s="241"/>
      <c r="H7" s="242"/>
      <c r="I7" s="243"/>
      <c r="J7" s="243"/>
      <c r="K7" s="244"/>
      <c r="L7" s="89"/>
      <c r="M7" s="89"/>
      <c r="N7" s="204"/>
      <c r="O7" s="255" t="s">
        <v>236</v>
      </c>
      <c r="P7" s="255" t="s">
        <v>200</v>
      </c>
      <c r="Q7" s="255">
        <v>94.4</v>
      </c>
      <c r="R7" s="263">
        <f>+Q7*10.764/2</f>
        <v>508.06079999999997</v>
      </c>
      <c r="S7" s="255" t="s">
        <v>158</v>
      </c>
      <c r="T7" s="255" t="s">
        <v>244</v>
      </c>
      <c r="U7" s="274" t="s">
        <v>245</v>
      </c>
      <c r="V7" s="89">
        <f>+Details_OLD2!O3</f>
        <v>11515830.240324378</v>
      </c>
      <c r="W7" s="89">
        <f>V7*118%</f>
        <v>13588679.683582766</v>
      </c>
      <c r="X7" s="204"/>
      <c r="Y7" s="223" t="s">
        <v>313</v>
      </c>
    </row>
    <row r="8" spans="2:25" ht="31.5">
      <c r="B8" s="238" t="s">
        <v>162</v>
      </c>
      <c r="C8" s="239" t="s">
        <v>157</v>
      </c>
      <c r="D8" s="239" t="s">
        <v>159</v>
      </c>
      <c r="E8" s="239" t="s">
        <v>199</v>
      </c>
      <c r="F8" s="240">
        <v>35.74</v>
      </c>
      <c r="G8" s="241" t="s">
        <v>196</v>
      </c>
      <c r="H8" s="242">
        <f>F8-H9</f>
        <v>25.740000000000002</v>
      </c>
      <c r="I8" s="243">
        <f t="shared" ref="I8:I46" si="0">H8*10.76</f>
        <v>276.9624</v>
      </c>
      <c r="J8" s="243" t="s">
        <v>71</v>
      </c>
      <c r="K8" s="244" t="s">
        <v>202</v>
      </c>
      <c r="L8" s="89">
        <v>3489726.24</v>
      </c>
      <c r="M8" s="89">
        <v>4117876.9632000001</v>
      </c>
      <c r="N8" s="204" t="s">
        <v>226</v>
      </c>
      <c r="O8" s="255" t="s">
        <v>162</v>
      </c>
      <c r="P8" s="255" t="s">
        <v>199</v>
      </c>
      <c r="Q8" s="255">
        <v>35.74</v>
      </c>
      <c r="R8" s="263">
        <f t="shared" ref="R8:R46" si="1">+Q8*10.764</f>
        <v>384.70535999999998</v>
      </c>
      <c r="S8" s="255" t="s">
        <v>158</v>
      </c>
      <c r="T8" s="255" t="s">
        <v>244</v>
      </c>
      <c r="U8" s="256" t="s">
        <v>246</v>
      </c>
      <c r="V8" s="89">
        <f>+Details_OLD2!V3</f>
        <v>7636296.6209654659</v>
      </c>
      <c r="W8" s="89">
        <f t="shared" ref="W8:W18" si="2">V8*118%</f>
        <v>9010830.0127392486</v>
      </c>
      <c r="X8" s="204"/>
      <c r="Y8" s="223" t="s">
        <v>313</v>
      </c>
    </row>
    <row r="9" spans="2:25" ht="15.75" customHeight="1">
      <c r="B9" s="245"/>
      <c r="C9" s="246"/>
      <c r="D9" s="246"/>
      <c r="E9" s="246"/>
      <c r="F9" s="240"/>
      <c r="G9" s="241"/>
      <c r="H9" s="242">
        <v>10</v>
      </c>
      <c r="I9" s="243">
        <f t="shared" si="0"/>
        <v>107.6</v>
      </c>
      <c r="J9" s="243" t="s">
        <v>77</v>
      </c>
      <c r="K9" s="244" t="s">
        <v>201</v>
      </c>
      <c r="L9" s="89">
        <v>796240</v>
      </c>
      <c r="M9" s="89">
        <v>939563.2</v>
      </c>
      <c r="N9" s="204" t="s">
        <v>226</v>
      </c>
      <c r="O9" s="257"/>
      <c r="P9" s="258"/>
      <c r="Q9" s="258"/>
      <c r="R9" s="263">
        <f t="shared" si="1"/>
        <v>0</v>
      </c>
      <c r="S9" s="258"/>
      <c r="T9" s="258"/>
      <c r="U9" s="258"/>
      <c r="V9" s="89"/>
      <c r="W9" s="89">
        <f t="shared" si="2"/>
        <v>0</v>
      </c>
      <c r="X9" s="204"/>
    </row>
    <row r="10" spans="2:25" ht="15.6" customHeight="1">
      <c r="B10" s="238" t="s">
        <v>163</v>
      </c>
      <c r="C10" s="239" t="s">
        <v>157</v>
      </c>
      <c r="D10" s="239" t="s">
        <v>159</v>
      </c>
      <c r="E10" s="246" t="s">
        <v>199</v>
      </c>
      <c r="F10" s="240">
        <v>35.74</v>
      </c>
      <c r="G10" s="241" t="s">
        <v>183</v>
      </c>
      <c r="H10" s="242">
        <f>F10</f>
        <v>35.74</v>
      </c>
      <c r="I10" s="243">
        <f t="shared" si="0"/>
        <v>384.56240000000003</v>
      </c>
      <c r="J10" s="243" t="s">
        <v>77</v>
      </c>
      <c r="K10" s="244" t="s">
        <v>203</v>
      </c>
      <c r="L10" s="89">
        <v>4845486.24</v>
      </c>
      <c r="M10" s="89">
        <v>5717673.7631999999</v>
      </c>
      <c r="N10" s="204" t="s">
        <v>226</v>
      </c>
      <c r="O10" s="255" t="s">
        <v>163</v>
      </c>
      <c r="P10" s="255" t="s">
        <v>199</v>
      </c>
      <c r="Q10" s="255">
        <v>35.74</v>
      </c>
      <c r="R10" s="263">
        <f t="shared" si="1"/>
        <v>384.70535999999998</v>
      </c>
      <c r="S10" s="255" t="s">
        <v>235</v>
      </c>
      <c r="T10" s="255" t="s">
        <v>247</v>
      </c>
      <c r="U10" s="256" t="s">
        <v>248</v>
      </c>
      <c r="V10" s="89">
        <f>+Details_OLD2!AC3</f>
        <v>7636296.6209654659</v>
      </c>
      <c r="W10" s="89">
        <f t="shared" si="2"/>
        <v>9010830.0127392486</v>
      </c>
      <c r="X10" s="204"/>
    </row>
    <row r="11" spans="2:25" ht="15.75">
      <c r="B11" s="238" t="s">
        <v>164</v>
      </c>
      <c r="C11" s="239" t="s">
        <v>157</v>
      </c>
      <c r="D11" s="239" t="s">
        <v>159</v>
      </c>
      <c r="E11" s="239" t="s">
        <v>200</v>
      </c>
      <c r="F11" s="240">
        <v>332.4</v>
      </c>
      <c r="G11" s="241" t="s">
        <v>184</v>
      </c>
      <c r="H11" s="242">
        <f>F11</f>
        <v>332.4</v>
      </c>
      <c r="I11" s="243">
        <f t="shared" si="0"/>
        <v>3576.6239999999998</v>
      </c>
      <c r="J11" s="243" t="s">
        <v>71</v>
      </c>
      <c r="K11" s="244" t="s">
        <v>184</v>
      </c>
      <c r="L11" s="89">
        <v>39342863.999999993</v>
      </c>
      <c r="M11" s="89">
        <v>46424579.519999988</v>
      </c>
      <c r="N11" s="204" t="s">
        <v>227</v>
      </c>
      <c r="O11" s="255" t="s">
        <v>164</v>
      </c>
      <c r="P11" s="255" t="s">
        <v>200</v>
      </c>
      <c r="Q11" s="280">
        <f>332.4/2</f>
        <v>166.2</v>
      </c>
      <c r="R11" s="281">
        <f t="shared" ref="R11:R16" si="3">+Q11*10.764</f>
        <v>1788.9767999999997</v>
      </c>
      <c r="S11" s="277" t="s">
        <v>159</v>
      </c>
      <c r="T11" s="277" t="s">
        <v>249</v>
      </c>
      <c r="U11" s="279" t="s">
        <v>272</v>
      </c>
      <c r="V11" s="275">
        <f>+Details_OLD2!AJ3</f>
        <v>36847433.757944487</v>
      </c>
      <c r="W11" s="275">
        <f t="shared" si="2"/>
        <v>43479971.834374495</v>
      </c>
      <c r="X11" s="204"/>
    </row>
    <row r="12" spans="2:25" ht="15.75">
      <c r="B12" s="238" t="s">
        <v>165</v>
      </c>
      <c r="C12" s="239" t="s">
        <v>157</v>
      </c>
      <c r="D12" s="239" t="s">
        <v>159</v>
      </c>
      <c r="E12" s="239" t="s">
        <v>200</v>
      </c>
      <c r="F12" s="240">
        <v>69.63</v>
      </c>
      <c r="G12" s="247" t="s">
        <v>185</v>
      </c>
      <c r="H12" s="242">
        <f>F12</f>
        <v>69.63</v>
      </c>
      <c r="I12" s="243">
        <f t="shared" si="0"/>
        <v>749.21879999999999</v>
      </c>
      <c r="J12" s="243" t="s">
        <v>71</v>
      </c>
      <c r="K12" s="244" t="s">
        <v>204</v>
      </c>
      <c r="L12" s="89">
        <v>10788750.720000001</v>
      </c>
      <c r="M12" s="89">
        <v>12730725.8496</v>
      </c>
      <c r="N12" s="196" t="s">
        <v>227</v>
      </c>
      <c r="O12" s="255" t="s">
        <v>165</v>
      </c>
      <c r="P12" s="255" t="s">
        <v>200</v>
      </c>
      <c r="Q12" s="280">
        <v>69.63</v>
      </c>
      <c r="R12" s="281">
        <f t="shared" si="3"/>
        <v>749.49731999999995</v>
      </c>
      <c r="S12" s="277" t="s">
        <v>159</v>
      </c>
      <c r="T12" s="277" t="s">
        <v>244</v>
      </c>
      <c r="U12" s="279" t="s">
        <v>273</v>
      </c>
      <c r="V12" s="275">
        <f>+Details_OLD2!AQ3</f>
        <v>10523098.288588556</v>
      </c>
      <c r="W12" s="275">
        <f t="shared" si="2"/>
        <v>12417255.980534496</v>
      </c>
      <c r="X12" s="196"/>
    </row>
    <row r="13" spans="2:25" ht="15.75">
      <c r="B13" s="238" t="s">
        <v>228</v>
      </c>
      <c r="C13" s="239"/>
      <c r="D13" s="239"/>
      <c r="E13" s="239"/>
      <c r="F13" s="240"/>
      <c r="G13" s="244"/>
      <c r="H13" s="242">
        <v>89.02</v>
      </c>
      <c r="I13" s="243">
        <f t="shared" si="0"/>
        <v>957.85519999999997</v>
      </c>
      <c r="J13" s="243"/>
      <c r="K13" s="244" t="s">
        <v>93</v>
      </c>
      <c r="L13" s="89">
        <v>3544064.24</v>
      </c>
      <c r="M13" s="89">
        <v>4181995.8032</v>
      </c>
      <c r="N13" s="196" t="s">
        <v>227</v>
      </c>
      <c r="O13" s="257"/>
      <c r="P13" s="258"/>
      <c r="Q13" s="280">
        <f>+Q11</f>
        <v>166.2</v>
      </c>
      <c r="R13" s="281">
        <f t="shared" si="3"/>
        <v>1788.9767999999997</v>
      </c>
      <c r="S13" s="277"/>
      <c r="T13" s="277"/>
      <c r="U13" s="279" t="s">
        <v>274</v>
      </c>
      <c r="V13" s="275">
        <f>+Details_OLD2!AX3</f>
        <v>31347443.924298719</v>
      </c>
      <c r="W13" s="275">
        <f t="shared" si="2"/>
        <v>36989983.830672488</v>
      </c>
      <c r="X13" s="196"/>
    </row>
    <row r="14" spans="2:25" ht="15.75">
      <c r="B14" s="238" t="s">
        <v>166</v>
      </c>
      <c r="C14" s="239" t="s">
        <v>157</v>
      </c>
      <c r="D14" s="239" t="s">
        <v>159</v>
      </c>
      <c r="E14" s="239" t="s">
        <v>200</v>
      </c>
      <c r="F14" s="240">
        <v>90.3</v>
      </c>
      <c r="G14" s="244"/>
      <c r="H14" s="242">
        <f>F14</f>
        <v>90.3</v>
      </c>
      <c r="I14" s="243">
        <f t="shared" si="0"/>
        <v>971.62799999999993</v>
      </c>
      <c r="J14" s="243" t="s">
        <v>77</v>
      </c>
      <c r="K14" s="244" t="s">
        <v>210</v>
      </c>
      <c r="L14" s="89">
        <v>15157396.800000001</v>
      </c>
      <c r="M14" s="89">
        <v>17885728.223999999</v>
      </c>
      <c r="N14" s="196" t="s">
        <v>227</v>
      </c>
      <c r="O14" s="255" t="s">
        <v>166</v>
      </c>
      <c r="P14" s="255" t="s">
        <v>200</v>
      </c>
      <c r="Q14" s="280">
        <v>90.3</v>
      </c>
      <c r="R14" s="281">
        <f t="shared" si="3"/>
        <v>971.98919999999987</v>
      </c>
      <c r="S14" s="277" t="s">
        <v>159</v>
      </c>
      <c r="T14" s="277" t="s">
        <v>244</v>
      </c>
      <c r="U14" s="279" t="s">
        <v>275</v>
      </c>
      <c r="V14" s="275">
        <f>+Details_OLD2!BE3</f>
        <v>33203151.071999993</v>
      </c>
      <c r="W14" s="275">
        <f t="shared" si="2"/>
        <v>39179718.264959991</v>
      </c>
      <c r="X14" s="196"/>
    </row>
    <row r="15" spans="2:25" ht="15.75">
      <c r="B15" s="238" t="s">
        <v>229</v>
      </c>
      <c r="C15" s="239"/>
      <c r="D15" s="239"/>
      <c r="E15" s="239"/>
      <c r="F15" s="240"/>
      <c r="G15" s="244"/>
      <c r="H15" s="242">
        <v>100.87</v>
      </c>
      <c r="I15" s="243">
        <f t="shared" si="0"/>
        <v>1085.3612000000001</v>
      </c>
      <c r="J15" s="243"/>
      <c r="K15" s="244" t="s">
        <v>93</v>
      </c>
      <c r="L15" s="89">
        <v>4015836.4400000004</v>
      </c>
      <c r="M15" s="89">
        <v>4738686.9992000004</v>
      </c>
      <c r="N15" s="196" t="s">
        <v>227</v>
      </c>
      <c r="O15" s="255"/>
      <c r="P15" s="255"/>
      <c r="Q15" s="280">
        <v>89.02</v>
      </c>
      <c r="R15" s="281">
        <f t="shared" si="3"/>
        <v>958.21127999999987</v>
      </c>
      <c r="S15" s="277"/>
      <c r="T15" s="277"/>
      <c r="U15" s="278" t="s">
        <v>276</v>
      </c>
      <c r="V15" s="275">
        <f>+Details_OLD2!BL3</f>
        <v>3545381.736</v>
      </c>
      <c r="W15" s="275">
        <f t="shared" si="2"/>
        <v>4183550.4484799998</v>
      </c>
      <c r="X15" s="196"/>
    </row>
    <row r="16" spans="2:25" ht="15.75">
      <c r="B16" s="238"/>
      <c r="C16" s="239"/>
      <c r="D16" s="239"/>
      <c r="E16" s="239"/>
      <c r="F16" s="240"/>
      <c r="G16" s="244"/>
      <c r="H16" s="242"/>
      <c r="I16" s="243"/>
      <c r="J16" s="243"/>
      <c r="K16" s="244"/>
      <c r="L16" s="89"/>
      <c r="M16" s="89"/>
      <c r="N16" s="196"/>
      <c r="O16" s="255"/>
      <c r="P16" s="255"/>
      <c r="Q16" s="280">
        <v>100.82</v>
      </c>
      <c r="R16" s="281">
        <f t="shared" si="3"/>
        <v>1085.2264799999998</v>
      </c>
      <c r="S16" s="277"/>
      <c r="T16" s="277"/>
      <c r="U16" s="278" t="s">
        <v>277</v>
      </c>
      <c r="V16" s="275">
        <f>+Details_OLD2!BS3</f>
        <v>4015337.9759999993</v>
      </c>
      <c r="W16" s="275">
        <f t="shared" si="2"/>
        <v>4738098.8116799993</v>
      </c>
      <c r="X16" s="196"/>
    </row>
    <row r="17" spans="2:25" ht="15.75">
      <c r="B17" s="238"/>
      <c r="C17" s="239"/>
      <c r="D17" s="239"/>
      <c r="E17" s="239"/>
      <c r="F17" s="240"/>
      <c r="G17" s="244"/>
      <c r="H17" s="242"/>
      <c r="I17" s="243"/>
      <c r="J17" s="243"/>
      <c r="K17" s="244"/>
      <c r="L17" s="89"/>
      <c r="M17" s="89"/>
      <c r="N17" s="196"/>
      <c r="O17" s="257"/>
      <c r="P17" s="258"/>
      <c r="Q17" s="258"/>
      <c r="R17" s="263">
        <f t="shared" si="1"/>
        <v>0</v>
      </c>
      <c r="S17" s="258"/>
      <c r="T17" s="258"/>
      <c r="U17" s="258"/>
      <c r="V17" s="89"/>
      <c r="W17" s="89">
        <f t="shared" si="2"/>
        <v>0</v>
      </c>
      <c r="X17" s="196"/>
    </row>
    <row r="18" spans="2:25" ht="15.75">
      <c r="B18" s="238" t="s">
        <v>167</v>
      </c>
      <c r="C18" s="239" t="s">
        <v>157</v>
      </c>
      <c r="D18" s="239" t="s">
        <v>159</v>
      </c>
      <c r="E18" s="239" t="s">
        <v>200</v>
      </c>
      <c r="F18" s="240">
        <v>297</v>
      </c>
      <c r="G18" s="241" t="s">
        <v>186</v>
      </c>
      <c r="H18" s="242">
        <f>F18</f>
        <v>297</v>
      </c>
      <c r="I18" s="243">
        <f t="shared" si="0"/>
        <v>3195.72</v>
      </c>
      <c r="J18" s="243" t="s">
        <v>71</v>
      </c>
      <c r="K18" s="244" t="s">
        <v>186</v>
      </c>
      <c r="L18" s="89">
        <v>38987784</v>
      </c>
      <c r="M18" s="89">
        <v>46005585.119999997</v>
      </c>
      <c r="N18" s="204" t="s">
        <v>227</v>
      </c>
      <c r="O18" s="255" t="s">
        <v>167</v>
      </c>
      <c r="P18" s="255" t="s">
        <v>200</v>
      </c>
      <c r="Q18" s="255">
        <v>297</v>
      </c>
      <c r="R18" s="263">
        <f t="shared" si="1"/>
        <v>3196.9079999999999</v>
      </c>
      <c r="S18" s="255" t="s">
        <v>159</v>
      </c>
      <c r="T18" s="255" t="s">
        <v>250</v>
      </c>
      <c r="U18" s="256" t="s">
        <v>251</v>
      </c>
      <c r="V18" s="89">
        <f>+Details_OLD2!BZ3</f>
        <v>23020864.711852271</v>
      </c>
      <c r="W18" s="89">
        <f t="shared" si="2"/>
        <v>27164620.359985679</v>
      </c>
      <c r="X18" s="204"/>
    </row>
    <row r="19" spans="2:25" ht="31.5">
      <c r="B19" s="238" t="s">
        <v>168</v>
      </c>
      <c r="C19" s="239" t="s">
        <v>157</v>
      </c>
      <c r="D19" s="239" t="s">
        <v>159</v>
      </c>
      <c r="E19" s="239" t="s">
        <v>200</v>
      </c>
      <c r="F19" s="240">
        <v>91.5</v>
      </c>
      <c r="G19" s="248" t="s">
        <v>197</v>
      </c>
      <c r="H19" s="242">
        <v>25</v>
      </c>
      <c r="I19" s="243">
        <f t="shared" si="0"/>
        <v>269</v>
      </c>
      <c r="J19" s="243" t="s">
        <v>71</v>
      </c>
      <c r="K19" s="244" t="s">
        <v>202</v>
      </c>
      <c r="L19" s="89">
        <v>5783500</v>
      </c>
      <c r="M19" s="89">
        <v>6824530</v>
      </c>
      <c r="N19" s="196" t="s">
        <v>227</v>
      </c>
      <c r="O19" s="255" t="s">
        <v>168</v>
      </c>
      <c r="P19" s="255" t="s">
        <v>200</v>
      </c>
      <c r="Q19" s="255">
        <f>91.5/3</f>
        <v>30.5</v>
      </c>
      <c r="R19" s="263">
        <f t="shared" si="1"/>
        <v>328.30199999999996</v>
      </c>
      <c r="S19" s="255" t="s">
        <v>159</v>
      </c>
      <c r="T19" s="255" t="s">
        <v>252</v>
      </c>
      <c r="U19" s="259" t="s">
        <v>278</v>
      </c>
      <c r="V19" s="89">
        <f>+Details_OLD2!CG3</f>
        <v>7760531.633815825</v>
      </c>
      <c r="W19" s="282">
        <f>V19*118%</f>
        <v>9157427.3279026728</v>
      </c>
      <c r="X19" s="196" t="s">
        <v>299</v>
      </c>
    </row>
    <row r="20" spans="2:25" ht="31.5">
      <c r="B20" s="245"/>
      <c r="C20" s="246"/>
      <c r="D20" s="246"/>
      <c r="E20" s="246"/>
      <c r="F20" s="249"/>
      <c r="G20" s="246"/>
      <c r="H20" s="242">
        <f>F19-H19</f>
        <v>66.5</v>
      </c>
      <c r="I20" s="243">
        <f t="shared" si="0"/>
        <v>715.54</v>
      </c>
      <c r="J20" s="243" t="s">
        <v>77</v>
      </c>
      <c r="K20" s="244" t="s">
        <v>210</v>
      </c>
      <c r="L20" s="89">
        <v>11377086</v>
      </c>
      <c r="M20" s="89">
        <v>13424961.479999999</v>
      </c>
      <c r="N20" s="204" t="s">
        <v>227</v>
      </c>
      <c r="O20" s="255" t="s">
        <v>168</v>
      </c>
      <c r="P20" s="255" t="s">
        <v>200</v>
      </c>
      <c r="Q20" s="255">
        <f>+Q19</f>
        <v>30.5</v>
      </c>
      <c r="R20" s="263">
        <f t="shared" si="1"/>
        <v>328.30199999999996</v>
      </c>
      <c r="S20" s="255" t="s">
        <v>159</v>
      </c>
      <c r="T20" s="255" t="s">
        <v>252</v>
      </c>
      <c r="U20" s="259" t="s">
        <v>279</v>
      </c>
      <c r="V20" s="89">
        <f>+Details_OLD2!CN3</f>
        <v>4211856.1296254424</v>
      </c>
      <c r="W20" s="282">
        <f>V20*118%</f>
        <v>4969990.2329580216</v>
      </c>
      <c r="X20" s="196"/>
    </row>
    <row r="21" spans="2:25" ht="15.75">
      <c r="B21" s="245"/>
      <c r="C21" s="246"/>
      <c r="D21" s="246"/>
      <c r="E21" s="246"/>
      <c r="F21" s="249"/>
      <c r="G21" s="246"/>
      <c r="H21" s="242"/>
      <c r="I21" s="243"/>
      <c r="J21" s="243"/>
      <c r="K21" s="244"/>
      <c r="L21" s="89"/>
      <c r="M21" s="89"/>
      <c r="N21" s="204"/>
      <c r="O21" s="255" t="s">
        <v>168</v>
      </c>
      <c r="P21" s="255" t="s">
        <v>200</v>
      </c>
      <c r="Q21" s="255">
        <f>+Q20</f>
        <v>30.5</v>
      </c>
      <c r="R21" s="263">
        <f t="shared" si="1"/>
        <v>328.30199999999996</v>
      </c>
      <c r="S21" s="255" t="s">
        <v>159</v>
      </c>
      <c r="T21" s="255" t="s">
        <v>252</v>
      </c>
      <c r="U21" s="259" t="s">
        <v>280</v>
      </c>
      <c r="V21" s="89">
        <f>+Details_OLD2!CU3</f>
        <v>3978599.0770966969</v>
      </c>
      <c r="W21" s="282">
        <f>V21*118%</f>
        <v>4694746.9109741021</v>
      </c>
      <c r="X21" s="196"/>
    </row>
    <row r="22" spans="2:25" ht="15.75">
      <c r="B22" s="245" t="s">
        <v>230</v>
      </c>
      <c r="C22" s="246"/>
      <c r="D22" s="246"/>
      <c r="E22" s="246"/>
      <c r="F22" s="249"/>
      <c r="G22" s="246"/>
      <c r="H22" s="242">
        <v>59.53</v>
      </c>
      <c r="I22" s="243">
        <f t="shared" si="0"/>
        <v>640.54279999999994</v>
      </c>
      <c r="J22" s="243"/>
      <c r="K22" s="244" t="s">
        <v>93</v>
      </c>
      <c r="L22" s="89">
        <v>2370008.36</v>
      </c>
      <c r="M22" s="89">
        <v>2796609.8647999996</v>
      </c>
      <c r="N22" s="196" t="s">
        <v>227</v>
      </c>
      <c r="O22" s="255" t="s">
        <v>230</v>
      </c>
      <c r="P22" s="255"/>
      <c r="Q22" s="255">
        <v>59.53</v>
      </c>
      <c r="R22" s="263">
        <f t="shared" si="1"/>
        <v>640.78091999999992</v>
      </c>
      <c r="S22" s="255" t="s">
        <v>159</v>
      </c>
      <c r="T22" s="255" t="s">
        <v>252</v>
      </c>
      <c r="U22" s="361" t="s">
        <v>307</v>
      </c>
      <c r="V22" s="89">
        <f>+Details_OLD2!DB3</f>
        <v>2370889.4039999996</v>
      </c>
      <c r="W22" s="282">
        <f>V22*118%</f>
        <v>2797649.4967199992</v>
      </c>
      <c r="X22" s="196"/>
    </row>
    <row r="23" spans="2:25" ht="31.5">
      <c r="B23" s="238" t="s">
        <v>169</v>
      </c>
      <c r="C23" s="239" t="s">
        <v>157</v>
      </c>
      <c r="D23" s="239" t="s">
        <v>159</v>
      </c>
      <c r="E23" s="239" t="s">
        <v>200</v>
      </c>
      <c r="F23" s="240">
        <v>35.29</v>
      </c>
      <c r="G23" s="248" t="s">
        <v>187</v>
      </c>
      <c r="H23" s="242">
        <f>F23</f>
        <v>35.29</v>
      </c>
      <c r="I23" s="243">
        <f t="shared" si="0"/>
        <v>379.72039999999998</v>
      </c>
      <c r="J23" s="243" t="s">
        <v>77</v>
      </c>
      <c r="K23" s="244" t="s">
        <v>205</v>
      </c>
      <c r="L23" s="89">
        <v>7024827.4000000004</v>
      </c>
      <c r="M23" s="89">
        <v>8289296.3320000004</v>
      </c>
      <c r="N23" s="204" t="s">
        <v>227</v>
      </c>
      <c r="O23" s="255" t="s">
        <v>169</v>
      </c>
      <c r="P23" s="255" t="s">
        <v>200</v>
      </c>
      <c r="Q23" s="255">
        <v>35.29</v>
      </c>
      <c r="R23" s="263">
        <f t="shared" si="1"/>
        <v>379.86155999999994</v>
      </c>
      <c r="S23" s="255" t="s">
        <v>159</v>
      </c>
      <c r="T23" s="255" t="s">
        <v>253</v>
      </c>
      <c r="U23" s="259" t="s">
        <v>254</v>
      </c>
      <c r="V23" s="89">
        <f>+Details_OLD2!DI3</f>
        <v>2958905.8189706225</v>
      </c>
      <c r="W23" s="89">
        <f t="shared" ref="W23:W46" si="4">V23*118%</f>
        <v>3491508.8663853342</v>
      </c>
      <c r="X23" s="204" t="s">
        <v>303</v>
      </c>
    </row>
    <row r="24" spans="2:25" ht="31.5">
      <c r="B24" s="238" t="s">
        <v>170</v>
      </c>
      <c r="C24" s="239" t="s">
        <v>157</v>
      </c>
      <c r="D24" s="239" t="s">
        <v>159</v>
      </c>
      <c r="E24" s="246" t="s">
        <v>199</v>
      </c>
      <c r="F24" s="240">
        <v>61.35</v>
      </c>
      <c r="G24" s="241" t="s">
        <v>182</v>
      </c>
      <c r="H24" s="242">
        <v>45.86</v>
      </c>
      <c r="I24" s="243">
        <f t="shared" si="0"/>
        <v>493.45359999999999</v>
      </c>
      <c r="J24" s="243" t="s">
        <v>71</v>
      </c>
      <c r="K24" s="244" t="s">
        <v>182</v>
      </c>
      <c r="L24" s="89">
        <v>8413383.8800000008</v>
      </c>
      <c r="M24" s="89">
        <v>9927792.9784000013</v>
      </c>
      <c r="N24" s="204" t="s">
        <v>231</v>
      </c>
      <c r="O24" s="255" t="s">
        <v>170</v>
      </c>
      <c r="P24" s="255" t="s">
        <v>199</v>
      </c>
      <c r="Q24" s="255">
        <v>61.35</v>
      </c>
      <c r="R24" s="263">
        <f t="shared" si="1"/>
        <v>660.37139999999999</v>
      </c>
      <c r="S24" s="255" t="s">
        <v>159</v>
      </c>
      <c r="T24" s="255" t="s">
        <v>244</v>
      </c>
      <c r="U24" s="259" t="s">
        <v>255</v>
      </c>
      <c r="V24" s="89">
        <f>+Details_OLD2!DP3</f>
        <v>13965881.229086032</v>
      </c>
      <c r="W24" s="89">
        <f t="shared" si="4"/>
        <v>16479739.850321516</v>
      </c>
      <c r="X24" s="196" t="s">
        <v>299</v>
      </c>
    </row>
    <row r="25" spans="2:25" ht="47.25">
      <c r="B25" s="238" t="s">
        <v>171</v>
      </c>
      <c r="C25" s="239" t="s">
        <v>157</v>
      </c>
      <c r="D25" s="239" t="s">
        <v>159</v>
      </c>
      <c r="E25" s="239" t="s">
        <v>199</v>
      </c>
      <c r="F25" s="240">
        <v>71.349999999999994</v>
      </c>
      <c r="G25" s="241" t="s">
        <v>188</v>
      </c>
      <c r="H25" s="242">
        <f>F25</f>
        <v>71.349999999999994</v>
      </c>
      <c r="I25" s="243">
        <f t="shared" si="0"/>
        <v>767.72599999999989</v>
      </c>
      <c r="J25" s="243" t="s">
        <v>71</v>
      </c>
      <c r="K25" s="244" t="s">
        <v>188</v>
      </c>
      <c r="L25" s="89">
        <v>14010999.499999998</v>
      </c>
      <c r="M25" s="89">
        <v>16532979.409999996</v>
      </c>
      <c r="N25" s="204" t="s">
        <v>227</v>
      </c>
      <c r="O25" s="255" t="s">
        <v>237</v>
      </c>
      <c r="P25" s="255" t="s">
        <v>199</v>
      </c>
      <c r="Q25" s="255">
        <v>71.349999999999994</v>
      </c>
      <c r="R25" s="263">
        <f t="shared" si="1"/>
        <v>768.01139999999987</v>
      </c>
      <c r="S25" s="255" t="s">
        <v>159</v>
      </c>
      <c r="T25" s="255" t="s">
        <v>249</v>
      </c>
      <c r="U25" s="259" t="s">
        <v>256</v>
      </c>
      <c r="V25" s="89">
        <f>+Details_OLD2!DW3</f>
        <v>10591415.01862848</v>
      </c>
      <c r="W25" s="89">
        <f t="shared" si="4"/>
        <v>12497869.721981606</v>
      </c>
      <c r="X25" s="204"/>
    </row>
    <row r="26" spans="2:25" ht="141.75">
      <c r="B26" s="238" t="s">
        <v>172</v>
      </c>
      <c r="C26" s="239" t="s">
        <v>157</v>
      </c>
      <c r="D26" s="239" t="s">
        <v>159</v>
      </c>
      <c r="E26" s="239" t="s">
        <v>199</v>
      </c>
      <c r="F26" s="240">
        <v>65.989999999999995</v>
      </c>
      <c r="G26" s="248" t="s">
        <v>189</v>
      </c>
      <c r="H26" s="242">
        <f>F26</f>
        <v>65.989999999999995</v>
      </c>
      <c r="I26" s="243">
        <f t="shared" si="0"/>
        <v>710.05239999999992</v>
      </c>
      <c r="J26" s="243" t="s">
        <v>77</v>
      </c>
      <c r="K26" s="244" t="s">
        <v>189</v>
      </c>
      <c r="L26" s="89">
        <v>11644859.359999999</v>
      </c>
      <c r="M26" s="89">
        <v>13740934.044799998</v>
      </c>
      <c r="N26" s="196" t="s">
        <v>227</v>
      </c>
      <c r="O26" s="255" t="s">
        <v>238</v>
      </c>
      <c r="P26" s="255" t="s">
        <v>199</v>
      </c>
      <c r="Q26" s="255">
        <f>65.99/2</f>
        <v>32.994999999999997</v>
      </c>
      <c r="R26" s="263">
        <f t="shared" si="1"/>
        <v>355.15817999999996</v>
      </c>
      <c r="S26" s="255" t="s">
        <v>159</v>
      </c>
      <c r="T26" s="255" t="s">
        <v>257</v>
      </c>
      <c r="U26" s="259" t="s">
        <v>282</v>
      </c>
      <c r="V26" s="89">
        <f>+Details_OLD2!ED3</f>
        <v>4402073.4547768245</v>
      </c>
      <c r="W26" s="89">
        <f t="shared" si="4"/>
        <v>5194446.676636653</v>
      </c>
      <c r="X26" s="196" t="s">
        <v>281</v>
      </c>
      <c r="Y26" s="222" t="s">
        <v>300</v>
      </c>
    </row>
    <row r="27" spans="2:25" ht="141.75">
      <c r="B27" s="238"/>
      <c r="C27" s="239"/>
      <c r="D27" s="239"/>
      <c r="E27" s="239"/>
      <c r="F27" s="240"/>
      <c r="G27" s="248"/>
      <c r="H27" s="242"/>
      <c r="I27" s="243"/>
      <c r="J27" s="243"/>
      <c r="K27" s="244"/>
      <c r="L27" s="89"/>
      <c r="M27" s="89"/>
      <c r="N27" s="196"/>
      <c r="O27" s="255" t="s">
        <v>238</v>
      </c>
      <c r="P27" s="255" t="s">
        <v>199</v>
      </c>
      <c r="Q27" s="255">
        <f>65.99/2</f>
        <v>32.994999999999997</v>
      </c>
      <c r="R27" s="263">
        <f>+Q27*10.764</f>
        <v>355.15817999999996</v>
      </c>
      <c r="S27" s="255" t="s">
        <v>159</v>
      </c>
      <c r="T27" s="255" t="s">
        <v>257</v>
      </c>
      <c r="U27" s="259" t="s">
        <v>283</v>
      </c>
      <c r="V27" s="89">
        <f>+Details_OLD2!ER3</f>
        <v>5502889.0635238616</v>
      </c>
      <c r="W27" s="89">
        <f t="shared" si="4"/>
        <v>6493409.0949581563</v>
      </c>
      <c r="X27" s="196" t="s">
        <v>281</v>
      </c>
      <c r="Y27" s="295" t="s">
        <v>306</v>
      </c>
    </row>
    <row r="28" spans="2:25" ht="47.25">
      <c r="B28" s="238" t="s">
        <v>232</v>
      </c>
      <c r="C28" s="239"/>
      <c r="D28" s="239"/>
      <c r="E28" s="239"/>
      <c r="F28" s="240"/>
      <c r="G28" s="248"/>
      <c r="H28" s="242">
        <v>68.31</v>
      </c>
      <c r="I28" s="243">
        <f t="shared" si="0"/>
        <v>735.01560000000006</v>
      </c>
      <c r="J28" s="243"/>
      <c r="K28" s="244" t="s">
        <v>93</v>
      </c>
      <c r="L28" s="89">
        <v>2866560.8400000003</v>
      </c>
      <c r="M28" s="89">
        <v>3382541.7912000003</v>
      </c>
      <c r="N28" s="196" t="s">
        <v>227</v>
      </c>
      <c r="O28" s="255" t="s">
        <v>232</v>
      </c>
      <c r="P28" s="255"/>
      <c r="Q28" s="255">
        <v>68.31</v>
      </c>
      <c r="R28" s="263">
        <f>+Q28*10.764</f>
        <v>735.28883999999994</v>
      </c>
      <c r="S28" s="255"/>
      <c r="T28" s="255"/>
      <c r="U28" s="361" t="s">
        <v>308</v>
      </c>
      <c r="V28" s="89">
        <f>+Details_OLD2!EK3</f>
        <v>2720568.7080000001</v>
      </c>
      <c r="W28" s="89">
        <f t="shared" si="4"/>
        <v>3210271.0754399998</v>
      </c>
      <c r="X28" s="204"/>
    </row>
    <row r="29" spans="2:25" ht="31.5">
      <c r="B29" s="238" t="s">
        <v>173</v>
      </c>
      <c r="C29" s="239" t="s">
        <v>157</v>
      </c>
      <c r="D29" s="239" t="s">
        <v>159</v>
      </c>
      <c r="E29" s="239" t="s">
        <v>199</v>
      </c>
      <c r="F29" s="240">
        <v>225.18</v>
      </c>
      <c r="G29" s="248" t="s">
        <v>190</v>
      </c>
      <c r="H29" s="242">
        <v>60</v>
      </c>
      <c r="I29" s="243">
        <f t="shared" si="0"/>
        <v>645.6</v>
      </c>
      <c r="J29" s="243" t="s">
        <v>71</v>
      </c>
      <c r="K29" s="244" t="s">
        <v>204</v>
      </c>
      <c r="L29" s="89">
        <v>10975200</v>
      </c>
      <c r="M29" s="89">
        <v>12950736</v>
      </c>
      <c r="N29" s="204" t="s">
        <v>227</v>
      </c>
      <c r="O29" s="255" t="s">
        <v>239</v>
      </c>
      <c r="P29" s="255" t="s">
        <v>199</v>
      </c>
      <c r="Q29" s="255">
        <v>225.18</v>
      </c>
      <c r="R29" s="263">
        <f t="shared" si="1"/>
        <v>2423.83752</v>
      </c>
      <c r="S29" s="255" t="s">
        <v>159</v>
      </c>
      <c r="T29" s="255" t="s">
        <v>258</v>
      </c>
      <c r="U29" s="259" t="s">
        <v>259</v>
      </c>
      <c r="V29" s="89">
        <f>+Details_OLD2!EY3</f>
        <v>33712728.221791662</v>
      </c>
      <c r="W29" s="89">
        <f t="shared" si="4"/>
        <v>39781019.30171416</v>
      </c>
      <c r="X29" s="204"/>
    </row>
    <row r="30" spans="2:25" ht="15.75">
      <c r="B30" s="245"/>
      <c r="C30" s="246"/>
      <c r="D30" s="246"/>
      <c r="E30" s="246"/>
      <c r="F30" s="249"/>
      <c r="G30" s="246"/>
      <c r="H30" s="242">
        <f>F29-H29</f>
        <v>165.18</v>
      </c>
      <c r="I30" s="243">
        <f t="shared" si="0"/>
        <v>1777.3368</v>
      </c>
      <c r="J30" s="243" t="s">
        <v>77</v>
      </c>
      <c r="K30" s="244" t="s">
        <v>211</v>
      </c>
      <c r="L30" s="89">
        <v>22127843.16</v>
      </c>
      <c r="M30" s="89">
        <v>26110854.928799998</v>
      </c>
      <c r="N30" s="204" t="s">
        <v>227</v>
      </c>
      <c r="O30" s="255"/>
      <c r="P30" s="255"/>
      <c r="Q30" s="255"/>
      <c r="R30" s="263"/>
      <c r="S30" s="255"/>
      <c r="T30" s="255"/>
      <c r="U30" s="259"/>
      <c r="V30" s="89"/>
      <c r="W30" s="89"/>
      <c r="X30" s="204"/>
    </row>
    <row r="31" spans="2:25" ht="31.5">
      <c r="B31" s="238" t="s">
        <v>174</v>
      </c>
      <c r="C31" s="239" t="s">
        <v>157</v>
      </c>
      <c r="D31" s="239" t="s">
        <v>159</v>
      </c>
      <c r="E31" s="239" t="s">
        <v>199</v>
      </c>
      <c r="F31" s="240">
        <v>483.66</v>
      </c>
      <c r="G31" s="241" t="s">
        <v>186</v>
      </c>
      <c r="H31" s="242">
        <f>F31</f>
        <v>483.66</v>
      </c>
      <c r="I31" s="243">
        <f t="shared" si="0"/>
        <v>5204.1815999999999</v>
      </c>
      <c r="J31" s="243" t="s">
        <v>71</v>
      </c>
      <c r="K31" s="244" t="s">
        <v>186</v>
      </c>
      <c r="L31" s="89">
        <v>56465370.359999992</v>
      </c>
      <c r="M31" s="89">
        <v>66629137.024799988</v>
      </c>
      <c r="N31" s="204" t="s">
        <v>227</v>
      </c>
      <c r="O31" s="255" t="s">
        <v>174</v>
      </c>
      <c r="P31" s="255" t="s">
        <v>199</v>
      </c>
      <c r="Q31" s="255">
        <v>483.66</v>
      </c>
      <c r="R31" s="263">
        <f t="shared" si="1"/>
        <v>5206.1162400000003</v>
      </c>
      <c r="S31" s="255" t="s">
        <v>159</v>
      </c>
      <c r="T31" s="255" t="s">
        <v>250</v>
      </c>
      <c r="U31" s="259" t="s">
        <v>260</v>
      </c>
      <c r="V31" s="89">
        <f>+Details_OLD2!FF3</f>
        <v>37223333.127531953</v>
      </c>
      <c r="W31" s="89">
        <f t="shared" si="4"/>
        <v>43923533.090487704</v>
      </c>
      <c r="X31" s="204"/>
    </row>
    <row r="32" spans="2:25" ht="15.75">
      <c r="B32" s="238" t="s">
        <v>175</v>
      </c>
      <c r="C32" s="239" t="s">
        <v>157</v>
      </c>
      <c r="D32" s="239" t="s">
        <v>159</v>
      </c>
      <c r="E32" s="239" t="s">
        <v>199</v>
      </c>
      <c r="F32" s="240">
        <v>270.33</v>
      </c>
      <c r="G32" s="241" t="s">
        <v>191</v>
      </c>
      <c r="H32" s="242">
        <v>100</v>
      </c>
      <c r="I32" s="243">
        <f t="shared" si="0"/>
        <v>1076</v>
      </c>
      <c r="J32" s="243" t="s">
        <v>77</v>
      </c>
      <c r="K32" s="244" t="s">
        <v>79</v>
      </c>
      <c r="L32" s="89">
        <v>20336400</v>
      </c>
      <c r="M32" s="89">
        <v>23996952</v>
      </c>
      <c r="N32" s="204" t="s">
        <v>227</v>
      </c>
      <c r="O32" s="255" t="s">
        <v>175</v>
      </c>
      <c r="P32" s="255" t="s">
        <v>199</v>
      </c>
      <c r="Q32" s="255">
        <f>270.33/2</f>
        <v>135.16499999999999</v>
      </c>
      <c r="R32" s="263">
        <f t="shared" si="1"/>
        <v>1454.9160599999998</v>
      </c>
      <c r="S32" s="255" t="s">
        <v>159</v>
      </c>
      <c r="T32" s="255" t="s">
        <v>252</v>
      </c>
      <c r="U32" s="259" t="s">
        <v>79</v>
      </c>
      <c r="V32" s="89">
        <f>+Details_OLD2!FM3</f>
        <v>26335404.060760744</v>
      </c>
      <c r="W32" s="89">
        <f t="shared" si="4"/>
        <v>31075776.791697677</v>
      </c>
      <c r="X32" s="204" t="s">
        <v>296</v>
      </c>
      <c r="Y32" s="222" t="s">
        <v>284</v>
      </c>
    </row>
    <row r="33" spans="2:29" ht="15.75">
      <c r="B33" s="246"/>
      <c r="C33" s="246"/>
      <c r="D33" s="246"/>
      <c r="E33" s="246"/>
      <c r="F33" s="240"/>
      <c r="G33" s="241"/>
      <c r="H33" s="242"/>
      <c r="I33" s="243"/>
      <c r="J33" s="243"/>
      <c r="K33" s="244"/>
      <c r="L33" s="89"/>
      <c r="M33" s="89"/>
      <c r="N33" s="204"/>
      <c r="O33" s="255" t="s">
        <v>175</v>
      </c>
      <c r="P33" s="255" t="s">
        <v>199</v>
      </c>
      <c r="Q33" s="255">
        <f>270.33/2</f>
        <v>135.16499999999999</v>
      </c>
      <c r="R33" s="263">
        <f>+Q33*10.764</f>
        <v>1454.9160599999998</v>
      </c>
      <c r="S33" s="255" t="s">
        <v>159</v>
      </c>
      <c r="T33" s="255" t="s">
        <v>252</v>
      </c>
      <c r="U33" s="259" t="s">
        <v>297</v>
      </c>
      <c r="V33" s="89">
        <f>+Details_OLD2!FT3</f>
        <v>19617794.998941418</v>
      </c>
      <c r="W33" s="89">
        <f t="shared" si="4"/>
        <v>23148998.098750871</v>
      </c>
      <c r="X33" s="204" t="s">
        <v>298</v>
      </c>
    </row>
    <row r="34" spans="2:29" ht="15.75">
      <c r="B34" s="246"/>
      <c r="C34" s="246"/>
      <c r="D34" s="246"/>
      <c r="E34" s="246"/>
      <c r="F34" s="240"/>
      <c r="G34" s="241"/>
      <c r="H34" s="242">
        <f>F32-H32</f>
        <v>170.32999999999998</v>
      </c>
      <c r="I34" s="243">
        <f t="shared" si="0"/>
        <v>1832.7507999999998</v>
      </c>
      <c r="J34" s="243" t="s">
        <v>71</v>
      </c>
      <c r="K34" s="244" t="s">
        <v>212</v>
      </c>
      <c r="L34" s="89">
        <v>25750148.740000002</v>
      </c>
      <c r="M34" s="89">
        <v>30385175.5132</v>
      </c>
      <c r="N34" s="204" t="s">
        <v>227</v>
      </c>
      <c r="O34" s="255"/>
      <c r="P34" s="255"/>
      <c r="Q34" s="255"/>
      <c r="R34" s="263"/>
      <c r="S34" s="255"/>
      <c r="T34" s="255"/>
      <c r="U34" s="259"/>
      <c r="V34" s="89"/>
      <c r="W34" s="89"/>
      <c r="X34" s="204"/>
    </row>
    <row r="35" spans="2:29" ht="15.75">
      <c r="B35" s="238" t="s">
        <v>176</v>
      </c>
      <c r="C35" s="239" t="s">
        <v>157</v>
      </c>
      <c r="D35" s="239" t="s">
        <v>159</v>
      </c>
      <c r="E35" s="246" t="s">
        <v>199</v>
      </c>
      <c r="F35" s="240">
        <v>17.5</v>
      </c>
      <c r="G35" s="241" t="s">
        <v>192</v>
      </c>
      <c r="H35" s="242">
        <f>F35</f>
        <v>17.5</v>
      </c>
      <c r="I35" s="243">
        <f t="shared" si="0"/>
        <v>188.29999999999998</v>
      </c>
      <c r="J35" s="243" t="s">
        <v>71</v>
      </c>
      <c r="K35" s="244" t="s">
        <v>192</v>
      </c>
      <c r="L35" s="89">
        <v>4500370</v>
      </c>
      <c r="M35" s="89">
        <v>5310436.5999999996</v>
      </c>
      <c r="N35" s="204" t="s">
        <v>227</v>
      </c>
      <c r="O35" s="255" t="s">
        <v>176</v>
      </c>
      <c r="P35" s="255" t="s">
        <v>199</v>
      </c>
      <c r="Q35" s="255">
        <v>17.5</v>
      </c>
      <c r="R35" s="263">
        <f t="shared" si="1"/>
        <v>188.36999999999998</v>
      </c>
      <c r="S35" s="255" t="s">
        <v>159</v>
      </c>
      <c r="T35" s="255" t="s">
        <v>253</v>
      </c>
      <c r="U35" s="259" t="s">
        <v>215</v>
      </c>
      <c r="V35" s="89">
        <f>+Details_OLD2!GA3</f>
        <v>4342560.6670272117</v>
      </c>
      <c r="W35" s="89">
        <f t="shared" si="4"/>
        <v>5124221.58709211</v>
      </c>
      <c r="X35" s="196" t="s">
        <v>299</v>
      </c>
      <c r="AC35" s="224"/>
    </row>
    <row r="36" spans="2:29" ht="31.5">
      <c r="B36" s="238" t="s">
        <v>177</v>
      </c>
      <c r="C36" s="239" t="s">
        <v>157</v>
      </c>
      <c r="D36" s="239" t="s">
        <v>159</v>
      </c>
      <c r="E36" s="239" t="s">
        <v>199</v>
      </c>
      <c r="F36" s="240">
        <v>34.299999999999997</v>
      </c>
      <c r="G36" s="241" t="s">
        <v>193</v>
      </c>
      <c r="H36" s="242">
        <f>F36</f>
        <v>34.299999999999997</v>
      </c>
      <c r="I36" s="243">
        <f t="shared" si="0"/>
        <v>369.06799999999998</v>
      </c>
      <c r="J36" s="243"/>
      <c r="K36" s="244" t="s">
        <v>193</v>
      </c>
      <c r="L36" s="89">
        <v>0</v>
      </c>
      <c r="M36" s="89">
        <v>0</v>
      </c>
      <c r="N36" s="204" t="s">
        <v>227</v>
      </c>
      <c r="O36" s="255" t="s">
        <v>240</v>
      </c>
      <c r="P36" s="255" t="s">
        <v>199</v>
      </c>
      <c r="Q36" s="255">
        <v>34.299999999999997</v>
      </c>
      <c r="R36" s="263">
        <f t="shared" si="1"/>
        <v>369.20519999999993</v>
      </c>
      <c r="S36" s="255" t="s">
        <v>159</v>
      </c>
      <c r="T36" s="255" t="s">
        <v>244</v>
      </c>
      <c r="U36" s="259" t="s">
        <v>261</v>
      </c>
      <c r="V36" s="89">
        <f>+Details_OLD2!GH3</f>
        <v>7607079.8038983038</v>
      </c>
      <c r="W36" s="89">
        <f t="shared" si="4"/>
        <v>8976354.1685999986</v>
      </c>
      <c r="X36" s="204" t="s">
        <v>285</v>
      </c>
      <c r="AC36" s="225"/>
    </row>
    <row r="37" spans="2:29" ht="15.75">
      <c r="B37" s="238"/>
      <c r="C37" s="239"/>
      <c r="D37" s="239"/>
      <c r="E37" s="239"/>
      <c r="F37" s="240"/>
      <c r="G37" s="241"/>
      <c r="H37" s="242"/>
      <c r="I37" s="243"/>
      <c r="J37" s="243"/>
      <c r="K37" s="244"/>
      <c r="L37" s="89"/>
      <c r="M37" s="89"/>
      <c r="N37" s="204"/>
      <c r="O37" s="255"/>
      <c r="P37" s="255"/>
      <c r="Q37" s="255"/>
      <c r="R37" s="263"/>
      <c r="S37" s="255"/>
      <c r="T37" s="255"/>
      <c r="U37" s="259"/>
      <c r="V37" s="89"/>
      <c r="W37" s="89"/>
      <c r="X37" s="204"/>
    </row>
    <row r="38" spans="2:29" ht="31.5">
      <c r="B38" s="238" t="s">
        <v>178</v>
      </c>
      <c r="C38" s="239" t="s">
        <v>157</v>
      </c>
      <c r="D38" s="239" t="s">
        <v>159</v>
      </c>
      <c r="E38" s="239" t="s">
        <v>199</v>
      </c>
      <c r="F38" s="240">
        <v>26.16</v>
      </c>
      <c r="G38" s="241" t="s">
        <v>193</v>
      </c>
      <c r="H38" s="242">
        <f>F38</f>
        <v>26.16</v>
      </c>
      <c r="I38" s="243">
        <f t="shared" si="0"/>
        <v>281.48160000000001</v>
      </c>
      <c r="J38" s="243"/>
      <c r="K38" s="244" t="s">
        <v>193</v>
      </c>
      <c r="L38" s="89">
        <v>0</v>
      </c>
      <c r="M38" s="89">
        <v>0</v>
      </c>
      <c r="N38" s="204" t="s">
        <v>227</v>
      </c>
      <c r="O38" s="255" t="s">
        <v>241</v>
      </c>
      <c r="P38" s="255" t="s">
        <v>199</v>
      </c>
      <c r="Q38" s="255">
        <v>26.16</v>
      </c>
      <c r="R38" s="263">
        <f t="shared" si="1"/>
        <v>281.58623999999998</v>
      </c>
      <c r="S38" s="255" t="s">
        <v>159</v>
      </c>
      <c r="T38" s="255" t="s">
        <v>253</v>
      </c>
      <c r="U38" s="259" t="s">
        <v>262</v>
      </c>
      <c r="V38" s="89">
        <f>+Details_OLD2!GO3</f>
        <v>4512477.4272713754</v>
      </c>
      <c r="W38" s="89">
        <f t="shared" si="4"/>
        <v>5324723.3641802231</v>
      </c>
      <c r="X38" s="204"/>
    </row>
    <row r="39" spans="2:29" ht="15.75">
      <c r="B39" s="238" t="s">
        <v>233</v>
      </c>
      <c r="C39" s="239" t="s">
        <v>160</v>
      </c>
      <c r="D39" s="239" t="s">
        <v>160</v>
      </c>
      <c r="E39" s="239" t="s">
        <v>200</v>
      </c>
      <c r="F39" s="240"/>
      <c r="G39" s="241"/>
      <c r="H39" s="242">
        <v>40.770000000000003</v>
      </c>
      <c r="I39" s="243">
        <f t="shared" si="0"/>
        <v>438.68520000000001</v>
      </c>
      <c r="J39" s="243"/>
      <c r="K39" s="244" t="s">
        <v>234</v>
      </c>
      <c r="L39" s="220">
        <v>0</v>
      </c>
      <c r="M39" s="89">
        <v>0</v>
      </c>
      <c r="N39" s="204" t="s">
        <v>227</v>
      </c>
      <c r="O39" s="255" t="s">
        <v>243</v>
      </c>
      <c r="P39" s="255" t="s">
        <v>200</v>
      </c>
      <c r="Q39" s="255">
        <v>40.770000000000003</v>
      </c>
      <c r="R39" s="263">
        <f t="shared" si="1"/>
        <v>438.84827999999999</v>
      </c>
      <c r="S39" s="255" t="s">
        <v>160</v>
      </c>
      <c r="T39" s="255" t="s">
        <v>93</v>
      </c>
      <c r="U39" s="259" t="s">
        <v>263</v>
      </c>
      <c r="V39" s="89">
        <f>+Details_OLD2!GV3</f>
        <v>9640849.521300694</v>
      </c>
      <c r="W39" s="89">
        <f t="shared" si="4"/>
        <v>11376202.435134819</v>
      </c>
      <c r="X39" s="196" t="s">
        <v>299</v>
      </c>
    </row>
    <row r="40" spans="2:29" ht="15.75">
      <c r="B40" s="238" t="s">
        <v>179</v>
      </c>
      <c r="C40" s="239" t="s">
        <v>160</v>
      </c>
      <c r="D40" s="239" t="s">
        <v>160</v>
      </c>
      <c r="E40" s="246" t="s">
        <v>199</v>
      </c>
      <c r="F40" s="240">
        <v>62.75</v>
      </c>
      <c r="G40" s="248" t="s">
        <v>194</v>
      </c>
      <c r="H40" s="242">
        <v>15</v>
      </c>
      <c r="I40" s="243">
        <f t="shared" si="0"/>
        <v>161.4</v>
      </c>
      <c r="J40" s="243" t="s">
        <v>71</v>
      </c>
      <c r="K40" s="244" t="s">
        <v>206</v>
      </c>
      <c r="L40" s="89">
        <v>3938160</v>
      </c>
      <c r="M40" s="89">
        <v>4647028.8</v>
      </c>
      <c r="N40" s="196" t="s">
        <v>227</v>
      </c>
      <c r="O40" s="255" t="s">
        <v>242</v>
      </c>
      <c r="P40" s="255" t="s">
        <v>199</v>
      </c>
      <c r="Q40" s="255">
        <v>62.75</v>
      </c>
      <c r="R40" s="263">
        <f t="shared" si="1"/>
        <v>675.44099999999992</v>
      </c>
      <c r="S40" s="255" t="s">
        <v>160</v>
      </c>
      <c r="T40" s="255" t="s">
        <v>244</v>
      </c>
      <c r="U40" s="259" t="s">
        <v>310</v>
      </c>
      <c r="V40" s="89">
        <f>+Details_OLD2!HC3</f>
        <v>4364414.1111787539</v>
      </c>
      <c r="W40" s="89">
        <f t="shared" si="4"/>
        <v>5150008.6511909291</v>
      </c>
      <c r="X40" s="196" t="s">
        <v>304</v>
      </c>
    </row>
    <row r="41" spans="2:29" ht="15.75">
      <c r="B41" s="238"/>
      <c r="C41" s="239"/>
      <c r="D41" s="239"/>
      <c r="E41" s="246"/>
      <c r="F41" s="240"/>
      <c r="G41" s="241"/>
      <c r="H41" s="242">
        <v>10</v>
      </c>
      <c r="I41" s="243">
        <f t="shared" si="0"/>
        <v>107.6</v>
      </c>
      <c r="J41" s="243" t="s">
        <v>77</v>
      </c>
      <c r="K41" s="244" t="s">
        <v>201</v>
      </c>
      <c r="L41" s="89">
        <v>796240</v>
      </c>
      <c r="M41" s="89">
        <v>939563.2</v>
      </c>
      <c r="N41" s="196" t="s">
        <v>227</v>
      </c>
      <c r="O41" s="255"/>
      <c r="P41" s="255"/>
      <c r="Q41" s="255"/>
      <c r="R41" s="263"/>
      <c r="S41" s="255"/>
      <c r="T41" s="255"/>
      <c r="U41" s="259"/>
      <c r="V41" s="89"/>
      <c r="W41" s="89"/>
      <c r="X41" s="196"/>
    </row>
    <row r="42" spans="2:29" ht="15" customHeight="1">
      <c r="B42" s="246"/>
      <c r="C42" s="246"/>
      <c r="D42" s="246"/>
      <c r="E42" s="246"/>
      <c r="F42" s="240"/>
      <c r="G42" s="241"/>
      <c r="H42" s="242">
        <f>50.66-H40-H41</f>
        <v>25.659999999999997</v>
      </c>
      <c r="I42" s="243">
        <f t="shared" si="0"/>
        <v>276.10159999999996</v>
      </c>
      <c r="J42" s="243" t="s">
        <v>71</v>
      </c>
      <c r="K42" s="244" t="s">
        <v>213</v>
      </c>
      <c r="L42" s="89">
        <v>6460777.4399999995</v>
      </c>
      <c r="M42" s="89">
        <v>7623717.3791999994</v>
      </c>
      <c r="N42" s="196" t="s">
        <v>227</v>
      </c>
      <c r="O42" s="255"/>
      <c r="P42" s="255"/>
      <c r="Q42" s="255"/>
      <c r="R42" s="263"/>
      <c r="S42" s="255"/>
      <c r="T42" s="255"/>
      <c r="U42" s="259"/>
      <c r="V42" s="89"/>
      <c r="W42" s="89"/>
      <c r="X42" s="196"/>
    </row>
    <row r="43" spans="2:29" ht="15.75">
      <c r="B43" s="246"/>
      <c r="C43" s="246"/>
      <c r="D43" s="246"/>
      <c r="E43" s="246"/>
      <c r="F43" s="240"/>
      <c r="G43" s="241"/>
      <c r="H43" s="242"/>
      <c r="I43" s="243"/>
      <c r="J43" s="243"/>
      <c r="K43" s="244"/>
      <c r="L43" s="89"/>
      <c r="M43" s="89"/>
      <c r="N43" s="196"/>
      <c r="O43" s="255"/>
      <c r="P43" s="255"/>
      <c r="Q43" s="255"/>
      <c r="R43" s="263"/>
      <c r="S43" s="255"/>
      <c r="T43" s="255"/>
      <c r="U43" s="259"/>
      <c r="V43" s="89"/>
      <c r="W43" s="89"/>
      <c r="X43" s="196"/>
    </row>
    <row r="44" spans="2:29" ht="30" customHeight="1">
      <c r="B44" s="238" t="s">
        <v>180</v>
      </c>
      <c r="C44" s="239" t="s">
        <v>160</v>
      </c>
      <c r="D44" s="239" t="s">
        <v>160</v>
      </c>
      <c r="E44" s="239" t="s">
        <v>199</v>
      </c>
      <c r="F44" s="240">
        <v>61.12</v>
      </c>
      <c r="G44" s="241" t="s">
        <v>93</v>
      </c>
      <c r="H44" s="242">
        <v>91.45</v>
      </c>
      <c r="I44" s="243">
        <f t="shared" si="0"/>
        <v>984.00200000000007</v>
      </c>
      <c r="J44" s="243" t="s">
        <v>71</v>
      </c>
      <c r="K44" s="244" t="s">
        <v>93</v>
      </c>
      <c r="L44" s="89">
        <v>3837607.8</v>
      </c>
      <c r="M44" s="89">
        <v>4528377.2039999999</v>
      </c>
      <c r="N44" s="204" t="s">
        <v>231</v>
      </c>
      <c r="O44" s="255" t="s">
        <v>286</v>
      </c>
      <c r="P44" s="255"/>
      <c r="Q44" s="255">
        <v>91.45</v>
      </c>
      <c r="R44" s="263">
        <f t="shared" si="1"/>
        <v>984.36779999999999</v>
      </c>
      <c r="S44" s="255"/>
      <c r="T44" s="255"/>
      <c r="U44" s="259" t="s">
        <v>309</v>
      </c>
      <c r="V44" s="89">
        <f>+Details_OLD2!HJ3</f>
        <v>3642160.86</v>
      </c>
      <c r="W44" s="89">
        <f t="shared" si="4"/>
        <v>4297749.8147999998</v>
      </c>
      <c r="X44" s="196"/>
    </row>
    <row r="45" spans="2:29" ht="15.75">
      <c r="B45" s="238" t="s">
        <v>181</v>
      </c>
      <c r="C45" s="239" t="s">
        <v>160</v>
      </c>
      <c r="D45" s="239" t="s">
        <v>160</v>
      </c>
      <c r="E45" s="239" t="s">
        <v>199</v>
      </c>
      <c r="F45" s="240">
        <v>74.42</v>
      </c>
      <c r="G45" s="248" t="s">
        <v>195</v>
      </c>
      <c r="H45" s="242">
        <v>15</v>
      </c>
      <c r="I45" s="243">
        <f t="shared" si="0"/>
        <v>161.4</v>
      </c>
      <c r="J45" s="243" t="s">
        <v>71</v>
      </c>
      <c r="K45" s="244" t="s">
        <v>207</v>
      </c>
      <c r="L45" s="89">
        <v>3728340</v>
      </c>
      <c r="M45" s="89">
        <v>4399441.2</v>
      </c>
      <c r="N45" s="204" t="s">
        <v>226</v>
      </c>
      <c r="O45" s="255" t="s">
        <v>181</v>
      </c>
      <c r="P45" s="255" t="s">
        <v>199</v>
      </c>
      <c r="Q45" s="255">
        <v>74.42</v>
      </c>
      <c r="R45" s="263">
        <f t="shared" si="1"/>
        <v>801.05687999999998</v>
      </c>
      <c r="S45" s="255" t="s">
        <v>160</v>
      </c>
      <c r="T45" s="255" t="s">
        <v>244</v>
      </c>
      <c r="U45" s="259" t="s">
        <v>264</v>
      </c>
      <c r="V45" s="89">
        <f>Details_OLD2!HQ3</f>
        <v>17646101.709959619</v>
      </c>
      <c r="W45" s="89">
        <f t="shared" si="4"/>
        <v>20822400.017752349</v>
      </c>
      <c r="X45" s="196" t="s">
        <v>301</v>
      </c>
    </row>
    <row r="46" spans="2:29" ht="15.75">
      <c r="B46" s="238"/>
      <c r="C46" s="239"/>
      <c r="D46" s="239"/>
      <c r="E46" s="239"/>
      <c r="F46" s="240"/>
      <c r="G46" s="241"/>
      <c r="H46" s="242">
        <f>F45-H45</f>
        <v>59.42</v>
      </c>
      <c r="I46" s="243">
        <f t="shared" si="0"/>
        <v>639.35919999999999</v>
      </c>
      <c r="J46" s="243" t="s">
        <v>77</v>
      </c>
      <c r="K46" s="244" t="s">
        <v>210</v>
      </c>
      <c r="L46" s="89">
        <v>8119861.8399999989</v>
      </c>
      <c r="M46" s="89">
        <v>9581436.9711999986</v>
      </c>
      <c r="N46" s="204" t="s">
        <v>226</v>
      </c>
      <c r="O46" s="260"/>
      <c r="P46" s="260"/>
      <c r="Q46" s="260"/>
      <c r="R46" s="263">
        <f t="shared" si="1"/>
        <v>0</v>
      </c>
      <c r="S46" s="260"/>
      <c r="T46" s="260"/>
      <c r="U46" s="260"/>
      <c r="V46" s="89"/>
      <c r="W46" s="89">
        <f t="shared" si="4"/>
        <v>0</v>
      </c>
      <c r="X46" s="204"/>
    </row>
    <row r="47" spans="2:29" ht="15.75">
      <c r="B47" s="237" t="s">
        <v>81</v>
      </c>
      <c r="C47" s="237"/>
      <c r="D47" s="237"/>
      <c r="E47" s="237"/>
      <c r="F47" s="250">
        <f>SUM(F6:F46)</f>
        <v>2536.11</v>
      </c>
      <c r="G47" s="237"/>
      <c r="H47" s="251">
        <f>SUM(H6:H46)</f>
        <v>2897.3599999999992</v>
      </c>
      <c r="I47" s="252">
        <f>SUM(I6:I46)</f>
        <v>31175.593599999993</v>
      </c>
      <c r="J47" s="252"/>
      <c r="K47" s="237"/>
      <c r="L47" s="90">
        <f>SUM(L5:L46)</f>
        <v>358301178.16000003</v>
      </c>
      <c r="M47" s="90">
        <f>SUM(M5:M46)</f>
        <v>422795390.22879988</v>
      </c>
      <c r="N47" s="261"/>
      <c r="O47" s="264"/>
      <c r="P47" s="264"/>
      <c r="Q47" s="265">
        <f>SUM(Q6:Q46)</f>
        <v>3019.2899999999991</v>
      </c>
      <c r="R47" s="265">
        <f>SUM(R6:R46)</f>
        <v>31483.515959999993</v>
      </c>
      <c r="S47" s="264"/>
      <c r="T47" s="264"/>
      <c r="U47" s="264"/>
      <c r="V47" s="90">
        <f>SUM(V6:V46)</f>
        <v>402249981.1870321</v>
      </c>
      <c r="W47" s="90">
        <f>SUM(W6:W46)</f>
        <v>474654977.80069792</v>
      </c>
      <c r="X47" s="221"/>
    </row>
    <row r="48" spans="2:29">
      <c r="B48" s="226"/>
      <c r="C48" s="227"/>
      <c r="D48" s="227"/>
      <c r="E48" s="227"/>
      <c r="F48" s="227"/>
      <c r="G48" s="227"/>
      <c r="H48" s="227"/>
      <c r="I48" s="227"/>
      <c r="J48" s="227"/>
      <c r="K48" s="227"/>
      <c r="L48" s="227"/>
      <c r="M48" s="227"/>
      <c r="N48" s="228"/>
      <c r="O48" s="227"/>
      <c r="P48" s="227"/>
      <c r="Q48" s="227"/>
      <c r="R48" s="227"/>
      <c r="S48" s="227"/>
      <c r="T48" s="227"/>
      <c r="U48" s="227"/>
      <c r="V48" s="227"/>
      <c r="W48" s="227"/>
      <c r="X48" s="228"/>
    </row>
    <row r="49" spans="2:24">
      <c r="B49" s="146" t="s">
        <v>82</v>
      </c>
      <c r="C49" s="296" t="s">
        <v>63</v>
      </c>
      <c r="D49" s="273"/>
      <c r="E49" s="273"/>
      <c r="F49" s="273"/>
      <c r="G49" s="273"/>
      <c r="H49" s="273"/>
      <c r="I49" s="273"/>
      <c r="J49" s="273"/>
      <c r="K49" s="273"/>
      <c r="L49" s="273"/>
      <c r="M49" s="273"/>
      <c r="N49" s="229"/>
      <c r="O49" s="273"/>
      <c r="P49" s="273"/>
      <c r="Q49" s="273"/>
      <c r="R49" s="273"/>
      <c r="S49" s="273"/>
      <c r="T49" s="273"/>
      <c r="U49" s="273"/>
      <c r="V49" s="273"/>
      <c r="W49" s="273"/>
      <c r="X49" s="229"/>
    </row>
    <row r="50" spans="2:24">
      <c r="B50" s="230"/>
      <c r="C50" s="231" t="s">
        <v>84</v>
      </c>
      <c r="D50" s="231"/>
      <c r="E50" s="231"/>
      <c r="F50" s="231"/>
      <c r="G50" s="231"/>
      <c r="H50" s="231"/>
      <c r="I50" s="231"/>
      <c r="J50" s="231"/>
      <c r="K50" s="231"/>
      <c r="L50" s="231"/>
      <c r="M50" s="231"/>
      <c r="N50" s="229"/>
      <c r="O50" s="231"/>
      <c r="Q50" s="297" t="s">
        <v>287</v>
      </c>
      <c r="R50" s="298"/>
      <c r="S50" s="298" t="s">
        <v>291</v>
      </c>
      <c r="T50" s="298" t="s">
        <v>293</v>
      </c>
      <c r="V50" s="231"/>
      <c r="W50" s="231"/>
      <c r="X50" s="229"/>
    </row>
    <row r="51" spans="2:24">
      <c r="B51" s="230"/>
      <c r="C51" s="231" t="s">
        <v>85</v>
      </c>
      <c r="D51" s="231"/>
      <c r="E51" s="231"/>
      <c r="F51" s="231"/>
      <c r="G51" s="231"/>
      <c r="H51" s="231"/>
      <c r="I51" s="231"/>
      <c r="J51" s="231"/>
      <c r="K51" s="231"/>
      <c r="L51" s="231"/>
      <c r="M51" s="231"/>
      <c r="N51" s="229"/>
      <c r="O51" s="231"/>
      <c r="P51" s="231"/>
      <c r="Q51" s="299" t="s">
        <v>288</v>
      </c>
      <c r="R51" s="300"/>
      <c r="S51" s="300"/>
      <c r="T51" s="300"/>
      <c r="U51" s="231" t="s">
        <v>311</v>
      </c>
      <c r="V51" s="231"/>
      <c r="W51" s="231"/>
      <c r="X51" s="229"/>
    </row>
    <row r="52" spans="2:24">
      <c r="B52" s="230"/>
      <c r="C52" s="231" t="s">
        <v>90</v>
      </c>
      <c r="D52" s="231"/>
      <c r="E52" s="231"/>
      <c r="F52" s="231"/>
      <c r="G52" s="231"/>
      <c r="H52" s="231"/>
      <c r="I52" s="231"/>
      <c r="J52" s="231"/>
      <c r="K52" s="231"/>
      <c r="L52" s="231"/>
      <c r="M52" s="231"/>
      <c r="N52" s="229"/>
      <c r="O52" s="231"/>
      <c r="P52" s="231"/>
      <c r="Q52" s="299" t="s">
        <v>289</v>
      </c>
      <c r="R52" s="300"/>
      <c r="S52" s="300"/>
      <c r="T52" s="300"/>
      <c r="U52" s="231"/>
      <c r="V52" s="231"/>
      <c r="W52" s="231"/>
      <c r="X52" s="229"/>
    </row>
    <row r="53" spans="2:24">
      <c r="B53" s="230"/>
      <c r="C53" s="231" t="s">
        <v>92</v>
      </c>
      <c r="D53" s="231"/>
      <c r="E53" s="231"/>
      <c r="F53" s="231"/>
      <c r="G53" s="231"/>
      <c r="H53" s="231"/>
      <c r="I53" s="231"/>
      <c r="J53" s="231"/>
      <c r="K53" s="231"/>
      <c r="L53" s="231"/>
      <c r="M53" s="231"/>
      <c r="N53" s="229"/>
      <c r="O53" s="231"/>
      <c r="P53" s="231"/>
      <c r="Q53" s="299" t="s">
        <v>290</v>
      </c>
      <c r="R53" s="300"/>
      <c r="S53" s="300"/>
      <c r="T53" s="300"/>
      <c r="U53" s="231"/>
      <c r="V53" s="231"/>
      <c r="W53" s="231"/>
      <c r="X53" s="229"/>
    </row>
    <row r="54" spans="2:24">
      <c r="B54" s="232"/>
      <c r="C54" s="233"/>
      <c r="D54" s="233"/>
      <c r="E54" s="233"/>
      <c r="F54" s="233"/>
      <c r="G54" s="233"/>
      <c r="H54" s="233"/>
      <c r="I54" s="233"/>
      <c r="J54" s="233"/>
      <c r="K54" s="233"/>
      <c r="L54" s="233"/>
      <c r="M54" s="233"/>
      <c r="N54" s="234"/>
      <c r="O54" s="233"/>
      <c r="P54" s="233"/>
      <c r="Q54" s="301" t="s">
        <v>292</v>
      </c>
      <c r="R54" s="302"/>
      <c r="S54" s="302"/>
      <c r="T54" s="302"/>
      <c r="U54" s="233"/>
      <c r="V54" s="233"/>
      <c r="W54" s="233"/>
      <c r="X54" s="234"/>
    </row>
    <row r="58" spans="2:24">
      <c r="W58" s="329">
        <f>+W47-Details_OLD2!HU70</f>
        <v>0</v>
      </c>
    </row>
  </sheetData>
  <mergeCells count="4">
    <mergeCell ref="B2:X2"/>
    <mergeCell ref="B4:N4"/>
    <mergeCell ref="O4:X4"/>
    <mergeCell ref="B3:X3"/>
  </mergeCells>
  <pageMargins left="0.25" right="0.25" top="0.75" bottom="0.75" header="0.3" footer="0.3"/>
  <pageSetup paperSize="9" scale="4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V77"/>
  <sheetViews>
    <sheetView zoomScale="85" zoomScaleNormal="85" workbookViewId="0">
      <pane xSplit="2" ySplit="7" topLeftCell="FV8" activePane="bottomRight" state="frozen"/>
      <selection pane="topRight" activeCell="C1" sqref="C1"/>
      <selection pane="bottomLeft" activeCell="A8" sqref="A8"/>
      <selection pane="bottomRight" activeCell="GE15" sqref="GE15"/>
    </sheetView>
  </sheetViews>
  <sheetFormatPr defaultColWidth="9.140625" defaultRowHeight="13.5"/>
  <cols>
    <col min="1" max="1" width="6.7109375" style="60" bestFit="1" customWidth="1"/>
    <col min="2" max="2" width="29" style="60" bestFit="1" customWidth="1"/>
    <col min="3" max="3" width="1.7109375" style="60" customWidth="1"/>
    <col min="4" max="4" width="10.28515625" style="60" customWidth="1"/>
    <col min="5" max="5" width="10.28515625" style="60" bestFit="1" customWidth="1"/>
    <col min="6" max="7" width="8" style="60" bestFit="1" customWidth="1"/>
    <col min="8" max="8" width="13.7109375" style="60" bestFit="1" customWidth="1"/>
    <col min="9" max="9" width="12.7109375" style="60" bestFit="1" customWidth="1"/>
    <col min="10" max="10" width="1.7109375" style="60" customWidth="1"/>
    <col min="11" max="11" width="10.28515625" style="60" customWidth="1"/>
    <col min="12" max="12" width="10.28515625" style="60" bestFit="1" customWidth="1"/>
    <col min="13" max="14" width="8" style="60" bestFit="1" customWidth="1"/>
    <col min="15" max="15" width="13.7109375" style="60" bestFit="1" customWidth="1"/>
    <col min="16" max="16" width="12.7109375" style="60" bestFit="1" customWidth="1"/>
    <col min="17" max="17" width="1.7109375" style="60" customWidth="1"/>
    <col min="18" max="18" width="10.28515625" style="60" customWidth="1"/>
    <col min="19" max="19" width="10.28515625" style="60" bestFit="1" customWidth="1"/>
    <col min="20" max="21" width="8" style="60" bestFit="1" customWidth="1"/>
    <col min="22" max="22" width="13.7109375" style="60" bestFit="1" customWidth="1"/>
    <col min="23" max="23" width="11.42578125" style="60" bestFit="1" customWidth="1"/>
    <col min="24" max="24" width="1.7109375" style="60" customWidth="1"/>
    <col min="25" max="25" width="10.28515625" style="60" customWidth="1"/>
    <col min="26" max="26" width="10.28515625" style="60" bestFit="1" customWidth="1"/>
    <col min="27" max="28" width="8" style="60" bestFit="1" customWidth="1"/>
    <col min="29" max="29" width="13.7109375" style="60" bestFit="1" customWidth="1"/>
    <col min="30" max="30" width="11.42578125" style="60" bestFit="1" customWidth="1"/>
    <col min="31" max="31" width="1.7109375" style="60" customWidth="1"/>
    <col min="32" max="33" width="10.5703125" style="60" bestFit="1" customWidth="1"/>
    <col min="34" max="34" width="8.140625" style="60" customWidth="1"/>
    <col min="35" max="35" width="7" style="60" bestFit="1" customWidth="1"/>
    <col min="36" max="36" width="14.42578125" style="60" bestFit="1" customWidth="1"/>
    <col min="37" max="37" width="12.42578125" style="60" bestFit="1" customWidth="1"/>
    <col min="38" max="38" width="1.7109375" style="60" customWidth="1"/>
    <col min="39" max="39" width="12.7109375" style="60" bestFit="1" customWidth="1"/>
    <col min="40" max="40" width="12.140625" style="60" bestFit="1" customWidth="1"/>
    <col min="41" max="42" width="7.140625" style="60" bestFit="1" customWidth="1"/>
    <col min="43" max="43" width="13.85546875" style="60" customWidth="1"/>
    <col min="44" max="44" width="12.7109375" style="60" bestFit="1" customWidth="1"/>
    <col min="45" max="45" width="1.7109375" style="60" customWidth="1"/>
    <col min="46" max="46" width="12.7109375" style="60" bestFit="1" customWidth="1"/>
    <col min="47" max="47" width="12.140625" style="60" bestFit="1" customWidth="1"/>
    <col min="48" max="48" width="9.85546875" style="60" customWidth="1"/>
    <col min="49" max="49" width="7.140625" style="60" bestFit="1" customWidth="1"/>
    <col min="50" max="50" width="13.85546875" style="60" customWidth="1"/>
    <col min="51" max="51" width="12.7109375" style="60" bestFit="1" customWidth="1"/>
    <col min="52" max="52" width="1.7109375" style="60" customWidth="1"/>
    <col min="53" max="53" width="12.7109375" style="60" bestFit="1" customWidth="1"/>
    <col min="54" max="54" width="12.140625" style="60" bestFit="1" customWidth="1"/>
    <col min="55" max="55" width="9.85546875" style="60" customWidth="1"/>
    <col min="56" max="56" width="8" style="60" bestFit="1" customWidth="1"/>
    <col min="57" max="57" width="13.85546875" style="60" customWidth="1"/>
    <col min="58" max="58" width="12.7109375" style="60" bestFit="1" customWidth="1"/>
    <col min="59" max="59" width="1.7109375" style="60" customWidth="1"/>
    <col min="60" max="61" width="10.28515625" style="60" bestFit="1" customWidth="1"/>
    <col min="62" max="63" width="7.140625" style="60" bestFit="1" customWidth="1"/>
    <col min="64" max="65" width="10.28515625" style="60" bestFit="1" customWidth="1"/>
    <col min="66" max="66" width="1.7109375" style="60" customWidth="1"/>
    <col min="67" max="68" width="10.28515625" style="60" bestFit="1" customWidth="1"/>
    <col min="69" max="70" width="7.140625" style="60" bestFit="1" customWidth="1"/>
    <col min="71" max="72" width="10.28515625" style="60" bestFit="1" customWidth="1"/>
    <col min="73" max="73" width="1.7109375" style="60" customWidth="1"/>
    <col min="74" max="74" width="12.7109375" style="60" bestFit="1" customWidth="1"/>
    <col min="75" max="75" width="12.140625" style="60" bestFit="1" customWidth="1"/>
    <col min="76" max="76" width="6.5703125" style="60" bestFit="1" customWidth="1"/>
    <col min="77" max="77" width="7" style="60" bestFit="1" customWidth="1"/>
    <col min="78" max="78" width="12.85546875" style="60" customWidth="1"/>
    <col min="79" max="79" width="12.7109375" style="60" bestFit="1" customWidth="1"/>
    <col min="80" max="80" width="1.7109375" style="60" customWidth="1"/>
    <col min="81" max="82" width="10.5703125" style="60" bestFit="1" customWidth="1"/>
    <col min="83" max="83" width="6.140625" style="60" bestFit="1" customWidth="1"/>
    <col min="84" max="84" width="7" style="60" bestFit="1" customWidth="1"/>
    <col min="85" max="85" width="12.7109375" style="60" bestFit="1" customWidth="1"/>
    <col min="86" max="86" width="11" style="60" customWidth="1"/>
    <col min="87" max="87" width="1.7109375" style="60" customWidth="1"/>
    <col min="88" max="88" width="12.7109375" style="60" bestFit="1" customWidth="1"/>
    <col min="89" max="89" width="12.140625" style="60" bestFit="1" customWidth="1"/>
    <col min="90" max="91" width="7.140625" style="60" bestFit="1" customWidth="1"/>
    <col min="92" max="92" width="13.85546875" style="60" customWidth="1"/>
    <col min="93" max="93" width="12.7109375" style="60" bestFit="1" customWidth="1"/>
    <col min="94" max="94" width="1.7109375" style="60" customWidth="1"/>
    <col min="95" max="95" width="12.7109375" style="60" bestFit="1" customWidth="1"/>
    <col min="96" max="96" width="12.140625" style="60" bestFit="1" customWidth="1"/>
    <col min="97" max="98" width="7.140625" style="60" bestFit="1" customWidth="1"/>
    <col min="99" max="99" width="13.85546875" style="60" customWidth="1"/>
    <col min="100" max="100" width="12.7109375" style="60" bestFit="1" customWidth="1"/>
    <col min="101" max="101" width="1.7109375" style="60" customWidth="1"/>
    <col min="102" max="103" width="10.28515625" style="60" bestFit="1" customWidth="1"/>
    <col min="104" max="105" width="7.140625" style="60" bestFit="1" customWidth="1"/>
    <col min="106" max="107" width="10.28515625" style="60" bestFit="1" customWidth="1"/>
    <col min="108" max="108" width="1.7109375" style="60" customWidth="1"/>
    <col min="109" max="109" width="10.28515625" style="60" customWidth="1"/>
    <col min="110" max="110" width="10.28515625" style="60" bestFit="1" customWidth="1"/>
    <col min="111" max="112" width="7.5703125" style="60" bestFit="1" customWidth="1"/>
    <col min="113" max="113" width="12.140625" style="60" bestFit="1" customWidth="1"/>
    <col min="114" max="114" width="10.28515625" style="60" bestFit="1" customWidth="1"/>
    <col min="115" max="115" width="1.7109375" style="60" customWidth="1"/>
    <col min="116" max="117" width="10.5703125" style="60" bestFit="1" customWidth="1"/>
    <col min="118" max="118" width="7.7109375" style="60" customWidth="1"/>
    <col min="119" max="119" width="10.28515625" style="60" customWidth="1"/>
    <col min="120" max="121" width="12.7109375" style="60" bestFit="1" customWidth="1"/>
    <col min="122" max="122" width="1.7109375" style="60" customWidth="1"/>
    <col min="123" max="123" width="12.5703125" style="60" customWidth="1"/>
    <col min="124" max="124" width="13.7109375" style="60" bestFit="1" customWidth="1"/>
    <col min="125" max="125" width="12.28515625" style="60" customWidth="1"/>
    <col min="126" max="126" width="7.5703125" style="60" bestFit="1" customWidth="1"/>
    <col min="127" max="127" width="13.7109375" style="60" bestFit="1" customWidth="1"/>
    <col min="128" max="128" width="11.42578125" style="60" bestFit="1" customWidth="1"/>
    <col min="129" max="129" width="1.7109375" style="60" customWidth="1"/>
    <col min="130" max="130" width="12.7109375" style="60" bestFit="1" customWidth="1"/>
    <col min="131" max="131" width="12.140625" style="60" bestFit="1" customWidth="1"/>
    <col min="132" max="133" width="7.140625" style="60" bestFit="1" customWidth="1"/>
    <col min="134" max="134" width="13.85546875" style="60" customWidth="1"/>
    <col min="135" max="135" width="11.42578125" style="60" bestFit="1" customWidth="1"/>
    <col min="136" max="136" width="1.7109375" style="60" customWidth="1"/>
    <col min="137" max="138" width="10.28515625" style="60" bestFit="1" customWidth="1"/>
    <col min="139" max="140" width="7.140625" style="60" bestFit="1" customWidth="1"/>
    <col min="141" max="142" width="10.28515625" style="60" bestFit="1" customWidth="1"/>
    <col min="143" max="143" width="1.7109375" style="60" customWidth="1"/>
    <col min="144" max="144" width="12" style="60" customWidth="1"/>
    <col min="145" max="145" width="12.140625" style="60" bestFit="1" customWidth="1"/>
    <col min="146" max="147" width="7.5703125" style="60" bestFit="1" customWidth="1"/>
    <col min="148" max="148" width="13.85546875" style="60" customWidth="1"/>
    <col min="149" max="149" width="11.42578125" style="60" bestFit="1" customWidth="1"/>
    <col min="150" max="150" width="1.7109375" style="60" customWidth="1"/>
    <col min="151" max="151" width="12.7109375" style="60" bestFit="1" customWidth="1"/>
    <col min="152" max="152" width="12.140625" style="60" bestFit="1" customWidth="1"/>
    <col min="153" max="154" width="7.140625" style="60" bestFit="1" customWidth="1"/>
    <col min="155" max="155" width="14.42578125" style="60" bestFit="1" customWidth="1"/>
    <col min="156" max="156" width="12.7109375" style="60" bestFit="1" customWidth="1"/>
    <col min="157" max="157" width="1.7109375" style="60" customWidth="1"/>
    <col min="158" max="158" width="12.7109375" style="60" bestFit="1" customWidth="1"/>
    <col min="159" max="159" width="12.140625" style="60" bestFit="1" customWidth="1"/>
    <col min="160" max="161" width="7" style="60" bestFit="1" customWidth="1"/>
    <col min="162" max="162" width="14.42578125" style="60" bestFit="1" customWidth="1"/>
    <col min="163" max="163" width="12.7109375" style="60" bestFit="1" customWidth="1"/>
    <col min="164" max="164" width="1.7109375" style="60" customWidth="1"/>
    <col min="165" max="165" width="12.7109375" style="60" bestFit="1" customWidth="1"/>
    <col min="166" max="166" width="12.140625" style="60" bestFit="1" customWidth="1"/>
    <col min="167" max="167" width="9.85546875" style="60" customWidth="1"/>
    <col min="168" max="168" width="7" style="60" bestFit="1" customWidth="1"/>
    <col min="169" max="169" width="12.7109375" style="60" bestFit="1" customWidth="1"/>
    <col min="170" max="170" width="13.140625" style="60" bestFit="1" customWidth="1"/>
    <col min="171" max="171" width="1.7109375" style="60" customWidth="1"/>
    <col min="172" max="172" width="13.42578125" style="60" customWidth="1"/>
    <col min="173" max="173" width="10.28515625" style="60" bestFit="1" customWidth="1"/>
    <col min="174" max="174" width="9.28515625" style="60" customWidth="1"/>
    <col min="175" max="175" width="7.140625" style="60" bestFit="1" customWidth="1"/>
    <col min="176" max="176" width="12.7109375" style="60" bestFit="1" customWidth="1"/>
    <col min="177" max="177" width="12.140625" style="60" bestFit="1" customWidth="1"/>
    <col min="178" max="178" width="1.7109375" style="60" customWidth="1"/>
    <col min="179" max="180" width="10.5703125" style="60" bestFit="1" customWidth="1"/>
    <col min="181" max="182" width="7" style="60" bestFit="1" customWidth="1"/>
    <col min="183" max="183" width="14.42578125" style="60" bestFit="1" customWidth="1"/>
    <col min="184" max="184" width="12.42578125" style="60" bestFit="1" customWidth="1"/>
    <col min="185" max="185" width="1.7109375" style="60" customWidth="1"/>
    <col min="186" max="186" width="10.28515625" style="60" customWidth="1"/>
    <col min="187" max="187" width="10.28515625" style="60" bestFit="1" customWidth="1"/>
    <col min="188" max="189" width="7.5703125" style="60" bestFit="1" customWidth="1"/>
    <col min="190" max="190" width="12.140625" style="60" bestFit="1" customWidth="1"/>
    <col min="191" max="191" width="11.42578125" style="60" bestFit="1" customWidth="1"/>
    <col min="192" max="192" width="1.7109375" style="60" customWidth="1"/>
    <col min="193" max="195" width="11.42578125" style="60" customWidth="1"/>
    <col min="196" max="196" width="7.5703125" style="60" bestFit="1" customWidth="1"/>
    <col min="197" max="197" width="12.140625" style="60" bestFit="1" customWidth="1"/>
    <col min="198" max="198" width="11.42578125" style="60" bestFit="1" customWidth="1"/>
    <col min="199" max="199" width="1.7109375" style="60" customWidth="1"/>
    <col min="200" max="201" width="10.5703125" style="60" bestFit="1" customWidth="1"/>
    <col min="202" max="202" width="6.5703125" style="60" bestFit="1" customWidth="1"/>
    <col min="203" max="203" width="8.5703125" style="60" customWidth="1"/>
    <col min="204" max="204" width="14.42578125" style="60" bestFit="1" customWidth="1"/>
    <col min="205" max="205" width="12.42578125" style="60" bestFit="1" customWidth="1"/>
    <col min="206" max="206" width="1.7109375" style="60" customWidth="1"/>
    <col min="207" max="207" width="10.28515625" style="60" customWidth="1"/>
    <col min="208" max="208" width="10.28515625" style="60" bestFit="1" customWidth="1"/>
    <col min="209" max="210" width="7.5703125" style="60" bestFit="1" customWidth="1"/>
    <col min="211" max="211" width="12.140625" style="60" bestFit="1" customWidth="1"/>
    <col min="212" max="212" width="10.28515625" style="60" bestFit="1" customWidth="1"/>
    <col min="213" max="213" width="1.7109375" style="60" customWidth="1"/>
    <col min="214" max="215" width="10.28515625" style="60" bestFit="1" customWidth="1"/>
    <col min="216" max="217" width="7.140625" style="60" bestFit="1" customWidth="1"/>
    <col min="218" max="219" width="10.28515625" style="60" bestFit="1" customWidth="1"/>
    <col min="220" max="220" width="1.7109375" style="60" customWidth="1"/>
    <col min="221" max="222" width="10.5703125" style="60" bestFit="1" customWidth="1"/>
    <col min="223" max="224" width="7" style="60" bestFit="1" customWidth="1"/>
    <col min="225" max="225" width="14.42578125" style="60" bestFit="1" customWidth="1"/>
    <col min="226" max="226" width="12.42578125" style="60" bestFit="1" customWidth="1"/>
    <col min="227" max="227" width="1.7109375" style="60" customWidth="1"/>
    <col min="228" max="228" width="14.7109375" style="60" bestFit="1" customWidth="1"/>
    <col min="229" max="229" width="16.7109375" style="60" bestFit="1" customWidth="1"/>
    <col min="230" max="230" width="8.5703125" style="60" bestFit="1" customWidth="1"/>
    <col min="231" max="16384" width="9.140625" style="1"/>
  </cols>
  <sheetData>
    <row r="1" spans="1:230" ht="18.75">
      <c r="A1" s="140" t="str">
        <f>'Summary_Old outlets'!B2</f>
        <v>CAPEX - LUCKNOW - F&amp;B</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c r="BV1" s="141"/>
      <c r="BW1" s="141"/>
      <c r="BX1" s="141"/>
      <c r="BY1" s="141"/>
      <c r="BZ1" s="141"/>
      <c r="CA1" s="141"/>
      <c r="CB1" s="141"/>
      <c r="CC1" s="141"/>
      <c r="CD1" s="141"/>
      <c r="CE1" s="141"/>
      <c r="CF1" s="141"/>
      <c r="CG1" s="141"/>
      <c r="CH1" s="141"/>
      <c r="CI1" s="141"/>
      <c r="CJ1" s="141"/>
      <c r="CK1" s="141"/>
      <c r="CL1" s="141"/>
      <c r="CM1" s="141"/>
      <c r="CN1" s="141"/>
      <c r="CO1" s="141"/>
      <c r="CP1" s="141"/>
      <c r="CQ1" s="141"/>
      <c r="CR1" s="141"/>
      <c r="CS1" s="141"/>
      <c r="CT1" s="141"/>
      <c r="CU1" s="141"/>
      <c r="CV1" s="141"/>
      <c r="CW1" s="141"/>
      <c r="CX1" s="141"/>
      <c r="CY1" s="141"/>
      <c r="CZ1" s="141"/>
      <c r="DA1" s="141"/>
      <c r="DB1" s="141"/>
      <c r="DC1" s="141"/>
      <c r="DD1" s="141"/>
      <c r="DE1" s="141"/>
      <c r="DF1" s="141"/>
      <c r="DG1" s="141"/>
      <c r="DH1" s="141"/>
      <c r="DI1" s="141"/>
      <c r="DJ1" s="141"/>
      <c r="DK1" s="141"/>
      <c r="DL1" s="141"/>
      <c r="DM1" s="141"/>
      <c r="DN1" s="141"/>
      <c r="DO1" s="141"/>
      <c r="DP1" s="141"/>
      <c r="DQ1" s="141"/>
      <c r="DR1" s="141"/>
      <c r="DS1" s="269"/>
      <c r="DT1" s="269"/>
      <c r="DU1" s="269"/>
      <c r="DV1" s="141"/>
      <c r="DW1" s="141"/>
      <c r="DX1" s="141"/>
      <c r="DY1" s="141"/>
      <c r="DZ1" s="141"/>
      <c r="EA1" s="141"/>
      <c r="EB1" s="141"/>
      <c r="EC1" s="141"/>
      <c r="ED1" s="141"/>
      <c r="EE1" s="141"/>
      <c r="EF1" s="141"/>
      <c r="EG1" s="141"/>
      <c r="EH1" s="141"/>
      <c r="EI1" s="141"/>
      <c r="EJ1" s="141"/>
      <c r="EK1" s="141"/>
      <c r="EL1" s="141"/>
      <c r="EM1" s="141"/>
      <c r="EN1" s="141"/>
      <c r="EO1" s="141"/>
      <c r="EP1" s="141"/>
      <c r="EQ1" s="141"/>
      <c r="ER1" s="141"/>
      <c r="ES1" s="141"/>
      <c r="ET1" s="141"/>
      <c r="EU1" s="141"/>
      <c r="EV1" s="141"/>
      <c r="EW1" s="141"/>
      <c r="EX1" s="141"/>
      <c r="EY1" s="141"/>
      <c r="EZ1" s="141"/>
      <c r="FA1" s="141"/>
      <c r="FB1" s="141"/>
      <c r="FC1" s="141"/>
      <c r="FD1" s="141"/>
      <c r="FE1" s="141"/>
      <c r="FF1" s="141"/>
      <c r="FG1" s="141"/>
      <c r="FH1" s="141"/>
      <c r="FI1" s="141"/>
      <c r="FJ1" s="141"/>
      <c r="FK1" s="141"/>
      <c r="FL1" s="141"/>
      <c r="FM1" s="141"/>
      <c r="FN1" s="141"/>
      <c r="FO1" s="141"/>
      <c r="FP1" s="141"/>
      <c r="FQ1" s="141"/>
      <c r="FR1" s="141"/>
      <c r="FS1" s="141"/>
      <c r="FT1" s="141"/>
      <c r="FU1" s="141"/>
      <c r="FV1" s="141"/>
      <c r="FW1" s="141"/>
      <c r="FX1" s="141"/>
      <c r="FY1" s="141"/>
      <c r="FZ1" s="141"/>
      <c r="GA1" s="141"/>
      <c r="GB1" s="141"/>
      <c r="GC1" s="141"/>
      <c r="GD1" s="141"/>
      <c r="GE1" s="141"/>
      <c r="GF1" s="141"/>
      <c r="GG1" s="141"/>
      <c r="GH1" s="141"/>
      <c r="GI1" s="141"/>
      <c r="GJ1" s="141"/>
      <c r="GK1" s="269"/>
      <c r="GL1" s="269"/>
      <c r="GM1" s="269"/>
      <c r="GN1" s="141"/>
      <c r="GO1" s="141"/>
      <c r="GP1" s="141"/>
      <c r="GQ1" s="141"/>
      <c r="GR1" s="141"/>
      <c r="GS1" s="141"/>
      <c r="GT1" s="141"/>
      <c r="GU1" s="141"/>
      <c r="GV1" s="141"/>
      <c r="GW1" s="141"/>
      <c r="GX1" s="141"/>
      <c r="GY1" s="141"/>
      <c r="GZ1" s="141"/>
      <c r="HA1" s="141"/>
      <c r="HB1" s="141"/>
      <c r="HC1" s="141"/>
      <c r="HD1" s="141"/>
      <c r="HE1" s="141"/>
      <c r="HF1" s="141"/>
      <c r="HG1" s="141"/>
      <c r="HH1" s="141"/>
      <c r="HI1" s="141"/>
      <c r="HJ1" s="141"/>
      <c r="HK1" s="141"/>
      <c r="HL1" s="141"/>
      <c r="HM1" s="141"/>
      <c r="HN1" s="141"/>
      <c r="HO1" s="141"/>
      <c r="HP1" s="141"/>
      <c r="HQ1" s="141"/>
      <c r="HR1" s="141"/>
      <c r="HS1" s="141"/>
      <c r="HT1" s="307"/>
      <c r="HU1" s="303"/>
      <c r="HV1" s="308"/>
    </row>
    <row r="2" spans="1:230" ht="15">
      <c r="A2" s="768" t="s">
        <v>0</v>
      </c>
      <c r="B2" s="769"/>
      <c r="C2" s="111"/>
      <c r="D2" s="147">
        <v>247.48</v>
      </c>
      <c r="E2" s="147">
        <f>D2</f>
        <v>247.48</v>
      </c>
      <c r="F2" s="3"/>
      <c r="G2" s="68"/>
      <c r="H2" s="68">
        <f>+'Summary_Old outlets'!R6</f>
        <v>508.06079999999997</v>
      </c>
      <c r="I2" s="68">
        <f>H2</f>
        <v>508.06079999999997</v>
      </c>
      <c r="J2" s="111"/>
      <c r="K2" s="147">
        <v>70</v>
      </c>
      <c r="L2" s="147">
        <f>K2</f>
        <v>70</v>
      </c>
      <c r="M2" s="3"/>
      <c r="N2" s="68"/>
      <c r="O2" s="68">
        <f>+'Summary_Old outlets'!R7</f>
        <v>508.06079999999997</v>
      </c>
      <c r="P2" s="68">
        <f>O2</f>
        <v>508.06079999999997</v>
      </c>
      <c r="Q2" s="111"/>
      <c r="R2" s="147">
        <v>70</v>
      </c>
      <c r="S2" s="147">
        <f>R2</f>
        <v>70</v>
      </c>
      <c r="T2" s="3"/>
      <c r="U2" s="68"/>
      <c r="V2" s="68">
        <f>+'Summary_Old outlets'!R8</f>
        <v>384.70535999999998</v>
      </c>
      <c r="W2" s="68">
        <f>V2</f>
        <v>384.70535999999998</v>
      </c>
      <c r="X2" s="111"/>
      <c r="Y2" s="147">
        <v>70</v>
      </c>
      <c r="Z2" s="147">
        <f>Y2</f>
        <v>70</v>
      </c>
      <c r="AA2" s="3"/>
      <c r="AB2" s="68"/>
      <c r="AC2" s="68">
        <f>+'Summary_Old outlets'!R10</f>
        <v>384.70535999999998</v>
      </c>
      <c r="AD2" s="68">
        <f>AC2</f>
        <v>384.70535999999998</v>
      </c>
      <c r="AE2" s="111"/>
      <c r="AF2" s="147">
        <v>151</v>
      </c>
      <c r="AG2" s="147">
        <f>AF2</f>
        <v>151</v>
      </c>
      <c r="AH2" s="3"/>
      <c r="AI2" s="91"/>
      <c r="AJ2" s="268">
        <f>+'Summary_Old outlets'!R11</f>
        <v>1788.9767999999997</v>
      </c>
      <c r="AK2" s="268">
        <f>AJ2</f>
        <v>1788.9767999999997</v>
      </c>
      <c r="AL2" s="111"/>
      <c r="AM2" s="147">
        <f>172*10.76</f>
        <v>1850.72</v>
      </c>
      <c r="AN2" s="147">
        <f>AM2</f>
        <v>1850.72</v>
      </c>
      <c r="AO2" s="3"/>
      <c r="AP2" s="91"/>
      <c r="AQ2" s="91">
        <f>+'Summary_Old outlets'!R12</f>
        <v>749.49731999999995</v>
      </c>
      <c r="AR2" s="91">
        <f>AQ2</f>
        <v>749.49731999999995</v>
      </c>
      <c r="AS2" s="111"/>
      <c r="AT2" s="147">
        <f>101*10.76</f>
        <v>1086.76</v>
      </c>
      <c r="AU2" s="147">
        <f>AT2</f>
        <v>1086.76</v>
      </c>
      <c r="AV2" s="3"/>
      <c r="AW2" s="91"/>
      <c r="AX2" s="91">
        <f>+'Summary_Old outlets'!R13</f>
        <v>1788.9767999999997</v>
      </c>
      <c r="AY2" s="91">
        <f>AX2</f>
        <v>1788.9767999999997</v>
      </c>
      <c r="AZ2" s="111"/>
      <c r="BA2" s="147"/>
      <c r="BB2" s="147"/>
      <c r="BC2" s="3"/>
      <c r="BD2" s="91"/>
      <c r="BE2" s="91">
        <f>+'Summary_Old outlets'!R14</f>
        <v>971.98919999999987</v>
      </c>
      <c r="BF2" s="91">
        <f>BE2</f>
        <v>971.98919999999987</v>
      </c>
      <c r="BG2" s="111"/>
      <c r="BH2" s="147">
        <v>6500</v>
      </c>
      <c r="BI2" s="147">
        <f>BH2</f>
        <v>6500</v>
      </c>
      <c r="BJ2" s="3"/>
      <c r="BK2" s="205"/>
      <c r="BL2" s="205">
        <f>+'Summary_Old outlets'!R15</f>
        <v>958.21127999999987</v>
      </c>
      <c r="BM2" s="205">
        <f>BL2</f>
        <v>958.21127999999987</v>
      </c>
      <c r="BN2" s="111"/>
      <c r="BO2" s="147">
        <v>6500</v>
      </c>
      <c r="BP2" s="147">
        <f>BO2</f>
        <v>6500</v>
      </c>
      <c r="BQ2" s="3"/>
      <c r="BR2" s="205"/>
      <c r="BS2" s="205">
        <f>+'Summary_Old outlets'!R16</f>
        <v>1085.2264799999998</v>
      </c>
      <c r="BT2" s="205">
        <f>BS2</f>
        <v>1085.2264799999998</v>
      </c>
      <c r="BU2" s="111"/>
      <c r="BV2" s="147">
        <v>4500</v>
      </c>
      <c r="BW2" s="147">
        <f>BV2</f>
        <v>4500</v>
      </c>
      <c r="BX2" s="3"/>
      <c r="BY2" s="91"/>
      <c r="BZ2" s="91">
        <f>+'Summary_Old outlets'!R18</f>
        <v>3196.9079999999999</v>
      </c>
      <c r="CA2" s="91">
        <f>BZ2</f>
        <v>3196.9079999999999</v>
      </c>
      <c r="CB2" s="111"/>
      <c r="CC2" s="147">
        <v>151</v>
      </c>
      <c r="CD2" s="147">
        <f>CC2</f>
        <v>151</v>
      </c>
      <c r="CE2" s="3"/>
      <c r="CF2" s="91"/>
      <c r="CG2" s="91">
        <f>+'Summary_Old outlets'!R19</f>
        <v>328.30199999999996</v>
      </c>
      <c r="CH2" s="91">
        <f>CG2</f>
        <v>328.30199999999996</v>
      </c>
      <c r="CI2" s="111"/>
      <c r="CJ2" s="147">
        <f>172*10.76</f>
        <v>1850.72</v>
      </c>
      <c r="CK2" s="147">
        <f>CJ2</f>
        <v>1850.72</v>
      </c>
      <c r="CL2" s="3"/>
      <c r="CM2" s="91"/>
      <c r="CN2" s="91">
        <f>+'Summary_Old outlets'!R20</f>
        <v>328.30199999999996</v>
      </c>
      <c r="CO2" s="91">
        <f>CN2</f>
        <v>328.30199999999996</v>
      </c>
      <c r="CP2" s="111"/>
      <c r="CQ2" s="147">
        <f>172*10.76</f>
        <v>1850.72</v>
      </c>
      <c r="CR2" s="147">
        <f>CQ2</f>
        <v>1850.72</v>
      </c>
      <c r="CS2" s="3"/>
      <c r="CT2" s="91"/>
      <c r="CU2" s="91">
        <f>+'Summary_Old outlets'!R21</f>
        <v>328.30199999999996</v>
      </c>
      <c r="CV2" s="91">
        <f>CU2</f>
        <v>328.30199999999996</v>
      </c>
      <c r="CW2" s="111"/>
      <c r="CX2" s="147">
        <v>6500</v>
      </c>
      <c r="CY2" s="147">
        <f>CX2</f>
        <v>6500</v>
      </c>
      <c r="CZ2" s="3"/>
      <c r="DA2" s="205"/>
      <c r="DB2" s="205">
        <f>+'Summary_Old outlets'!R22</f>
        <v>640.78091999999992</v>
      </c>
      <c r="DC2" s="205">
        <f>DB2</f>
        <v>640.78091999999992</v>
      </c>
      <c r="DD2" s="111"/>
      <c r="DE2" s="147">
        <v>979</v>
      </c>
      <c r="DF2" s="147">
        <f>DE2</f>
        <v>979</v>
      </c>
      <c r="DG2" s="3"/>
      <c r="DH2" s="68"/>
      <c r="DI2" s="68">
        <f>+'Summary_Old outlets'!R23</f>
        <v>379.86155999999994</v>
      </c>
      <c r="DJ2" s="68">
        <f>DI2</f>
        <v>379.86155999999994</v>
      </c>
      <c r="DK2" s="111"/>
      <c r="DL2" s="147">
        <v>151</v>
      </c>
      <c r="DM2" s="147">
        <f>DL2</f>
        <v>151</v>
      </c>
      <c r="DN2" s="3"/>
      <c r="DO2" s="91"/>
      <c r="DP2" s="91">
        <f>+'Summary_Old outlets'!R24</f>
        <v>660.37139999999999</v>
      </c>
      <c r="DQ2" s="91">
        <f>DP2</f>
        <v>660.37139999999999</v>
      </c>
      <c r="DR2" s="111"/>
      <c r="DS2" s="147">
        <f>245*10.76</f>
        <v>2636.2</v>
      </c>
      <c r="DT2" s="147">
        <f>DS2</f>
        <v>2636.2</v>
      </c>
      <c r="DU2" s="3"/>
      <c r="DV2" s="68"/>
      <c r="DW2" s="68">
        <f>+'Summary_Old outlets'!R25</f>
        <v>768.01139999999987</v>
      </c>
      <c r="DX2" s="68">
        <f>DW2</f>
        <v>768.01139999999987</v>
      </c>
      <c r="DY2" s="111"/>
      <c r="DZ2" s="147">
        <f>172*10.76</f>
        <v>1850.72</v>
      </c>
      <c r="EA2" s="147">
        <f>DZ2</f>
        <v>1850.72</v>
      </c>
      <c r="EB2" s="3"/>
      <c r="EC2" s="91"/>
      <c r="ED2" s="91">
        <f>+'Summary_Old outlets'!R26</f>
        <v>355.15817999999996</v>
      </c>
      <c r="EE2" s="91">
        <f>ED2</f>
        <v>355.15817999999996</v>
      </c>
      <c r="EF2" s="111"/>
      <c r="EG2" s="147">
        <v>6500</v>
      </c>
      <c r="EH2" s="147">
        <f>EG2</f>
        <v>6500</v>
      </c>
      <c r="EI2" s="3"/>
      <c r="EJ2" s="205"/>
      <c r="EK2" s="205">
        <f>+'Summary_Old outlets'!R28</f>
        <v>735.28883999999994</v>
      </c>
      <c r="EL2" s="205">
        <f>EK2</f>
        <v>735.28883999999994</v>
      </c>
      <c r="EM2" s="111"/>
      <c r="EN2" s="147">
        <v>624.08000000000004</v>
      </c>
      <c r="EO2" s="147">
        <f>EN2</f>
        <v>624.08000000000004</v>
      </c>
      <c r="EP2" s="3"/>
      <c r="EQ2" s="68"/>
      <c r="ER2" s="68">
        <f>+'Summary_Old outlets'!R27</f>
        <v>355.15817999999996</v>
      </c>
      <c r="ES2" s="68">
        <f>ER2</f>
        <v>355.15817999999996</v>
      </c>
      <c r="ET2" s="111"/>
      <c r="EU2" s="147">
        <f>172*10.76</f>
        <v>1850.72</v>
      </c>
      <c r="EV2" s="147">
        <f>EU2</f>
        <v>1850.72</v>
      </c>
      <c r="EW2" s="3"/>
      <c r="EX2" s="91"/>
      <c r="EY2" s="91">
        <f>+'Summary_Old outlets'!R29</f>
        <v>2423.83752</v>
      </c>
      <c r="EZ2" s="91">
        <f>EY2</f>
        <v>2423.83752</v>
      </c>
      <c r="FA2" s="111"/>
      <c r="FB2" s="147">
        <v>4500</v>
      </c>
      <c r="FC2" s="147">
        <f>FB2</f>
        <v>4500</v>
      </c>
      <c r="FD2" s="3"/>
      <c r="FE2" s="91"/>
      <c r="FF2" s="91">
        <f>+'Summary_Old outlets'!R31</f>
        <v>5206.1162400000003</v>
      </c>
      <c r="FG2" s="91">
        <f>FF2</f>
        <v>5206.1162400000003</v>
      </c>
      <c r="FH2" s="111"/>
      <c r="FI2" s="147">
        <f>101*10.76</f>
        <v>1086.76</v>
      </c>
      <c r="FJ2" s="147">
        <f>FI2</f>
        <v>1086.76</v>
      </c>
      <c r="FK2" s="3"/>
      <c r="FL2" s="91"/>
      <c r="FM2" s="91">
        <f>+'Summary_Old outlets'!R32</f>
        <v>1454.9160599999998</v>
      </c>
      <c r="FN2" s="91">
        <f>FM2</f>
        <v>1454.9160599999998</v>
      </c>
      <c r="FO2" s="111"/>
      <c r="FP2" s="147">
        <v>150</v>
      </c>
      <c r="FQ2" s="147">
        <f>FP2</f>
        <v>150</v>
      </c>
      <c r="FR2" s="3"/>
      <c r="FS2" s="91"/>
      <c r="FT2" s="91">
        <f>+'Summary_Old outlets'!R33</f>
        <v>1454.9160599999998</v>
      </c>
      <c r="FU2" s="91">
        <f>FT2</f>
        <v>1454.9160599999998</v>
      </c>
      <c r="FV2" s="111"/>
      <c r="FW2" s="147">
        <v>151</v>
      </c>
      <c r="FX2" s="147">
        <f>FW2</f>
        <v>151</v>
      </c>
      <c r="FY2" s="3"/>
      <c r="FZ2" s="91"/>
      <c r="GA2" s="268">
        <f>+'Summary_Old outlets'!R35</f>
        <v>188.36999999999998</v>
      </c>
      <c r="GB2" s="268">
        <f>GA2</f>
        <v>188.36999999999998</v>
      </c>
      <c r="GC2" s="111"/>
      <c r="GD2" s="147">
        <v>70</v>
      </c>
      <c r="GE2" s="147">
        <f>GD2</f>
        <v>70</v>
      </c>
      <c r="GF2" s="3"/>
      <c r="GG2" s="68"/>
      <c r="GH2" s="68">
        <f>+'Summary_Old outlets'!R36</f>
        <v>369.20519999999993</v>
      </c>
      <c r="GI2" s="68">
        <f>GH2</f>
        <v>369.20519999999993</v>
      </c>
      <c r="GJ2" s="111"/>
      <c r="GK2" s="147">
        <f>23.4*10.76</f>
        <v>251.78399999999999</v>
      </c>
      <c r="GL2" s="147">
        <f>GK2</f>
        <v>251.78399999999999</v>
      </c>
      <c r="GM2" s="3"/>
      <c r="GN2" s="68"/>
      <c r="GO2" s="68">
        <f>+'Summary_Old outlets'!R38</f>
        <v>281.58623999999998</v>
      </c>
      <c r="GP2" s="68">
        <f>GO2</f>
        <v>281.58623999999998</v>
      </c>
      <c r="GQ2" s="111"/>
      <c r="GR2" s="147">
        <v>151</v>
      </c>
      <c r="GS2" s="147">
        <f>GR2</f>
        <v>151</v>
      </c>
      <c r="GT2" s="3"/>
      <c r="GU2" s="91"/>
      <c r="GV2" s="268">
        <f>+'Summary_Old outlets'!R39</f>
        <v>438.84827999999999</v>
      </c>
      <c r="GW2" s="268">
        <f>GV2</f>
        <v>438.84827999999999</v>
      </c>
      <c r="GX2" s="111"/>
      <c r="GY2" s="147">
        <v>979</v>
      </c>
      <c r="GZ2" s="147">
        <f>GY2</f>
        <v>979</v>
      </c>
      <c r="HA2" s="3"/>
      <c r="HB2" s="68"/>
      <c r="HC2" s="68">
        <f>+'Summary_Old outlets'!R40</f>
        <v>675.44099999999992</v>
      </c>
      <c r="HD2" s="68">
        <f>HC2</f>
        <v>675.44099999999992</v>
      </c>
      <c r="HE2" s="111"/>
      <c r="HF2" s="147">
        <v>6500</v>
      </c>
      <c r="HG2" s="147">
        <f>HF2</f>
        <v>6500</v>
      </c>
      <c r="HH2" s="3"/>
      <c r="HI2" s="205"/>
      <c r="HJ2" s="205">
        <f>+'Summary_Old outlets'!R44</f>
        <v>984.36779999999999</v>
      </c>
      <c r="HK2" s="205">
        <f>HJ2</f>
        <v>984.36779999999999</v>
      </c>
      <c r="HL2" s="111"/>
      <c r="HM2" s="147">
        <v>151</v>
      </c>
      <c r="HN2" s="147">
        <f>HM2</f>
        <v>151</v>
      </c>
      <c r="HO2" s="3"/>
      <c r="HP2" s="91"/>
      <c r="HQ2" s="268">
        <f>'Summary_Old outlets'!R45</f>
        <v>801.05687999999998</v>
      </c>
      <c r="HR2" s="268">
        <f>HQ2</f>
        <v>801.05687999999998</v>
      </c>
      <c r="HS2" s="111"/>
      <c r="HT2" s="309"/>
      <c r="HU2" s="304"/>
      <c r="HV2" s="310"/>
    </row>
    <row r="3" spans="1:230" ht="15">
      <c r="A3" s="768" t="s">
        <v>1</v>
      </c>
      <c r="B3" s="769"/>
      <c r="C3" s="112"/>
      <c r="D3" s="6">
        <f>D70</f>
        <v>2861860.1360000004</v>
      </c>
      <c r="E3" s="6">
        <f>E70</f>
        <v>2425305.2000000002</v>
      </c>
      <c r="F3" s="6"/>
      <c r="G3" s="69"/>
      <c r="H3" s="69">
        <f>H70</f>
        <v>5850332.1909072353</v>
      </c>
      <c r="I3" s="69">
        <f>I70</f>
        <v>6903391.9852705374</v>
      </c>
      <c r="J3" s="112"/>
      <c r="K3" s="6">
        <f>K70</f>
        <v>2073041.2760000001</v>
      </c>
      <c r="L3" s="6">
        <f>L70</f>
        <v>1756814.6406779659</v>
      </c>
      <c r="M3" s="6"/>
      <c r="N3" s="69"/>
      <c r="O3" s="69">
        <f>O70</f>
        <v>11515830.240324378</v>
      </c>
      <c r="P3" s="69">
        <f>P70</f>
        <v>13588679.683582764</v>
      </c>
      <c r="Q3" s="112"/>
      <c r="R3" s="6">
        <f>R70</f>
        <v>1171656.54</v>
      </c>
      <c r="S3" s="6">
        <f>S70</f>
        <v>992929.27118644072</v>
      </c>
      <c r="T3" s="6"/>
      <c r="U3" s="69"/>
      <c r="V3" s="69">
        <f>V70</f>
        <v>7636296.6209654659</v>
      </c>
      <c r="W3" s="69">
        <f>W70</f>
        <v>9010830.0127392486</v>
      </c>
      <c r="X3" s="112"/>
      <c r="Y3" s="6">
        <f>Y70</f>
        <v>1171656.54</v>
      </c>
      <c r="Z3" s="6">
        <f>Z70</f>
        <v>992929.27118644072</v>
      </c>
      <c r="AA3" s="6"/>
      <c r="AB3" s="69"/>
      <c r="AC3" s="69">
        <f>AC70</f>
        <v>7636296.6209654659</v>
      </c>
      <c r="AD3" s="69">
        <f>AD70</f>
        <v>9010830.0127392486</v>
      </c>
      <c r="AE3" s="112"/>
      <c r="AF3" s="6">
        <f>AF70</f>
        <v>3823148.96953288</v>
      </c>
      <c r="AG3" s="6">
        <f>AG70</f>
        <v>3239956.7538414239</v>
      </c>
      <c r="AH3" s="6"/>
      <c r="AI3" s="92"/>
      <c r="AJ3" s="92">
        <f>AJ70</f>
        <v>36847433.757944487</v>
      </c>
      <c r="AK3" s="92">
        <f>AK70</f>
        <v>43479971.834374502</v>
      </c>
      <c r="AL3" s="112"/>
      <c r="AM3" s="6">
        <f>AM70</f>
        <v>30012692.300000001</v>
      </c>
      <c r="AN3" s="6">
        <f>AN70</f>
        <v>25434485</v>
      </c>
      <c r="AO3" s="6"/>
      <c r="AP3" s="92"/>
      <c r="AQ3" s="92">
        <f>AQ70</f>
        <v>10523098.288588556</v>
      </c>
      <c r="AR3" s="92">
        <f>AR70</f>
        <v>12417255.980534496</v>
      </c>
      <c r="AS3" s="112"/>
      <c r="AT3" s="6">
        <f>AT70</f>
        <v>21483087.552000001</v>
      </c>
      <c r="AU3" s="6">
        <f>AU70</f>
        <v>18206006.399999999</v>
      </c>
      <c r="AV3" s="6"/>
      <c r="AW3" s="92"/>
      <c r="AX3" s="92">
        <f>AX70</f>
        <v>31347443.924298719</v>
      </c>
      <c r="AY3" s="92">
        <f>AY70</f>
        <v>36989983.830672488</v>
      </c>
      <c r="AZ3" s="112"/>
      <c r="BA3" s="6">
        <f>BA70</f>
        <v>0</v>
      </c>
      <c r="BB3" s="6">
        <f>BB70</f>
        <v>0</v>
      </c>
      <c r="BC3" s="6"/>
      <c r="BD3" s="92"/>
      <c r="BE3" s="92">
        <f>BE70</f>
        <v>33203151.071999993</v>
      </c>
      <c r="BF3" s="92">
        <f>BF70</f>
        <v>39179718.264959991</v>
      </c>
      <c r="BG3" s="112"/>
      <c r="BH3" s="6">
        <f>BH70</f>
        <v>8889212.5399999991</v>
      </c>
      <c r="BI3" s="6">
        <f>BI70</f>
        <v>7533230.9661016949</v>
      </c>
      <c r="BJ3" s="6"/>
      <c r="BK3" s="206"/>
      <c r="BL3" s="206">
        <f>BL70</f>
        <v>3545381.736</v>
      </c>
      <c r="BM3" s="206">
        <f>BM70</f>
        <v>4183550.4484799993</v>
      </c>
      <c r="BN3" s="112"/>
      <c r="BO3" s="6">
        <f>BO70</f>
        <v>8889212.5399999991</v>
      </c>
      <c r="BP3" s="6">
        <f>BP70</f>
        <v>7533230.9661016949</v>
      </c>
      <c r="BQ3" s="6"/>
      <c r="BR3" s="206"/>
      <c r="BS3" s="206">
        <f>BS70</f>
        <v>4015337.9759999993</v>
      </c>
      <c r="BT3" s="206">
        <f>BT70</f>
        <v>4738098.8116799993</v>
      </c>
      <c r="BU3" s="112"/>
      <c r="BV3" s="6">
        <f>BV70</f>
        <v>35652761.449999996</v>
      </c>
      <c r="BW3" s="6">
        <f>BW70</f>
        <v>30214204.618644066</v>
      </c>
      <c r="BX3" s="6"/>
      <c r="BY3" s="92"/>
      <c r="BZ3" s="92">
        <f>BZ70</f>
        <v>23020864.711852271</v>
      </c>
      <c r="CA3" s="92">
        <f>CA70</f>
        <v>27164620.359985679</v>
      </c>
      <c r="CB3" s="112"/>
      <c r="CC3" s="6">
        <f>CC70</f>
        <v>3823148.96953288</v>
      </c>
      <c r="CD3" s="6">
        <f>CD70</f>
        <v>3239956.7538414239</v>
      </c>
      <c r="CE3" s="6"/>
      <c r="CF3" s="92"/>
      <c r="CG3" s="92">
        <f>CG70</f>
        <v>7760531.633815825</v>
      </c>
      <c r="CH3" s="92">
        <f>CH70</f>
        <v>9157427.3279026709</v>
      </c>
      <c r="CI3" s="112"/>
      <c r="CJ3" s="6">
        <f>CJ70</f>
        <v>30012692.300000001</v>
      </c>
      <c r="CK3" s="6">
        <f>CK70</f>
        <v>25434485</v>
      </c>
      <c r="CL3" s="6"/>
      <c r="CM3" s="92"/>
      <c r="CN3" s="92">
        <f>CN70</f>
        <v>4211856.1296254424</v>
      </c>
      <c r="CO3" s="92">
        <f>CO70</f>
        <v>4969990.2329580216</v>
      </c>
      <c r="CP3" s="112"/>
      <c r="CQ3" s="6">
        <f>CQ70</f>
        <v>30012692.300000001</v>
      </c>
      <c r="CR3" s="6">
        <f>CR70</f>
        <v>25434485</v>
      </c>
      <c r="CS3" s="6"/>
      <c r="CT3" s="92"/>
      <c r="CU3" s="92">
        <f>CU70</f>
        <v>3978599.0770966969</v>
      </c>
      <c r="CV3" s="92">
        <f>CV70</f>
        <v>4694746.9109741021</v>
      </c>
      <c r="CW3" s="112"/>
      <c r="CX3" s="6">
        <f>CX70</f>
        <v>8889212.5399999991</v>
      </c>
      <c r="CY3" s="6">
        <f>CY70</f>
        <v>7533230.9661016949</v>
      </c>
      <c r="CZ3" s="6"/>
      <c r="DA3" s="206"/>
      <c r="DB3" s="206">
        <f>DB70</f>
        <v>2370889.4039999996</v>
      </c>
      <c r="DC3" s="206">
        <f>DC70</f>
        <v>2797649.4967199997</v>
      </c>
      <c r="DD3" s="112"/>
      <c r="DE3" s="6">
        <f>DE70</f>
        <v>6190592.9359999998</v>
      </c>
      <c r="DF3" s="6">
        <f>DF70</f>
        <v>5246265.2</v>
      </c>
      <c r="DG3" s="6"/>
      <c r="DH3" s="69"/>
      <c r="DI3" s="69">
        <f>DI70</f>
        <v>2958905.8189706225</v>
      </c>
      <c r="DJ3" s="69">
        <f>DJ70</f>
        <v>3491508.8663853346</v>
      </c>
      <c r="DK3" s="112"/>
      <c r="DL3" s="6">
        <f>DL70</f>
        <v>3823148.96953288</v>
      </c>
      <c r="DM3" s="6">
        <f>DM70</f>
        <v>3239956.7538414239</v>
      </c>
      <c r="DN3" s="6"/>
      <c r="DO3" s="92"/>
      <c r="DP3" s="92">
        <f>DP70</f>
        <v>13965881.229086032</v>
      </c>
      <c r="DQ3" s="92">
        <f>DQ70</f>
        <v>16479739.850321518</v>
      </c>
      <c r="DR3" s="112"/>
      <c r="DS3" s="6">
        <f>DS70</f>
        <v>39536000.369600005</v>
      </c>
      <c r="DT3" s="6">
        <f>DT70</f>
        <v>35258231.312456138</v>
      </c>
      <c r="DU3" s="6"/>
      <c r="DV3" s="69"/>
      <c r="DW3" s="69">
        <f>DW70</f>
        <v>10591415.01862848</v>
      </c>
      <c r="DX3" s="69">
        <f>DX70</f>
        <v>12497869.721981606</v>
      </c>
      <c r="DY3" s="112"/>
      <c r="DZ3" s="6">
        <f>DZ70</f>
        <v>30012692.300000001</v>
      </c>
      <c r="EA3" s="6">
        <f>EA70</f>
        <v>25434485</v>
      </c>
      <c r="EB3" s="6"/>
      <c r="EC3" s="92"/>
      <c r="ED3" s="92">
        <f>ED70</f>
        <v>4402073.4547768245</v>
      </c>
      <c r="EE3" s="92">
        <f>EE70</f>
        <v>5194446.6766366521</v>
      </c>
      <c r="EF3" s="112"/>
      <c r="EG3" s="6">
        <f>EG70</f>
        <v>8889212.5399999991</v>
      </c>
      <c r="EH3" s="6">
        <f>EH70</f>
        <v>7533230.9661016949</v>
      </c>
      <c r="EI3" s="6"/>
      <c r="EJ3" s="206"/>
      <c r="EK3" s="206">
        <f>EK70</f>
        <v>2720568.7080000001</v>
      </c>
      <c r="EL3" s="206">
        <f>EL70</f>
        <v>3210271.0754399998</v>
      </c>
      <c r="EM3" s="112"/>
      <c r="EN3" s="6">
        <f>EN70</f>
        <v>14865003.5</v>
      </c>
      <c r="EO3" s="6">
        <f>EO70</f>
        <v>12597460.593220338</v>
      </c>
      <c r="EP3" s="6"/>
      <c r="EQ3" s="69"/>
      <c r="ER3" s="69">
        <f>ER70</f>
        <v>5502889.0635238616</v>
      </c>
      <c r="ES3" s="69">
        <f>ES70</f>
        <v>6493409.0949581563</v>
      </c>
      <c r="ET3" s="112"/>
      <c r="EU3" s="6">
        <f>EU70</f>
        <v>30012692.300000001</v>
      </c>
      <c r="EV3" s="6">
        <f>EV70</f>
        <v>25434485</v>
      </c>
      <c r="EW3" s="6"/>
      <c r="EX3" s="92"/>
      <c r="EY3" s="92">
        <f>EY70</f>
        <v>33712728.221791662</v>
      </c>
      <c r="EZ3" s="92">
        <f>EZ70</f>
        <v>39781019.301714152</v>
      </c>
      <c r="FA3" s="112"/>
      <c r="FB3" s="6">
        <f>FB70</f>
        <v>35652761.449999996</v>
      </c>
      <c r="FC3" s="6">
        <f>FC70</f>
        <v>30214204.618644066</v>
      </c>
      <c r="FD3" s="6"/>
      <c r="FE3" s="92"/>
      <c r="FF3" s="92">
        <f>FF70</f>
        <v>37223333.127531953</v>
      </c>
      <c r="FG3" s="92">
        <f>FG70</f>
        <v>43923533.090487719</v>
      </c>
      <c r="FH3" s="112"/>
      <c r="FI3" s="6">
        <f>FI70</f>
        <v>21483087.552000001</v>
      </c>
      <c r="FJ3" s="6">
        <f>FJ70</f>
        <v>18206006.399999999</v>
      </c>
      <c r="FK3" s="6"/>
      <c r="FL3" s="92"/>
      <c r="FM3" s="92">
        <f>FM70</f>
        <v>26335404.060760744</v>
      </c>
      <c r="FN3" s="92">
        <f>FN70</f>
        <v>31075776.791697677</v>
      </c>
      <c r="FO3" s="112"/>
      <c r="FP3" s="6">
        <f>FP70</f>
        <v>1504266</v>
      </c>
      <c r="FQ3" s="6">
        <f>FQ70</f>
        <v>1274801.6949152544</v>
      </c>
      <c r="FR3" s="6"/>
      <c r="FS3" s="92"/>
      <c r="FT3" s="92">
        <f>FT70</f>
        <v>19617794.998941418</v>
      </c>
      <c r="FU3" s="92">
        <f>FU70</f>
        <v>23148998.098750874</v>
      </c>
      <c r="FV3" s="112"/>
      <c r="FW3" s="6">
        <f>FW70</f>
        <v>3823148.96953288</v>
      </c>
      <c r="FX3" s="6">
        <f>FX70</f>
        <v>3239956.7538414239</v>
      </c>
      <c r="FY3" s="6"/>
      <c r="FZ3" s="92"/>
      <c r="GA3" s="92">
        <f>GA70</f>
        <v>4342560.6670272117</v>
      </c>
      <c r="GB3" s="92">
        <f>GB70</f>
        <v>5124221.58709211</v>
      </c>
      <c r="GC3" s="112"/>
      <c r="GD3" s="6">
        <f>GD70</f>
        <v>1352015</v>
      </c>
      <c r="GE3" s="6">
        <f>GE70</f>
        <v>1145775.4237288137</v>
      </c>
      <c r="GF3" s="6"/>
      <c r="GG3" s="69"/>
      <c r="GH3" s="69">
        <f>GH70</f>
        <v>7607079.8038983038</v>
      </c>
      <c r="GI3" s="69">
        <f>GI70</f>
        <v>8976354.1685999967</v>
      </c>
      <c r="GJ3" s="112"/>
      <c r="GK3" s="6">
        <f>GK70</f>
        <v>4287742.3999999994</v>
      </c>
      <c r="GL3" s="6">
        <f>GL70</f>
        <v>3633680</v>
      </c>
      <c r="GM3" s="6"/>
      <c r="GN3" s="69"/>
      <c r="GO3" s="69">
        <f>GO70</f>
        <v>4512477.4272713754</v>
      </c>
      <c r="GP3" s="69">
        <f>GP70</f>
        <v>5324723.3641802222</v>
      </c>
      <c r="GQ3" s="112"/>
      <c r="GR3" s="6">
        <f>GR70</f>
        <v>3823148.96953288</v>
      </c>
      <c r="GS3" s="6">
        <f>GS70</f>
        <v>3239956.7538414239</v>
      </c>
      <c r="GT3" s="6"/>
      <c r="GU3" s="92"/>
      <c r="GV3" s="92">
        <f>GV70</f>
        <v>9640849.521300694</v>
      </c>
      <c r="GW3" s="92">
        <f>GW70</f>
        <v>11376202.435134817</v>
      </c>
      <c r="GX3" s="112"/>
      <c r="GY3" s="6">
        <f>GY70</f>
        <v>6190592.9359999998</v>
      </c>
      <c r="GZ3" s="6">
        <f>GZ70</f>
        <v>5246265.2</v>
      </c>
      <c r="HA3" s="6"/>
      <c r="HB3" s="69"/>
      <c r="HC3" s="69">
        <f>HC70</f>
        <v>4364414.1111787539</v>
      </c>
      <c r="HD3" s="69">
        <f>HD70</f>
        <v>5150008.6511909291</v>
      </c>
      <c r="HE3" s="112"/>
      <c r="HF3" s="6">
        <f>HF70</f>
        <v>8889212.5399999991</v>
      </c>
      <c r="HG3" s="6">
        <f>HG70</f>
        <v>7533230.9661016949</v>
      </c>
      <c r="HH3" s="6"/>
      <c r="HI3" s="206"/>
      <c r="HJ3" s="206">
        <f>HJ70</f>
        <v>3642160.86</v>
      </c>
      <c r="HK3" s="206">
        <f>HK70</f>
        <v>4297749.8147999998</v>
      </c>
      <c r="HL3" s="112"/>
      <c r="HM3" s="6">
        <f>HM70</f>
        <v>3823148.96953288</v>
      </c>
      <c r="HN3" s="6">
        <f>HN70</f>
        <v>3239956.7538414239</v>
      </c>
      <c r="HO3" s="6"/>
      <c r="HP3" s="92"/>
      <c r="HQ3" s="92">
        <f>HQ70</f>
        <v>17646101.709959619</v>
      </c>
      <c r="HR3" s="92">
        <f>HR70</f>
        <v>20822400.017752346</v>
      </c>
      <c r="HS3" s="197"/>
      <c r="HT3" s="311"/>
      <c r="HU3" s="305"/>
      <c r="HV3" s="312"/>
    </row>
    <row r="4" spans="1:230" ht="15.75" thickBot="1">
      <c r="A4" s="770" t="s">
        <v>2</v>
      </c>
      <c r="B4" s="771"/>
      <c r="C4" s="113"/>
      <c r="D4" s="8">
        <f>D3/D2</f>
        <v>11564.005721674481</v>
      </c>
      <c r="E4" s="8">
        <f>E3/E2</f>
        <v>9800.0048488766788</v>
      </c>
      <c r="F4" s="8"/>
      <c r="G4" s="70"/>
      <c r="H4" s="70">
        <f>H3/H2</f>
        <v>11515.023774530991</v>
      </c>
      <c r="I4" s="70">
        <f>I3/I2</f>
        <v>13587.72805394657</v>
      </c>
      <c r="J4" s="113"/>
      <c r="K4" s="8">
        <f>K3/K2</f>
        <v>29614.875371428574</v>
      </c>
      <c r="L4" s="8">
        <f>L3/L2</f>
        <v>25097.352009685226</v>
      </c>
      <c r="M4" s="8"/>
      <c r="N4" s="70"/>
      <c r="O4" s="70">
        <f>O3/O2</f>
        <v>22666.244355644794</v>
      </c>
      <c r="P4" s="70">
        <f>P3/P2</f>
        <v>26746.168339660853</v>
      </c>
      <c r="Q4" s="113"/>
      <c r="R4" s="8">
        <f>R3/R2</f>
        <v>16737.950571428573</v>
      </c>
      <c r="S4" s="8">
        <f>S3/S2</f>
        <v>14184.703874092011</v>
      </c>
      <c r="T4" s="8"/>
      <c r="U4" s="70"/>
      <c r="V4" s="70">
        <f>V3/V2</f>
        <v>19849.727648623004</v>
      </c>
      <c r="W4" s="70">
        <f>W3/W2</f>
        <v>23422.678625375142</v>
      </c>
      <c r="X4" s="113"/>
      <c r="Y4" s="8">
        <f>Y3/Y2</f>
        <v>16737.950571428573</v>
      </c>
      <c r="Z4" s="8">
        <f>Z3/Z2</f>
        <v>14184.703874092011</v>
      </c>
      <c r="AA4" s="8"/>
      <c r="AB4" s="70"/>
      <c r="AC4" s="70">
        <f>AC3/AC2</f>
        <v>19849.727648623004</v>
      </c>
      <c r="AD4" s="70">
        <f>AD3/AD2</f>
        <v>23422.678625375142</v>
      </c>
      <c r="AE4" s="113"/>
      <c r="AF4" s="8">
        <f>AF3/AF2</f>
        <v>25318.867347899868</v>
      </c>
      <c r="AG4" s="8">
        <f>AG3/AG2</f>
        <v>21456.667243982938</v>
      </c>
      <c r="AH4" s="8"/>
      <c r="AI4" s="93"/>
      <c r="AJ4" s="93">
        <f>AJ3/AJ2</f>
        <v>20596.932144645194</v>
      </c>
      <c r="AK4" s="93">
        <f>AK3/AK2</f>
        <v>24304.379930681331</v>
      </c>
      <c r="AL4" s="113"/>
      <c r="AM4" s="8">
        <f>AM3/AM2</f>
        <v>16216.765529091381</v>
      </c>
      <c r="AN4" s="8">
        <f>AN3/AN2</f>
        <v>13743.021634823204</v>
      </c>
      <c r="AO4" s="8"/>
      <c r="AP4" s="93"/>
      <c r="AQ4" s="93">
        <f>AQ3/AQ2</f>
        <v>14040.208027146189</v>
      </c>
      <c r="AR4" s="93">
        <f>AR3/AR2</f>
        <v>16567.445472032505</v>
      </c>
      <c r="AS4" s="113"/>
      <c r="AT4" s="283">
        <f>AT3/AT2</f>
        <v>19768.014604880562</v>
      </c>
      <c r="AU4" s="283">
        <f>AU3/AU2</f>
        <v>16752.55474989878</v>
      </c>
      <c r="AV4" s="283"/>
      <c r="AW4" s="93"/>
      <c r="AX4" s="93">
        <f>AX3/AX2</f>
        <v>17522.554749898783</v>
      </c>
      <c r="AY4" s="93">
        <f>AY3/AY2</f>
        <v>20676.614604880564</v>
      </c>
      <c r="AZ4" s="113"/>
      <c r="BA4" s="283"/>
      <c r="BB4" s="283"/>
      <c r="BC4" s="283"/>
      <c r="BD4" s="93"/>
      <c r="BE4" s="93">
        <f>BE3/BE2</f>
        <v>34160</v>
      </c>
      <c r="BF4" s="93">
        <f>BF3/BF2</f>
        <v>40308.799999999996</v>
      </c>
      <c r="BG4" s="113"/>
      <c r="BH4" s="8">
        <f>BH3/BH2</f>
        <v>1367.57116</v>
      </c>
      <c r="BI4" s="8">
        <f>BI3/BI2</f>
        <v>1158.9586101694915</v>
      </c>
      <c r="BJ4" s="8"/>
      <c r="BK4" s="207"/>
      <c r="BL4" s="207">
        <f>BL3/BL2</f>
        <v>3700.0000000000005</v>
      </c>
      <c r="BM4" s="207">
        <f>BM3/BM2</f>
        <v>4366</v>
      </c>
      <c r="BN4" s="113"/>
      <c r="BO4" s="8">
        <f>BO3/BO2</f>
        <v>1367.57116</v>
      </c>
      <c r="BP4" s="8">
        <f>BP3/BP2</f>
        <v>1158.9586101694915</v>
      </c>
      <c r="BQ4" s="8"/>
      <c r="BR4" s="207"/>
      <c r="BS4" s="207">
        <f>BS3/BS2</f>
        <v>3700</v>
      </c>
      <c r="BT4" s="207">
        <f>BT3/BT2</f>
        <v>4366</v>
      </c>
      <c r="BU4" s="113"/>
      <c r="BV4" s="8">
        <f>BV3/BV2</f>
        <v>7922.8358777777767</v>
      </c>
      <c r="BW4" s="8">
        <f>BW3/BW2</f>
        <v>6714.2676930320149</v>
      </c>
      <c r="BX4" s="8"/>
      <c r="BY4" s="93"/>
      <c r="BZ4" s="93">
        <f>BZ3/BZ2</f>
        <v>7200.9781676082866</v>
      </c>
      <c r="CA4" s="93">
        <f>CA3/CA2</f>
        <v>8497.1542377777787</v>
      </c>
      <c r="CB4" s="113"/>
      <c r="CC4" s="8">
        <f>CC3/CC2</f>
        <v>25318.867347899868</v>
      </c>
      <c r="CD4" s="8">
        <f>CD3/CD2</f>
        <v>21456.667243982938</v>
      </c>
      <c r="CE4" s="8"/>
      <c r="CF4" s="93"/>
      <c r="CG4" s="93">
        <f>CG3/CG2</f>
        <v>23638.392802407008</v>
      </c>
      <c r="CH4" s="93">
        <f>CH3/CH2</f>
        <v>27893.303506840264</v>
      </c>
      <c r="CI4" s="113"/>
      <c r="CJ4" s="8">
        <f>CJ3/CJ2</f>
        <v>16216.765529091381</v>
      </c>
      <c r="CK4" s="8">
        <f>CK3/CK2</f>
        <v>13743.021634823204</v>
      </c>
      <c r="CL4" s="8"/>
      <c r="CM4" s="93"/>
      <c r="CN4" s="93">
        <f>CN3/CN2</f>
        <v>12829.21252269387</v>
      </c>
      <c r="CO4" s="93">
        <f>CO3/CO2</f>
        <v>15138.470776778766</v>
      </c>
      <c r="CP4" s="113"/>
      <c r="CQ4" s="8">
        <f>CQ3/CQ2</f>
        <v>16216.765529091381</v>
      </c>
      <c r="CR4" s="8">
        <f>CR3/CR2</f>
        <v>13743.021634823204</v>
      </c>
      <c r="CS4" s="8"/>
      <c r="CT4" s="93"/>
      <c r="CU4" s="93">
        <f>CU3/CU2</f>
        <v>12118.717147920808</v>
      </c>
      <c r="CV4" s="93">
        <f>CV3/CV2</f>
        <v>14300.086234546554</v>
      </c>
      <c r="CW4" s="113"/>
      <c r="CX4" s="8">
        <f>CX3/CX2</f>
        <v>1367.57116</v>
      </c>
      <c r="CY4" s="8">
        <f>CY3/CY2</f>
        <v>1158.9586101694915</v>
      </c>
      <c r="CZ4" s="8"/>
      <c r="DA4" s="207"/>
      <c r="DB4" s="207">
        <f>DB3/DB2</f>
        <v>3700</v>
      </c>
      <c r="DC4" s="207">
        <f>DC3/DC2</f>
        <v>4366</v>
      </c>
      <c r="DD4" s="113"/>
      <c r="DE4" s="8">
        <f>DE3/DE2</f>
        <v>6323.384</v>
      </c>
      <c r="DF4" s="8">
        <f>DF3/DF2</f>
        <v>5358.8</v>
      </c>
      <c r="DG4" s="8"/>
      <c r="DH4" s="70"/>
      <c r="DI4" s="70">
        <f>DI3/DI2</f>
        <v>7789.4320735444326</v>
      </c>
      <c r="DJ4" s="70">
        <f>DJ3/DJ2</f>
        <v>9191.5298467824305</v>
      </c>
      <c r="DK4" s="113"/>
      <c r="DL4" s="8">
        <f>DL3/DL2</f>
        <v>25318.867347899868</v>
      </c>
      <c r="DM4" s="8">
        <f>DM3/DM2</f>
        <v>21456.667243982938</v>
      </c>
      <c r="DN4" s="8"/>
      <c r="DO4" s="93"/>
      <c r="DP4" s="93">
        <f>DP3/DP2</f>
        <v>21148.525252738131</v>
      </c>
      <c r="DQ4" s="93">
        <f>DQ3/DQ2</f>
        <v>24955.259798230993</v>
      </c>
      <c r="DR4" s="113"/>
      <c r="DS4" s="271">
        <f>DS3/DS2</f>
        <v>14997.344802973981</v>
      </c>
      <c r="DT4" s="8">
        <f>DT3/DT2</f>
        <v>13374.642027333337</v>
      </c>
      <c r="DU4" s="8"/>
      <c r="DV4" s="70"/>
      <c r="DW4" s="272">
        <f>DW3/DW2</f>
        <v>13790.700266465423</v>
      </c>
      <c r="DX4" s="70">
        <f>DX3/DX2</f>
        <v>16273.026314429197</v>
      </c>
      <c r="DY4" s="113"/>
      <c r="DZ4" s="8">
        <f>DZ3/DZ2</f>
        <v>16216.765529091381</v>
      </c>
      <c r="EA4" s="8">
        <f>EA3/EA2</f>
        <v>13743.021634823204</v>
      </c>
      <c r="EB4" s="8"/>
      <c r="EC4" s="93"/>
      <c r="ED4" s="93">
        <f>ED3/ED2</f>
        <v>12394.684122935942</v>
      </c>
      <c r="EE4" s="93">
        <f>EE3/EE2</f>
        <v>14625.727265064408</v>
      </c>
      <c r="EF4" s="113"/>
      <c r="EG4" s="8">
        <f>EG3/EG2</f>
        <v>1367.57116</v>
      </c>
      <c r="EH4" s="8">
        <f>EH3/EH2</f>
        <v>1158.9586101694915</v>
      </c>
      <c r="EI4" s="8"/>
      <c r="EJ4" s="207"/>
      <c r="EK4" s="207">
        <f>EK3/EK2</f>
        <v>3700.0000000000005</v>
      </c>
      <c r="EL4" s="207">
        <f>EL3/EL2</f>
        <v>4366</v>
      </c>
      <c r="EM4" s="113"/>
      <c r="EN4" s="8">
        <f>EN3/EN2</f>
        <v>23819.067267017046</v>
      </c>
      <c r="EO4" s="8">
        <f>EO3/EO2</f>
        <v>20185.650226285634</v>
      </c>
      <c r="EP4" s="8"/>
      <c r="EQ4" s="70"/>
      <c r="ER4" s="272">
        <f>ER3/ER2</f>
        <v>15494.192090757595</v>
      </c>
      <c r="ES4" s="70">
        <f>ES3/ES2</f>
        <v>18283.146667093963</v>
      </c>
      <c r="ET4" s="113"/>
      <c r="EU4" s="8">
        <f>EU3/EU2</f>
        <v>16216.765529091381</v>
      </c>
      <c r="EV4" s="8">
        <f>EV3/EV2</f>
        <v>13743.021634823204</v>
      </c>
      <c r="EW4" s="8"/>
      <c r="EX4" s="93"/>
      <c r="EY4" s="93">
        <f>EY3/EY2</f>
        <v>13908.823484913981</v>
      </c>
      <c r="EZ4" s="93">
        <f>EZ3/EZ2</f>
        <v>16412.411712198493</v>
      </c>
      <c r="FA4" s="113"/>
      <c r="FB4" s="8">
        <f>FB3/FB2</f>
        <v>7922.8358777777767</v>
      </c>
      <c r="FC4" s="8">
        <f>FC3/FC2</f>
        <v>6714.2676930320149</v>
      </c>
      <c r="FD4" s="8"/>
      <c r="FE4" s="93"/>
      <c r="FF4" s="93">
        <f>FF3/FF2</f>
        <v>7149.9235536723154</v>
      </c>
      <c r="FG4" s="93">
        <f>FG3/FG2</f>
        <v>8436.9097933333342</v>
      </c>
      <c r="FH4" s="113"/>
      <c r="FI4" s="283">
        <f>FI3/FI2</f>
        <v>19768.014604880562</v>
      </c>
      <c r="FJ4" s="283">
        <f>FJ3/FJ2</f>
        <v>16752.55474989878</v>
      </c>
      <c r="FK4" s="283"/>
      <c r="FL4" s="93"/>
      <c r="FM4" s="93">
        <f>FM3/FM2</f>
        <v>18100.978320880415</v>
      </c>
      <c r="FN4" s="93">
        <f>FN3/FN2</f>
        <v>21359.154418638889</v>
      </c>
      <c r="FO4" s="113"/>
      <c r="FP4" s="8">
        <f>FP3/FP2</f>
        <v>10028.44</v>
      </c>
      <c r="FQ4" s="8">
        <f>FQ3/FQ2</f>
        <v>8498.6779661016953</v>
      </c>
      <c r="FR4" s="8"/>
      <c r="FS4" s="93"/>
      <c r="FT4" s="93">
        <f>FT3/FT2</f>
        <v>13483.798507895652</v>
      </c>
      <c r="FU4" s="93">
        <f>FU3/FU2</f>
        <v>15910.88223931687</v>
      </c>
      <c r="FV4" s="113"/>
      <c r="FW4" s="8">
        <f>FW3/FW2</f>
        <v>25318.867347899868</v>
      </c>
      <c r="FX4" s="8">
        <f>FX3/FX2</f>
        <v>21456.667243982938</v>
      </c>
      <c r="FY4" s="8"/>
      <c r="FZ4" s="93"/>
      <c r="GA4" s="93">
        <f>GA3/GA2</f>
        <v>23053.355985704795</v>
      </c>
      <c r="GB4" s="93">
        <f>GB3/GB2</f>
        <v>27202.960063131661</v>
      </c>
      <c r="GC4" s="113"/>
      <c r="GD4" s="8">
        <f>GD3/GD2</f>
        <v>19314.5</v>
      </c>
      <c r="GE4" s="8">
        <f>GE3/GE2</f>
        <v>16368.220338983052</v>
      </c>
      <c r="GF4" s="8"/>
      <c r="GG4" s="70"/>
      <c r="GH4" s="272">
        <f>GH3/GH2</f>
        <v>20603.934624697336</v>
      </c>
      <c r="GI4" s="70">
        <f>GI3/GI2</f>
        <v>24312.642857142851</v>
      </c>
      <c r="GJ4" s="113"/>
      <c r="GK4" s="8">
        <f>GK3/GK2</f>
        <v>17029.447462904711</v>
      </c>
      <c r="GL4" s="8">
        <f>GL3/GL2</f>
        <v>14431.735138054841</v>
      </c>
      <c r="GM4" s="8"/>
      <c r="GN4" s="70"/>
      <c r="GO4" s="272">
        <f>GO3/GO2</f>
        <v>16025.205731897184</v>
      </c>
      <c r="GP4" s="70">
        <f>GP3/GP2</f>
        <v>18909.742763638675</v>
      </c>
      <c r="GQ4" s="113"/>
      <c r="GR4" s="8">
        <f>GR3/GR2</f>
        <v>25318.867347899868</v>
      </c>
      <c r="GS4" s="8">
        <f>GS3/GS2</f>
        <v>21456.667243982938</v>
      </c>
      <c r="GT4" s="8"/>
      <c r="GU4" s="93"/>
      <c r="GV4" s="93">
        <f>GV3/GV2</f>
        <v>21968.525252738131</v>
      </c>
      <c r="GW4" s="93">
        <f>GW3/GW2</f>
        <v>25922.859798230991</v>
      </c>
      <c r="GX4" s="113"/>
      <c r="GY4" s="8">
        <f>GY3/GY2</f>
        <v>6323.384</v>
      </c>
      <c r="GZ4" s="8">
        <f>GZ3/GZ2</f>
        <v>5358.8</v>
      </c>
      <c r="HA4" s="8"/>
      <c r="HB4" s="70"/>
      <c r="HC4" s="70">
        <f>HC3/HC2</f>
        <v>6461.577119509705</v>
      </c>
      <c r="HD4" s="70">
        <f>HD3/HD2</f>
        <v>7624.6610010214508</v>
      </c>
      <c r="HE4" s="113"/>
      <c r="HF4" s="8">
        <f>HF3/HF2</f>
        <v>1367.57116</v>
      </c>
      <c r="HG4" s="8">
        <f>HG3/HG2</f>
        <v>1158.9586101694915</v>
      </c>
      <c r="HH4" s="8"/>
      <c r="HI4" s="207"/>
      <c r="HJ4" s="207">
        <f>HJ3/HJ2</f>
        <v>3700</v>
      </c>
      <c r="HK4" s="207">
        <f>HK3/HK2</f>
        <v>4366</v>
      </c>
      <c r="HL4" s="113"/>
      <c r="HM4" s="8">
        <f>HM3/HM2</f>
        <v>25318.867347899868</v>
      </c>
      <c r="HN4" s="8">
        <f>HN3/HN2</f>
        <v>21456.667243982938</v>
      </c>
      <c r="HO4" s="8"/>
      <c r="HP4" s="93"/>
      <c r="HQ4" s="93">
        <f>HQ3/HQ2</f>
        <v>22028.525252738131</v>
      </c>
      <c r="HR4" s="93">
        <f>HR3/HR2</f>
        <v>25993.65979823099</v>
      </c>
      <c r="HS4" s="198"/>
      <c r="HT4" s="313"/>
      <c r="HU4" s="306"/>
      <c r="HV4" s="314"/>
    </row>
    <row r="5" spans="1:230" ht="15">
      <c r="A5" s="85" t="s">
        <v>3</v>
      </c>
      <c r="B5" s="86"/>
      <c r="C5" s="114"/>
      <c r="D5" s="767" t="s">
        <v>64</v>
      </c>
      <c r="E5" s="767"/>
      <c r="F5" s="767"/>
      <c r="G5" s="763" t="s">
        <v>65</v>
      </c>
      <c r="H5" s="764"/>
      <c r="I5" s="765"/>
      <c r="J5" s="114"/>
      <c r="K5" s="767" t="s">
        <v>64</v>
      </c>
      <c r="L5" s="767"/>
      <c r="M5" s="767"/>
      <c r="N5" s="763" t="s">
        <v>65</v>
      </c>
      <c r="O5" s="764"/>
      <c r="P5" s="765"/>
      <c r="Q5" s="114"/>
      <c r="R5" s="767" t="s">
        <v>64</v>
      </c>
      <c r="S5" s="767"/>
      <c r="T5" s="767"/>
      <c r="U5" s="763" t="s">
        <v>65</v>
      </c>
      <c r="V5" s="764"/>
      <c r="W5" s="765"/>
      <c r="X5" s="114"/>
      <c r="Y5" s="767" t="s">
        <v>64</v>
      </c>
      <c r="Z5" s="767"/>
      <c r="AA5" s="767"/>
      <c r="AB5" s="763" t="s">
        <v>65</v>
      </c>
      <c r="AC5" s="764"/>
      <c r="AD5" s="765"/>
      <c r="AE5" s="114"/>
      <c r="AF5" s="767" t="s">
        <v>64</v>
      </c>
      <c r="AG5" s="767"/>
      <c r="AH5" s="767"/>
      <c r="AI5" s="763" t="s">
        <v>65</v>
      </c>
      <c r="AJ5" s="764"/>
      <c r="AK5" s="765"/>
      <c r="AL5" s="114"/>
      <c r="AM5" s="767" t="s">
        <v>64</v>
      </c>
      <c r="AN5" s="767"/>
      <c r="AO5" s="767"/>
      <c r="AP5" s="763" t="s">
        <v>65</v>
      </c>
      <c r="AQ5" s="764"/>
      <c r="AR5" s="765"/>
      <c r="AS5" s="114"/>
      <c r="AT5" s="773" t="s">
        <v>64</v>
      </c>
      <c r="AU5" s="773"/>
      <c r="AV5" s="773"/>
      <c r="AW5" s="763" t="s">
        <v>65</v>
      </c>
      <c r="AX5" s="764"/>
      <c r="AY5" s="765"/>
      <c r="AZ5" s="114"/>
      <c r="BA5" s="773" t="s">
        <v>64</v>
      </c>
      <c r="BB5" s="773"/>
      <c r="BC5" s="773"/>
      <c r="BD5" s="763" t="s">
        <v>65</v>
      </c>
      <c r="BE5" s="764"/>
      <c r="BF5" s="765"/>
      <c r="BG5" s="114"/>
      <c r="BH5" s="767" t="s">
        <v>64</v>
      </c>
      <c r="BI5" s="767"/>
      <c r="BJ5" s="767"/>
      <c r="BK5" s="763" t="s">
        <v>65</v>
      </c>
      <c r="BL5" s="764"/>
      <c r="BM5" s="765"/>
      <c r="BN5" s="114"/>
      <c r="BO5" s="767" t="s">
        <v>64</v>
      </c>
      <c r="BP5" s="767"/>
      <c r="BQ5" s="767"/>
      <c r="BR5" s="763" t="s">
        <v>65</v>
      </c>
      <c r="BS5" s="764"/>
      <c r="BT5" s="765"/>
      <c r="BU5" s="114"/>
      <c r="BV5" s="767" t="s">
        <v>64</v>
      </c>
      <c r="BW5" s="767"/>
      <c r="BX5" s="767"/>
      <c r="BY5" s="763" t="s">
        <v>65</v>
      </c>
      <c r="BZ5" s="764"/>
      <c r="CA5" s="765"/>
      <c r="CB5" s="114"/>
      <c r="CC5" s="767" t="s">
        <v>64</v>
      </c>
      <c r="CD5" s="767"/>
      <c r="CE5" s="767"/>
      <c r="CF5" s="763" t="s">
        <v>65</v>
      </c>
      <c r="CG5" s="764"/>
      <c r="CH5" s="765"/>
      <c r="CI5" s="114"/>
      <c r="CJ5" s="767" t="s">
        <v>64</v>
      </c>
      <c r="CK5" s="767"/>
      <c r="CL5" s="767"/>
      <c r="CM5" s="763" t="s">
        <v>65</v>
      </c>
      <c r="CN5" s="764"/>
      <c r="CO5" s="765"/>
      <c r="CP5" s="114"/>
      <c r="CQ5" s="767" t="s">
        <v>64</v>
      </c>
      <c r="CR5" s="767"/>
      <c r="CS5" s="767"/>
      <c r="CT5" s="763" t="s">
        <v>65</v>
      </c>
      <c r="CU5" s="764"/>
      <c r="CV5" s="765"/>
      <c r="CW5" s="114"/>
      <c r="CX5" s="767" t="s">
        <v>64</v>
      </c>
      <c r="CY5" s="767"/>
      <c r="CZ5" s="767"/>
      <c r="DA5" s="763" t="s">
        <v>65</v>
      </c>
      <c r="DB5" s="764"/>
      <c r="DC5" s="765"/>
      <c r="DD5" s="114"/>
      <c r="DE5" s="767" t="s">
        <v>64</v>
      </c>
      <c r="DF5" s="767"/>
      <c r="DG5" s="767"/>
      <c r="DH5" s="763" t="s">
        <v>65</v>
      </c>
      <c r="DI5" s="764"/>
      <c r="DJ5" s="765"/>
      <c r="DK5" s="114"/>
      <c r="DL5" s="767" t="s">
        <v>64</v>
      </c>
      <c r="DM5" s="767"/>
      <c r="DN5" s="767"/>
      <c r="DO5" s="763" t="s">
        <v>65</v>
      </c>
      <c r="DP5" s="764"/>
      <c r="DQ5" s="765"/>
      <c r="DR5" s="114"/>
      <c r="DS5" s="767" t="s">
        <v>64</v>
      </c>
      <c r="DT5" s="767"/>
      <c r="DU5" s="767"/>
      <c r="DV5" s="763" t="s">
        <v>65</v>
      </c>
      <c r="DW5" s="764"/>
      <c r="DX5" s="765"/>
      <c r="DY5" s="114"/>
      <c r="DZ5" s="767" t="s">
        <v>64</v>
      </c>
      <c r="EA5" s="767"/>
      <c r="EB5" s="767"/>
      <c r="EC5" s="763" t="s">
        <v>65</v>
      </c>
      <c r="ED5" s="764"/>
      <c r="EE5" s="765"/>
      <c r="EF5" s="114"/>
      <c r="EG5" s="767" t="s">
        <v>64</v>
      </c>
      <c r="EH5" s="767"/>
      <c r="EI5" s="767"/>
      <c r="EJ5" s="763" t="s">
        <v>65</v>
      </c>
      <c r="EK5" s="764"/>
      <c r="EL5" s="765"/>
      <c r="EM5" s="114"/>
      <c r="EN5" s="767" t="s">
        <v>64</v>
      </c>
      <c r="EO5" s="767"/>
      <c r="EP5" s="767"/>
      <c r="EQ5" s="763" t="s">
        <v>65</v>
      </c>
      <c r="ER5" s="764"/>
      <c r="ES5" s="765"/>
      <c r="ET5" s="114"/>
      <c r="EU5" s="767" t="s">
        <v>64</v>
      </c>
      <c r="EV5" s="767"/>
      <c r="EW5" s="767"/>
      <c r="EX5" s="763" t="s">
        <v>65</v>
      </c>
      <c r="EY5" s="764"/>
      <c r="EZ5" s="765"/>
      <c r="FA5" s="114"/>
      <c r="FB5" s="767" t="s">
        <v>64</v>
      </c>
      <c r="FC5" s="767"/>
      <c r="FD5" s="767"/>
      <c r="FE5" s="763" t="s">
        <v>65</v>
      </c>
      <c r="FF5" s="764"/>
      <c r="FG5" s="765"/>
      <c r="FH5" s="114"/>
      <c r="FI5" s="773" t="s">
        <v>64</v>
      </c>
      <c r="FJ5" s="773"/>
      <c r="FK5" s="773"/>
      <c r="FL5" s="763" t="s">
        <v>65</v>
      </c>
      <c r="FM5" s="764"/>
      <c r="FN5" s="765"/>
      <c r="FO5" s="114"/>
      <c r="FP5" s="767" t="s">
        <v>64</v>
      </c>
      <c r="FQ5" s="767"/>
      <c r="FR5" s="767"/>
      <c r="FS5" s="763" t="s">
        <v>65</v>
      </c>
      <c r="FT5" s="764"/>
      <c r="FU5" s="765"/>
      <c r="FV5" s="114"/>
      <c r="FW5" s="767" t="s">
        <v>64</v>
      </c>
      <c r="FX5" s="767"/>
      <c r="FY5" s="767"/>
      <c r="FZ5" s="763" t="s">
        <v>65</v>
      </c>
      <c r="GA5" s="764"/>
      <c r="GB5" s="765"/>
      <c r="GC5" s="114"/>
      <c r="GD5" s="767" t="s">
        <v>64</v>
      </c>
      <c r="GE5" s="767"/>
      <c r="GF5" s="767"/>
      <c r="GG5" s="763" t="s">
        <v>65</v>
      </c>
      <c r="GH5" s="764"/>
      <c r="GI5" s="765"/>
      <c r="GJ5" s="114"/>
      <c r="GK5" s="767" t="s">
        <v>64</v>
      </c>
      <c r="GL5" s="767"/>
      <c r="GM5" s="767"/>
      <c r="GN5" s="763" t="s">
        <v>65</v>
      </c>
      <c r="GO5" s="764"/>
      <c r="GP5" s="765"/>
      <c r="GQ5" s="114"/>
      <c r="GR5" s="767" t="s">
        <v>64</v>
      </c>
      <c r="GS5" s="767"/>
      <c r="GT5" s="767"/>
      <c r="GU5" s="763" t="s">
        <v>65</v>
      </c>
      <c r="GV5" s="764"/>
      <c r="GW5" s="765"/>
      <c r="GX5" s="114"/>
      <c r="GY5" s="767" t="s">
        <v>64</v>
      </c>
      <c r="GZ5" s="767"/>
      <c r="HA5" s="767"/>
      <c r="HB5" s="763" t="s">
        <v>65</v>
      </c>
      <c r="HC5" s="764"/>
      <c r="HD5" s="765"/>
      <c r="HE5" s="114"/>
      <c r="HF5" s="767" t="s">
        <v>64</v>
      </c>
      <c r="HG5" s="767"/>
      <c r="HH5" s="767"/>
      <c r="HI5" s="763" t="s">
        <v>65</v>
      </c>
      <c r="HJ5" s="764"/>
      <c r="HK5" s="765"/>
      <c r="HL5" s="114"/>
      <c r="HM5" s="767" t="s">
        <v>64</v>
      </c>
      <c r="HN5" s="767"/>
      <c r="HO5" s="767"/>
      <c r="HP5" s="763" t="s">
        <v>65</v>
      </c>
      <c r="HQ5" s="764"/>
      <c r="HR5" s="765"/>
      <c r="HS5" s="199"/>
      <c r="HT5" s="804" t="s">
        <v>312</v>
      </c>
      <c r="HU5" s="805"/>
      <c r="HV5" s="806"/>
    </row>
    <row r="6" spans="1:230" ht="46.5" customHeight="1">
      <c r="A6" s="10"/>
      <c r="B6" s="83"/>
      <c r="C6" s="115"/>
      <c r="D6" s="757" t="s">
        <v>314</v>
      </c>
      <c r="E6" s="758"/>
      <c r="F6" s="759"/>
      <c r="G6" s="760" t="s">
        <v>271</v>
      </c>
      <c r="H6" s="761"/>
      <c r="I6" s="762"/>
      <c r="J6" s="115"/>
      <c r="K6" s="757" t="s">
        <v>223</v>
      </c>
      <c r="L6" s="758"/>
      <c r="M6" s="759"/>
      <c r="N6" s="760" t="s">
        <v>271</v>
      </c>
      <c r="O6" s="761"/>
      <c r="P6" s="762"/>
      <c r="Q6" s="115"/>
      <c r="R6" s="757" t="s">
        <v>223</v>
      </c>
      <c r="S6" s="758"/>
      <c r="T6" s="759"/>
      <c r="U6" s="760" t="s">
        <v>267</v>
      </c>
      <c r="V6" s="761"/>
      <c r="W6" s="762"/>
      <c r="X6" s="115"/>
      <c r="Y6" s="757" t="s">
        <v>223</v>
      </c>
      <c r="Z6" s="758"/>
      <c r="AA6" s="759"/>
      <c r="AB6" s="760" t="str">
        <f>+'Summary_Old outlets'!U10</f>
        <v>Sharmaji Ki Chai</v>
      </c>
      <c r="AC6" s="761"/>
      <c r="AD6" s="762"/>
      <c r="AE6" s="115"/>
      <c r="AF6" s="757" t="s">
        <v>70</v>
      </c>
      <c r="AG6" s="758"/>
      <c r="AH6" s="759"/>
      <c r="AI6" s="801" t="str">
        <f>+'Summary_Old outlets'!U11</f>
        <v xml:space="preserve">Lucknow Super Giants (Bar) Themed Sports Bar  </v>
      </c>
      <c r="AJ6" s="802"/>
      <c r="AK6" s="803"/>
      <c r="AL6" s="115"/>
      <c r="AM6" s="757" t="s">
        <v>86</v>
      </c>
      <c r="AN6" s="758"/>
      <c r="AO6" s="759"/>
      <c r="AP6" s="795" t="str">
        <f>+'Summary_Old outlets'!U12</f>
        <v>AJ Kitchen</v>
      </c>
      <c r="AQ6" s="796"/>
      <c r="AR6" s="797"/>
      <c r="AS6" s="115"/>
      <c r="AT6" s="772" t="s">
        <v>294</v>
      </c>
      <c r="AU6" s="772"/>
      <c r="AV6" s="772"/>
      <c r="AW6" s="795" t="str">
        <f>+'Summary_Old outlets'!U13</f>
        <v>Nando's</v>
      </c>
      <c r="AX6" s="796"/>
      <c r="AY6" s="797"/>
      <c r="AZ6" s="115"/>
      <c r="BA6" s="772" t="s">
        <v>295</v>
      </c>
      <c r="BB6" s="772"/>
      <c r="BC6" s="772"/>
      <c r="BD6" s="795" t="str">
        <f>+'Summary_Old outlets'!U14</f>
        <v xml:space="preserve">Wagamama </v>
      </c>
      <c r="BE6" s="796"/>
      <c r="BF6" s="797"/>
      <c r="BG6" s="115"/>
      <c r="BH6" s="757" t="s">
        <v>224</v>
      </c>
      <c r="BI6" s="758"/>
      <c r="BJ6" s="759"/>
      <c r="BK6" s="798" t="str">
        <f>+'Summary_Old outlets'!U15</f>
        <v>Seating-1</v>
      </c>
      <c r="BL6" s="799"/>
      <c r="BM6" s="800"/>
      <c r="BN6" s="115"/>
      <c r="BO6" s="757" t="s">
        <v>224</v>
      </c>
      <c r="BP6" s="758"/>
      <c r="BQ6" s="759"/>
      <c r="BR6" s="798" t="str">
        <f>+'Summary_Old outlets'!U16</f>
        <v>Seating-2</v>
      </c>
      <c r="BS6" s="799"/>
      <c r="BT6" s="800"/>
      <c r="BU6" s="115"/>
      <c r="BV6" s="757" t="s">
        <v>221</v>
      </c>
      <c r="BW6" s="758"/>
      <c r="BX6" s="759"/>
      <c r="BY6" s="795" t="str">
        <f>+'Summary_Old outlets'!U18</f>
        <v xml:space="preserve">Lounge </v>
      </c>
      <c r="BZ6" s="796"/>
      <c r="CA6" s="797"/>
      <c r="CB6" s="115"/>
      <c r="CC6" s="757" t="s">
        <v>70</v>
      </c>
      <c r="CD6" s="758"/>
      <c r="CE6" s="759"/>
      <c r="CF6" s="795" t="str">
        <f>+'Summary_Old outlets'!U19</f>
        <v xml:space="preserve">Lucknow Dastarkhwan / Royal Café </v>
      </c>
      <c r="CG6" s="796"/>
      <c r="CH6" s="797"/>
      <c r="CI6" s="115"/>
      <c r="CJ6" s="757" t="s">
        <v>86</v>
      </c>
      <c r="CK6" s="758"/>
      <c r="CL6" s="759"/>
      <c r="CM6" s="795" t="str">
        <f>+'Summary_Old outlets'!U20</f>
        <v>Tundey Kebab (Take away Counter)</v>
      </c>
      <c r="CN6" s="796"/>
      <c r="CO6" s="797"/>
      <c r="CP6" s="115"/>
      <c r="CQ6" s="757" t="s">
        <v>86</v>
      </c>
      <c r="CR6" s="758"/>
      <c r="CS6" s="759"/>
      <c r="CT6" s="795" t="str">
        <f>+'Summary_Old outlets'!U21</f>
        <v xml:space="preserve">MOD (Take away Counter) </v>
      </c>
      <c r="CU6" s="796"/>
      <c r="CV6" s="797"/>
      <c r="CW6" s="115"/>
      <c r="CX6" s="757" t="s">
        <v>224</v>
      </c>
      <c r="CY6" s="758"/>
      <c r="CZ6" s="759"/>
      <c r="DA6" s="798" t="str">
        <f>+'Summary_Old outlets'!U22</f>
        <v>Seating- D20</v>
      </c>
      <c r="DB6" s="799"/>
      <c r="DC6" s="800"/>
      <c r="DD6" s="115"/>
      <c r="DE6" s="757" t="s">
        <v>302</v>
      </c>
      <c r="DF6" s="758"/>
      <c r="DG6" s="759"/>
      <c r="DH6" s="760" t="str">
        <f>+'Summary_Old outlets'!U23</f>
        <v xml:space="preserve">Subway </v>
      </c>
      <c r="DI6" s="761"/>
      <c r="DJ6" s="762"/>
      <c r="DK6" s="115"/>
      <c r="DL6" s="757" t="s">
        <v>70</v>
      </c>
      <c r="DM6" s="758"/>
      <c r="DN6" s="759"/>
      <c r="DO6" s="795" t="str">
        <f>+'Summary_Old outlets'!U24</f>
        <v xml:space="preserve">CBTL/ Brioche Doree / AJ Kitchen </v>
      </c>
      <c r="DP6" s="796"/>
      <c r="DQ6" s="797"/>
      <c r="DR6" s="115"/>
      <c r="DS6" s="757" t="s">
        <v>268</v>
      </c>
      <c r="DT6" s="758"/>
      <c r="DU6" s="759"/>
      <c r="DV6" s="760" t="str">
        <f>+'Summary_Old outlets'!U25</f>
        <v>Irish House / Heineken Bar with Seating (Need More Space)</v>
      </c>
      <c r="DW6" s="761"/>
      <c r="DX6" s="762"/>
      <c r="DY6" s="115"/>
      <c r="DZ6" s="757" t="s">
        <v>86</v>
      </c>
      <c r="EA6" s="758"/>
      <c r="EB6" s="759"/>
      <c r="EC6" s="795" t="str">
        <f>+'Summary_Old outlets'!U26</f>
        <v xml:space="preserve">Chinese / Oriental Concept </v>
      </c>
      <c r="ED6" s="796"/>
      <c r="EE6" s="797"/>
      <c r="EF6" s="115"/>
      <c r="EG6" s="757" t="s">
        <v>224</v>
      </c>
      <c r="EH6" s="758"/>
      <c r="EI6" s="759"/>
      <c r="EJ6" s="798" t="str">
        <f>+'Summary_Old outlets'!U28</f>
        <v>Seating- Middle Eastern Concept / Pizza &amp; Pasta Concept</v>
      </c>
      <c r="EK6" s="799"/>
      <c r="EL6" s="800"/>
      <c r="EM6" s="115"/>
      <c r="EN6" s="757" t="s">
        <v>305</v>
      </c>
      <c r="EO6" s="758"/>
      <c r="EP6" s="759"/>
      <c r="EQ6" s="760" t="str">
        <f>+'Summary_Old outlets'!U27</f>
        <v>Middle Eastern Concept / Pizza &amp; Pasta Concept</v>
      </c>
      <c r="ER6" s="761"/>
      <c r="ES6" s="762"/>
      <c r="ET6" s="115"/>
      <c r="EU6" s="757" t="s">
        <v>86</v>
      </c>
      <c r="EV6" s="758"/>
      <c r="EW6" s="759"/>
      <c r="EX6" s="795" t="str">
        <f>+'Summary_Old outlets'!U29</f>
        <v>Jamie's Pizzeria</v>
      </c>
      <c r="EY6" s="796"/>
      <c r="EZ6" s="797"/>
      <c r="FA6" s="115"/>
      <c r="FB6" s="757" t="s">
        <v>221</v>
      </c>
      <c r="FC6" s="758"/>
      <c r="FD6" s="759"/>
      <c r="FE6" s="795" t="str">
        <f>+'Summary_Old outlets'!U31</f>
        <v>Lounge (Half will be opened in Phase 1)</v>
      </c>
      <c r="FF6" s="796"/>
      <c r="FG6" s="797"/>
      <c r="FH6" s="115"/>
      <c r="FI6" s="772" t="s">
        <v>294</v>
      </c>
      <c r="FJ6" s="772"/>
      <c r="FK6" s="772"/>
      <c r="FL6" s="795" t="str">
        <f>+'Summary_Old outlets'!U32</f>
        <v>KFC</v>
      </c>
      <c r="FM6" s="796"/>
      <c r="FN6" s="797"/>
      <c r="FO6" s="115"/>
      <c r="FP6" s="757" t="s">
        <v>225</v>
      </c>
      <c r="FQ6" s="758"/>
      <c r="FR6" s="759"/>
      <c r="FS6" s="795" t="str">
        <f>+'Summary_Old outlets'!U33</f>
        <v>Lucknow Local Concept</v>
      </c>
      <c r="FT6" s="796"/>
      <c r="FU6" s="797"/>
      <c r="FV6" s="115"/>
      <c r="FW6" s="757" t="s">
        <v>70</v>
      </c>
      <c r="FX6" s="758"/>
      <c r="FY6" s="759"/>
      <c r="FZ6" s="801" t="str">
        <f>+'Summary_Old outlets'!U35</f>
        <v>Cafeccino</v>
      </c>
      <c r="GA6" s="802"/>
      <c r="GB6" s="803"/>
      <c r="GC6" s="115"/>
      <c r="GD6" s="757" t="s">
        <v>222</v>
      </c>
      <c r="GE6" s="758"/>
      <c r="GF6" s="759"/>
      <c r="GG6" s="760" t="str">
        <f>+'Summary_Old outlets'!U36</f>
        <v>Tunde Kebab Counter (Take away Counter)</v>
      </c>
      <c r="GH6" s="761"/>
      <c r="GI6" s="762"/>
      <c r="GJ6" s="115"/>
      <c r="GK6" s="757" t="s">
        <v>269</v>
      </c>
      <c r="GL6" s="758"/>
      <c r="GM6" s="759"/>
      <c r="GN6" s="760" t="str">
        <f>+'Summary_Old outlets'!U38</f>
        <v>Nourish</v>
      </c>
      <c r="GO6" s="761"/>
      <c r="GP6" s="762"/>
      <c r="GQ6" s="115"/>
      <c r="GR6" s="757" t="s">
        <v>70</v>
      </c>
      <c r="GS6" s="758"/>
      <c r="GT6" s="759"/>
      <c r="GU6" s="801" t="str">
        <f>+'Summary_Old outlets'!U39</f>
        <v xml:space="preserve">Chaayos / CBTL / 3rd Wave </v>
      </c>
      <c r="GV6" s="802"/>
      <c r="GW6" s="803"/>
      <c r="GX6" s="115"/>
      <c r="GY6" s="757" t="s">
        <v>302</v>
      </c>
      <c r="GZ6" s="758"/>
      <c r="HA6" s="759"/>
      <c r="HB6" s="760" t="str">
        <f>+'Summary_Old outlets'!U40</f>
        <v>Subway</v>
      </c>
      <c r="HC6" s="761"/>
      <c r="HD6" s="762"/>
      <c r="HE6" s="115"/>
      <c r="HF6" s="757" t="s">
        <v>224</v>
      </c>
      <c r="HG6" s="758"/>
      <c r="HH6" s="759"/>
      <c r="HI6" s="798" t="str">
        <f>+'Summary_Old outlets'!U44</f>
        <v>Seating -Subway</v>
      </c>
      <c r="HJ6" s="799"/>
      <c r="HK6" s="800"/>
      <c r="HL6" s="115"/>
      <c r="HM6" s="757" t="s">
        <v>70</v>
      </c>
      <c r="HN6" s="758"/>
      <c r="HO6" s="759"/>
      <c r="HP6" s="801" t="str">
        <f>'Summary_Old outlets'!U45</f>
        <v>CBTL</v>
      </c>
      <c r="HQ6" s="802"/>
      <c r="HR6" s="803"/>
      <c r="HS6" s="115"/>
      <c r="HT6" s="807" t="s">
        <v>312</v>
      </c>
      <c r="HU6" s="808"/>
      <c r="HV6" s="809"/>
    </row>
    <row r="7" spans="1:230" s="165" customFormat="1" ht="30">
      <c r="A7" s="162" t="s">
        <v>5</v>
      </c>
      <c r="B7" s="163" t="s">
        <v>6</v>
      </c>
      <c r="C7" s="116"/>
      <c r="D7" s="160" t="s">
        <v>66</v>
      </c>
      <c r="E7" s="160" t="s">
        <v>7</v>
      </c>
      <c r="F7" s="160" t="s">
        <v>8</v>
      </c>
      <c r="G7" s="71" t="s">
        <v>9</v>
      </c>
      <c r="H7" s="72" t="s">
        <v>7</v>
      </c>
      <c r="I7" s="72" t="s">
        <v>66</v>
      </c>
      <c r="J7" s="116"/>
      <c r="K7" s="160" t="s">
        <v>66</v>
      </c>
      <c r="L7" s="160" t="s">
        <v>7</v>
      </c>
      <c r="M7" s="160" t="s">
        <v>8</v>
      </c>
      <c r="N7" s="71" t="s">
        <v>9</v>
      </c>
      <c r="O7" s="72" t="s">
        <v>7</v>
      </c>
      <c r="P7" s="72" t="s">
        <v>66</v>
      </c>
      <c r="Q7" s="116"/>
      <c r="R7" s="160" t="s">
        <v>66</v>
      </c>
      <c r="S7" s="160" t="s">
        <v>7</v>
      </c>
      <c r="T7" s="160" t="s">
        <v>8</v>
      </c>
      <c r="U7" s="71" t="s">
        <v>9</v>
      </c>
      <c r="V7" s="72" t="s">
        <v>7</v>
      </c>
      <c r="W7" s="72" t="s">
        <v>66</v>
      </c>
      <c r="X7" s="116"/>
      <c r="Y7" s="160" t="s">
        <v>66</v>
      </c>
      <c r="Z7" s="160" t="s">
        <v>7</v>
      </c>
      <c r="AA7" s="160" t="s">
        <v>8</v>
      </c>
      <c r="AB7" s="71" t="s">
        <v>9</v>
      </c>
      <c r="AC7" s="72" t="s">
        <v>7</v>
      </c>
      <c r="AD7" s="72" t="s">
        <v>66</v>
      </c>
      <c r="AE7" s="116"/>
      <c r="AF7" s="160" t="s">
        <v>66</v>
      </c>
      <c r="AG7" s="160" t="s">
        <v>7</v>
      </c>
      <c r="AH7" s="160" t="s">
        <v>8</v>
      </c>
      <c r="AI7" s="94" t="s">
        <v>9</v>
      </c>
      <c r="AJ7" s="95" t="s">
        <v>7</v>
      </c>
      <c r="AK7" s="95" t="s">
        <v>66</v>
      </c>
      <c r="AL7" s="116"/>
      <c r="AM7" s="160" t="s">
        <v>66</v>
      </c>
      <c r="AN7" s="160" t="s">
        <v>7</v>
      </c>
      <c r="AO7" s="160" t="s">
        <v>8</v>
      </c>
      <c r="AP7" s="94" t="s">
        <v>9</v>
      </c>
      <c r="AQ7" s="95" t="s">
        <v>7</v>
      </c>
      <c r="AR7" s="95" t="s">
        <v>66</v>
      </c>
      <c r="AS7" s="116"/>
      <c r="AT7" s="284" t="s">
        <v>66</v>
      </c>
      <c r="AU7" s="285" t="s">
        <v>7</v>
      </c>
      <c r="AV7" s="285" t="s">
        <v>8</v>
      </c>
      <c r="AW7" s="94" t="s">
        <v>9</v>
      </c>
      <c r="AX7" s="95" t="s">
        <v>7</v>
      </c>
      <c r="AY7" s="95" t="s">
        <v>66</v>
      </c>
      <c r="AZ7" s="116"/>
      <c r="BA7" s="284" t="s">
        <v>66</v>
      </c>
      <c r="BB7" s="285" t="s">
        <v>7</v>
      </c>
      <c r="BC7" s="285" t="s">
        <v>8</v>
      </c>
      <c r="BD7" s="94" t="s">
        <v>9</v>
      </c>
      <c r="BE7" s="95" t="s">
        <v>7</v>
      </c>
      <c r="BF7" s="95" t="s">
        <v>66</v>
      </c>
      <c r="BG7" s="116"/>
      <c r="BH7" s="160" t="s">
        <v>66</v>
      </c>
      <c r="BI7" s="160" t="s">
        <v>7</v>
      </c>
      <c r="BJ7" s="160" t="s">
        <v>8</v>
      </c>
      <c r="BK7" s="208" t="s">
        <v>9</v>
      </c>
      <c r="BL7" s="209" t="s">
        <v>7</v>
      </c>
      <c r="BM7" s="209" t="s">
        <v>66</v>
      </c>
      <c r="BN7" s="116"/>
      <c r="BO7" s="160" t="s">
        <v>66</v>
      </c>
      <c r="BP7" s="160" t="s">
        <v>7</v>
      </c>
      <c r="BQ7" s="160" t="s">
        <v>8</v>
      </c>
      <c r="BR7" s="208" t="s">
        <v>9</v>
      </c>
      <c r="BS7" s="209" t="s">
        <v>7</v>
      </c>
      <c r="BT7" s="209" t="s">
        <v>66</v>
      </c>
      <c r="BU7" s="116"/>
      <c r="BV7" s="160" t="s">
        <v>66</v>
      </c>
      <c r="BW7" s="160" t="s">
        <v>7</v>
      </c>
      <c r="BX7" s="160" t="s">
        <v>8</v>
      </c>
      <c r="BY7" s="94" t="s">
        <v>9</v>
      </c>
      <c r="BZ7" s="95" t="s">
        <v>7</v>
      </c>
      <c r="CA7" s="95" t="s">
        <v>66</v>
      </c>
      <c r="CB7" s="116"/>
      <c r="CC7" s="160" t="s">
        <v>66</v>
      </c>
      <c r="CD7" s="160" t="s">
        <v>7</v>
      </c>
      <c r="CE7" s="160" t="s">
        <v>8</v>
      </c>
      <c r="CF7" s="94" t="s">
        <v>9</v>
      </c>
      <c r="CG7" s="95" t="s">
        <v>7</v>
      </c>
      <c r="CH7" s="95" t="s">
        <v>66</v>
      </c>
      <c r="CI7" s="116"/>
      <c r="CJ7" s="160" t="s">
        <v>66</v>
      </c>
      <c r="CK7" s="160" t="s">
        <v>7</v>
      </c>
      <c r="CL7" s="160" t="s">
        <v>8</v>
      </c>
      <c r="CM7" s="94" t="s">
        <v>9</v>
      </c>
      <c r="CN7" s="95" t="s">
        <v>7</v>
      </c>
      <c r="CO7" s="95" t="s">
        <v>66</v>
      </c>
      <c r="CP7" s="116"/>
      <c r="CQ7" s="160" t="s">
        <v>66</v>
      </c>
      <c r="CR7" s="160" t="s">
        <v>7</v>
      </c>
      <c r="CS7" s="160" t="s">
        <v>8</v>
      </c>
      <c r="CT7" s="94" t="s">
        <v>9</v>
      </c>
      <c r="CU7" s="95" t="s">
        <v>7</v>
      </c>
      <c r="CV7" s="95" t="s">
        <v>66</v>
      </c>
      <c r="CW7" s="116"/>
      <c r="CX7" s="160" t="s">
        <v>66</v>
      </c>
      <c r="CY7" s="160" t="s">
        <v>7</v>
      </c>
      <c r="CZ7" s="160" t="s">
        <v>8</v>
      </c>
      <c r="DA7" s="208" t="s">
        <v>9</v>
      </c>
      <c r="DB7" s="209" t="s">
        <v>7</v>
      </c>
      <c r="DC7" s="209" t="s">
        <v>66</v>
      </c>
      <c r="DD7" s="116"/>
      <c r="DE7" s="160" t="s">
        <v>66</v>
      </c>
      <c r="DF7" s="160" t="s">
        <v>7</v>
      </c>
      <c r="DG7" s="160" t="s">
        <v>8</v>
      </c>
      <c r="DH7" s="71" t="s">
        <v>9</v>
      </c>
      <c r="DI7" s="72" t="s">
        <v>7</v>
      </c>
      <c r="DJ7" s="72" t="s">
        <v>66</v>
      </c>
      <c r="DK7" s="116"/>
      <c r="DL7" s="160" t="s">
        <v>66</v>
      </c>
      <c r="DM7" s="160" t="s">
        <v>7</v>
      </c>
      <c r="DN7" s="160" t="s">
        <v>8</v>
      </c>
      <c r="DO7" s="94" t="s">
        <v>9</v>
      </c>
      <c r="DP7" s="95" t="s">
        <v>7</v>
      </c>
      <c r="DQ7" s="95" t="s">
        <v>66</v>
      </c>
      <c r="DR7" s="116"/>
      <c r="DS7" s="160" t="s">
        <v>66</v>
      </c>
      <c r="DT7" s="83" t="s">
        <v>7</v>
      </c>
      <c r="DU7" s="83" t="s">
        <v>8</v>
      </c>
      <c r="DV7" s="71" t="s">
        <v>9</v>
      </c>
      <c r="DW7" s="72" t="s">
        <v>7</v>
      </c>
      <c r="DX7" s="72" t="s">
        <v>66</v>
      </c>
      <c r="DY7" s="116"/>
      <c r="DZ7" s="160" t="s">
        <v>66</v>
      </c>
      <c r="EA7" s="160" t="s">
        <v>7</v>
      </c>
      <c r="EB7" s="160" t="s">
        <v>8</v>
      </c>
      <c r="EC7" s="94" t="s">
        <v>9</v>
      </c>
      <c r="ED7" s="95" t="s">
        <v>7</v>
      </c>
      <c r="EE7" s="95" t="s">
        <v>66</v>
      </c>
      <c r="EF7" s="116"/>
      <c r="EG7" s="160" t="s">
        <v>66</v>
      </c>
      <c r="EH7" s="160" t="s">
        <v>7</v>
      </c>
      <c r="EI7" s="160" t="s">
        <v>8</v>
      </c>
      <c r="EJ7" s="208" t="s">
        <v>9</v>
      </c>
      <c r="EK7" s="209" t="s">
        <v>7</v>
      </c>
      <c r="EL7" s="209" t="s">
        <v>66</v>
      </c>
      <c r="EM7" s="116"/>
      <c r="EN7" s="160" t="s">
        <v>66</v>
      </c>
      <c r="EO7" s="160" t="s">
        <v>7</v>
      </c>
      <c r="EP7" s="160" t="s">
        <v>8</v>
      </c>
      <c r="EQ7" s="71" t="s">
        <v>9</v>
      </c>
      <c r="ER7" s="72" t="s">
        <v>7</v>
      </c>
      <c r="ES7" s="72" t="s">
        <v>66</v>
      </c>
      <c r="ET7" s="116"/>
      <c r="EU7" s="160" t="s">
        <v>66</v>
      </c>
      <c r="EV7" s="160" t="s">
        <v>7</v>
      </c>
      <c r="EW7" s="160" t="s">
        <v>8</v>
      </c>
      <c r="EX7" s="94" t="s">
        <v>9</v>
      </c>
      <c r="EY7" s="95" t="s">
        <v>7</v>
      </c>
      <c r="EZ7" s="95" t="s">
        <v>66</v>
      </c>
      <c r="FA7" s="116"/>
      <c r="FB7" s="160" t="s">
        <v>66</v>
      </c>
      <c r="FC7" s="160" t="s">
        <v>7</v>
      </c>
      <c r="FD7" s="160" t="s">
        <v>8</v>
      </c>
      <c r="FE7" s="94" t="s">
        <v>9</v>
      </c>
      <c r="FF7" s="95" t="s">
        <v>7</v>
      </c>
      <c r="FG7" s="95" t="s">
        <v>66</v>
      </c>
      <c r="FH7" s="116"/>
      <c r="FI7" s="284" t="s">
        <v>66</v>
      </c>
      <c r="FJ7" s="285" t="s">
        <v>7</v>
      </c>
      <c r="FK7" s="285" t="s">
        <v>8</v>
      </c>
      <c r="FL7" s="94" t="s">
        <v>9</v>
      </c>
      <c r="FM7" s="95" t="s">
        <v>7</v>
      </c>
      <c r="FN7" s="95" t="s">
        <v>66</v>
      </c>
      <c r="FO7" s="116"/>
      <c r="FP7" s="160" t="s">
        <v>66</v>
      </c>
      <c r="FQ7" s="160" t="s">
        <v>7</v>
      </c>
      <c r="FR7" s="160" t="s">
        <v>8</v>
      </c>
      <c r="FS7" s="94" t="s">
        <v>9</v>
      </c>
      <c r="FT7" s="95" t="s">
        <v>7</v>
      </c>
      <c r="FU7" s="95" t="s">
        <v>66</v>
      </c>
      <c r="FV7" s="116"/>
      <c r="FW7" s="160" t="s">
        <v>66</v>
      </c>
      <c r="FX7" s="160" t="s">
        <v>7</v>
      </c>
      <c r="FY7" s="160" t="s">
        <v>8</v>
      </c>
      <c r="FZ7" s="94" t="s">
        <v>9</v>
      </c>
      <c r="GA7" s="95" t="s">
        <v>7</v>
      </c>
      <c r="GB7" s="95" t="s">
        <v>66</v>
      </c>
      <c r="GC7" s="116"/>
      <c r="GD7" s="160" t="s">
        <v>66</v>
      </c>
      <c r="GE7" s="160" t="s">
        <v>7</v>
      </c>
      <c r="GF7" s="160" t="s">
        <v>8</v>
      </c>
      <c r="GG7" s="71" t="s">
        <v>9</v>
      </c>
      <c r="GH7" s="72" t="s">
        <v>7</v>
      </c>
      <c r="GI7" s="72" t="s">
        <v>66</v>
      </c>
      <c r="GJ7" s="116"/>
      <c r="GK7" s="160" t="s">
        <v>66</v>
      </c>
      <c r="GL7" s="83" t="s">
        <v>7</v>
      </c>
      <c r="GM7" s="83" t="s">
        <v>8</v>
      </c>
      <c r="GN7" s="71" t="s">
        <v>9</v>
      </c>
      <c r="GO7" s="72" t="s">
        <v>7</v>
      </c>
      <c r="GP7" s="72" t="s">
        <v>66</v>
      </c>
      <c r="GQ7" s="116"/>
      <c r="GR7" s="160" t="s">
        <v>66</v>
      </c>
      <c r="GS7" s="160" t="s">
        <v>7</v>
      </c>
      <c r="GT7" s="160" t="s">
        <v>8</v>
      </c>
      <c r="GU7" s="94" t="s">
        <v>9</v>
      </c>
      <c r="GV7" s="95" t="s">
        <v>7</v>
      </c>
      <c r="GW7" s="95" t="s">
        <v>66</v>
      </c>
      <c r="GX7" s="116"/>
      <c r="GY7" s="160" t="s">
        <v>66</v>
      </c>
      <c r="GZ7" s="160" t="s">
        <v>7</v>
      </c>
      <c r="HA7" s="160" t="s">
        <v>8</v>
      </c>
      <c r="HB7" s="71" t="s">
        <v>9</v>
      </c>
      <c r="HC7" s="72" t="s">
        <v>7</v>
      </c>
      <c r="HD7" s="72" t="s">
        <v>66</v>
      </c>
      <c r="HE7" s="116"/>
      <c r="HF7" s="160" t="s">
        <v>66</v>
      </c>
      <c r="HG7" s="160" t="s">
        <v>7</v>
      </c>
      <c r="HH7" s="160" t="s">
        <v>8</v>
      </c>
      <c r="HI7" s="208" t="s">
        <v>9</v>
      </c>
      <c r="HJ7" s="209" t="s">
        <v>7</v>
      </c>
      <c r="HK7" s="209" t="s">
        <v>66</v>
      </c>
      <c r="HL7" s="116"/>
      <c r="HM7" s="160" t="s">
        <v>66</v>
      </c>
      <c r="HN7" s="160" t="s">
        <v>7</v>
      </c>
      <c r="HO7" s="160" t="s">
        <v>8</v>
      </c>
      <c r="HP7" s="94" t="s">
        <v>9</v>
      </c>
      <c r="HQ7" s="95" t="s">
        <v>7</v>
      </c>
      <c r="HR7" s="95" t="s">
        <v>66</v>
      </c>
      <c r="HS7" s="116"/>
      <c r="HT7" s="160" t="s">
        <v>7</v>
      </c>
      <c r="HU7" s="315" t="s">
        <v>66</v>
      </c>
      <c r="HV7" s="164" t="s">
        <v>4</v>
      </c>
    </row>
    <row r="8" spans="1:230" ht="15">
      <c r="A8" s="13" t="s">
        <v>10</v>
      </c>
      <c r="B8" s="14" t="s">
        <v>11</v>
      </c>
      <c r="C8" s="117"/>
      <c r="D8" s="150"/>
      <c r="E8" s="150"/>
      <c r="F8" s="150"/>
      <c r="G8" s="16"/>
      <c r="H8" s="16"/>
      <c r="I8" s="16"/>
      <c r="J8" s="117"/>
      <c r="K8" s="150"/>
      <c r="L8" s="150"/>
      <c r="M8" s="150"/>
      <c r="N8" s="16"/>
      <c r="O8" s="16"/>
      <c r="P8" s="16"/>
      <c r="Q8" s="117"/>
      <c r="R8" s="150"/>
      <c r="S8" s="150"/>
      <c r="T8" s="150"/>
      <c r="U8" s="16"/>
      <c r="V8" s="16"/>
      <c r="W8" s="16"/>
      <c r="X8" s="117"/>
      <c r="Y8" s="150"/>
      <c r="Z8" s="150"/>
      <c r="AA8" s="150"/>
      <c r="AB8" s="16"/>
      <c r="AC8" s="16"/>
      <c r="AD8" s="16"/>
      <c r="AE8" s="117"/>
      <c r="AF8" s="150"/>
      <c r="AG8" s="150"/>
      <c r="AH8" s="150"/>
      <c r="AI8" s="16"/>
      <c r="AJ8" s="16"/>
      <c r="AK8" s="16"/>
      <c r="AL8" s="117"/>
      <c r="AM8" s="150"/>
      <c r="AN8" s="150"/>
      <c r="AO8" s="150"/>
      <c r="AP8" s="16"/>
      <c r="AQ8" s="16"/>
      <c r="AR8" s="16"/>
      <c r="AS8" s="117"/>
      <c r="AT8" s="286"/>
      <c r="AU8" s="286"/>
      <c r="AV8" s="286"/>
      <c r="AW8" s="16"/>
      <c r="AX8" s="16"/>
      <c r="AY8" s="16"/>
      <c r="AZ8" s="117"/>
      <c r="BA8" s="286"/>
      <c r="BB8" s="286"/>
      <c r="BC8" s="286"/>
      <c r="BD8" s="16"/>
      <c r="BE8" s="16"/>
      <c r="BF8" s="16"/>
      <c r="BG8" s="117"/>
      <c r="BH8" s="150"/>
      <c r="BI8" s="150"/>
      <c r="BJ8" s="150"/>
      <c r="BK8" s="16"/>
      <c r="BL8" s="16"/>
      <c r="BM8" s="16"/>
      <c r="BN8" s="117"/>
      <c r="BO8" s="150"/>
      <c r="BP8" s="150"/>
      <c r="BQ8" s="150"/>
      <c r="BR8" s="16"/>
      <c r="BS8" s="16"/>
      <c r="BT8" s="16"/>
      <c r="BU8" s="117"/>
      <c r="BV8" s="150"/>
      <c r="BW8" s="150"/>
      <c r="BX8" s="150"/>
      <c r="BY8" s="16"/>
      <c r="BZ8" s="16"/>
      <c r="CA8" s="16"/>
      <c r="CB8" s="117"/>
      <c r="CC8" s="150"/>
      <c r="CD8" s="150"/>
      <c r="CE8" s="150"/>
      <c r="CF8" s="16"/>
      <c r="CG8" s="16"/>
      <c r="CH8" s="16"/>
      <c r="CI8" s="117"/>
      <c r="CJ8" s="150"/>
      <c r="CK8" s="150"/>
      <c r="CL8" s="150"/>
      <c r="CM8" s="16"/>
      <c r="CN8" s="16"/>
      <c r="CO8" s="16"/>
      <c r="CP8" s="117"/>
      <c r="CQ8" s="150"/>
      <c r="CR8" s="150"/>
      <c r="CS8" s="150"/>
      <c r="CT8" s="16"/>
      <c r="CU8" s="16"/>
      <c r="CV8" s="16"/>
      <c r="CW8" s="117"/>
      <c r="CX8" s="150"/>
      <c r="CY8" s="150"/>
      <c r="CZ8" s="150"/>
      <c r="DA8" s="16"/>
      <c r="DB8" s="16"/>
      <c r="DC8" s="16"/>
      <c r="DD8" s="117"/>
      <c r="DE8" s="150"/>
      <c r="DF8" s="150"/>
      <c r="DG8" s="150"/>
      <c r="DH8" s="16"/>
      <c r="DI8" s="16"/>
      <c r="DJ8" s="16"/>
      <c r="DK8" s="117"/>
      <c r="DL8" s="150"/>
      <c r="DM8" s="150"/>
      <c r="DN8" s="150"/>
      <c r="DO8" s="16"/>
      <c r="DP8" s="16"/>
      <c r="DQ8" s="16"/>
      <c r="DR8" s="117"/>
      <c r="DS8" s="150"/>
      <c r="DT8" s="150"/>
      <c r="DU8" s="150"/>
      <c r="DV8" s="16"/>
      <c r="DW8" s="16"/>
      <c r="DX8" s="16"/>
      <c r="DY8" s="117"/>
      <c r="DZ8" s="150"/>
      <c r="EA8" s="150"/>
      <c r="EB8" s="150"/>
      <c r="EC8" s="16"/>
      <c r="ED8" s="16"/>
      <c r="EE8" s="16"/>
      <c r="EF8" s="117"/>
      <c r="EG8" s="150"/>
      <c r="EH8" s="150"/>
      <c r="EI8" s="150"/>
      <c r="EJ8" s="16"/>
      <c r="EK8" s="16"/>
      <c r="EL8" s="16"/>
      <c r="EM8" s="117"/>
      <c r="EN8" s="150"/>
      <c r="EO8" s="150"/>
      <c r="EP8" s="150"/>
      <c r="EQ8" s="16"/>
      <c r="ER8" s="16"/>
      <c r="ES8" s="16"/>
      <c r="ET8" s="117"/>
      <c r="EU8" s="150"/>
      <c r="EV8" s="150"/>
      <c r="EW8" s="150"/>
      <c r="EX8" s="16"/>
      <c r="EY8" s="16"/>
      <c r="EZ8" s="16"/>
      <c r="FA8" s="117"/>
      <c r="FB8" s="150"/>
      <c r="FC8" s="150"/>
      <c r="FD8" s="150"/>
      <c r="FE8" s="16"/>
      <c r="FF8" s="16"/>
      <c r="FG8" s="16"/>
      <c r="FH8" s="117"/>
      <c r="FI8" s="286"/>
      <c r="FJ8" s="286"/>
      <c r="FK8" s="286"/>
      <c r="FL8" s="16"/>
      <c r="FM8" s="16"/>
      <c r="FN8" s="16"/>
      <c r="FO8" s="117"/>
      <c r="FP8" s="150"/>
      <c r="FQ8" s="150"/>
      <c r="FR8" s="150"/>
      <c r="FS8" s="16"/>
      <c r="FT8" s="16"/>
      <c r="FU8" s="16"/>
      <c r="FV8" s="117"/>
      <c r="FW8" s="150"/>
      <c r="FX8" s="150"/>
      <c r="FY8" s="150"/>
      <c r="FZ8" s="16"/>
      <c r="GA8" s="16"/>
      <c r="GB8" s="16"/>
      <c r="GC8" s="117"/>
      <c r="GD8" s="150"/>
      <c r="GE8" s="150"/>
      <c r="GF8" s="150"/>
      <c r="GG8" s="16"/>
      <c r="GH8" s="16"/>
      <c r="GI8" s="16"/>
      <c r="GJ8" s="117"/>
      <c r="GK8" s="150"/>
      <c r="GL8" s="150"/>
      <c r="GM8" s="150"/>
      <c r="GN8" s="16"/>
      <c r="GO8" s="16"/>
      <c r="GP8" s="16"/>
      <c r="GQ8" s="117"/>
      <c r="GR8" s="150"/>
      <c r="GS8" s="150"/>
      <c r="GT8" s="150"/>
      <c r="GU8" s="16"/>
      <c r="GV8" s="16"/>
      <c r="GW8" s="16"/>
      <c r="GX8" s="117"/>
      <c r="GY8" s="150"/>
      <c r="GZ8" s="150"/>
      <c r="HA8" s="150"/>
      <c r="HB8" s="16"/>
      <c r="HC8" s="16"/>
      <c r="HD8" s="16"/>
      <c r="HE8" s="117"/>
      <c r="HF8" s="150"/>
      <c r="HG8" s="150"/>
      <c r="HH8" s="150"/>
      <c r="HI8" s="16"/>
      <c r="HJ8" s="16"/>
      <c r="HK8" s="16"/>
      <c r="HL8" s="117"/>
      <c r="HM8" s="150"/>
      <c r="HN8" s="150"/>
      <c r="HO8" s="150"/>
      <c r="HP8" s="16"/>
      <c r="HQ8" s="16"/>
      <c r="HR8" s="16"/>
      <c r="HS8" s="117"/>
      <c r="HT8" s="316"/>
      <c r="HU8" s="150"/>
      <c r="HV8" s="317"/>
    </row>
    <row r="9" spans="1:230">
      <c r="A9" s="18">
        <v>1</v>
      </c>
      <c r="B9" s="19" t="s">
        <v>12</v>
      </c>
      <c r="C9" s="118"/>
      <c r="D9" s="151">
        <v>131411.88</v>
      </c>
      <c r="E9" s="151">
        <f>D9/118%</f>
        <v>111366.00000000001</v>
      </c>
      <c r="F9" s="151">
        <f>E9/E2</f>
        <v>450.00000000000006</v>
      </c>
      <c r="G9" s="159">
        <v>250</v>
      </c>
      <c r="H9" s="266">
        <f>G9*$H$2</f>
        <v>127015.2</v>
      </c>
      <c r="I9" s="159">
        <f>H9*118%</f>
        <v>149877.93599999999</v>
      </c>
      <c r="J9" s="118"/>
      <c r="K9" s="151">
        <v>131411.88</v>
      </c>
      <c r="L9" s="151">
        <f>K9/118%</f>
        <v>111366.00000000001</v>
      </c>
      <c r="M9" s="151">
        <f>L9/L2</f>
        <v>1590.9428571428573</v>
      </c>
      <c r="N9" s="159">
        <f>+M9</f>
        <v>1590.9428571428573</v>
      </c>
      <c r="O9" s="266">
        <f>N9*$O$2</f>
        <v>808295.70075428579</v>
      </c>
      <c r="P9" s="159">
        <f>O9*118%</f>
        <v>953788.92689005716</v>
      </c>
      <c r="Q9" s="118"/>
      <c r="R9" s="151">
        <v>59000</v>
      </c>
      <c r="S9" s="151">
        <f>R9/118%</f>
        <v>50000</v>
      </c>
      <c r="T9" s="151">
        <f>S9/S2</f>
        <v>714.28571428571433</v>
      </c>
      <c r="U9" s="159">
        <f>+T9</f>
        <v>714.28571428571433</v>
      </c>
      <c r="V9" s="266">
        <f>U9*$V$2</f>
        <v>274789.54285714286</v>
      </c>
      <c r="W9" s="159">
        <f>V9*118%</f>
        <v>324251.66057142854</v>
      </c>
      <c r="X9" s="118"/>
      <c r="Y9" s="151">
        <v>59000</v>
      </c>
      <c r="Z9" s="151">
        <f>Y9/118%</f>
        <v>50000</v>
      </c>
      <c r="AA9" s="151">
        <f>Z9/Z2</f>
        <v>714.28571428571433</v>
      </c>
      <c r="AB9" s="159">
        <f>+AA9</f>
        <v>714.28571428571433</v>
      </c>
      <c r="AC9" s="266">
        <f>AB9*$AC$2</f>
        <v>274789.54285714286</v>
      </c>
      <c r="AD9" s="159">
        <f>AC9*118%</f>
        <v>324251.66057142854</v>
      </c>
      <c r="AE9" s="118"/>
      <c r="AF9" s="151">
        <v>69856.246732880289</v>
      </c>
      <c r="AG9" s="133">
        <f>AF9/118%</f>
        <v>59200.209095661266</v>
      </c>
      <c r="AH9" s="151">
        <f>AG9/AG2</f>
        <v>392.0543648719289</v>
      </c>
      <c r="AI9" s="96">
        <f>+AH9</f>
        <v>392.0543648719289</v>
      </c>
      <c r="AJ9" s="267">
        <f>AI9*$AJ$2</f>
        <v>701376.16309461568</v>
      </c>
      <c r="AK9" s="96">
        <f>AJ9*118%</f>
        <v>827623.87245164649</v>
      </c>
      <c r="AL9" s="118"/>
      <c r="AM9" s="151">
        <v>885000</v>
      </c>
      <c r="AN9" s="151">
        <f>AM9/118%</f>
        <v>750000</v>
      </c>
      <c r="AO9" s="151">
        <f>AN9/AN2</f>
        <v>405.24768738653063</v>
      </c>
      <c r="AP9" s="96">
        <f>+AO9</f>
        <v>405.24768738653063</v>
      </c>
      <c r="AQ9" s="267">
        <f>AP9*$AQ$2</f>
        <v>303732.05563240248</v>
      </c>
      <c r="AR9" s="96">
        <f>AQ9*118%</f>
        <v>358403.82564623491</v>
      </c>
      <c r="AS9" s="118"/>
      <c r="AT9" s="287">
        <v>354000</v>
      </c>
      <c r="AU9" s="287">
        <f>AT9/118%</f>
        <v>300000</v>
      </c>
      <c r="AV9" s="288">
        <f>AU9/AU$2</f>
        <v>276.04990982369611</v>
      </c>
      <c r="AW9" s="96">
        <f>+AV9</f>
        <v>276.04990982369611</v>
      </c>
      <c r="AX9" s="267">
        <f>AW9*$AX$2</f>
        <v>493846.88431668433</v>
      </c>
      <c r="AY9" s="96">
        <f>AX9*118%</f>
        <v>582739.32349368744</v>
      </c>
      <c r="AZ9" s="118"/>
      <c r="BA9" s="287"/>
      <c r="BB9" s="287"/>
      <c r="BC9" s="288"/>
      <c r="BD9" s="96">
        <v>420</v>
      </c>
      <c r="BE9" s="267">
        <f>BD9*$BE$2</f>
        <v>408235.46399999992</v>
      </c>
      <c r="BF9" s="96">
        <f>BE9*118%</f>
        <v>481717.84751999989</v>
      </c>
      <c r="BG9" s="118"/>
      <c r="BH9" s="151">
        <v>489110</v>
      </c>
      <c r="BI9" s="151">
        <f>BH9/118%</f>
        <v>414500</v>
      </c>
      <c r="BJ9" s="151">
        <f>BI9/BI2</f>
        <v>63.769230769230766</v>
      </c>
      <c r="BK9" s="210"/>
      <c r="BL9" s="210">
        <f>BK9*BL2</f>
        <v>0</v>
      </c>
      <c r="BM9" s="210">
        <f>BL9*118%</f>
        <v>0</v>
      </c>
      <c r="BN9" s="118"/>
      <c r="BO9" s="151">
        <v>489110</v>
      </c>
      <c r="BP9" s="151">
        <f>BO9/118%</f>
        <v>414500</v>
      </c>
      <c r="BQ9" s="151">
        <f>BP9/BP2</f>
        <v>63.769230769230766</v>
      </c>
      <c r="BR9" s="210"/>
      <c r="BS9" s="210">
        <f>BR9*BS2</f>
        <v>0</v>
      </c>
      <c r="BT9" s="210">
        <f>BS9*118%</f>
        <v>0</v>
      </c>
      <c r="BU9" s="118"/>
      <c r="BV9" s="151">
        <v>1770000</v>
      </c>
      <c r="BW9" s="151">
        <f>BV9/118%</f>
        <v>1500000</v>
      </c>
      <c r="BX9" s="151">
        <f>BW9/BW2</f>
        <v>333.33333333333331</v>
      </c>
      <c r="BY9" s="96">
        <f>+BX9</f>
        <v>333.33333333333331</v>
      </c>
      <c r="BZ9" s="96">
        <f>BY9*$BZ$2</f>
        <v>1065636</v>
      </c>
      <c r="CA9" s="96">
        <f>BZ9*118%</f>
        <v>1257450.48</v>
      </c>
      <c r="CB9" s="118"/>
      <c r="CC9" s="151">
        <v>69856.246732880289</v>
      </c>
      <c r="CD9" s="133">
        <f>CC9/118%</f>
        <v>59200.209095661266</v>
      </c>
      <c r="CE9" s="151">
        <f>CD9/CD2</f>
        <v>392.0543648719289</v>
      </c>
      <c r="CF9" s="96">
        <f>+CE9</f>
        <v>392.0543648719289</v>
      </c>
      <c r="CG9" s="267">
        <f>CF9*$CG$2</f>
        <v>128712.23209618399</v>
      </c>
      <c r="CH9" s="96">
        <f>CG9*118%</f>
        <v>151880.4338734971</v>
      </c>
      <c r="CI9" s="118"/>
      <c r="CJ9" s="151">
        <v>885000</v>
      </c>
      <c r="CK9" s="151">
        <f>CJ9/118%</f>
        <v>750000</v>
      </c>
      <c r="CL9" s="151">
        <f>CK9/CK2</f>
        <v>405.24768738653063</v>
      </c>
      <c r="CM9" s="96">
        <f>+CL9</f>
        <v>405.24768738653063</v>
      </c>
      <c r="CN9" s="267">
        <f>CM9*CN$2</f>
        <v>133043.62626437275</v>
      </c>
      <c r="CO9" s="96">
        <f>CN9*118%</f>
        <v>156991.47899195983</v>
      </c>
      <c r="CP9" s="118"/>
      <c r="CQ9" s="151">
        <v>885000</v>
      </c>
      <c r="CR9" s="151">
        <f>CQ9/118%</f>
        <v>750000</v>
      </c>
      <c r="CS9" s="151">
        <f>CR9/CR2</f>
        <v>405.24768738653063</v>
      </c>
      <c r="CT9" s="96">
        <f>+CS9</f>
        <v>405.24768738653063</v>
      </c>
      <c r="CU9" s="267">
        <f>CT9*CU$2</f>
        <v>133043.62626437275</v>
      </c>
      <c r="CV9" s="96">
        <f>CU9*118%</f>
        <v>156991.47899195983</v>
      </c>
      <c r="CW9" s="118"/>
      <c r="CX9" s="151">
        <v>489110</v>
      </c>
      <c r="CY9" s="151">
        <f>CX9/118%</f>
        <v>414500</v>
      </c>
      <c r="CZ9" s="151">
        <f>CY9/CY2</f>
        <v>63.769230769230766</v>
      </c>
      <c r="DA9" s="210"/>
      <c r="DB9" s="210">
        <f>DA9*DB2</f>
        <v>0</v>
      </c>
      <c r="DC9" s="210">
        <f>DB9*118%</f>
        <v>0</v>
      </c>
      <c r="DD9" s="118"/>
      <c r="DE9" s="151">
        <v>118000</v>
      </c>
      <c r="DF9" s="151">
        <f>DE9/118%</f>
        <v>100000</v>
      </c>
      <c r="DG9" s="151">
        <f>DF9/DF2</f>
        <v>102.14504596527068</v>
      </c>
      <c r="DH9" s="159">
        <f>+DG9</f>
        <v>102.14504596527068</v>
      </c>
      <c r="DI9" s="266">
        <f>DH9*$DI$2</f>
        <v>38800.976506639425</v>
      </c>
      <c r="DJ9" s="159">
        <f>DI9*118%</f>
        <v>45785.152277834517</v>
      </c>
      <c r="DK9" s="118"/>
      <c r="DL9" s="151">
        <v>69856.246732880289</v>
      </c>
      <c r="DM9" s="133">
        <f>DL9/118%</f>
        <v>59200.209095661266</v>
      </c>
      <c r="DN9" s="151">
        <f>DM9/DM2</f>
        <v>392.0543648719289</v>
      </c>
      <c r="DO9" s="96">
        <f>+DN9</f>
        <v>392.0543648719289</v>
      </c>
      <c r="DP9" s="267">
        <f>DO9*$DP$2</f>
        <v>258901.4898065865</v>
      </c>
      <c r="DQ9" s="96">
        <f>DP9*118%</f>
        <v>305503.75797177205</v>
      </c>
      <c r="DR9" s="118"/>
      <c r="DS9" s="151">
        <v>2498534.08</v>
      </c>
      <c r="DT9" s="151">
        <f>DS9/114%</f>
        <v>2191696.5614035092</v>
      </c>
      <c r="DU9" s="133">
        <f>DT9/$DS$2</f>
        <v>831.38478165674428</v>
      </c>
      <c r="DV9" s="159">
        <f>+DU9</f>
        <v>831.38478165674428</v>
      </c>
      <c r="DW9" s="266">
        <f>DV9*$DW$2</f>
        <v>638512.99009889038</v>
      </c>
      <c r="DX9" s="159">
        <f>DW9*118%</f>
        <v>753445.32831669063</v>
      </c>
      <c r="DY9" s="118"/>
      <c r="DZ9" s="151">
        <v>885000</v>
      </c>
      <c r="EA9" s="151">
        <f>DZ9/118%</f>
        <v>750000</v>
      </c>
      <c r="EB9" s="151">
        <f>EA9/EA2</f>
        <v>405.24768738653063</v>
      </c>
      <c r="EC9" s="96">
        <f>+EB9</f>
        <v>405.24768738653063</v>
      </c>
      <c r="ED9" s="267">
        <f>EC9*$ED$2</f>
        <v>143927.03110140917</v>
      </c>
      <c r="EE9" s="96">
        <f>ED9*118%</f>
        <v>169833.89669966282</v>
      </c>
      <c r="EF9" s="118"/>
      <c r="EG9" s="151">
        <v>489110</v>
      </c>
      <c r="EH9" s="151">
        <f>EG9/118%</f>
        <v>414500</v>
      </c>
      <c r="EI9" s="151">
        <f>EH9/EH2</f>
        <v>63.769230769230766</v>
      </c>
      <c r="EJ9" s="210"/>
      <c r="EK9" s="210">
        <f>EJ9*EK2</f>
        <v>0</v>
      </c>
      <c r="EL9" s="210">
        <f>EK9*118%</f>
        <v>0</v>
      </c>
      <c r="EM9" s="118"/>
      <c r="EN9" s="151">
        <v>147500</v>
      </c>
      <c r="EO9" s="151">
        <f>EN9/118%</f>
        <v>125000</v>
      </c>
      <c r="EP9" s="151">
        <f>EO9/EO2</f>
        <v>200.29483399564157</v>
      </c>
      <c r="EQ9" s="159">
        <f>+EP9</f>
        <v>200.29483399564157</v>
      </c>
      <c r="ER9" s="266">
        <f>EQ9*$ER$2</f>
        <v>71136.348705294178</v>
      </c>
      <c r="ES9" s="159">
        <f>ER9*118%</f>
        <v>83940.891472247124</v>
      </c>
      <c r="ET9" s="118"/>
      <c r="EU9" s="151">
        <v>885000</v>
      </c>
      <c r="EV9" s="151">
        <f>EU9/118%</f>
        <v>750000</v>
      </c>
      <c r="EW9" s="151">
        <f>EV9/EV2</f>
        <v>405.24768738653063</v>
      </c>
      <c r="EX9" s="96">
        <f>+EW9</f>
        <v>405.24768738653063</v>
      </c>
      <c r="EY9" s="267">
        <f>EX9*$EY$2</f>
        <v>982254.54958070372</v>
      </c>
      <c r="EZ9" s="96">
        <f>EY9*118%</f>
        <v>1159060.3685052304</v>
      </c>
      <c r="FA9" s="118"/>
      <c r="FB9" s="151">
        <v>1770000</v>
      </c>
      <c r="FC9" s="151">
        <f>FB9/118%</f>
        <v>1500000</v>
      </c>
      <c r="FD9" s="151">
        <f>FC9/FC2</f>
        <v>333.33333333333331</v>
      </c>
      <c r="FE9" s="96">
        <f>+FD9</f>
        <v>333.33333333333331</v>
      </c>
      <c r="FF9" s="267">
        <f>FE9*$FF$2</f>
        <v>1735372.08</v>
      </c>
      <c r="FG9" s="96">
        <f>FF9*118%</f>
        <v>2047739.0544</v>
      </c>
      <c r="FH9" s="118"/>
      <c r="FI9" s="287">
        <v>354000</v>
      </c>
      <c r="FJ9" s="287">
        <f>FI9/118%</f>
        <v>300000</v>
      </c>
      <c r="FK9" s="288">
        <f>FJ9/FJ$2</f>
        <v>276.04990982369611</v>
      </c>
      <c r="FL9" s="96">
        <f>+FK9</f>
        <v>276.04990982369611</v>
      </c>
      <c r="FM9" s="267">
        <f>FL9*$FM$2</f>
        <v>401629.44716404716</v>
      </c>
      <c r="FN9" s="139">
        <f>FM9*118%</f>
        <v>473922.74765357561</v>
      </c>
      <c r="FO9" s="118"/>
      <c r="FP9" s="151">
        <v>45000</v>
      </c>
      <c r="FQ9" s="151">
        <f>FP9/118%</f>
        <v>38135.593220338982</v>
      </c>
      <c r="FR9" s="151">
        <f>FQ9/FQ2</f>
        <v>254.23728813559322</v>
      </c>
      <c r="FS9" s="96">
        <f>+FR9</f>
        <v>254.23728813559322</v>
      </c>
      <c r="FT9" s="267">
        <f>FS9*$FT$2</f>
        <v>369893.91355932195</v>
      </c>
      <c r="FU9" s="96">
        <f>FT9*118%</f>
        <v>436474.81799999991</v>
      </c>
      <c r="FV9" s="118"/>
      <c r="FW9" s="151">
        <v>69856.246732880289</v>
      </c>
      <c r="FX9" s="133">
        <f>FW9/118%</f>
        <v>59200.209095661266</v>
      </c>
      <c r="FY9" s="151">
        <f>FX9/FX2</f>
        <v>392.0543648719289</v>
      </c>
      <c r="FZ9" s="96">
        <f>+FY9</f>
        <v>392.0543648719289</v>
      </c>
      <c r="GA9" s="267">
        <f>FZ9*$GA$2</f>
        <v>73851.280710925232</v>
      </c>
      <c r="GB9" s="96">
        <f>GA9*118%</f>
        <v>87144.511238891762</v>
      </c>
      <c r="GC9" s="118"/>
      <c r="GD9" s="151">
        <v>59000</v>
      </c>
      <c r="GE9" s="151">
        <f>GD9/118%</f>
        <v>50000</v>
      </c>
      <c r="GF9" s="151">
        <f>GE9/GE2</f>
        <v>714.28571428571433</v>
      </c>
      <c r="GG9" s="159">
        <v>600</v>
      </c>
      <c r="GH9" s="266">
        <f>GG9*$GH$2</f>
        <v>221523.11999999997</v>
      </c>
      <c r="GI9" s="159">
        <f>GH9*118%</f>
        <v>261397.28159999996</v>
      </c>
      <c r="GJ9" s="118"/>
      <c r="GK9" s="151">
        <v>171100</v>
      </c>
      <c r="GL9" s="151">
        <f>GK9/118%</f>
        <v>145000</v>
      </c>
      <c r="GM9" s="270">
        <f>GL9/$GL$2</f>
        <v>575.89044577892162</v>
      </c>
      <c r="GN9" s="159">
        <f>+GM9</f>
        <v>575.89044577892162</v>
      </c>
      <c r="GO9" s="266">
        <f>GN9*$GO$2</f>
        <v>162162.8252788104</v>
      </c>
      <c r="GP9" s="159">
        <f>GO9*118%</f>
        <v>191352.13382899627</v>
      </c>
      <c r="GQ9" s="118"/>
      <c r="GR9" s="151">
        <v>69856.246732880289</v>
      </c>
      <c r="GS9" s="133">
        <f>GR9/118%</f>
        <v>59200.209095661266</v>
      </c>
      <c r="GT9" s="151">
        <f>GS9/GS2</f>
        <v>392.0543648719289</v>
      </c>
      <c r="GU9" s="96">
        <f>+GT9</f>
        <v>392.0543648719289</v>
      </c>
      <c r="GV9" s="267">
        <f>GU9*$GV$2</f>
        <v>172052.38369053841</v>
      </c>
      <c r="GW9" s="96">
        <f>GV9*118%</f>
        <v>203021.81275483532</v>
      </c>
      <c r="GX9" s="118"/>
      <c r="GY9" s="151">
        <v>118000</v>
      </c>
      <c r="GZ9" s="151">
        <f>GY9/118%</f>
        <v>100000</v>
      </c>
      <c r="HA9" s="151">
        <f>GZ9/GZ2</f>
        <v>102.14504596527068</v>
      </c>
      <c r="HB9" s="159">
        <f>+HA9</f>
        <v>102.14504596527068</v>
      </c>
      <c r="HC9" s="266">
        <f>HB9*$HC$2</f>
        <v>68992.951991828391</v>
      </c>
      <c r="HD9" s="159">
        <f>HC9*118%</f>
        <v>81411.683350357504</v>
      </c>
      <c r="HE9" s="118"/>
      <c r="HF9" s="151">
        <v>489110</v>
      </c>
      <c r="HG9" s="151">
        <f>HF9/118%</f>
        <v>414500</v>
      </c>
      <c r="HH9" s="151">
        <f>HG9/HG2</f>
        <v>63.769230769230766</v>
      </c>
      <c r="HI9" s="210"/>
      <c r="HJ9" s="210">
        <f>HI9*HJ2</f>
        <v>0</v>
      </c>
      <c r="HK9" s="210">
        <f>HJ9*118%</f>
        <v>0</v>
      </c>
      <c r="HL9" s="118"/>
      <c r="HM9" s="151">
        <v>69856.246732880289</v>
      </c>
      <c r="HN9" s="133">
        <f>HM9/118%</f>
        <v>59200.209095661266</v>
      </c>
      <c r="HO9" s="151">
        <f>HN9/HN2</f>
        <v>392.0543648719289</v>
      </c>
      <c r="HP9" s="96">
        <f>+HO9</f>
        <v>392.0543648719289</v>
      </c>
      <c r="HQ9" s="267">
        <f>HP9*$HQ$2</f>
        <v>314057.84631468897</v>
      </c>
      <c r="HR9" s="96">
        <f>HQ9*118%</f>
        <v>370588.25865133299</v>
      </c>
      <c r="HS9" s="118"/>
      <c r="HT9" s="318">
        <f t="shared" ref="HT9:HT18" si="0">SUM(H9,O9,V9,AC9,AJ9,AQ9,AX9,BE9,BL9,BS9,BZ9,CG9,CN9,CU9,DB9,DI9,DP9,DW9,ED9,EK9,ER9,EY9,FF9,FM9,FT9,GA9,GH9,GO9,GV9,HC9,HJ9,HQ9)</f>
        <v>10505585.272646887</v>
      </c>
      <c r="HU9" s="151">
        <f>HT9*118%</f>
        <v>12396590.621723326</v>
      </c>
      <c r="HV9" s="319"/>
    </row>
    <row r="10" spans="1:230">
      <c r="A10" s="18">
        <v>2</v>
      </c>
      <c r="B10" s="19" t="s">
        <v>13</v>
      </c>
      <c r="C10" s="118"/>
      <c r="D10" s="151">
        <v>0</v>
      </c>
      <c r="E10" s="151">
        <f t="shared" ref="E10:E17" si="1">D10/118%</f>
        <v>0</v>
      </c>
      <c r="F10" s="151">
        <f>E10/E2</f>
        <v>0</v>
      </c>
      <c r="G10" s="159">
        <f t="shared" ref="G10:G17" si="2">+F10</f>
        <v>0</v>
      </c>
      <c r="H10" s="266">
        <f t="shared" ref="H10:H17" si="3">G10*$H$2</f>
        <v>0</v>
      </c>
      <c r="I10" s="159">
        <f t="shared" ref="I10:I17" si="4">H10*118%</f>
        <v>0</v>
      </c>
      <c r="J10" s="118"/>
      <c r="K10" s="151">
        <v>0</v>
      </c>
      <c r="L10" s="151">
        <f t="shared" ref="L10:L17" si="5">K10/118%</f>
        <v>0</v>
      </c>
      <c r="M10" s="151">
        <f>L10/L2</f>
        <v>0</v>
      </c>
      <c r="N10" s="159">
        <f t="shared" ref="N10:N17" si="6">+M10</f>
        <v>0</v>
      </c>
      <c r="O10" s="266">
        <f t="shared" ref="O10:O17" si="7">N10*$O$2</f>
        <v>0</v>
      </c>
      <c r="P10" s="159">
        <f t="shared" ref="P10:P17" si="8">O10*118%</f>
        <v>0</v>
      </c>
      <c r="Q10" s="118"/>
      <c r="R10" s="151"/>
      <c r="S10" s="151">
        <f t="shared" ref="S10:S17" si="9">R10/118%</f>
        <v>0</v>
      </c>
      <c r="T10" s="151">
        <f>S10/S2</f>
        <v>0</v>
      </c>
      <c r="U10" s="159">
        <f t="shared" ref="U10:U17" si="10">+T10</f>
        <v>0</v>
      </c>
      <c r="V10" s="266">
        <f t="shared" ref="V10:V17" si="11">U10*$V$2</f>
        <v>0</v>
      </c>
      <c r="W10" s="159">
        <f t="shared" ref="W10:W17" si="12">V10*118%</f>
        <v>0</v>
      </c>
      <c r="X10" s="118"/>
      <c r="Y10" s="151"/>
      <c r="Z10" s="151">
        <f t="shared" ref="Z10:Z17" si="13">Y10/118%</f>
        <v>0</v>
      </c>
      <c r="AA10" s="151">
        <f>Z10/Z2</f>
        <v>0</v>
      </c>
      <c r="AB10" s="159">
        <f t="shared" ref="AB10:AB17" si="14">+AA10</f>
        <v>0</v>
      </c>
      <c r="AC10" s="266">
        <f t="shared" ref="AC10:AC17" si="15">AB10*$AC$2</f>
        <v>0</v>
      </c>
      <c r="AD10" s="159">
        <f t="shared" ref="AD10:AD17" si="16">AC10*118%</f>
        <v>0</v>
      </c>
      <c r="AE10" s="118"/>
      <c r="AF10" s="151"/>
      <c r="AG10" s="151">
        <f t="shared" ref="AG10:AG17" si="17">AF10/118%</f>
        <v>0</v>
      </c>
      <c r="AH10" s="151">
        <f>AG10/AG2</f>
        <v>0</v>
      </c>
      <c r="AI10" s="96">
        <f t="shared" ref="AI10:AI17" si="18">+AH10</f>
        <v>0</v>
      </c>
      <c r="AJ10" s="267">
        <f t="shared" ref="AJ10:AJ17" si="19">AI10*$AJ$2</f>
        <v>0</v>
      </c>
      <c r="AK10" s="96">
        <f t="shared" ref="AK10:AK17" si="20">AJ10*118%</f>
        <v>0</v>
      </c>
      <c r="AL10" s="118"/>
      <c r="AM10" s="151"/>
      <c r="AN10" s="151">
        <f t="shared" ref="AN10:AN17" si="21">AM10/118%</f>
        <v>0</v>
      </c>
      <c r="AO10" s="151">
        <f>AN10/AN2</f>
        <v>0</v>
      </c>
      <c r="AP10" s="96">
        <f t="shared" ref="AP10:AP17" si="22">+AO10</f>
        <v>0</v>
      </c>
      <c r="AQ10" s="267">
        <f t="shared" ref="AQ10:AQ17" si="23">AP10*$AQ$2</f>
        <v>0</v>
      </c>
      <c r="AR10" s="96">
        <f t="shared" ref="AR10:AR17" si="24">AQ10*118%</f>
        <v>0</v>
      </c>
      <c r="AS10" s="118"/>
      <c r="AT10" s="287"/>
      <c r="AU10" s="287">
        <f t="shared" ref="AU10:AU16" si="25">AT10/118%</f>
        <v>0</v>
      </c>
      <c r="AV10" s="288">
        <f t="shared" ref="AV10:AV17" si="26">AU10/AU$2</f>
        <v>0</v>
      </c>
      <c r="AW10" s="96">
        <f t="shared" ref="AW10:AW17" si="27">+AV10</f>
        <v>0</v>
      </c>
      <c r="AX10" s="267">
        <f t="shared" ref="AX10:AX17" si="28">AW10*$AX$2</f>
        <v>0</v>
      </c>
      <c r="AY10" s="96">
        <f t="shared" ref="AY10:AY17" si="29">AX10*118%</f>
        <v>0</v>
      </c>
      <c r="AZ10" s="118"/>
      <c r="BA10" s="287"/>
      <c r="BB10" s="287"/>
      <c r="BC10" s="288"/>
      <c r="BD10" s="96">
        <f t="shared" ref="BD10:BD17" si="30">+BC10</f>
        <v>0</v>
      </c>
      <c r="BE10" s="267">
        <f>BD10*$BE$2</f>
        <v>0</v>
      </c>
      <c r="BF10" s="96">
        <f t="shared" ref="BF10:BF17" si="31">BE10*118%</f>
        <v>0</v>
      </c>
      <c r="BG10" s="118"/>
      <c r="BH10" s="151"/>
      <c r="BI10" s="151">
        <f t="shared" ref="BI10:BI17" si="32">BH10/118%</f>
        <v>0</v>
      </c>
      <c r="BJ10" s="151">
        <f>BI10/BI2</f>
        <v>0</v>
      </c>
      <c r="BK10" s="210"/>
      <c r="BL10" s="210">
        <f>BK10*BL2</f>
        <v>0</v>
      </c>
      <c r="BM10" s="210">
        <f t="shared" ref="BM10:BM17" si="33">BL10*118%</f>
        <v>0</v>
      </c>
      <c r="BN10" s="118"/>
      <c r="BO10" s="151"/>
      <c r="BP10" s="151">
        <f t="shared" ref="BP10:BP17" si="34">BO10/118%</f>
        <v>0</v>
      </c>
      <c r="BQ10" s="151">
        <f>BP10/BP2</f>
        <v>0</v>
      </c>
      <c r="BR10" s="210"/>
      <c r="BS10" s="210">
        <f>BR10*BS2</f>
        <v>0</v>
      </c>
      <c r="BT10" s="210">
        <f t="shared" ref="BT10:BT17" si="35">BS10*118%</f>
        <v>0</v>
      </c>
      <c r="BU10" s="118"/>
      <c r="BV10" s="151"/>
      <c r="BW10" s="151">
        <f t="shared" ref="BW10:BW17" si="36">BV10/118%</f>
        <v>0</v>
      </c>
      <c r="BX10" s="151">
        <f>BW10/BW2</f>
        <v>0</v>
      </c>
      <c r="BY10" s="96">
        <f t="shared" ref="BY10:BY17" si="37">+BX10</f>
        <v>0</v>
      </c>
      <c r="BZ10" s="96">
        <f t="shared" ref="BZ10:BZ17" si="38">BY10*$BZ$2</f>
        <v>0</v>
      </c>
      <c r="CA10" s="96">
        <f t="shared" ref="CA10:CA17" si="39">BZ10*118%</f>
        <v>0</v>
      </c>
      <c r="CB10" s="118"/>
      <c r="CC10" s="151"/>
      <c r="CD10" s="151">
        <f t="shared" ref="CD10:CD17" si="40">CC10/118%</f>
        <v>0</v>
      </c>
      <c r="CE10" s="151">
        <f>CD10/CD2</f>
        <v>0</v>
      </c>
      <c r="CF10" s="96">
        <f t="shared" ref="CF10:CF17" si="41">+CE10</f>
        <v>0</v>
      </c>
      <c r="CG10" s="267">
        <f t="shared" ref="CG10:CG17" si="42">CF10*$CG$2</f>
        <v>0</v>
      </c>
      <c r="CH10" s="96">
        <f t="shared" ref="CH10:CH17" si="43">CG10*118%</f>
        <v>0</v>
      </c>
      <c r="CI10" s="118"/>
      <c r="CJ10" s="151"/>
      <c r="CK10" s="151">
        <f t="shared" ref="CK10:CK17" si="44">CJ10/118%</f>
        <v>0</v>
      </c>
      <c r="CL10" s="151">
        <f>CK10/CK2</f>
        <v>0</v>
      </c>
      <c r="CM10" s="96">
        <f t="shared" ref="CM10:CM17" si="45">+CL10</f>
        <v>0</v>
      </c>
      <c r="CN10" s="267">
        <f t="shared" ref="CN10:CN17" si="46">CM10*CN$2</f>
        <v>0</v>
      </c>
      <c r="CO10" s="96">
        <f t="shared" ref="CO10:CO17" si="47">CN10*118%</f>
        <v>0</v>
      </c>
      <c r="CP10" s="118"/>
      <c r="CQ10" s="151"/>
      <c r="CR10" s="151">
        <f t="shared" ref="CR10:CR17" si="48">CQ10/118%</f>
        <v>0</v>
      </c>
      <c r="CS10" s="151">
        <f>CR10/CR2</f>
        <v>0</v>
      </c>
      <c r="CT10" s="96">
        <f t="shared" ref="CT10:CT17" si="49">+CS10</f>
        <v>0</v>
      </c>
      <c r="CU10" s="267">
        <f t="shared" ref="CU10:CU17" si="50">CT10*CU$2</f>
        <v>0</v>
      </c>
      <c r="CV10" s="96">
        <f t="shared" ref="CV10:CV17" si="51">CU10*118%</f>
        <v>0</v>
      </c>
      <c r="CW10" s="118"/>
      <c r="CX10" s="151"/>
      <c r="CY10" s="151">
        <f t="shared" ref="CY10:CY17" si="52">CX10/118%</f>
        <v>0</v>
      </c>
      <c r="CZ10" s="151">
        <f>CY10/CY2</f>
        <v>0</v>
      </c>
      <c r="DA10" s="210"/>
      <c r="DB10" s="210">
        <f>DA10*DB2</f>
        <v>0</v>
      </c>
      <c r="DC10" s="210">
        <f t="shared" ref="DC10:DC17" si="53">DB10*118%</f>
        <v>0</v>
      </c>
      <c r="DD10" s="118"/>
      <c r="DE10" s="151"/>
      <c r="DF10" s="151">
        <f t="shared" ref="DF10:DF17" si="54">DE10/118%</f>
        <v>0</v>
      </c>
      <c r="DG10" s="151">
        <f>DF10/DF2</f>
        <v>0</v>
      </c>
      <c r="DH10" s="159">
        <f t="shared" ref="DH10:DH16" si="55">+DG10</f>
        <v>0</v>
      </c>
      <c r="DI10" s="266">
        <f t="shared" ref="DI10:DI17" si="56">DH10*$DI$2</f>
        <v>0</v>
      </c>
      <c r="DJ10" s="159">
        <f t="shared" ref="DJ10:DJ17" si="57">DI10*118%</f>
        <v>0</v>
      </c>
      <c r="DK10" s="118"/>
      <c r="DL10" s="151"/>
      <c r="DM10" s="151">
        <f t="shared" ref="DM10:DM17" si="58">DL10/118%</f>
        <v>0</v>
      </c>
      <c r="DN10" s="151">
        <f>DM10/DM2</f>
        <v>0</v>
      </c>
      <c r="DO10" s="96">
        <f t="shared" ref="DO10:DO17" si="59">+DN10</f>
        <v>0</v>
      </c>
      <c r="DP10" s="267">
        <f t="shared" ref="DP10:DP17" si="60">DO10*$DP$2</f>
        <v>0</v>
      </c>
      <c r="DQ10" s="96">
        <f t="shared" ref="DQ10:DQ17" si="61">DP10*118%</f>
        <v>0</v>
      </c>
      <c r="DR10" s="118"/>
      <c r="DS10" s="151"/>
      <c r="DT10" s="151">
        <f t="shared" ref="DT10:DT17" si="62">DS10/114%</f>
        <v>0</v>
      </c>
      <c r="DU10" s="133">
        <f t="shared" ref="DU10:DU17" si="63">DT10/$DS$2</f>
        <v>0</v>
      </c>
      <c r="DV10" s="159">
        <f t="shared" ref="DV10:DV17" si="64">+DU10</f>
        <v>0</v>
      </c>
      <c r="DW10" s="266">
        <f t="shared" ref="DW10:DW17" si="65">DV10*$DW$2</f>
        <v>0</v>
      </c>
      <c r="DX10" s="159">
        <f t="shared" ref="DX10:DX17" si="66">DW10*118%</f>
        <v>0</v>
      </c>
      <c r="DY10" s="118"/>
      <c r="DZ10" s="151"/>
      <c r="EA10" s="151">
        <f t="shared" ref="EA10:EA17" si="67">DZ10/118%</f>
        <v>0</v>
      </c>
      <c r="EB10" s="151">
        <f>EA10/EA2</f>
        <v>0</v>
      </c>
      <c r="EC10" s="96">
        <f t="shared" ref="EC10:EC17" si="68">+EB10</f>
        <v>0</v>
      </c>
      <c r="ED10" s="267">
        <f t="shared" ref="ED10:ED17" si="69">EC10*$ED$2</f>
        <v>0</v>
      </c>
      <c r="EE10" s="96">
        <f t="shared" ref="EE10:EE17" si="70">ED10*118%</f>
        <v>0</v>
      </c>
      <c r="EF10" s="118"/>
      <c r="EG10" s="151"/>
      <c r="EH10" s="151">
        <f t="shared" ref="EH10:EH17" si="71">EG10/118%</f>
        <v>0</v>
      </c>
      <c r="EI10" s="151">
        <f>EH10/EH2</f>
        <v>0</v>
      </c>
      <c r="EJ10" s="210"/>
      <c r="EK10" s="210">
        <f>EJ10*EK2</f>
        <v>0</v>
      </c>
      <c r="EL10" s="210">
        <f t="shared" ref="EL10:EL17" si="72">EK10*118%</f>
        <v>0</v>
      </c>
      <c r="EM10" s="118"/>
      <c r="EN10" s="151"/>
      <c r="EO10" s="151">
        <f t="shared" ref="EO10:EO17" si="73">EN10/118%</f>
        <v>0</v>
      </c>
      <c r="EP10" s="151">
        <f>EO10/EO2</f>
        <v>0</v>
      </c>
      <c r="EQ10" s="159">
        <f t="shared" ref="EQ10:EQ16" si="74">+EP10</f>
        <v>0</v>
      </c>
      <c r="ER10" s="266">
        <f t="shared" ref="ER10:ER17" si="75">EQ10*$ER$2</f>
        <v>0</v>
      </c>
      <c r="ES10" s="159">
        <f t="shared" ref="ES10:ES17" si="76">ER10*118%</f>
        <v>0</v>
      </c>
      <c r="ET10" s="118"/>
      <c r="EU10" s="151"/>
      <c r="EV10" s="151">
        <f t="shared" ref="EV10:EV17" si="77">EU10/118%</f>
        <v>0</v>
      </c>
      <c r="EW10" s="151">
        <f>EV10/EV2</f>
        <v>0</v>
      </c>
      <c r="EX10" s="96">
        <f t="shared" ref="EX10:EX17" si="78">+EW10</f>
        <v>0</v>
      </c>
      <c r="EY10" s="267">
        <f t="shared" ref="EY10:EY17" si="79">EX10*$EY$2</f>
        <v>0</v>
      </c>
      <c r="EZ10" s="96">
        <f t="shared" ref="EZ10:EZ17" si="80">EY10*118%</f>
        <v>0</v>
      </c>
      <c r="FA10" s="118"/>
      <c r="FB10" s="151"/>
      <c r="FC10" s="151">
        <f t="shared" ref="FC10:FC17" si="81">FB10/118%</f>
        <v>0</v>
      </c>
      <c r="FD10" s="151">
        <f>FC10/FC2</f>
        <v>0</v>
      </c>
      <c r="FE10" s="96">
        <f t="shared" ref="FE10:FE17" si="82">+FD10</f>
        <v>0</v>
      </c>
      <c r="FF10" s="267">
        <f t="shared" ref="FF10:FF17" si="83">FE10*$FF$2</f>
        <v>0</v>
      </c>
      <c r="FG10" s="96">
        <f t="shared" ref="FG10:FG17" si="84">FF10*118%</f>
        <v>0</v>
      </c>
      <c r="FH10" s="118"/>
      <c r="FI10" s="287"/>
      <c r="FJ10" s="287">
        <f>FI10/118%</f>
        <v>0</v>
      </c>
      <c r="FK10" s="288">
        <f t="shared" ref="FK10:FK17" si="85">FJ10/FJ$2</f>
        <v>0</v>
      </c>
      <c r="FL10" s="96">
        <f t="shared" ref="FL10:FL16" si="86">+FK10</f>
        <v>0</v>
      </c>
      <c r="FM10" s="267">
        <f t="shared" ref="FM10:FM17" si="87">FL10*$FM$2</f>
        <v>0</v>
      </c>
      <c r="FN10" s="139">
        <f t="shared" ref="FN10:FN17" si="88">FM10*118%</f>
        <v>0</v>
      </c>
      <c r="FO10" s="118"/>
      <c r="FP10" s="151"/>
      <c r="FQ10" s="151">
        <f t="shared" ref="FQ10:FQ17" si="89">FP10/118%</f>
        <v>0</v>
      </c>
      <c r="FR10" s="151">
        <f>FQ10/FQ2</f>
        <v>0</v>
      </c>
      <c r="FS10" s="96">
        <f t="shared" ref="FS10:FS17" si="90">+FR10</f>
        <v>0</v>
      </c>
      <c r="FT10" s="267">
        <f t="shared" ref="FT10:FT17" si="91">FS10*$FT$2</f>
        <v>0</v>
      </c>
      <c r="FU10" s="96">
        <f t="shared" ref="FU10:FU17" si="92">FT10*118%</f>
        <v>0</v>
      </c>
      <c r="FV10" s="118"/>
      <c r="FW10" s="151"/>
      <c r="FX10" s="151">
        <f t="shared" ref="FX10:FX17" si="93">FW10/118%</f>
        <v>0</v>
      </c>
      <c r="FY10" s="151">
        <f>FX10/FX2</f>
        <v>0</v>
      </c>
      <c r="FZ10" s="96">
        <f t="shared" ref="FZ10:FZ17" si="94">+FY10</f>
        <v>0</v>
      </c>
      <c r="GA10" s="267">
        <f t="shared" ref="GA10:GA17" si="95">FZ10*$GA$2</f>
        <v>0</v>
      </c>
      <c r="GB10" s="96">
        <f t="shared" ref="GB10:GB17" si="96">GA10*118%</f>
        <v>0</v>
      </c>
      <c r="GC10" s="118"/>
      <c r="GD10" s="151"/>
      <c r="GE10" s="151">
        <f t="shared" ref="GE10:GE17" si="97">GD10/118%</f>
        <v>0</v>
      </c>
      <c r="GF10" s="151">
        <f>GE10/GE2</f>
        <v>0</v>
      </c>
      <c r="GG10" s="159">
        <f t="shared" ref="GG10:GG17" si="98">+GF10</f>
        <v>0</v>
      </c>
      <c r="GH10" s="266">
        <f t="shared" ref="GH10:GH17" si="99">GG10*$GH$2</f>
        <v>0</v>
      </c>
      <c r="GI10" s="159">
        <f t="shared" ref="GI10:GI17" si="100">GH10*118%</f>
        <v>0</v>
      </c>
      <c r="GJ10" s="118"/>
      <c r="GK10" s="151"/>
      <c r="GL10" s="151">
        <f t="shared" ref="GL10:GL17" si="101">GK10/118%</f>
        <v>0</v>
      </c>
      <c r="GM10" s="270">
        <f t="shared" ref="GM10:GM17" si="102">GL10/$GL$2</f>
        <v>0</v>
      </c>
      <c r="GN10" s="159">
        <f t="shared" ref="GN10:GN16" si="103">+GM10</f>
        <v>0</v>
      </c>
      <c r="GO10" s="266">
        <f t="shared" ref="GO10:GO17" si="104">GN10*$GO$2</f>
        <v>0</v>
      </c>
      <c r="GP10" s="159">
        <f t="shared" ref="GP10:GP17" si="105">GO10*118%</f>
        <v>0</v>
      </c>
      <c r="GQ10" s="118"/>
      <c r="GR10" s="151"/>
      <c r="GS10" s="151">
        <f t="shared" ref="GS10:GS17" si="106">GR10/118%</f>
        <v>0</v>
      </c>
      <c r="GT10" s="151">
        <f>GS10/GS2</f>
        <v>0</v>
      </c>
      <c r="GU10" s="96">
        <f t="shared" ref="GU10:GU17" si="107">+GT10</f>
        <v>0</v>
      </c>
      <c r="GV10" s="267">
        <f t="shared" ref="GV10:GV17" si="108">GU10*$GV$2</f>
        <v>0</v>
      </c>
      <c r="GW10" s="96">
        <f t="shared" ref="GW10:GW17" si="109">GV10*118%</f>
        <v>0</v>
      </c>
      <c r="GX10" s="118"/>
      <c r="GY10" s="151"/>
      <c r="GZ10" s="151">
        <f t="shared" ref="GZ10:GZ17" si="110">GY10/118%</f>
        <v>0</v>
      </c>
      <c r="HA10" s="151">
        <f>GZ10/GZ2</f>
        <v>0</v>
      </c>
      <c r="HB10" s="159">
        <f t="shared" ref="HB10:HB16" si="111">+HA10</f>
        <v>0</v>
      </c>
      <c r="HC10" s="266">
        <f t="shared" ref="HC10:HC17" si="112">HB10*$HC$2</f>
        <v>0</v>
      </c>
      <c r="HD10" s="159">
        <f t="shared" ref="HD10:HD17" si="113">HC10*118%</f>
        <v>0</v>
      </c>
      <c r="HE10" s="118"/>
      <c r="HF10" s="151"/>
      <c r="HG10" s="151">
        <f t="shared" ref="HG10:HG17" si="114">HF10/118%</f>
        <v>0</v>
      </c>
      <c r="HH10" s="151">
        <f>HG10/HG2</f>
        <v>0</v>
      </c>
      <c r="HI10" s="210"/>
      <c r="HJ10" s="210">
        <f>HI10*HJ2</f>
        <v>0</v>
      </c>
      <c r="HK10" s="210">
        <f t="shared" ref="HK10:HK17" si="115">HJ10*118%</f>
        <v>0</v>
      </c>
      <c r="HL10" s="118"/>
      <c r="HM10" s="151"/>
      <c r="HN10" s="151">
        <f t="shared" ref="HN10:HN17" si="116">HM10/118%</f>
        <v>0</v>
      </c>
      <c r="HO10" s="151">
        <f>HN10/HN2</f>
        <v>0</v>
      </c>
      <c r="HP10" s="96">
        <f t="shared" ref="HP10:HP17" si="117">+HO10</f>
        <v>0</v>
      </c>
      <c r="HQ10" s="267">
        <f t="shared" ref="HQ10:HQ17" si="118">HP10*$HQ$2</f>
        <v>0</v>
      </c>
      <c r="HR10" s="96">
        <f t="shared" ref="HR10:HR17" si="119">HQ10*118%</f>
        <v>0</v>
      </c>
      <c r="HS10" s="118"/>
      <c r="HT10" s="318">
        <f t="shared" si="0"/>
        <v>0</v>
      </c>
      <c r="HU10" s="151">
        <f t="shared" ref="HU10:HU18" si="120">HT10*118%</f>
        <v>0</v>
      </c>
      <c r="HV10" s="319"/>
    </row>
    <row r="11" spans="1:230">
      <c r="A11" s="18">
        <v>3</v>
      </c>
      <c r="B11" s="19" t="s">
        <v>14</v>
      </c>
      <c r="C11" s="118"/>
      <c r="D11" s="151">
        <v>8760.7919999999995</v>
      </c>
      <c r="E11" s="151">
        <f t="shared" si="1"/>
        <v>7424.4</v>
      </c>
      <c r="F11" s="151">
        <f>E11/E2</f>
        <v>30</v>
      </c>
      <c r="G11" s="159">
        <v>40</v>
      </c>
      <c r="H11" s="266">
        <f t="shared" si="3"/>
        <v>20322.432000000001</v>
      </c>
      <c r="I11" s="159">
        <f t="shared" si="4"/>
        <v>23980.46976</v>
      </c>
      <c r="J11" s="118"/>
      <c r="K11" s="151">
        <v>8760.7919999999995</v>
      </c>
      <c r="L11" s="151">
        <f t="shared" si="5"/>
        <v>7424.4</v>
      </c>
      <c r="M11" s="151">
        <f>L11/L2</f>
        <v>106.06285714285714</v>
      </c>
      <c r="N11" s="159">
        <v>40</v>
      </c>
      <c r="O11" s="266">
        <f t="shared" si="7"/>
        <v>20322.432000000001</v>
      </c>
      <c r="P11" s="159">
        <f t="shared" si="8"/>
        <v>23980.46976</v>
      </c>
      <c r="Q11" s="118"/>
      <c r="R11" s="151"/>
      <c r="S11" s="151">
        <f t="shared" si="9"/>
        <v>0</v>
      </c>
      <c r="T11" s="151">
        <f>S11/S2</f>
        <v>0</v>
      </c>
      <c r="U11" s="159">
        <v>40</v>
      </c>
      <c r="V11" s="266">
        <f t="shared" si="11"/>
        <v>15388.214399999999</v>
      </c>
      <c r="W11" s="159">
        <f t="shared" si="12"/>
        <v>18158.092991999998</v>
      </c>
      <c r="X11" s="118"/>
      <c r="Y11" s="151"/>
      <c r="Z11" s="151">
        <f t="shared" si="13"/>
        <v>0</v>
      </c>
      <c r="AA11" s="151">
        <f>Z11/Z2</f>
        <v>0</v>
      </c>
      <c r="AB11" s="159">
        <v>40</v>
      </c>
      <c r="AC11" s="266">
        <f t="shared" si="15"/>
        <v>15388.214399999999</v>
      </c>
      <c r="AD11" s="159">
        <f t="shared" si="16"/>
        <v>18158.092991999998</v>
      </c>
      <c r="AE11" s="118"/>
      <c r="AF11" s="151"/>
      <c r="AG11" s="151">
        <f t="shared" si="17"/>
        <v>0</v>
      </c>
      <c r="AH11" s="151">
        <f>AG11/AG2</f>
        <v>0</v>
      </c>
      <c r="AI11" s="96">
        <v>30</v>
      </c>
      <c r="AJ11" s="267">
        <f t="shared" si="19"/>
        <v>53669.303999999989</v>
      </c>
      <c r="AK11" s="96">
        <f t="shared" si="20"/>
        <v>63329.778719999988</v>
      </c>
      <c r="AL11" s="118"/>
      <c r="AM11" s="151"/>
      <c r="AN11" s="151">
        <f t="shared" si="21"/>
        <v>0</v>
      </c>
      <c r="AO11" s="151">
        <f>AN11/AN2</f>
        <v>0</v>
      </c>
      <c r="AP11" s="96">
        <v>40</v>
      </c>
      <c r="AQ11" s="267">
        <f t="shared" si="23"/>
        <v>29979.892799999998</v>
      </c>
      <c r="AR11" s="96">
        <f t="shared" si="24"/>
        <v>35376.273503999997</v>
      </c>
      <c r="AS11" s="118"/>
      <c r="AT11" s="287"/>
      <c r="AU11" s="287">
        <f t="shared" si="25"/>
        <v>0</v>
      </c>
      <c r="AV11" s="288">
        <f t="shared" si="26"/>
        <v>0</v>
      </c>
      <c r="AW11" s="96">
        <v>50</v>
      </c>
      <c r="AX11" s="267">
        <f t="shared" si="28"/>
        <v>89448.839999999982</v>
      </c>
      <c r="AY11" s="96">
        <f t="shared" si="29"/>
        <v>105549.63119999997</v>
      </c>
      <c r="AZ11" s="118"/>
      <c r="BA11" s="287"/>
      <c r="BB11" s="287"/>
      <c r="BC11" s="288"/>
      <c r="BD11" s="96">
        <v>40</v>
      </c>
      <c r="BE11" s="267">
        <f t="shared" ref="BE11:BE17" si="121">BD11*$BE$2</f>
        <v>38879.567999999992</v>
      </c>
      <c r="BF11" s="96">
        <f t="shared" si="31"/>
        <v>45877.890239999986</v>
      </c>
      <c r="BG11" s="118"/>
      <c r="BH11" s="151"/>
      <c r="BI11" s="151">
        <f t="shared" si="32"/>
        <v>0</v>
      </c>
      <c r="BJ11" s="151">
        <f>BI11/BI2</f>
        <v>0</v>
      </c>
      <c r="BK11" s="210"/>
      <c r="BL11" s="210">
        <f>BK11*BL2</f>
        <v>0</v>
      </c>
      <c r="BM11" s="210">
        <f t="shared" si="33"/>
        <v>0</v>
      </c>
      <c r="BN11" s="118"/>
      <c r="BO11" s="151"/>
      <c r="BP11" s="151">
        <f t="shared" si="34"/>
        <v>0</v>
      </c>
      <c r="BQ11" s="151">
        <f>BP11/BP2</f>
        <v>0</v>
      </c>
      <c r="BR11" s="210"/>
      <c r="BS11" s="210">
        <f>BR11*BS2</f>
        <v>0</v>
      </c>
      <c r="BT11" s="210">
        <f t="shared" si="35"/>
        <v>0</v>
      </c>
      <c r="BU11" s="118"/>
      <c r="BV11" s="151"/>
      <c r="BW11" s="151">
        <f t="shared" si="36"/>
        <v>0</v>
      </c>
      <c r="BX11" s="151">
        <f>BW11/BW2</f>
        <v>0</v>
      </c>
      <c r="BY11" s="96">
        <v>10</v>
      </c>
      <c r="BZ11" s="96">
        <f t="shared" si="38"/>
        <v>31969.079999999998</v>
      </c>
      <c r="CA11" s="96">
        <f t="shared" si="39"/>
        <v>37723.514399999993</v>
      </c>
      <c r="CB11" s="118"/>
      <c r="CC11" s="151"/>
      <c r="CD11" s="151">
        <f t="shared" si="40"/>
        <v>0</v>
      </c>
      <c r="CE11" s="151">
        <f>CD11/CD2</f>
        <v>0</v>
      </c>
      <c r="CF11" s="96">
        <v>60</v>
      </c>
      <c r="CG11" s="267">
        <f t="shared" si="42"/>
        <v>19698.12</v>
      </c>
      <c r="CH11" s="96">
        <f t="shared" si="43"/>
        <v>23243.781599999998</v>
      </c>
      <c r="CI11" s="118"/>
      <c r="CJ11" s="151"/>
      <c r="CK11" s="151">
        <f t="shared" si="44"/>
        <v>0</v>
      </c>
      <c r="CL11" s="151">
        <f>CK11/CK2</f>
        <v>0</v>
      </c>
      <c r="CM11" s="96">
        <v>60</v>
      </c>
      <c r="CN11" s="267">
        <f t="shared" si="46"/>
        <v>19698.12</v>
      </c>
      <c r="CO11" s="96">
        <f t="shared" si="47"/>
        <v>23243.781599999998</v>
      </c>
      <c r="CP11" s="118"/>
      <c r="CQ11" s="151"/>
      <c r="CR11" s="151">
        <f t="shared" si="48"/>
        <v>0</v>
      </c>
      <c r="CS11" s="151">
        <f>CR11/CR2</f>
        <v>0</v>
      </c>
      <c r="CT11" s="96">
        <v>60</v>
      </c>
      <c r="CU11" s="267">
        <f t="shared" si="50"/>
        <v>19698.12</v>
      </c>
      <c r="CV11" s="96">
        <f t="shared" si="51"/>
        <v>23243.781599999998</v>
      </c>
      <c r="CW11" s="118"/>
      <c r="CX11" s="151"/>
      <c r="CY11" s="151">
        <f t="shared" si="52"/>
        <v>0</v>
      </c>
      <c r="CZ11" s="151">
        <f>CY11/CY2</f>
        <v>0</v>
      </c>
      <c r="DA11" s="210"/>
      <c r="DB11" s="210">
        <f>DA11*DB2</f>
        <v>0</v>
      </c>
      <c r="DC11" s="210">
        <f t="shared" si="53"/>
        <v>0</v>
      </c>
      <c r="DD11" s="118"/>
      <c r="DE11" s="151"/>
      <c r="DF11" s="151">
        <f t="shared" si="54"/>
        <v>0</v>
      </c>
      <c r="DG11" s="151">
        <f>DF11/DF2</f>
        <v>0</v>
      </c>
      <c r="DH11" s="159">
        <v>60</v>
      </c>
      <c r="DI11" s="266">
        <f t="shared" si="56"/>
        <v>22791.693599999995</v>
      </c>
      <c r="DJ11" s="159">
        <f t="shared" si="57"/>
        <v>26894.198447999992</v>
      </c>
      <c r="DK11" s="118"/>
      <c r="DL11" s="151"/>
      <c r="DM11" s="151">
        <f t="shared" si="58"/>
        <v>0</v>
      </c>
      <c r="DN11" s="151">
        <f>DM11/DM2</f>
        <v>0</v>
      </c>
      <c r="DO11" s="96">
        <v>40</v>
      </c>
      <c r="DP11" s="267">
        <f t="shared" si="60"/>
        <v>26414.856</v>
      </c>
      <c r="DQ11" s="96">
        <f t="shared" si="61"/>
        <v>31169.530079999997</v>
      </c>
      <c r="DR11" s="118"/>
      <c r="DS11" s="151"/>
      <c r="DT11" s="151">
        <f t="shared" si="62"/>
        <v>0</v>
      </c>
      <c r="DU11" s="133">
        <f t="shared" si="63"/>
        <v>0</v>
      </c>
      <c r="DV11" s="159">
        <v>40</v>
      </c>
      <c r="DW11" s="266">
        <f t="shared" si="65"/>
        <v>30720.455999999995</v>
      </c>
      <c r="DX11" s="159">
        <f t="shared" si="66"/>
        <v>36250.13807999999</v>
      </c>
      <c r="DY11" s="118"/>
      <c r="DZ11" s="151"/>
      <c r="EA11" s="151">
        <f t="shared" si="67"/>
        <v>0</v>
      </c>
      <c r="EB11" s="151">
        <f>EA11/EA2</f>
        <v>0</v>
      </c>
      <c r="EC11" s="96">
        <v>40</v>
      </c>
      <c r="ED11" s="267">
        <f t="shared" si="69"/>
        <v>14206.327199999998</v>
      </c>
      <c r="EE11" s="96">
        <f t="shared" si="70"/>
        <v>16763.466095999996</v>
      </c>
      <c r="EF11" s="118"/>
      <c r="EG11" s="151"/>
      <c r="EH11" s="151">
        <f t="shared" si="71"/>
        <v>0</v>
      </c>
      <c r="EI11" s="151">
        <f>EH11/EH2</f>
        <v>0</v>
      </c>
      <c r="EJ11" s="210"/>
      <c r="EK11" s="210">
        <f>EJ11*EK2</f>
        <v>0</v>
      </c>
      <c r="EL11" s="210">
        <f t="shared" si="72"/>
        <v>0</v>
      </c>
      <c r="EM11" s="118"/>
      <c r="EN11" s="151"/>
      <c r="EO11" s="151">
        <f t="shared" si="73"/>
        <v>0</v>
      </c>
      <c r="EP11" s="151">
        <f>EO11/EO2</f>
        <v>0</v>
      </c>
      <c r="EQ11" s="159">
        <v>50</v>
      </c>
      <c r="ER11" s="266">
        <f t="shared" si="75"/>
        <v>17757.909</v>
      </c>
      <c r="ES11" s="159">
        <f t="shared" si="76"/>
        <v>20954.332619999997</v>
      </c>
      <c r="ET11" s="118"/>
      <c r="EU11" s="151"/>
      <c r="EV11" s="151">
        <f t="shared" si="77"/>
        <v>0</v>
      </c>
      <c r="EW11" s="151">
        <f>EV11/EV2</f>
        <v>0</v>
      </c>
      <c r="EX11" s="96">
        <v>40</v>
      </c>
      <c r="EY11" s="267">
        <f t="shared" si="79"/>
        <v>96953.500800000009</v>
      </c>
      <c r="EZ11" s="96">
        <f t="shared" si="80"/>
        <v>114405.130944</v>
      </c>
      <c r="FA11" s="118"/>
      <c r="FB11" s="151"/>
      <c r="FC11" s="151">
        <f t="shared" si="81"/>
        <v>0</v>
      </c>
      <c r="FD11" s="151">
        <f>FC11/FC2</f>
        <v>0</v>
      </c>
      <c r="FE11" s="96">
        <v>15</v>
      </c>
      <c r="FF11" s="267">
        <f t="shared" si="83"/>
        <v>78091.743600000002</v>
      </c>
      <c r="FG11" s="96">
        <f t="shared" si="84"/>
        <v>92148.257448000004</v>
      </c>
      <c r="FH11" s="118"/>
      <c r="FI11" s="287"/>
      <c r="FJ11" s="287">
        <f>FI11/118%</f>
        <v>0</v>
      </c>
      <c r="FK11" s="288">
        <f t="shared" si="85"/>
        <v>0</v>
      </c>
      <c r="FL11" s="96">
        <v>30</v>
      </c>
      <c r="FM11" s="267">
        <f t="shared" si="87"/>
        <v>43647.481799999994</v>
      </c>
      <c r="FN11" s="139">
        <f t="shared" si="88"/>
        <v>51504.028523999994</v>
      </c>
      <c r="FO11" s="118"/>
      <c r="FP11" s="151"/>
      <c r="FQ11" s="151">
        <f t="shared" si="89"/>
        <v>0</v>
      </c>
      <c r="FR11" s="151">
        <f>FQ11/FQ2</f>
        <v>0</v>
      </c>
      <c r="FS11" s="96">
        <v>20</v>
      </c>
      <c r="FT11" s="267">
        <f t="shared" si="91"/>
        <v>29098.321199999995</v>
      </c>
      <c r="FU11" s="96">
        <f t="shared" si="92"/>
        <v>34336.019015999991</v>
      </c>
      <c r="FV11" s="118"/>
      <c r="FW11" s="151"/>
      <c r="FX11" s="151">
        <f t="shared" si="93"/>
        <v>0</v>
      </c>
      <c r="FY11" s="151">
        <f>FX11/FX2</f>
        <v>0</v>
      </c>
      <c r="FZ11" s="96">
        <v>100</v>
      </c>
      <c r="GA11" s="267">
        <f t="shared" si="95"/>
        <v>18836.999999999996</v>
      </c>
      <c r="GB11" s="96">
        <f t="shared" si="96"/>
        <v>22227.659999999996</v>
      </c>
      <c r="GC11" s="118"/>
      <c r="GD11" s="151"/>
      <c r="GE11" s="151">
        <f t="shared" si="97"/>
        <v>0</v>
      </c>
      <c r="GF11" s="151">
        <f>GE11/GE2</f>
        <v>0</v>
      </c>
      <c r="GG11" s="159">
        <v>100</v>
      </c>
      <c r="GH11" s="266">
        <f t="shared" si="99"/>
        <v>36920.519999999997</v>
      </c>
      <c r="GI11" s="159">
        <f t="shared" si="100"/>
        <v>43566.213599999995</v>
      </c>
      <c r="GJ11" s="118"/>
      <c r="GK11" s="151"/>
      <c r="GL11" s="151">
        <f t="shared" si="101"/>
        <v>0</v>
      </c>
      <c r="GM11" s="270">
        <f t="shared" si="102"/>
        <v>0</v>
      </c>
      <c r="GN11" s="159">
        <v>50</v>
      </c>
      <c r="GO11" s="266">
        <f t="shared" si="104"/>
        <v>14079.311999999998</v>
      </c>
      <c r="GP11" s="159">
        <f t="shared" si="105"/>
        <v>16613.588159999996</v>
      </c>
      <c r="GQ11" s="118"/>
      <c r="GR11" s="151"/>
      <c r="GS11" s="151">
        <f t="shared" si="106"/>
        <v>0</v>
      </c>
      <c r="GT11" s="151">
        <f>GS11/GS2</f>
        <v>0</v>
      </c>
      <c r="GU11" s="96">
        <v>60</v>
      </c>
      <c r="GV11" s="267">
        <f t="shared" si="108"/>
        <v>26330.896799999999</v>
      </c>
      <c r="GW11" s="96">
        <f t="shared" si="109"/>
        <v>31070.458223999998</v>
      </c>
      <c r="GX11" s="118"/>
      <c r="GY11" s="151"/>
      <c r="GZ11" s="151">
        <f t="shared" si="110"/>
        <v>0</v>
      </c>
      <c r="HA11" s="151">
        <f>GZ11/GZ2</f>
        <v>0</v>
      </c>
      <c r="HB11" s="159">
        <v>30</v>
      </c>
      <c r="HC11" s="266">
        <f t="shared" si="112"/>
        <v>20263.229999999996</v>
      </c>
      <c r="HD11" s="159">
        <f t="shared" si="113"/>
        <v>23910.611399999994</v>
      </c>
      <c r="HE11" s="118"/>
      <c r="HF11" s="151"/>
      <c r="HG11" s="151">
        <f t="shared" si="114"/>
        <v>0</v>
      </c>
      <c r="HH11" s="151">
        <f>HG11/HG2</f>
        <v>0</v>
      </c>
      <c r="HI11" s="210"/>
      <c r="HJ11" s="210">
        <f>HI11*HJ2</f>
        <v>0</v>
      </c>
      <c r="HK11" s="210">
        <f t="shared" si="115"/>
        <v>0</v>
      </c>
      <c r="HL11" s="118"/>
      <c r="HM11" s="151"/>
      <c r="HN11" s="151">
        <f t="shared" si="116"/>
        <v>0</v>
      </c>
      <c r="HO11" s="151">
        <f>HN11/HN2</f>
        <v>0</v>
      </c>
      <c r="HP11" s="96">
        <v>40</v>
      </c>
      <c r="HQ11" s="267">
        <f t="shared" si="118"/>
        <v>32042.2752</v>
      </c>
      <c r="HR11" s="96">
        <f t="shared" si="119"/>
        <v>37809.884736</v>
      </c>
      <c r="HS11" s="118"/>
      <c r="HT11" s="318">
        <f t="shared" si="0"/>
        <v>882617.86079999991</v>
      </c>
      <c r="HU11" s="151">
        <f t="shared" si="120"/>
        <v>1041489.0757439998</v>
      </c>
      <c r="HV11" s="319"/>
    </row>
    <row r="12" spans="1:230">
      <c r="A12" s="18">
        <v>4</v>
      </c>
      <c r="B12" s="19" t="s">
        <v>15</v>
      </c>
      <c r="C12" s="118"/>
      <c r="D12" s="151">
        <v>14601.32</v>
      </c>
      <c r="E12" s="151">
        <f t="shared" si="1"/>
        <v>12374</v>
      </c>
      <c r="F12" s="151">
        <f>E12/E2</f>
        <v>50</v>
      </c>
      <c r="G12" s="159">
        <v>50</v>
      </c>
      <c r="H12" s="266">
        <f t="shared" si="3"/>
        <v>25403.039999999997</v>
      </c>
      <c r="I12" s="159">
        <f t="shared" si="4"/>
        <v>29975.587199999994</v>
      </c>
      <c r="J12" s="118"/>
      <c r="K12" s="151">
        <v>14601.32</v>
      </c>
      <c r="L12" s="151">
        <f t="shared" si="5"/>
        <v>12374</v>
      </c>
      <c r="M12" s="151">
        <f>L12/L2</f>
        <v>176.77142857142857</v>
      </c>
      <c r="N12" s="159">
        <v>50</v>
      </c>
      <c r="O12" s="266">
        <f t="shared" si="7"/>
        <v>25403.039999999997</v>
      </c>
      <c r="P12" s="159">
        <f t="shared" si="8"/>
        <v>29975.587199999994</v>
      </c>
      <c r="Q12" s="118"/>
      <c r="R12" s="151"/>
      <c r="S12" s="151">
        <f t="shared" si="9"/>
        <v>0</v>
      </c>
      <c r="T12" s="151">
        <f>S12/S2</f>
        <v>0</v>
      </c>
      <c r="U12" s="159">
        <v>50</v>
      </c>
      <c r="V12" s="266">
        <f t="shared" si="11"/>
        <v>19235.268</v>
      </c>
      <c r="W12" s="159">
        <f t="shared" si="12"/>
        <v>22697.616239999999</v>
      </c>
      <c r="X12" s="118"/>
      <c r="Y12" s="151"/>
      <c r="Z12" s="151">
        <f t="shared" si="13"/>
        <v>0</v>
      </c>
      <c r="AA12" s="151">
        <f>Z12/Z2</f>
        <v>0</v>
      </c>
      <c r="AB12" s="159">
        <v>50</v>
      </c>
      <c r="AC12" s="266">
        <f t="shared" si="15"/>
        <v>19235.268</v>
      </c>
      <c r="AD12" s="159">
        <f t="shared" si="16"/>
        <v>22697.616239999999</v>
      </c>
      <c r="AE12" s="118"/>
      <c r="AF12" s="151">
        <v>17700</v>
      </c>
      <c r="AG12" s="151">
        <f t="shared" si="17"/>
        <v>15000</v>
      </c>
      <c r="AH12" s="151">
        <f>AG12/AG2</f>
        <v>99.337748344370866</v>
      </c>
      <c r="AI12" s="96">
        <f t="shared" si="18"/>
        <v>99.337748344370866</v>
      </c>
      <c r="AJ12" s="267">
        <f t="shared" si="19"/>
        <v>177712.92715231786</v>
      </c>
      <c r="AK12" s="96">
        <f t="shared" si="20"/>
        <v>209701.25403973507</v>
      </c>
      <c r="AL12" s="118"/>
      <c r="AM12" s="151">
        <v>177000</v>
      </c>
      <c r="AN12" s="151">
        <f t="shared" si="21"/>
        <v>150000</v>
      </c>
      <c r="AO12" s="151">
        <f>AN12/AN2</f>
        <v>81.049537477306131</v>
      </c>
      <c r="AP12" s="96">
        <f t="shared" si="22"/>
        <v>81.049537477306131</v>
      </c>
      <c r="AQ12" s="267">
        <f t="shared" si="23"/>
        <v>60746.411126480503</v>
      </c>
      <c r="AR12" s="96">
        <f t="shared" si="24"/>
        <v>71680.765129246996</v>
      </c>
      <c r="AS12" s="118"/>
      <c r="AT12" s="287"/>
      <c r="AU12" s="287"/>
      <c r="AV12" s="288">
        <f t="shared" si="26"/>
        <v>0</v>
      </c>
      <c r="AW12" s="96">
        <v>120</v>
      </c>
      <c r="AX12" s="267">
        <f t="shared" si="28"/>
        <v>214677.21599999996</v>
      </c>
      <c r="AY12" s="96">
        <f t="shared" si="29"/>
        <v>253319.11487999995</v>
      </c>
      <c r="AZ12" s="118"/>
      <c r="BA12" s="287"/>
      <c r="BB12" s="287"/>
      <c r="BC12" s="288"/>
      <c r="BD12" s="96">
        <v>100</v>
      </c>
      <c r="BE12" s="267">
        <f t="shared" si="121"/>
        <v>97198.919999999984</v>
      </c>
      <c r="BF12" s="96">
        <f t="shared" si="31"/>
        <v>114694.72559999998</v>
      </c>
      <c r="BG12" s="118"/>
      <c r="BH12" s="151"/>
      <c r="BI12" s="151">
        <f t="shared" si="32"/>
        <v>0</v>
      </c>
      <c r="BJ12" s="151">
        <f>BI12/BI2</f>
        <v>0</v>
      </c>
      <c r="BK12" s="210"/>
      <c r="BL12" s="210">
        <f>BK12*BL2</f>
        <v>0</v>
      </c>
      <c r="BM12" s="210">
        <f t="shared" si="33"/>
        <v>0</v>
      </c>
      <c r="BN12" s="118"/>
      <c r="BO12" s="151"/>
      <c r="BP12" s="151">
        <f t="shared" si="34"/>
        <v>0</v>
      </c>
      <c r="BQ12" s="151">
        <f>BP12/BP2</f>
        <v>0</v>
      </c>
      <c r="BR12" s="210"/>
      <c r="BS12" s="210">
        <f>BR12*BS2</f>
        <v>0</v>
      </c>
      <c r="BT12" s="210">
        <f t="shared" si="35"/>
        <v>0</v>
      </c>
      <c r="BU12" s="118"/>
      <c r="BV12" s="151">
        <v>127440</v>
      </c>
      <c r="BW12" s="151">
        <f t="shared" si="36"/>
        <v>108000</v>
      </c>
      <c r="BX12" s="151">
        <f>BW12/BW2</f>
        <v>24</v>
      </c>
      <c r="BY12" s="96">
        <f t="shared" si="37"/>
        <v>24</v>
      </c>
      <c r="BZ12" s="96">
        <f t="shared" si="38"/>
        <v>76725.792000000001</v>
      </c>
      <c r="CA12" s="96">
        <f t="shared" si="39"/>
        <v>90536.434559999994</v>
      </c>
      <c r="CB12" s="118"/>
      <c r="CC12" s="151">
        <v>17700</v>
      </c>
      <c r="CD12" s="151">
        <f t="shared" si="40"/>
        <v>15000</v>
      </c>
      <c r="CE12" s="151">
        <f>CD12/CD2</f>
        <v>99.337748344370866</v>
      </c>
      <c r="CF12" s="96">
        <f t="shared" si="41"/>
        <v>99.337748344370866</v>
      </c>
      <c r="CG12" s="267">
        <f t="shared" si="42"/>
        <v>32612.781456953639</v>
      </c>
      <c r="CH12" s="96">
        <f t="shared" si="43"/>
        <v>38483.08211920529</v>
      </c>
      <c r="CI12" s="118"/>
      <c r="CJ12" s="151">
        <v>177000</v>
      </c>
      <c r="CK12" s="151">
        <f t="shared" si="44"/>
        <v>150000</v>
      </c>
      <c r="CL12" s="151">
        <f>CK12/CK2</f>
        <v>81.049537477306131</v>
      </c>
      <c r="CM12" s="96">
        <f t="shared" si="45"/>
        <v>81.049537477306131</v>
      </c>
      <c r="CN12" s="267">
        <f t="shared" si="46"/>
        <v>26608.725252874556</v>
      </c>
      <c r="CO12" s="96">
        <f t="shared" si="47"/>
        <v>31398.295798391973</v>
      </c>
      <c r="CP12" s="118"/>
      <c r="CQ12" s="151">
        <v>177000</v>
      </c>
      <c r="CR12" s="151">
        <f t="shared" si="48"/>
        <v>150000</v>
      </c>
      <c r="CS12" s="151">
        <f>CR12/CR2</f>
        <v>81.049537477306131</v>
      </c>
      <c r="CT12" s="96">
        <f t="shared" si="49"/>
        <v>81.049537477306131</v>
      </c>
      <c r="CU12" s="267">
        <f t="shared" si="50"/>
        <v>26608.725252874556</v>
      </c>
      <c r="CV12" s="96">
        <f t="shared" si="51"/>
        <v>31398.295798391973</v>
      </c>
      <c r="CW12" s="118"/>
      <c r="CX12" s="151"/>
      <c r="CY12" s="151">
        <f t="shared" si="52"/>
        <v>0</v>
      </c>
      <c r="CZ12" s="151">
        <f>CY12/CY2</f>
        <v>0</v>
      </c>
      <c r="DA12" s="210"/>
      <c r="DB12" s="210">
        <f>DA12*DB2</f>
        <v>0</v>
      </c>
      <c r="DC12" s="210">
        <f t="shared" si="53"/>
        <v>0</v>
      </c>
      <c r="DD12" s="118"/>
      <c r="DE12" s="151"/>
      <c r="DF12" s="151">
        <f t="shared" si="54"/>
        <v>0</v>
      </c>
      <c r="DG12" s="151">
        <f>DF12/DF2</f>
        <v>0</v>
      </c>
      <c r="DH12" s="159">
        <v>80</v>
      </c>
      <c r="DI12" s="266">
        <f t="shared" si="56"/>
        <v>30388.924799999993</v>
      </c>
      <c r="DJ12" s="159">
        <f t="shared" si="57"/>
        <v>35858.931263999992</v>
      </c>
      <c r="DK12" s="118"/>
      <c r="DL12" s="151">
        <v>17700</v>
      </c>
      <c r="DM12" s="151">
        <f t="shared" si="58"/>
        <v>15000</v>
      </c>
      <c r="DN12" s="151">
        <f>DM12/DM2</f>
        <v>99.337748344370866</v>
      </c>
      <c r="DO12" s="96">
        <f t="shared" si="59"/>
        <v>99.337748344370866</v>
      </c>
      <c r="DP12" s="267">
        <f t="shared" si="60"/>
        <v>65599.807947019872</v>
      </c>
      <c r="DQ12" s="96">
        <f t="shared" si="61"/>
        <v>77407.773377483449</v>
      </c>
      <c r="DR12" s="118"/>
      <c r="DS12" s="151">
        <v>168000.00000000003</v>
      </c>
      <c r="DT12" s="151">
        <f t="shared" si="62"/>
        <v>147368.42105263163</v>
      </c>
      <c r="DU12" s="133">
        <f>DT12/$DS$2</f>
        <v>55.901836375324955</v>
      </c>
      <c r="DV12" s="159">
        <f t="shared" si="64"/>
        <v>55.901836375324955</v>
      </c>
      <c r="DW12" s="266">
        <f t="shared" si="65"/>
        <v>42933.247617184235</v>
      </c>
      <c r="DX12" s="159">
        <f t="shared" si="66"/>
        <v>50661.232188277398</v>
      </c>
      <c r="DY12" s="118"/>
      <c r="DZ12" s="151">
        <v>177000</v>
      </c>
      <c r="EA12" s="151">
        <f t="shared" si="67"/>
        <v>150000</v>
      </c>
      <c r="EB12" s="151">
        <f>EA12/EA2</f>
        <v>81.049537477306131</v>
      </c>
      <c r="EC12" s="96">
        <f t="shared" si="68"/>
        <v>81.049537477306131</v>
      </c>
      <c r="ED12" s="267">
        <f t="shared" si="69"/>
        <v>28785.406220281835</v>
      </c>
      <c r="EE12" s="96">
        <f t="shared" si="70"/>
        <v>33966.77933993256</v>
      </c>
      <c r="EF12" s="118"/>
      <c r="EG12" s="151"/>
      <c r="EH12" s="151">
        <f t="shared" si="71"/>
        <v>0</v>
      </c>
      <c r="EI12" s="151">
        <f>EH12/EH2</f>
        <v>0</v>
      </c>
      <c r="EJ12" s="210"/>
      <c r="EK12" s="210">
        <f>EJ12*EK2</f>
        <v>0</v>
      </c>
      <c r="EL12" s="210">
        <f t="shared" si="72"/>
        <v>0</v>
      </c>
      <c r="EM12" s="118"/>
      <c r="EN12" s="151"/>
      <c r="EO12" s="151">
        <f t="shared" si="73"/>
        <v>0</v>
      </c>
      <c r="EP12" s="151">
        <f>EO12/EO2</f>
        <v>0</v>
      </c>
      <c r="EQ12" s="159">
        <v>160</v>
      </c>
      <c r="ER12" s="266">
        <f t="shared" si="75"/>
        <v>56825.308799999992</v>
      </c>
      <c r="ES12" s="159">
        <f t="shared" si="76"/>
        <v>67053.864383999986</v>
      </c>
      <c r="ET12" s="118"/>
      <c r="EU12" s="151">
        <v>177000</v>
      </c>
      <c r="EV12" s="151">
        <f t="shared" si="77"/>
        <v>150000</v>
      </c>
      <c r="EW12" s="151">
        <f>EV12/EV2</f>
        <v>81.049537477306131</v>
      </c>
      <c r="EX12" s="96">
        <f t="shared" si="78"/>
        <v>81.049537477306131</v>
      </c>
      <c r="EY12" s="267">
        <f t="shared" si="79"/>
        <v>196450.90991614075</v>
      </c>
      <c r="EZ12" s="96">
        <f t="shared" si="80"/>
        <v>231812.07370104609</v>
      </c>
      <c r="FA12" s="118"/>
      <c r="FB12" s="151">
        <v>127440</v>
      </c>
      <c r="FC12" s="151">
        <f t="shared" si="81"/>
        <v>108000</v>
      </c>
      <c r="FD12" s="151">
        <f>FC12/FC2</f>
        <v>24</v>
      </c>
      <c r="FE12" s="96">
        <f t="shared" si="82"/>
        <v>24</v>
      </c>
      <c r="FF12" s="267">
        <f t="shared" si="83"/>
        <v>124946.78976000001</v>
      </c>
      <c r="FG12" s="96">
        <f t="shared" si="84"/>
        <v>147437.21191680001</v>
      </c>
      <c r="FH12" s="118"/>
      <c r="FI12" s="287"/>
      <c r="FJ12" s="287"/>
      <c r="FK12" s="288">
        <f t="shared" si="85"/>
        <v>0</v>
      </c>
      <c r="FL12" s="96">
        <v>120</v>
      </c>
      <c r="FM12" s="267">
        <f t="shared" si="87"/>
        <v>174589.92719999998</v>
      </c>
      <c r="FN12" s="139">
        <f t="shared" si="88"/>
        <v>206016.11409599998</v>
      </c>
      <c r="FO12" s="118"/>
      <c r="FP12" s="151">
        <v>17700</v>
      </c>
      <c r="FQ12" s="151">
        <f t="shared" si="89"/>
        <v>15000</v>
      </c>
      <c r="FR12" s="151">
        <f>FQ12/FQ2</f>
        <v>100</v>
      </c>
      <c r="FS12" s="96">
        <f t="shared" si="90"/>
        <v>100</v>
      </c>
      <c r="FT12" s="267">
        <f t="shared" si="91"/>
        <v>145491.60599999997</v>
      </c>
      <c r="FU12" s="96">
        <f t="shared" si="92"/>
        <v>171680.09507999997</v>
      </c>
      <c r="FV12" s="118"/>
      <c r="FW12" s="151">
        <v>17700</v>
      </c>
      <c r="FX12" s="151">
        <f t="shared" si="93"/>
        <v>15000</v>
      </c>
      <c r="FY12" s="151">
        <f>FX12/FX2</f>
        <v>99.337748344370866</v>
      </c>
      <c r="FZ12" s="96">
        <v>200</v>
      </c>
      <c r="GA12" s="267">
        <f t="shared" si="95"/>
        <v>37673.999999999993</v>
      </c>
      <c r="GB12" s="96">
        <f t="shared" si="96"/>
        <v>44455.319999999992</v>
      </c>
      <c r="GC12" s="118"/>
      <c r="GD12" s="151"/>
      <c r="GE12" s="151">
        <f t="shared" si="97"/>
        <v>0</v>
      </c>
      <c r="GF12" s="151">
        <f>GE12/GE2</f>
        <v>0</v>
      </c>
      <c r="GG12" s="159">
        <v>250</v>
      </c>
      <c r="GH12" s="266">
        <f t="shared" si="99"/>
        <v>92301.299999999988</v>
      </c>
      <c r="GI12" s="159">
        <f t="shared" si="100"/>
        <v>108915.53399999999</v>
      </c>
      <c r="GJ12" s="118"/>
      <c r="GK12" s="151"/>
      <c r="GL12" s="151">
        <f t="shared" si="101"/>
        <v>0</v>
      </c>
      <c r="GM12" s="270">
        <f t="shared" si="102"/>
        <v>0</v>
      </c>
      <c r="GN12" s="159">
        <v>100</v>
      </c>
      <c r="GO12" s="266">
        <f t="shared" si="104"/>
        <v>28158.623999999996</v>
      </c>
      <c r="GP12" s="159">
        <f t="shared" si="105"/>
        <v>33227.176319999991</v>
      </c>
      <c r="GQ12" s="118"/>
      <c r="GR12" s="151">
        <v>17700</v>
      </c>
      <c r="GS12" s="151">
        <f t="shared" si="106"/>
        <v>15000</v>
      </c>
      <c r="GT12" s="151">
        <f>GS12/GS2</f>
        <v>99.337748344370866</v>
      </c>
      <c r="GU12" s="96">
        <f t="shared" si="107"/>
        <v>99.337748344370866</v>
      </c>
      <c r="GV12" s="267">
        <f t="shared" si="108"/>
        <v>43594.200000000004</v>
      </c>
      <c r="GW12" s="96">
        <f t="shared" si="109"/>
        <v>51441.156000000003</v>
      </c>
      <c r="GX12" s="118"/>
      <c r="GY12" s="151"/>
      <c r="GZ12" s="151">
        <f t="shared" si="110"/>
        <v>0</v>
      </c>
      <c r="HA12" s="151">
        <f>GZ12/GZ2</f>
        <v>0</v>
      </c>
      <c r="HB12" s="159">
        <v>80</v>
      </c>
      <c r="HC12" s="266">
        <f t="shared" si="112"/>
        <v>54035.279999999992</v>
      </c>
      <c r="HD12" s="159">
        <f t="shared" si="113"/>
        <v>63761.630399999987</v>
      </c>
      <c r="HE12" s="118"/>
      <c r="HF12" s="151"/>
      <c r="HG12" s="151">
        <f t="shared" si="114"/>
        <v>0</v>
      </c>
      <c r="HH12" s="151">
        <f>HG12/HG2</f>
        <v>0</v>
      </c>
      <c r="HI12" s="210"/>
      <c r="HJ12" s="210">
        <f>HI12*HJ2</f>
        <v>0</v>
      </c>
      <c r="HK12" s="210">
        <f t="shared" si="115"/>
        <v>0</v>
      </c>
      <c r="HL12" s="118"/>
      <c r="HM12" s="151">
        <v>17700</v>
      </c>
      <c r="HN12" s="151">
        <f t="shared" si="116"/>
        <v>15000</v>
      </c>
      <c r="HO12" s="151">
        <f>HN12/HN2</f>
        <v>99.337748344370866</v>
      </c>
      <c r="HP12" s="96">
        <f t="shared" si="117"/>
        <v>99.337748344370866</v>
      </c>
      <c r="HQ12" s="267">
        <f t="shared" si="118"/>
        <v>79575.186754966882</v>
      </c>
      <c r="HR12" s="96">
        <f t="shared" si="119"/>
        <v>93898.720370860916</v>
      </c>
      <c r="HS12" s="118"/>
      <c r="HT12" s="318">
        <f t="shared" si="0"/>
        <v>2003518.6332570945</v>
      </c>
      <c r="HU12" s="151">
        <f t="shared" si="120"/>
        <v>2364151.9872433715</v>
      </c>
      <c r="HV12" s="319"/>
    </row>
    <row r="13" spans="1:230">
      <c r="A13" s="18">
        <v>5</v>
      </c>
      <c r="B13" s="19" t="s">
        <v>16</v>
      </c>
      <c r="C13" s="118"/>
      <c r="D13" s="151"/>
      <c r="E13" s="151">
        <f t="shared" si="1"/>
        <v>0</v>
      </c>
      <c r="F13" s="151">
        <f>E13/E2</f>
        <v>0</v>
      </c>
      <c r="G13" s="159">
        <f t="shared" si="2"/>
        <v>0</v>
      </c>
      <c r="H13" s="266">
        <f t="shared" si="3"/>
        <v>0</v>
      </c>
      <c r="I13" s="159">
        <f t="shared" si="4"/>
        <v>0</v>
      </c>
      <c r="J13" s="118"/>
      <c r="K13" s="151"/>
      <c r="L13" s="151">
        <f t="shared" si="5"/>
        <v>0</v>
      </c>
      <c r="M13" s="151">
        <f>L13/L2</f>
        <v>0</v>
      </c>
      <c r="N13" s="159">
        <f t="shared" si="6"/>
        <v>0</v>
      </c>
      <c r="O13" s="266">
        <f t="shared" si="7"/>
        <v>0</v>
      </c>
      <c r="P13" s="159">
        <f t="shared" si="8"/>
        <v>0</v>
      </c>
      <c r="Q13" s="118"/>
      <c r="R13" s="151"/>
      <c r="S13" s="151">
        <f t="shared" si="9"/>
        <v>0</v>
      </c>
      <c r="T13" s="151">
        <f>S13/S2</f>
        <v>0</v>
      </c>
      <c r="U13" s="159">
        <f t="shared" si="10"/>
        <v>0</v>
      </c>
      <c r="V13" s="266">
        <f t="shared" si="11"/>
        <v>0</v>
      </c>
      <c r="W13" s="159">
        <f t="shared" si="12"/>
        <v>0</v>
      </c>
      <c r="X13" s="118"/>
      <c r="Y13" s="151"/>
      <c r="Z13" s="151">
        <f t="shared" si="13"/>
        <v>0</v>
      </c>
      <c r="AA13" s="151">
        <f>Z13/Z2</f>
        <v>0</v>
      </c>
      <c r="AB13" s="159">
        <f t="shared" si="14"/>
        <v>0</v>
      </c>
      <c r="AC13" s="266">
        <f t="shared" si="15"/>
        <v>0</v>
      </c>
      <c r="AD13" s="159">
        <f t="shared" si="16"/>
        <v>0</v>
      </c>
      <c r="AE13" s="118"/>
      <c r="AF13" s="151"/>
      <c r="AG13" s="151">
        <f t="shared" si="17"/>
        <v>0</v>
      </c>
      <c r="AH13" s="151">
        <f>AG13/AG2</f>
        <v>0</v>
      </c>
      <c r="AI13" s="96">
        <f t="shared" si="18"/>
        <v>0</v>
      </c>
      <c r="AJ13" s="267">
        <f t="shared" si="19"/>
        <v>0</v>
      </c>
      <c r="AK13" s="96">
        <f t="shared" si="20"/>
        <v>0</v>
      </c>
      <c r="AL13" s="118"/>
      <c r="AM13" s="151"/>
      <c r="AN13" s="151">
        <f t="shared" si="21"/>
        <v>0</v>
      </c>
      <c r="AO13" s="151">
        <f>AN13/AN2</f>
        <v>0</v>
      </c>
      <c r="AP13" s="96">
        <f t="shared" si="22"/>
        <v>0</v>
      </c>
      <c r="AQ13" s="267">
        <f t="shared" si="23"/>
        <v>0</v>
      </c>
      <c r="AR13" s="96">
        <f t="shared" si="24"/>
        <v>0</v>
      </c>
      <c r="AS13" s="118"/>
      <c r="AT13" s="287"/>
      <c r="AU13" s="287">
        <f t="shared" si="25"/>
        <v>0</v>
      </c>
      <c r="AV13" s="288">
        <f t="shared" si="26"/>
        <v>0</v>
      </c>
      <c r="AW13" s="96">
        <f t="shared" si="27"/>
        <v>0</v>
      </c>
      <c r="AX13" s="267">
        <f t="shared" si="28"/>
        <v>0</v>
      </c>
      <c r="AY13" s="96">
        <f t="shared" si="29"/>
        <v>0</v>
      </c>
      <c r="AZ13" s="118"/>
      <c r="BA13" s="287"/>
      <c r="BB13" s="287"/>
      <c r="BC13" s="288"/>
      <c r="BD13" s="96">
        <f t="shared" si="30"/>
        <v>0</v>
      </c>
      <c r="BE13" s="267">
        <f t="shared" si="121"/>
        <v>0</v>
      </c>
      <c r="BF13" s="96">
        <f t="shared" si="31"/>
        <v>0</v>
      </c>
      <c r="BG13" s="118"/>
      <c r="BH13" s="151"/>
      <c r="BI13" s="151">
        <f t="shared" si="32"/>
        <v>0</v>
      </c>
      <c r="BJ13" s="151">
        <f>BI13/BI2</f>
        <v>0</v>
      </c>
      <c r="BK13" s="210"/>
      <c r="BL13" s="210">
        <f>BK13*BL2</f>
        <v>0</v>
      </c>
      <c r="BM13" s="210">
        <f t="shared" si="33"/>
        <v>0</v>
      </c>
      <c r="BN13" s="118"/>
      <c r="BO13" s="151"/>
      <c r="BP13" s="151">
        <f t="shared" si="34"/>
        <v>0</v>
      </c>
      <c r="BQ13" s="151">
        <f>BP13/BP2</f>
        <v>0</v>
      </c>
      <c r="BR13" s="210"/>
      <c r="BS13" s="210">
        <f>BR13*BS2</f>
        <v>0</v>
      </c>
      <c r="BT13" s="210">
        <f t="shared" si="35"/>
        <v>0</v>
      </c>
      <c r="BU13" s="118"/>
      <c r="BV13" s="151"/>
      <c r="BW13" s="151">
        <f t="shared" si="36"/>
        <v>0</v>
      </c>
      <c r="BX13" s="151">
        <f>BW13/BW2</f>
        <v>0</v>
      </c>
      <c r="BY13" s="96">
        <f t="shared" si="37"/>
        <v>0</v>
      </c>
      <c r="BZ13" s="96">
        <f t="shared" si="38"/>
        <v>0</v>
      </c>
      <c r="CA13" s="96">
        <f t="shared" si="39"/>
        <v>0</v>
      </c>
      <c r="CB13" s="118"/>
      <c r="CC13" s="151"/>
      <c r="CD13" s="151">
        <f t="shared" si="40"/>
        <v>0</v>
      </c>
      <c r="CE13" s="151">
        <f>CD13/CD2</f>
        <v>0</v>
      </c>
      <c r="CF13" s="96">
        <f t="shared" si="41"/>
        <v>0</v>
      </c>
      <c r="CG13" s="267">
        <f t="shared" si="42"/>
        <v>0</v>
      </c>
      <c r="CH13" s="96">
        <f t="shared" si="43"/>
        <v>0</v>
      </c>
      <c r="CI13" s="118"/>
      <c r="CJ13" s="151"/>
      <c r="CK13" s="151">
        <f t="shared" si="44"/>
        <v>0</v>
      </c>
      <c r="CL13" s="151">
        <f>CK13/CK2</f>
        <v>0</v>
      </c>
      <c r="CM13" s="96">
        <f t="shared" si="45"/>
        <v>0</v>
      </c>
      <c r="CN13" s="267">
        <f t="shared" si="46"/>
        <v>0</v>
      </c>
      <c r="CO13" s="96">
        <f t="shared" si="47"/>
        <v>0</v>
      </c>
      <c r="CP13" s="118"/>
      <c r="CQ13" s="151"/>
      <c r="CR13" s="151">
        <f t="shared" si="48"/>
        <v>0</v>
      </c>
      <c r="CS13" s="151">
        <f>CR13/CR2</f>
        <v>0</v>
      </c>
      <c r="CT13" s="96">
        <f t="shared" si="49"/>
        <v>0</v>
      </c>
      <c r="CU13" s="267">
        <f t="shared" si="50"/>
        <v>0</v>
      </c>
      <c r="CV13" s="96">
        <f t="shared" si="51"/>
        <v>0</v>
      </c>
      <c r="CW13" s="118"/>
      <c r="CX13" s="151"/>
      <c r="CY13" s="151">
        <f t="shared" si="52"/>
        <v>0</v>
      </c>
      <c r="CZ13" s="151">
        <f>CY13/CY2</f>
        <v>0</v>
      </c>
      <c r="DA13" s="210"/>
      <c r="DB13" s="210">
        <f>DA13*DB2</f>
        <v>0</v>
      </c>
      <c r="DC13" s="210">
        <f t="shared" si="53"/>
        <v>0</v>
      </c>
      <c r="DD13" s="118"/>
      <c r="DE13" s="151"/>
      <c r="DF13" s="151">
        <f t="shared" si="54"/>
        <v>0</v>
      </c>
      <c r="DG13" s="151">
        <f>DF13/DF2</f>
        <v>0</v>
      </c>
      <c r="DH13" s="159">
        <f t="shared" si="55"/>
        <v>0</v>
      </c>
      <c r="DI13" s="266">
        <f t="shared" si="56"/>
        <v>0</v>
      </c>
      <c r="DJ13" s="159">
        <f t="shared" si="57"/>
        <v>0</v>
      </c>
      <c r="DK13" s="118"/>
      <c r="DL13" s="151"/>
      <c r="DM13" s="151">
        <f t="shared" si="58"/>
        <v>0</v>
      </c>
      <c r="DN13" s="151">
        <f>DM13/DM2</f>
        <v>0</v>
      </c>
      <c r="DO13" s="96">
        <f t="shared" si="59"/>
        <v>0</v>
      </c>
      <c r="DP13" s="267">
        <f t="shared" si="60"/>
        <v>0</v>
      </c>
      <c r="DQ13" s="96">
        <f t="shared" si="61"/>
        <v>0</v>
      </c>
      <c r="DR13" s="118"/>
      <c r="DS13" s="151"/>
      <c r="DT13" s="151">
        <f t="shared" si="62"/>
        <v>0</v>
      </c>
      <c r="DU13" s="133">
        <f t="shared" si="63"/>
        <v>0</v>
      </c>
      <c r="DV13" s="159">
        <f t="shared" si="64"/>
        <v>0</v>
      </c>
      <c r="DW13" s="266">
        <f t="shared" si="65"/>
        <v>0</v>
      </c>
      <c r="DX13" s="159">
        <f t="shared" si="66"/>
        <v>0</v>
      </c>
      <c r="DY13" s="118"/>
      <c r="DZ13" s="151"/>
      <c r="EA13" s="151">
        <f t="shared" si="67"/>
        <v>0</v>
      </c>
      <c r="EB13" s="151">
        <f>EA13/EA2</f>
        <v>0</v>
      </c>
      <c r="EC13" s="96">
        <f t="shared" si="68"/>
        <v>0</v>
      </c>
      <c r="ED13" s="267">
        <f t="shared" si="69"/>
        <v>0</v>
      </c>
      <c r="EE13" s="96">
        <f t="shared" si="70"/>
        <v>0</v>
      </c>
      <c r="EF13" s="118"/>
      <c r="EG13" s="151"/>
      <c r="EH13" s="151">
        <f t="shared" si="71"/>
        <v>0</v>
      </c>
      <c r="EI13" s="151">
        <f>EH13/EH2</f>
        <v>0</v>
      </c>
      <c r="EJ13" s="210"/>
      <c r="EK13" s="210">
        <f>EJ13*EK2</f>
        <v>0</v>
      </c>
      <c r="EL13" s="210">
        <f t="shared" si="72"/>
        <v>0</v>
      </c>
      <c r="EM13" s="118"/>
      <c r="EN13" s="151"/>
      <c r="EO13" s="151">
        <f t="shared" si="73"/>
        <v>0</v>
      </c>
      <c r="EP13" s="151">
        <f>EO13/EO2</f>
        <v>0</v>
      </c>
      <c r="EQ13" s="159">
        <f t="shared" si="74"/>
        <v>0</v>
      </c>
      <c r="ER13" s="266">
        <f t="shared" si="75"/>
        <v>0</v>
      </c>
      <c r="ES13" s="159">
        <f t="shared" si="76"/>
        <v>0</v>
      </c>
      <c r="ET13" s="118"/>
      <c r="EU13" s="151"/>
      <c r="EV13" s="151">
        <f t="shared" si="77"/>
        <v>0</v>
      </c>
      <c r="EW13" s="151">
        <f>EV13/EV2</f>
        <v>0</v>
      </c>
      <c r="EX13" s="96">
        <f t="shared" si="78"/>
        <v>0</v>
      </c>
      <c r="EY13" s="267">
        <f t="shared" si="79"/>
        <v>0</v>
      </c>
      <c r="EZ13" s="96">
        <f t="shared" si="80"/>
        <v>0</v>
      </c>
      <c r="FA13" s="118"/>
      <c r="FB13" s="151"/>
      <c r="FC13" s="151">
        <f t="shared" si="81"/>
        <v>0</v>
      </c>
      <c r="FD13" s="151">
        <f>FC13/FC2</f>
        <v>0</v>
      </c>
      <c r="FE13" s="96">
        <f t="shared" si="82"/>
        <v>0</v>
      </c>
      <c r="FF13" s="267">
        <f t="shared" si="83"/>
        <v>0</v>
      </c>
      <c r="FG13" s="96">
        <f t="shared" si="84"/>
        <v>0</v>
      </c>
      <c r="FH13" s="118"/>
      <c r="FI13" s="287"/>
      <c r="FJ13" s="287">
        <f>FI13/118%</f>
        <v>0</v>
      </c>
      <c r="FK13" s="288">
        <f t="shared" si="85"/>
        <v>0</v>
      </c>
      <c r="FL13" s="96">
        <f t="shared" si="86"/>
        <v>0</v>
      </c>
      <c r="FM13" s="267">
        <f t="shared" si="87"/>
        <v>0</v>
      </c>
      <c r="FN13" s="139">
        <f t="shared" si="88"/>
        <v>0</v>
      </c>
      <c r="FO13" s="118"/>
      <c r="FP13" s="151"/>
      <c r="FQ13" s="151">
        <f t="shared" si="89"/>
        <v>0</v>
      </c>
      <c r="FR13" s="151">
        <f>FQ13/FQ2</f>
        <v>0</v>
      </c>
      <c r="FS13" s="96">
        <f t="shared" si="90"/>
        <v>0</v>
      </c>
      <c r="FT13" s="267">
        <f t="shared" si="91"/>
        <v>0</v>
      </c>
      <c r="FU13" s="96">
        <f t="shared" si="92"/>
        <v>0</v>
      </c>
      <c r="FV13" s="118"/>
      <c r="FW13" s="151"/>
      <c r="FX13" s="151">
        <f t="shared" si="93"/>
        <v>0</v>
      </c>
      <c r="FY13" s="151">
        <f>FX13/FX2</f>
        <v>0</v>
      </c>
      <c r="FZ13" s="96">
        <f t="shared" si="94"/>
        <v>0</v>
      </c>
      <c r="GA13" s="267">
        <f t="shared" si="95"/>
        <v>0</v>
      </c>
      <c r="GB13" s="96">
        <f t="shared" si="96"/>
        <v>0</v>
      </c>
      <c r="GC13" s="118"/>
      <c r="GD13" s="151"/>
      <c r="GE13" s="151">
        <f t="shared" si="97"/>
        <v>0</v>
      </c>
      <c r="GF13" s="151">
        <f>GE13/GE2</f>
        <v>0</v>
      </c>
      <c r="GG13" s="159">
        <f t="shared" si="98"/>
        <v>0</v>
      </c>
      <c r="GH13" s="266">
        <f t="shared" si="99"/>
        <v>0</v>
      </c>
      <c r="GI13" s="159">
        <f t="shared" si="100"/>
        <v>0</v>
      </c>
      <c r="GJ13" s="118"/>
      <c r="GK13" s="151"/>
      <c r="GL13" s="151">
        <f t="shared" si="101"/>
        <v>0</v>
      </c>
      <c r="GM13" s="270">
        <f t="shared" si="102"/>
        <v>0</v>
      </c>
      <c r="GN13" s="159">
        <f t="shared" si="103"/>
        <v>0</v>
      </c>
      <c r="GO13" s="266">
        <f t="shared" si="104"/>
        <v>0</v>
      </c>
      <c r="GP13" s="159">
        <f t="shared" si="105"/>
        <v>0</v>
      </c>
      <c r="GQ13" s="118"/>
      <c r="GR13" s="151"/>
      <c r="GS13" s="151">
        <f t="shared" si="106"/>
        <v>0</v>
      </c>
      <c r="GT13" s="151">
        <f>GS13/GS2</f>
        <v>0</v>
      </c>
      <c r="GU13" s="96">
        <f t="shared" si="107"/>
        <v>0</v>
      </c>
      <c r="GV13" s="267">
        <f t="shared" si="108"/>
        <v>0</v>
      </c>
      <c r="GW13" s="96">
        <f t="shared" si="109"/>
        <v>0</v>
      </c>
      <c r="GX13" s="118"/>
      <c r="GY13" s="151"/>
      <c r="GZ13" s="151">
        <f t="shared" si="110"/>
        <v>0</v>
      </c>
      <c r="HA13" s="151">
        <f>GZ13/GZ2</f>
        <v>0</v>
      </c>
      <c r="HB13" s="159">
        <f t="shared" si="111"/>
        <v>0</v>
      </c>
      <c r="HC13" s="266">
        <f t="shared" si="112"/>
        <v>0</v>
      </c>
      <c r="HD13" s="159">
        <f t="shared" si="113"/>
        <v>0</v>
      </c>
      <c r="HE13" s="118"/>
      <c r="HF13" s="151"/>
      <c r="HG13" s="151">
        <f t="shared" si="114"/>
        <v>0</v>
      </c>
      <c r="HH13" s="151">
        <f>HG13/HG2</f>
        <v>0</v>
      </c>
      <c r="HI13" s="210"/>
      <c r="HJ13" s="210">
        <f>HI13*HJ2</f>
        <v>0</v>
      </c>
      <c r="HK13" s="210">
        <f t="shared" si="115"/>
        <v>0</v>
      </c>
      <c r="HL13" s="118"/>
      <c r="HM13" s="151"/>
      <c r="HN13" s="151">
        <f t="shared" si="116"/>
        <v>0</v>
      </c>
      <c r="HO13" s="151">
        <f>HN13/HN2</f>
        <v>0</v>
      </c>
      <c r="HP13" s="96">
        <f t="shared" si="117"/>
        <v>0</v>
      </c>
      <c r="HQ13" s="267">
        <f t="shared" si="118"/>
        <v>0</v>
      </c>
      <c r="HR13" s="96">
        <f t="shared" si="119"/>
        <v>0</v>
      </c>
      <c r="HS13" s="118"/>
      <c r="HT13" s="318">
        <f t="shared" si="0"/>
        <v>0</v>
      </c>
      <c r="HU13" s="151">
        <f t="shared" si="120"/>
        <v>0</v>
      </c>
      <c r="HV13" s="319"/>
    </row>
    <row r="14" spans="1:230">
      <c r="A14" s="18">
        <v>6</v>
      </c>
      <c r="B14" s="19" t="s">
        <v>17</v>
      </c>
      <c r="C14" s="118"/>
      <c r="D14" s="151"/>
      <c r="E14" s="151">
        <f t="shared" si="1"/>
        <v>0</v>
      </c>
      <c r="F14" s="151">
        <f>E14/E2</f>
        <v>0</v>
      </c>
      <c r="G14" s="159">
        <f t="shared" si="2"/>
        <v>0</v>
      </c>
      <c r="H14" s="266">
        <f t="shared" si="3"/>
        <v>0</v>
      </c>
      <c r="I14" s="159">
        <f t="shared" si="4"/>
        <v>0</v>
      </c>
      <c r="J14" s="118"/>
      <c r="K14" s="151"/>
      <c r="L14" s="151">
        <f t="shared" si="5"/>
        <v>0</v>
      </c>
      <c r="M14" s="151">
        <f>L14/L2</f>
        <v>0</v>
      </c>
      <c r="N14" s="159">
        <f t="shared" si="6"/>
        <v>0</v>
      </c>
      <c r="O14" s="266">
        <f t="shared" si="7"/>
        <v>0</v>
      </c>
      <c r="P14" s="159">
        <f t="shared" si="8"/>
        <v>0</v>
      </c>
      <c r="Q14" s="118"/>
      <c r="R14" s="151"/>
      <c r="S14" s="151">
        <f t="shared" si="9"/>
        <v>0</v>
      </c>
      <c r="T14" s="151">
        <f>S14/S2</f>
        <v>0</v>
      </c>
      <c r="U14" s="159">
        <f t="shared" si="10"/>
        <v>0</v>
      </c>
      <c r="V14" s="266">
        <f t="shared" si="11"/>
        <v>0</v>
      </c>
      <c r="W14" s="159">
        <f t="shared" si="12"/>
        <v>0</v>
      </c>
      <c r="X14" s="118"/>
      <c r="Y14" s="151"/>
      <c r="Z14" s="151">
        <f t="shared" si="13"/>
        <v>0</v>
      </c>
      <c r="AA14" s="151">
        <f>Z14/Z2</f>
        <v>0</v>
      </c>
      <c r="AB14" s="159">
        <f t="shared" si="14"/>
        <v>0</v>
      </c>
      <c r="AC14" s="266">
        <f t="shared" si="15"/>
        <v>0</v>
      </c>
      <c r="AD14" s="159">
        <f t="shared" si="16"/>
        <v>0</v>
      </c>
      <c r="AE14" s="118"/>
      <c r="AF14" s="151"/>
      <c r="AG14" s="151">
        <f t="shared" si="17"/>
        <v>0</v>
      </c>
      <c r="AH14" s="151">
        <f>AG14/AG2</f>
        <v>0</v>
      </c>
      <c r="AI14" s="96">
        <f t="shared" si="18"/>
        <v>0</v>
      </c>
      <c r="AJ14" s="267">
        <f t="shared" si="19"/>
        <v>0</v>
      </c>
      <c r="AK14" s="96">
        <f t="shared" si="20"/>
        <v>0</v>
      </c>
      <c r="AL14" s="118"/>
      <c r="AM14" s="151"/>
      <c r="AN14" s="151">
        <f t="shared" si="21"/>
        <v>0</v>
      </c>
      <c r="AO14" s="151">
        <f>AN14/AN2</f>
        <v>0</v>
      </c>
      <c r="AP14" s="96">
        <f t="shared" si="22"/>
        <v>0</v>
      </c>
      <c r="AQ14" s="267">
        <f t="shared" si="23"/>
        <v>0</v>
      </c>
      <c r="AR14" s="96">
        <f t="shared" si="24"/>
        <v>0</v>
      </c>
      <c r="AS14" s="118"/>
      <c r="AT14" s="287"/>
      <c r="AU14" s="287">
        <f t="shared" si="25"/>
        <v>0</v>
      </c>
      <c r="AV14" s="288">
        <f t="shared" si="26"/>
        <v>0</v>
      </c>
      <c r="AW14" s="96">
        <f t="shared" si="27"/>
        <v>0</v>
      </c>
      <c r="AX14" s="267">
        <f t="shared" si="28"/>
        <v>0</v>
      </c>
      <c r="AY14" s="96">
        <f t="shared" si="29"/>
        <v>0</v>
      </c>
      <c r="AZ14" s="118"/>
      <c r="BA14" s="287"/>
      <c r="BB14" s="287"/>
      <c r="BC14" s="288"/>
      <c r="BD14" s="96">
        <f t="shared" si="30"/>
        <v>0</v>
      </c>
      <c r="BE14" s="267">
        <f t="shared" si="121"/>
        <v>0</v>
      </c>
      <c r="BF14" s="96">
        <f t="shared" si="31"/>
        <v>0</v>
      </c>
      <c r="BG14" s="118"/>
      <c r="BH14" s="151"/>
      <c r="BI14" s="151">
        <f t="shared" si="32"/>
        <v>0</v>
      </c>
      <c r="BJ14" s="151">
        <f>BI14/BI2</f>
        <v>0</v>
      </c>
      <c r="BK14" s="210"/>
      <c r="BL14" s="210">
        <f>BK14*BL2</f>
        <v>0</v>
      </c>
      <c r="BM14" s="210">
        <f t="shared" si="33"/>
        <v>0</v>
      </c>
      <c r="BN14" s="118"/>
      <c r="BO14" s="151"/>
      <c r="BP14" s="151">
        <f t="shared" si="34"/>
        <v>0</v>
      </c>
      <c r="BQ14" s="151">
        <f>BP14/BP2</f>
        <v>0</v>
      </c>
      <c r="BR14" s="210"/>
      <c r="BS14" s="210">
        <f>BR14*BS2</f>
        <v>0</v>
      </c>
      <c r="BT14" s="210">
        <f t="shared" si="35"/>
        <v>0</v>
      </c>
      <c r="BU14" s="118"/>
      <c r="BV14" s="151"/>
      <c r="BW14" s="151">
        <f t="shared" si="36"/>
        <v>0</v>
      </c>
      <c r="BX14" s="151">
        <f>BW14/BW2</f>
        <v>0</v>
      </c>
      <c r="BY14" s="96">
        <f t="shared" si="37"/>
        <v>0</v>
      </c>
      <c r="BZ14" s="96">
        <f t="shared" si="38"/>
        <v>0</v>
      </c>
      <c r="CA14" s="96">
        <f t="shared" si="39"/>
        <v>0</v>
      </c>
      <c r="CB14" s="118"/>
      <c r="CC14" s="151"/>
      <c r="CD14" s="151">
        <f t="shared" si="40"/>
        <v>0</v>
      </c>
      <c r="CE14" s="151">
        <f>CD14/CD2</f>
        <v>0</v>
      </c>
      <c r="CF14" s="96">
        <f t="shared" si="41"/>
        <v>0</v>
      </c>
      <c r="CG14" s="267">
        <f t="shared" si="42"/>
        <v>0</v>
      </c>
      <c r="CH14" s="96">
        <f t="shared" si="43"/>
        <v>0</v>
      </c>
      <c r="CI14" s="118"/>
      <c r="CJ14" s="151"/>
      <c r="CK14" s="151">
        <f t="shared" si="44"/>
        <v>0</v>
      </c>
      <c r="CL14" s="151">
        <f>CK14/CK2</f>
        <v>0</v>
      </c>
      <c r="CM14" s="96">
        <f t="shared" si="45"/>
        <v>0</v>
      </c>
      <c r="CN14" s="267">
        <f t="shared" si="46"/>
        <v>0</v>
      </c>
      <c r="CO14" s="96">
        <f t="shared" si="47"/>
        <v>0</v>
      </c>
      <c r="CP14" s="118"/>
      <c r="CQ14" s="151"/>
      <c r="CR14" s="151">
        <f t="shared" si="48"/>
        <v>0</v>
      </c>
      <c r="CS14" s="151">
        <f>CR14/CR2</f>
        <v>0</v>
      </c>
      <c r="CT14" s="96">
        <f t="shared" si="49"/>
        <v>0</v>
      </c>
      <c r="CU14" s="267">
        <f t="shared" si="50"/>
        <v>0</v>
      </c>
      <c r="CV14" s="96">
        <f t="shared" si="51"/>
        <v>0</v>
      </c>
      <c r="CW14" s="118"/>
      <c r="CX14" s="151"/>
      <c r="CY14" s="151">
        <f t="shared" si="52"/>
        <v>0</v>
      </c>
      <c r="CZ14" s="151">
        <f>CY14/CY2</f>
        <v>0</v>
      </c>
      <c r="DA14" s="210"/>
      <c r="DB14" s="210">
        <f>DA14*DB2</f>
        <v>0</v>
      </c>
      <c r="DC14" s="210">
        <f t="shared" si="53"/>
        <v>0</v>
      </c>
      <c r="DD14" s="118"/>
      <c r="DE14" s="151"/>
      <c r="DF14" s="151">
        <f t="shared" si="54"/>
        <v>0</v>
      </c>
      <c r="DG14" s="151">
        <f>DF14/DF2</f>
        <v>0</v>
      </c>
      <c r="DH14" s="159">
        <f t="shared" si="55"/>
        <v>0</v>
      </c>
      <c r="DI14" s="266">
        <f t="shared" si="56"/>
        <v>0</v>
      </c>
      <c r="DJ14" s="159">
        <f t="shared" si="57"/>
        <v>0</v>
      </c>
      <c r="DK14" s="118"/>
      <c r="DL14" s="151"/>
      <c r="DM14" s="151">
        <f t="shared" si="58"/>
        <v>0</v>
      </c>
      <c r="DN14" s="151">
        <f>DM14/DM2</f>
        <v>0</v>
      </c>
      <c r="DO14" s="96">
        <f t="shared" si="59"/>
        <v>0</v>
      </c>
      <c r="DP14" s="267">
        <f t="shared" si="60"/>
        <v>0</v>
      </c>
      <c r="DQ14" s="96">
        <f t="shared" si="61"/>
        <v>0</v>
      </c>
      <c r="DR14" s="118"/>
      <c r="DS14" s="151"/>
      <c r="DT14" s="151">
        <f t="shared" si="62"/>
        <v>0</v>
      </c>
      <c r="DU14" s="133">
        <f t="shared" si="63"/>
        <v>0</v>
      </c>
      <c r="DV14" s="159">
        <f t="shared" si="64"/>
        <v>0</v>
      </c>
      <c r="DW14" s="266">
        <f t="shared" si="65"/>
        <v>0</v>
      </c>
      <c r="DX14" s="159">
        <f t="shared" si="66"/>
        <v>0</v>
      </c>
      <c r="DY14" s="118"/>
      <c r="DZ14" s="151"/>
      <c r="EA14" s="151">
        <f t="shared" si="67"/>
        <v>0</v>
      </c>
      <c r="EB14" s="151">
        <f>EA14/EA2</f>
        <v>0</v>
      </c>
      <c r="EC14" s="96">
        <f t="shared" si="68"/>
        <v>0</v>
      </c>
      <c r="ED14" s="267">
        <f t="shared" si="69"/>
        <v>0</v>
      </c>
      <c r="EE14" s="96">
        <f t="shared" si="70"/>
        <v>0</v>
      </c>
      <c r="EF14" s="118"/>
      <c r="EG14" s="151"/>
      <c r="EH14" s="151">
        <f t="shared" si="71"/>
        <v>0</v>
      </c>
      <c r="EI14" s="151">
        <f>EH14/EH2</f>
        <v>0</v>
      </c>
      <c r="EJ14" s="210"/>
      <c r="EK14" s="210">
        <f>EJ14*EK2</f>
        <v>0</v>
      </c>
      <c r="EL14" s="210">
        <f t="shared" si="72"/>
        <v>0</v>
      </c>
      <c r="EM14" s="118"/>
      <c r="EN14" s="151"/>
      <c r="EO14" s="151">
        <f t="shared" si="73"/>
        <v>0</v>
      </c>
      <c r="EP14" s="151">
        <f>EO14/EO2</f>
        <v>0</v>
      </c>
      <c r="EQ14" s="159">
        <f t="shared" si="74"/>
        <v>0</v>
      </c>
      <c r="ER14" s="266">
        <f t="shared" si="75"/>
        <v>0</v>
      </c>
      <c r="ES14" s="159">
        <f t="shared" si="76"/>
        <v>0</v>
      </c>
      <c r="ET14" s="118"/>
      <c r="EU14" s="151"/>
      <c r="EV14" s="151">
        <f t="shared" si="77"/>
        <v>0</v>
      </c>
      <c r="EW14" s="151">
        <f>EV14/EV2</f>
        <v>0</v>
      </c>
      <c r="EX14" s="96">
        <f t="shared" si="78"/>
        <v>0</v>
      </c>
      <c r="EY14" s="267">
        <f t="shared" si="79"/>
        <v>0</v>
      </c>
      <c r="EZ14" s="96">
        <f t="shared" si="80"/>
        <v>0</v>
      </c>
      <c r="FA14" s="118"/>
      <c r="FB14" s="151"/>
      <c r="FC14" s="151">
        <f t="shared" si="81"/>
        <v>0</v>
      </c>
      <c r="FD14" s="151">
        <f>FC14/FC2</f>
        <v>0</v>
      </c>
      <c r="FE14" s="96">
        <f t="shared" si="82"/>
        <v>0</v>
      </c>
      <c r="FF14" s="267">
        <f t="shared" si="83"/>
        <v>0</v>
      </c>
      <c r="FG14" s="96">
        <f t="shared" si="84"/>
        <v>0</v>
      </c>
      <c r="FH14" s="118"/>
      <c r="FI14" s="287"/>
      <c r="FJ14" s="287">
        <f>FI14/118%</f>
        <v>0</v>
      </c>
      <c r="FK14" s="288">
        <f t="shared" si="85"/>
        <v>0</v>
      </c>
      <c r="FL14" s="96">
        <f t="shared" si="86"/>
        <v>0</v>
      </c>
      <c r="FM14" s="267">
        <f t="shared" si="87"/>
        <v>0</v>
      </c>
      <c r="FN14" s="139">
        <f t="shared" si="88"/>
        <v>0</v>
      </c>
      <c r="FO14" s="118"/>
      <c r="FP14" s="151"/>
      <c r="FQ14" s="151">
        <f t="shared" si="89"/>
        <v>0</v>
      </c>
      <c r="FR14" s="151">
        <f>FQ14/FQ2</f>
        <v>0</v>
      </c>
      <c r="FS14" s="96">
        <f t="shared" si="90"/>
        <v>0</v>
      </c>
      <c r="FT14" s="267">
        <f t="shared" si="91"/>
        <v>0</v>
      </c>
      <c r="FU14" s="96">
        <f t="shared" si="92"/>
        <v>0</v>
      </c>
      <c r="FV14" s="118"/>
      <c r="FW14" s="151"/>
      <c r="FX14" s="151">
        <f t="shared" si="93"/>
        <v>0</v>
      </c>
      <c r="FY14" s="151">
        <f>FX14/FX2</f>
        <v>0</v>
      </c>
      <c r="FZ14" s="96">
        <f t="shared" si="94"/>
        <v>0</v>
      </c>
      <c r="GA14" s="267">
        <f t="shared" si="95"/>
        <v>0</v>
      </c>
      <c r="GB14" s="96">
        <f t="shared" si="96"/>
        <v>0</v>
      </c>
      <c r="GC14" s="118"/>
      <c r="GD14" s="151"/>
      <c r="GE14" s="151">
        <f t="shared" si="97"/>
        <v>0</v>
      </c>
      <c r="GF14" s="151">
        <f>GE14/GE2</f>
        <v>0</v>
      </c>
      <c r="GG14" s="159">
        <f t="shared" si="98"/>
        <v>0</v>
      </c>
      <c r="GH14" s="266">
        <f t="shared" si="99"/>
        <v>0</v>
      </c>
      <c r="GI14" s="159">
        <f t="shared" si="100"/>
        <v>0</v>
      </c>
      <c r="GJ14" s="118"/>
      <c r="GK14" s="151"/>
      <c r="GL14" s="151">
        <f t="shared" si="101"/>
        <v>0</v>
      </c>
      <c r="GM14" s="270">
        <f t="shared" si="102"/>
        <v>0</v>
      </c>
      <c r="GN14" s="159">
        <f t="shared" si="103"/>
        <v>0</v>
      </c>
      <c r="GO14" s="266">
        <f t="shared" si="104"/>
        <v>0</v>
      </c>
      <c r="GP14" s="159">
        <f t="shared" si="105"/>
        <v>0</v>
      </c>
      <c r="GQ14" s="118"/>
      <c r="GR14" s="151"/>
      <c r="GS14" s="151">
        <f t="shared" si="106"/>
        <v>0</v>
      </c>
      <c r="GT14" s="151">
        <f>GS14/GS2</f>
        <v>0</v>
      </c>
      <c r="GU14" s="96">
        <f t="shared" si="107"/>
        <v>0</v>
      </c>
      <c r="GV14" s="267">
        <f t="shared" si="108"/>
        <v>0</v>
      </c>
      <c r="GW14" s="96">
        <f t="shared" si="109"/>
        <v>0</v>
      </c>
      <c r="GX14" s="118"/>
      <c r="GY14" s="151"/>
      <c r="GZ14" s="151">
        <f t="shared" si="110"/>
        <v>0</v>
      </c>
      <c r="HA14" s="151">
        <f>GZ14/GZ2</f>
        <v>0</v>
      </c>
      <c r="HB14" s="159">
        <f t="shared" si="111"/>
        <v>0</v>
      </c>
      <c r="HC14" s="266">
        <f t="shared" si="112"/>
        <v>0</v>
      </c>
      <c r="HD14" s="159">
        <f t="shared" si="113"/>
        <v>0</v>
      </c>
      <c r="HE14" s="118"/>
      <c r="HF14" s="151"/>
      <c r="HG14" s="151">
        <f t="shared" si="114"/>
        <v>0</v>
      </c>
      <c r="HH14" s="151">
        <f>HG14/HG2</f>
        <v>0</v>
      </c>
      <c r="HI14" s="210"/>
      <c r="HJ14" s="210">
        <f>HI14*HJ2</f>
        <v>0</v>
      </c>
      <c r="HK14" s="210">
        <f t="shared" si="115"/>
        <v>0</v>
      </c>
      <c r="HL14" s="118"/>
      <c r="HM14" s="151"/>
      <c r="HN14" s="151">
        <f t="shared" si="116"/>
        <v>0</v>
      </c>
      <c r="HO14" s="151">
        <f>HN14/HN2</f>
        <v>0</v>
      </c>
      <c r="HP14" s="96">
        <f t="shared" si="117"/>
        <v>0</v>
      </c>
      <c r="HQ14" s="267">
        <f t="shared" si="118"/>
        <v>0</v>
      </c>
      <c r="HR14" s="96">
        <f t="shared" si="119"/>
        <v>0</v>
      </c>
      <c r="HS14" s="118"/>
      <c r="HT14" s="318">
        <f t="shared" si="0"/>
        <v>0</v>
      </c>
      <c r="HU14" s="151">
        <f t="shared" si="120"/>
        <v>0</v>
      </c>
      <c r="HV14" s="319"/>
    </row>
    <row r="15" spans="1:230">
      <c r="A15" s="18">
        <v>7</v>
      </c>
      <c r="B15" s="19" t="s">
        <v>18</v>
      </c>
      <c r="C15" s="118"/>
      <c r="D15" s="151"/>
      <c r="E15" s="151">
        <f t="shared" si="1"/>
        <v>0</v>
      </c>
      <c r="F15" s="151">
        <f>E15/E2</f>
        <v>0</v>
      </c>
      <c r="G15" s="159">
        <f t="shared" si="2"/>
        <v>0</v>
      </c>
      <c r="H15" s="266">
        <f t="shared" si="3"/>
        <v>0</v>
      </c>
      <c r="I15" s="159">
        <f t="shared" si="4"/>
        <v>0</v>
      </c>
      <c r="J15" s="118"/>
      <c r="K15" s="151"/>
      <c r="L15" s="151">
        <f t="shared" si="5"/>
        <v>0</v>
      </c>
      <c r="M15" s="151">
        <f>L15/L2</f>
        <v>0</v>
      </c>
      <c r="N15" s="159">
        <f t="shared" si="6"/>
        <v>0</v>
      </c>
      <c r="O15" s="266">
        <f t="shared" si="7"/>
        <v>0</v>
      </c>
      <c r="P15" s="159">
        <f t="shared" si="8"/>
        <v>0</v>
      </c>
      <c r="Q15" s="118"/>
      <c r="R15" s="151"/>
      <c r="S15" s="151">
        <f t="shared" si="9"/>
        <v>0</v>
      </c>
      <c r="T15" s="151">
        <f>S15/S2</f>
        <v>0</v>
      </c>
      <c r="U15" s="159">
        <f t="shared" si="10"/>
        <v>0</v>
      </c>
      <c r="V15" s="266">
        <f t="shared" si="11"/>
        <v>0</v>
      </c>
      <c r="W15" s="159">
        <f t="shared" si="12"/>
        <v>0</v>
      </c>
      <c r="X15" s="118"/>
      <c r="Y15" s="151"/>
      <c r="Z15" s="151">
        <f t="shared" si="13"/>
        <v>0</v>
      </c>
      <c r="AA15" s="151">
        <f>Z15/Z2</f>
        <v>0</v>
      </c>
      <c r="AB15" s="159">
        <f t="shared" si="14"/>
        <v>0</v>
      </c>
      <c r="AC15" s="266">
        <f t="shared" si="15"/>
        <v>0</v>
      </c>
      <c r="AD15" s="159">
        <f t="shared" si="16"/>
        <v>0</v>
      </c>
      <c r="AE15" s="118"/>
      <c r="AF15" s="151"/>
      <c r="AG15" s="151">
        <f t="shared" si="17"/>
        <v>0</v>
      </c>
      <c r="AH15" s="151">
        <f>AG15/AG2</f>
        <v>0</v>
      </c>
      <c r="AI15" s="96">
        <f t="shared" si="18"/>
        <v>0</v>
      </c>
      <c r="AJ15" s="267">
        <f t="shared" si="19"/>
        <v>0</v>
      </c>
      <c r="AK15" s="96">
        <f t="shared" si="20"/>
        <v>0</v>
      </c>
      <c r="AL15" s="118"/>
      <c r="AM15" s="151"/>
      <c r="AN15" s="151">
        <f t="shared" si="21"/>
        <v>0</v>
      </c>
      <c r="AO15" s="151">
        <f>AN15/AN2</f>
        <v>0</v>
      </c>
      <c r="AP15" s="96">
        <f t="shared" si="22"/>
        <v>0</v>
      </c>
      <c r="AQ15" s="267">
        <f t="shared" si="23"/>
        <v>0</v>
      </c>
      <c r="AR15" s="96">
        <f t="shared" si="24"/>
        <v>0</v>
      </c>
      <c r="AS15" s="118"/>
      <c r="AT15" s="287"/>
      <c r="AU15" s="287">
        <f t="shared" si="25"/>
        <v>0</v>
      </c>
      <c r="AV15" s="288">
        <f t="shared" si="26"/>
        <v>0</v>
      </c>
      <c r="AW15" s="96">
        <f t="shared" si="27"/>
        <v>0</v>
      </c>
      <c r="AX15" s="267">
        <f t="shared" si="28"/>
        <v>0</v>
      </c>
      <c r="AY15" s="96">
        <f t="shared" si="29"/>
        <v>0</v>
      </c>
      <c r="AZ15" s="118"/>
      <c r="BA15" s="287"/>
      <c r="BB15" s="287"/>
      <c r="BC15" s="288"/>
      <c r="BD15" s="96">
        <f t="shared" si="30"/>
        <v>0</v>
      </c>
      <c r="BE15" s="267">
        <f t="shared" si="121"/>
        <v>0</v>
      </c>
      <c r="BF15" s="96">
        <f t="shared" si="31"/>
        <v>0</v>
      </c>
      <c r="BG15" s="118"/>
      <c r="BH15" s="151"/>
      <c r="BI15" s="151">
        <f t="shared" si="32"/>
        <v>0</v>
      </c>
      <c r="BJ15" s="151">
        <f>BI15/BI2</f>
        <v>0</v>
      </c>
      <c r="BK15" s="210"/>
      <c r="BL15" s="210">
        <f>BK15*BL2</f>
        <v>0</v>
      </c>
      <c r="BM15" s="210">
        <f t="shared" si="33"/>
        <v>0</v>
      </c>
      <c r="BN15" s="118"/>
      <c r="BO15" s="151"/>
      <c r="BP15" s="151">
        <f t="shared" si="34"/>
        <v>0</v>
      </c>
      <c r="BQ15" s="151">
        <f>BP15/BP2</f>
        <v>0</v>
      </c>
      <c r="BR15" s="210"/>
      <c r="BS15" s="210">
        <f>BR15*BS2</f>
        <v>0</v>
      </c>
      <c r="BT15" s="210">
        <f t="shared" si="35"/>
        <v>0</v>
      </c>
      <c r="BU15" s="118"/>
      <c r="BV15" s="151"/>
      <c r="BW15" s="151">
        <f t="shared" si="36"/>
        <v>0</v>
      </c>
      <c r="BX15" s="151">
        <f>BW15/BW2</f>
        <v>0</v>
      </c>
      <c r="BY15" s="96">
        <f t="shared" si="37"/>
        <v>0</v>
      </c>
      <c r="BZ15" s="96">
        <f t="shared" si="38"/>
        <v>0</v>
      </c>
      <c r="CA15" s="96">
        <f t="shared" si="39"/>
        <v>0</v>
      </c>
      <c r="CB15" s="118"/>
      <c r="CC15" s="151"/>
      <c r="CD15" s="151">
        <f t="shared" si="40"/>
        <v>0</v>
      </c>
      <c r="CE15" s="151">
        <f>CD15/CD2</f>
        <v>0</v>
      </c>
      <c r="CF15" s="96">
        <f t="shared" si="41"/>
        <v>0</v>
      </c>
      <c r="CG15" s="267">
        <f t="shared" si="42"/>
        <v>0</v>
      </c>
      <c r="CH15" s="96">
        <f t="shared" si="43"/>
        <v>0</v>
      </c>
      <c r="CI15" s="118"/>
      <c r="CJ15" s="151"/>
      <c r="CK15" s="151">
        <f t="shared" si="44"/>
        <v>0</v>
      </c>
      <c r="CL15" s="151">
        <f>CK15/CK2</f>
        <v>0</v>
      </c>
      <c r="CM15" s="96">
        <f t="shared" si="45"/>
        <v>0</v>
      </c>
      <c r="CN15" s="267">
        <f t="shared" si="46"/>
        <v>0</v>
      </c>
      <c r="CO15" s="96">
        <f t="shared" si="47"/>
        <v>0</v>
      </c>
      <c r="CP15" s="118"/>
      <c r="CQ15" s="151"/>
      <c r="CR15" s="151">
        <f t="shared" si="48"/>
        <v>0</v>
      </c>
      <c r="CS15" s="151">
        <f>CR15/CR2</f>
        <v>0</v>
      </c>
      <c r="CT15" s="96">
        <f t="shared" si="49"/>
        <v>0</v>
      </c>
      <c r="CU15" s="267">
        <f t="shared" si="50"/>
        <v>0</v>
      </c>
      <c r="CV15" s="96">
        <f t="shared" si="51"/>
        <v>0</v>
      </c>
      <c r="CW15" s="118"/>
      <c r="CX15" s="151"/>
      <c r="CY15" s="151">
        <f t="shared" si="52"/>
        <v>0</v>
      </c>
      <c r="CZ15" s="151">
        <f>CY15/CY2</f>
        <v>0</v>
      </c>
      <c r="DA15" s="210"/>
      <c r="DB15" s="210">
        <f>DA15*DB2</f>
        <v>0</v>
      </c>
      <c r="DC15" s="210">
        <f t="shared" si="53"/>
        <v>0</v>
      </c>
      <c r="DD15" s="118"/>
      <c r="DE15" s="151"/>
      <c r="DF15" s="151">
        <f t="shared" si="54"/>
        <v>0</v>
      </c>
      <c r="DG15" s="151">
        <f>DF15/DF2</f>
        <v>0</v>
      </c>
      <c r="DH15" s="159">
        <f t="shared" si="55"/>
        <v>0</v>
      </c>
      <c r="DI15" s="266">
        <f t="shared" si="56"/>
        <v>0</v>
      </c>
      <c r="DJ15" s="159">
        <f t="shared" si="57"/>
        <v>0</v>
      </c>
      <c r="DK15" s="118"/>
      <c r="DL15" s="151"/>
      <c r="DM15" s="151">
        <f t="shared" si="58"/>
        <v>0</v>
      </c>
      <c r="DN15" s="151">
        <f>DM15/DM2</f>
        <v>0</v>
      </c>
      <c r="DO15" s="96">
        <f t="shared" si="59"/>
        <v>0</v>
      </c>
      <c r="DP15" s="267">
        <f t="shared" si="60"/>
        <v>0</v>
      </c>
      <c r="DQ15" s="96">
        <f t="shared" si="61"/>
        <v>0</v>
      </c>
      <c r="DR15" s="118"/>
      <c r="DS15" s="151"/>
      <c r="DT15" s="151">
        <f t="shared" si="62"/>
        <v>0</v>
      </c>
      <c r="DU15" s="133">
        <f t="shared" si="63"/>
        <v>0</v>
      </c>
      <c r="DV15" s="159">
        <f t="shared" si="64"/>
        <v>0</v>
      </c>
      <c r="DW15" s="266">
        <f t="shared" si="65"/>
        <v>0</v>
      </c>
      <c r="DX15" s="159">
        <f t="shared" si="66"/>
        <v>0</v>
      </c>
      <c r="DY15" s="118"/>
      <c r="DZ15" s="151"/>
      <c r="EA15" s="151">
        <f t="shared" si="67"/>
        <v>0</v>
      </c>
      <c r="EB15" s="151">
        <f>EA15/EA2</f>
        <v>0</v>
      </c>
      <c r="EC15" s="96">
        <f t="shared" si="68"/>
        <v>0</v>
      </c>
      <c r="ED15" s="267">
        <f t="shared" si="69"/>
        <v>0</v>
      </c>
      <c r="EE15" s="96">
        <f t="shared" si="70"/>
        <v>0</v>
      </c>
      <c r="EF15" s="118"/>
      <c r="EG15" s="151"/>
      <c r="EH15" s="151">
        <f t="shared" si="71"/>
        <v>0</v>
      </c>
      <c r="EI15" s="151">
        <f>EH15/EH2</f>
        <v>0</v>
      </c>
      <c r="EJ15" s="210"/>
      <c r="EK15" s="210">
        <f>EJ15*EK2</f>
        <v>0</v>
      </c>
      <c r="EL15" s="210">
        <f t="shared" si="72"/>
        <v>0</v>
      </c>
      <c r="EM15" s="118"/>
      <c r="EN15" s="151"/>
      <c r="EO15" s="151">
        <f t="shared" si="73"/>
        <v>0</v>
      </c>
      <c r="EP15" s="151">
        <f>EO15/EO2</f>
        <v>0</v>
      </c>
      <c r="EQ15" s="159">
        <f t="shared" si="74"/>
        <v>0</v>
      </c>
      <c r="ER15" s="266">
        <f t="shared" si="75"/>
        <v>0</v>
      </c>
      <c r="ES15" s="159">
        <f t="shared" si="76"/>
        <v>0</v>
      </c>
      <c r="ET15" s="118"/>
      <c r="EU15" s="151"/>
      <c r="EV15" s="151">
        <f t="shared" si="77"/>
        <v>0</v>
      </c>
      <c r="EW15" s="151">
        <f>EV15/EV2</f>
        <v>0</v>
      </c>
      <c r="EX15" s="96">
        <f t="shared" si="78"/>
        <v>0</v>
      </c>
      <c r="EY15" s="267">
        <f t="shared" si="79"/>
        <v>0</v>
      </c>
      <c r="EZ15" s="96">
        <f t="shared" si="80"/>
        <v>0</v>
      </c>
      <c r="FA15" s="118"/>
      <c r="FB15" s="151"/>
      <c r="FC15" s="151">
        <f t="shared" si="81"/>
        <v>0</v>
      </c>
      <c r="FD15" s="151">
        <f>FC15/FC2</f>
        <v>0</v>
      </c>
      <c r="FE15" s="96">
        <f t="shared" si="82"/>
        <v>0</v>
      </c>
      <c r="FF15" s="267">
        <f t="shared" si="83"/>
        <v>0</v>
      </c>
      <c r="FG15" s="96">
        <f t="shared" si="84"/>
        <v>0</v>
      </c>
      <c r="FH15" s="118"/>
      <c r="FI15" s="287"/>
      <c r="FJ15" s="287">
        <f>FI15/118%</f>
        <v>0</v>
      </c>
      <c r="FK15" s="288">
        <f t="shared" si="85"/>
        <v>0</v>
      </c>
      <c r="FL15" s="96">
        <f t="shared" si="86"/>
        <v>0</v>
      </c>
      <c r="FM15" s="267">
        <f t="shared" si="87"/>
        <v>0</v>
      </c>
      <c r="FN15" s="139">
        <f t="shared" si="88"/>
        <v>0</v>
      </c>
      <c r="FO15" s="118"/>
      <c r="FP15" s="151"/>
      <c r="FQ15" s="151">
        <f t="shared" si="89"/>
        <v>0</v>
      </c>
      <c r="FR15" s="151">
        <f>FQ15/FQ2</f>
        <v>0</v>
      </c>
      <c r="FS15" s="96">
        <f t="shared" si="90"/>
        <v>0</v>
      </c>
      <c r="FT15" s="267">
        <f t="shared" si="91"/>
        <v>0</v>
      </c>
      <c r="FU15" s="96">
        <f t="shared" si="92"/>
        <v>0</v>
      </c>
      <c r="FV15" s="118"/>
      <c r="FW15" s="151"/>
      <c r="FX15" s="151">
        <f t="shared" si="93"/>
        <v>0</v>
      </c>
      <c r="FY15" s="151">
        <f>FX15/FX2</f>
        <v>0</v>
      </c>
      <c r="FZ15" s="96">
        <f t="shared" si="94"/>
        <v>0</v>
      </c>
      <c r="GA15" s="267">
        <f t="shared" si="95"/>
        <v>0</v>
      </c>
      <c r="GB15" s="96">
        <f t="shared" si="96"/>
        <v>0</v>
      </c>
      <c r="GC15" s="118"/>
      <c r="GD15" s="151"/>
      <c r="GE15" s="151">
        <f t="shared" si="97"/>
        <v>0</v>
      </c>
      <c r="GF15" s="151">
        <f>GE15/GE2</f>
        <v>0</v>
      </c>
      <c r="GG15" s="159">
        <f t="shared" si="98"/>
        <v>0</v>
      </c>
      <c r="GH15" s="266">
        <f t="shared" si="99"/>
        <v>0</v>
      </c>
      <c r="GI15" s="159">
        <f t="shared" si="100"/>
        <v>0</v>
      </c>
      <c r="GJ15" s="118"/>
      <c r="GK15" s="151"/>
      <c r="GL15" s="151">
        <f t="shared" si="101"/>
        <v>0</v>
      </c>
      <c r="GM15" s="270">
        <f t="shared" si="102"/>
        <v>0</v>
      </c>
      <c r="GN15" s="159">
        <f t="shared" si="103"/>
        <v>0</v>
      </c>
      <c r="GO15" s="266">
        <f t="shared" si="104"/>
        <v>0</v>
      </c>
      <c r="GP15" s="159">
        <f t="shared" si="105"/>
        <v>0</v>
      </c>
      <c r="GQ15" s="118"/>
      <c r="GR15" s="151"/>
      <c r="GS15" s="151">
        <f t="shared" si="106"/>
        <v>0</v>
      </c>
      <c r="GT15" s="151">
        <f>GS15/GS2</f>
        <v>0</v>
      </c>
      <c r="GU15" s="96">
        <f t="shared" si="107"/>
        <v>0</v>
      </c>
      <c r="GV15" s="267">
        <f t="shared" si="108"/>
        <v>0</v>
      </c>
      <c r="GW15" s="96">
        <f t="shared" si="109"/>
        <v>0</v>
      </c>
      <c r="GX15" s="118"/>
      <c r="GY15" s="151"/>
      <c r="GZ15" s="151">
        <f t="shared" si="110"/>
        <v>0</v>
      </c>
      <c r="HA15" s="151">
        <f>GZ15/GZ2</f>
        <v>0</v>
      </c>
      <c r="HB15" s="159">
        <f t="shared" si="111"/>
        <v>0</v>
      </c>
      <c r="HC15" s="266">
        <f t="shared" si="112"/>
        <v>0</v>
      </c>
      <c r="HD15" s="159">
        <f t="shared" si="113"/>
        <v>0</v>
      </c>
      <c r="HE15" s="118"/>
      <c r="HF15" s="151"/>
      <c r="HG15" s="151">
        <f t="shared" si="114"/>
        <v>0</v>
      </c>
      <c r="HH15" s="151">
        <f>HG15/HG2</f>
        <v>0</v>
      </c>
      <c r="HI15" s="210"/>
      <c r="HJ15" s="210">
        <f>HI15*HJ2</f>
        <v>0</v>
      </c>
      <c r="HK15" s="210">
        <f t="shared" si="115"/>
        <v>0</v>
      </c>
      <c r="HL15" s="118"/>
      <c r="HM15" s="151"/>
      <c r="HN15" s="151">
        <f t="shared" si="116"/>
        <v>0</v>
      </c>
      <c r="HO15" s="151">
        <f>HN15/HN2</f>
        <v>0</v>
      </c>
      <c r="HP15" s="96">
        <f t="shared" si="117"/>
        <v>0</v>
      </c>
      <c r="HQ15" s="267">
        <f t="shared" si="118"/>
        <v>0</v>
      </c>
      <c r="HR15" s="96">
        <f t="shared" si="119"/>
        <v>0</v>
      </c>
      <c r="HS15" s="118"/>
      <c r="HT15" s="318">
        <f t="shared" si="0"/>
        <v>0</v>
      </c>
      <c r="HU15" s="151">
        <f t="shared" si="120"/>
        <v>0</v>
      </c>
      <c r="HV15" s="319"/>
    </row>
    <row r="16" spans="1:230">
      <c r="A16" s="18">
        <v>8</v>
      </c>
      <c r="B16" s="19" t="s">
        <v>19</v>
      </c>
      <c r="C16" s="118"/>
      <c r="D16" s="151"/>
      <c r="E16" s="151">
        <f t="shared" si="1"/>
        <v>0</v>
      </c>
      <c r="F16" s="151">
        <f>E16/E2</f>
        <v>0</v>
      </c>
      <c r="G16" s="159">
        <f t="shared" si="2"/>
        <v>0</v>
      </c>
      <c r="H16" s="266">
        <f t="shared" si="3"/>
        <v>0</v>
      </c>
      <c r="I16" s="159">
        <f t="shared" si="4"/>
        <v>0</v>
      </c>
      <c r="J16" s="118"/>
      <c r="K16" s="151"/>
      <c r="L16" s="151">
        <f t="shared" si="5"/>
        <v>0</v>
      </c>
      <c r="M16" s="151">
        <f>L16/L2</f>
        <v>0</v>
      </c>
      <c r="N16" s="159">
        <f t="shared" si="6"/>
        <v>0</v>
      </c>
      <c r="O16" s="266">
        <f t="shared" si="7"/>
        <v>0</v>
      </c>
      <c r="P16" s="159">
        <f t="shared" si="8"/>
        <v>0</v>
      </c>
      <c r="Q16" s="118"/>
      <c r="R16" s="151"/>
      <c r="S16" s="151">
        <f t="shared" si="9"/>
        <v>0</v>
      </c>
      <c r="T16" s="151">
        <f>S16/S2</f>
        <v>0</v>
      </c>
      <c r="U16" s="159">
        <f t="shared" si="10"/>
        <v>0</v>
      </c>
      <c r="V16" s="266">
        <f t="shared" si="11"/>
        <v>0</v>
      </c>
      <c r="W16" s="159">
        <f t="shared" si="12"/>
        <v>0</v>
      </c>
      <c r="X16" s="118"/>
      <c r="Y16" s="151"/>
      <c r="Z16" s="151">
        <f t="shared" si="13"/>
        <v>0</v>
      </c>
      <c r="AA16" s="151">
        <f>Z16/Z2</f>
        <v>0</v>
      </c>
      <c r="AB16" s="159">
        <f t="shared" si="14"/>
        <v>0</v>
      </c>
      <c r="AC16" s="266">
        <f t="shared" si="15"/>
        <v>0</v>
      </c>
      <c r="AD16" s="159">
        <f t="shared" si="16"/>
        <v>0</v>
      </c>
      <c r="AE16" s="118"/>
      <c r="AF16" s="151"/>
      <c r="AG16" s="151">
        <f t="shared" si="17"/>
        <v>0</v>
      </c>
      <c r="AH16" s="151">
        <f>AG16/AG2</f>
        <v>0</v>
      </c>
      <c r="AI16" s="96">
        <f t="shared" si="18"/>
        <v>0</v>
      </c>
      <c r="AJ16" s="267">
        <f t="shared" si="19"/>
        <v>0</v>
      </c>
      <c r="AK16" s="96">
        <f t="shared" si="20"/>
        <v>0</v>
      </c>
      <c r="AL16" s="118"/>
      <c r="AM16" s="151"/>
      <c r="AN16" s="151">
        <f t="shared" si="21"/>
        <v>0</v>
      </c>
      <c r="AO16" s="151">
        <f>AN16/AN2</f>
        <v>0</v>
      </c>
      <c r="AP16" s="96">
        <f t="shared" si="22"/>
        <v>0</v>
      </c>
      <c r="AQ16" s="267">
        <f t="shared" si="23"/>
        <v>0</v>
      </c>
      <c r="AR16" s="96">
        <f t="shared" si="24"/>
        <v>0</v>
      </c>
      <c r="AS16" s="118"/>
      <c r="AT16" s="287"/>
      <c r="AU16" s="287">
        <f t="shared" si="25"/>
        <v>0</v>
      </c>
      <c r="AV16" s="288">
        <f t="shared" si="26"/>
        <v>0</v>
      </c>
      <c r="AW16" s="96">
        <f t="shared" si="27"/>
        <v>0</v>
      </c>
      <c r="AX16" s="267">
        <f t="shared" si="28"/>
        <v>0</v>
      </c>
      <c r="AY16" s="96">
        <f t="shared" si="29"/>
        <v>0</v>
      </c>
      <c r="AZ16" s="118"/>
      <c r="BA16" s="287"/>
      <c r="BB16" s="287"/>
      <c r="BC16" s="288"/>
      <c r="BD16" s="96">
        <f t="shared" si="30"/>
        <v>0</v>
      </c>
      <c r="BE16" s="267">
        <f t="shared" si="121"/>
        <v>0</v>
      </c>
      <c r="BF16" s="96">
        <f t="shared" si="31"/>
        <v>0</v>
      </c>
      <c r="BG16" s="118"/>
      <c r="BH16" s="151"/>
      <c r="BI16" s="151">
        <f t="shared" si="32"/>
        <v>0</v>
      </c>
      <c r="BJ16" s="151">
        <f>BI16/BI2</f>
        <v>0</v>
      </c>
      <c r="BK16" s="210"/>
      <c r="BL16" s="210">
        <f>BK16*BL2</f>
        <v>0</v>
      </c>
      <c r="BM16" s="210">
        <f t="shared" si="33"/>
        <v>0</v>
      </c>
      <c r="BN16" s="118"/>
      <c r="BO16" s="151"/>
      <c r="BP16" s="151">
        <f t="shared" si="34"/>
        <v>0</v>
      </c>
      <c r="BQ16" s="151">
        <f>BP16/BP2</f>
        <v>0</v>
      </c>
      <c r="BR16" s="210"/>
      <c r="BS16" s="210">
        <f>BR16*BS2</f>
        <v>0</v>
      </c>
      <c r="BT16" s="210">
        <f t="shared" si="35"/>
        <v>0</v>
      </c>
      <c r="BU16" s="118"/>
      <c r="BV16" s="151"/>
      <c r="BW16" s="151">
        <f t="shared" si="36"/>
        <v>0</v>
      </c>
      <c r="BX16" s="151">
        <f>BW16/BW2</f>
        <v>0</v>
      </c>
      <c r="BY16" s="96">
        <f t="shared" si="37"/>
        <v>0</v>
      </c>
      <c r="BZ16" s="96">
        <f t="shared" si="38"/>
        <v>0</v>
      </c>
      <c r="CA16" s="96">
        <f t="shared" si="39"/>
        <v>0</v>
      </c>
      <c r="CB16" s="118"/>
      <c r="CC16" s="151"/>
      <c r="CD16" s="151">
        <f t="shared" si="40"/>
        <v>0</v>
      </c>
      <c r="CE16" s="151">
        <f>CD16/CD2</f>
        <v>0</v>
      </c>
      <c r="CF16" s="96">
        <f t="shared" si="41"/>
        <v>0</v>
      </c>
      <c r="CG16" s="267">
        <f t="shared" si="42"/>
        <v>0</v>
      </c>
      <c r="CH16" s="96">
        <f t="shared" si="43"/>
        <v>0</v>
      </c>
      <c r="CI16" s="118"/>
      <c r="CJ16" s="151"/>
      <c r="CK16" s="151">
        <f t="shared" si="44"/>
        <v>0</v>
      </c>
      <c r="CL16" s="151">
        <f>CK16/CK2</f>
        <v>0</v>
      </c>
      <c r="CM16" s="96">
        <f t="shared" si="45"/>
        <v>0</v>
      </c>
      <c r="CN16" s="267">
        <f t="shared" si="46"/>
        <v>0</v>
      </c>
      <c r="CO16" s="96">
        <f t="shared" si="47"/>
        <v>0</v>
      </c>
      <c r="CP16" s="118"/>
      <c r="CQ16" s="151"/>
      <c r="CR16" s="151">
        <f t="shared" si="48"/>
        <v>0</v>
      </c>
      <c r="CS16" s="151">
        <f>CR16/CR2</f>
        <v>0</v>
      </c>
      <c r="CT16" s="96">
        <f t="shared" si="49"/>
        <v>0</v>
      </c>
      <c r="CU16" s="267">
        <f t="shared" si="50"/>
        <v>0</v>
      </c>
      <c r="CV16" s="96">
        <f t="shared" si="51"/>
        <v>0</v>
      </c>
      <c r="CW16" s="118"/>
      <c r="CX16" s="151"/>
      <c r="CY16" s="151">
        <f t="shared" si="52"/>
        <v>0</v>
      </c>
      <c r="CZ16" s="151">
        <f>CY16/CY2</f>
        <v>0</v>
      </c>
      <c r="DA16" s="210"/>
      <c r="DB16" s="210">
        <f>DA16*DB2</f>
        <v>0</v>
      </c>
      <c r="DC16" s="210">
        <f t="shared" si="53"/>
        <v>0</v>
      </c>
      <c r="DD16" s="118"/>
      <c r="DE16" s="151"/>
      <c r="DF16" s="151">
        <f t="shared" si="54"/>
        <v>0</v>
      </c>
      <c r="DG16" s="151">
        <f>DF16/DF2</f>
        <v>0</v>
      </c>
      <c r="DH16" s="159">
        <f t="shared" si="55"/>
        <v>0</v>
      </c>
      <c r="DI16" s="266">
        <f t="shared" si="56"/>
        <v>0</v>
      </c>
      <c r="DJ16" s="159">
        <f t="shared" si="57"/>
        <v>0</v>
      </c>
      <c r="DK16" s="118"/>
      <c r="DL16" s="151"/>
      <c r="DM16" s="151">
        <f t="shared" si="58"/>
        <v>0</v>
      </c>
      <c r="DN16" s="151">
        <f>DM16/DM2</f>
        <v>0</v>
      </c>
      <c r="DO16" s="96">
        <f t="shared" si="59"/>
        <v>0</v>
      </c>
      <c r="DP16" s="267">
        <f t="shared" si="60"/>
        <v>0</v>
      </c>
      <c r="DQ16" s="96">
        <f t="shared" si="61"/>
        <v>0</v>
      </c>
      <c r="DR16" s="118"/>
      <c r="DS16" s="151"/>
      <c r="DT16" s="151">
        <f t="shared" si="62"/>
        <v>0</v>
      </c>
      <c r="DU16" s="133">
        <f t="shared" si="63"/>
        <v>0</v>
      </c>
      <c r="DV16" s="159">
        <f t="shared" si="64"/>
        <v>0</v>
      </c>
      <c r="DW16" s="266">
        <f t="shared" si="65"/>
        <v>0</v>
      </c>
      <c r="DX16" s="159">
        <f t="shared" si="66"/>
        <v>0</v>
      </c>
      <c r="DY16" s="118"/>
      <c r="DZ16" s="151"/>
      <c r="EA16" s="151">
        <f t="shared" si="67"/>
        <v>0</v>
      </c>
      <c r="EB16" s="151">
        <f>EA16/EA2</f>
        <v>0</v>
      </c>
      <c r="EC16" s="96">
        <f t="shared" si="68"/>
        <v>0</v>
      </c>
      <c r="ED16" s="267">
        <f t="shared" si="69"/>
        <v>0</v>
      </c>
      <c r="EE16" s="96">
        <f t="shared" si="70"/>
        <v>0</v>
      </c>
      <c r="EF16" s="118"/>
      <c r="EG16" s="151"/>
      <c r="EH16" s="151">
        <f t="shared" si="71"/>
        <v>0</v>
      </c>
      <c r="EI16" s="151">
        <f>EH16/EH2</f>
        <v>0</v>
      </c>
      <c r="EJ16" s="210"/>
      <c r="EK16" s="210">
        <f>EJ16*EK2</f>
        <v>0</v>
      </c>
      <c r="EL16" s="210">
        <f t="shared" si="72"/>
        <v>0</v>
      </c>
      <c r="EM16" s="118"/>
      <c r="EN16" s="151"/>
      <c r="EO16" s="151">
        <f t="shared" si="73"/>
        <v>0</v>
      </c>
      <c r="EP16" s="151">
        <f>EO16/EO2</f>
        <v>0</v>
      </c>
      <c r="EQ16" s="159">
        <f t="shared" si="74"/>
        <v>0</v>
      </c>
      <c r="ER16" s="266">
        <f t="shared" si="75"/>
        <v>0</v>
      </c>
      <c r="ES16" s="159">
        <f t="shared" si="76"/>
        <v>0</v>
      </c>
      <c r="ET16" s="118"/>
      <c r="EU16" s="151"/>
      <c r="EV16" s="151">
        <f t="shared" si="77"/>
        <v>0</v>
      </c>
      <c r="EW16" s="151">
        <f>EV16/EV2</f>
        <v>0</v>
      </c>
      <c r="EX16" s="96">
        <f t="shared" si="78"/>
        <v>0</v>
      </c>
      <c r="EY16" s="267">
        <f t="shared" si="79"/>
        <v>0</v>
      </c>
      <c r="EZ16" s="96">
        <f t="shared" si="80"/>
        <v>0</v>
      </c>
      <c r="FA16" s="118"/>
      <c r="FB16" s="151"/>
      <c r="FC16" s="151">
        <f t="shared" si="81"/>
        <v>0</v>
      </c>
      <c r="FD16" s="151">
        <f>FC16/FC2</f>
        <v>0</v>
      </c>
      <c r="FE16" s="96">
        <f t="shared" si="82"/>
        <v>0</v>
      </c>
      <c r="FF16" s="267">
        <f t="shared" si="83"/>
        <v>0</v>
      </c>
      <c r="FG16" s="96">
        <f t="shared" si="84"/>
        <v>0</v>
      </c>
      <c r="FH16" s="118"/>
      <c r="FI16" s="287"/>
      <c r="FJ16" s="287">
        <f>FI16/118%</f>
        <v>0</v>
      </c>
      <c r="FK16" s="288">
        <f t="shared" si="85"/>
        <v>0</v>
      </c>
      <c r="FL16" s="96">
        <f t="shared" si="86"/>
        <v>0</v>
      </c>
      <c r="FM16" s="267">
        <f t="shared" si="87"/>
        <v>0</v>
      </c>
      <c r="FN16" s="139">
        <f t="shared" si="88"/>
        <v>0</v>
      </c>
      <c r="FO16" s="118"/>
      <c r="FP16" s="151"/>
      <c r="FQ16" s="151">
        <f t="shared" si="89"/>
        <v>0</v>
      </c>
      <c r="FR16" s="151">
        <f>FQ16/FQ2</f>
        <v>0</v>
      </c>
      <c r="FS16" s="96">
        <f t="shared" si="90"/>
        <v>0</v>
      </c>
      <c r="FT16" s="267">
        <f t="shared" si="91"/>
        <v>0</v>
      </c>
      <c r="FU16" s="96">
        <f t="shared" si="92"/>
        <v>0</v>
      </c>
      <c r="FV16" s="118"/>
      <c r="FW16" s="151"/>
      <c r="FX16" s="151">
        <f t="shared" si="93"/>
        <v>0</v>
      </c>
      <c r="FY16" s="151">
        <f>FX16/FX2</f>
        <v>0</v>
      </c>
      <c r="FZ16" s="96">
        <f t="shared" si="94"/>
        <v>0</v>
      </c>
      <c r="GA16" s="267">
        <f t="shared" si="95"/>
        <v>0</v>
      </c>
      <c r="GB16" s="96">
        <f t="shared" si="96"/>
        <v>0</v>
      </c>
      <c r="GC16" s="118"/>
      <c r="GD16" s="151"/>
      <c r="GE16" s="151">
        <f t="shared" si="97"/>
        <v>0</v>
      </c>
      <c r="GF16" s="151">
        <f>GE16/GE2</f>
        <v>0</v>
      </c>
      <c r="GG16" s="159">
        <f t="shared" si="98"/>
        <v>0</v>
      </c>
      <c r="GH16" s="266">
        <f t="shared" si="99"/>
        <v>0</v>
      </c>
      <c r="GI16" s="159">
        <f t="shared" si="100"/>
        <v>0</v>
      </c>
      <c r="GJ16" s="118"/>
      <c r="GK16" s="151"/>
      <c r="GL16" s="151">
        <f t="shared" si="101"/>
        <v>0</v>
      </c>
      <c r="GM16" s="270">
        <f t="shared" si="102"/>
        <v>0</v>
      </c>
      <c r="GN16" s="159">
        <f t="shared" si="103"/>
        <v>0</v>
      </c>
      <c r="GO16" s="266">
        <f t="shared" si="104"/>
        <v>0</v>
      </c>
      <c r="GP16" s="159">
        <f t="shared" si="105"/>
        <v>0</v>
      </c>
      <c r="GQ16" s="118"/>
      <c r="GR16" s="151"/>
      <c r="GS16" s="151">
        <f t="shared" si="106"/>
        <v>0</v>
      </c>
      <c r="GT16" s="151">
        <f>GS16/GS2</f>
        <v>0</v>
      </c>
      <c r="GU16" s="96">
        <f t="shared" si="107"/>
        <v>0</v>
      </c>
      <c r="GV16" s="267">
        <f t="shared" si="108"/>
        <v>0</v>
      </c>
      <c r="GW16" s="96">
        <f t="shared" si="109"/>
        <v>0</v>
      </c>
      <c r="GX16" s="118"/>
      <c r="GY16" s="151"/>
      <c r="GZ16" s="151">
        <f t="shared" si="110"/>
        <v>0</v>
      </c>
      <c r="HA16" s="151">
        <f>GZ16/GZ2</f>
        <v>0</v>
      </c>
      <c r="HB16" s="159">
        <f t="shared" si="111"/>
        <v>0</v>
      </c>
      <c r="HC16" s="266">
        <f t="shared" si="112"/>
        <v>0</v>
      </c>
      <c r="HD16" s="159">
        <f t="shared" si="113"/>
        <v>0</v>
      </c>
      <c r="HE16" s="118"/>
      <c r="HF16" s="151"/>
      <c r="HG16" s="151">
        <f t="shared" si="114"/>
        <v>0</v>
      </c>
      <c r="HH16" s="151">
        <f>HG16/HG2</f>
        <v>0</v>
      </c>
      <c r="HI16" s="210"/>
      <c r="HJ16" s="210">
        <f>HI16*HJ2</f>
        <v>0</v>
      </c>
      <c r="HK16" s="210">
        <f t="shared" si="115"/>
        <v>0</v>
      </c>
      <c r="HL16" s="118"/>
      <c r="HM16" s="151"/>
      <c r="HN16" s="151">
        <f t="shared" si="116"/>
        <v>0</v>
      </c>
      <c r="HO16" s="151">
        <f>HN16/HN2</f>
        <v>0</v>
      </c>
      <c r="HP16" s="96">
        <f t="shared" si="117"/>
        <v>0</v>
      </c>
      <c r="HQ16" s="267">
        <f t="shared" si="118"/>
        <v>0</v>
      </c>
      <c r="HR16" s="96">
        <f t="shared" si="119"/>
        <v>0</v>
      </c>
      <c r="HS16" s="118"/>
      <c r="HT16" s="318">
        <f t="shared" si="0"/>
        <v>0</v>
      </c>
      <c r="HU16" s="151">
        <f t="shared" si="120"/>
        <v>0</v>
      </c>
      <c r="HV16" s="319"/>
    </row>
    <row r="17" spans="1:230">
      <c r="A17" s="18">
        <v>9</v>
      </c>
      <c r="B17" s="19" t="s">
        <v>20</v>
      </c>
      <c r="C17" s="118"/>
      <c r="D17" s="151"/>
      <c r="E17" s="151">
        <f t="shared" si="1"/>
        <v>0</v>
      </c>
      <c r="F17" s="151">
        <f>E17/E2</f>
        <v>0</v>
      </c>
      <c r="G17" s="159">
        <f t="shared" si="2"/>
        <v>0</v>
      </c>
      <c r="H17" s="266">
        <f t="shared" si="3"/>
        <v>0</v>
      </c>
      <c r="I17" s="159">
        <f t="shared" si="4"/>
        <v>0</v>
      </c>
      <c r="J17" s="118"/>
      <c r="K17" s="151"/>
      <c r="L17" s="151">
        <f t="shared" si="5"/>
        <v>0</v>
      </c>
      <c r="M17" s="151">
        <f>L17/L2</f>
        <v>0</v>
      </c>
      <c r="N17" s="159">
        <f t="shared" si="6"/>
        <v>0</v>
      </c>
      <c r="O17" s="266">
        <f t="shared" si="7"/>
        <v>0</v>
      </c>
      <c r="P17" s="159">
        <f t="shared" si="8"/>
        <v>0</v>
      </c>
      <c r="Q17" s="118"/>
      <c r="R17" s="151"/>
      <c r="S17" s="151">
        <f t="shared" si="9"/>
        <v>0</v>
      </c>
      <c r="T17" s="151">
        <f>S17/S2</f>
        <v>0</v>
      </c>
      <c r="U17" s="159">
        <f t="shared" si="10"/>
        <v>0</v>
      </c>
      <c r="V17" s="266">
        <f t="shared" si="11"/>
        <v>0</v>
      </c>
      <c r="W17" s="159">
        <f t="shared" si="12"/>
        <v>0</v>
      </c>
      <c r="X17" s="118"/>
      <c r="Y17" s="151"/>
      <c r="Z17" s="151">
        <f t="shared" si="13"/>
        <v>0</v>
      </c>
      <c r="AA17" s="151">
        <f>Z17/Z2</f>
        <v>0</v>
      </c>
      <c r="AB17" s="159">
        <f t="shared" si="14"/>
        <v>0</v>
      </c>
      <c r="AC17" s="266">
        <f t="shared" si="15"/>
        <v>0</v>
      </c>
      <c r="AD17" s="159">
        <f t="shared" si="16"/>
        <v>0</v>
      </c>
      <c r="AE17" s="118"/>
      <c r="AF17" s="151"/>
      <c r="AG17" s="151">
        <f t="shared" si="17"/>
        <v>0</v>
      </c>
      <c r="AH17" s="151">
        <f>AG17/AG2</f>
        <v>0</v>
      </c>
      <c r="AI17" s="96">
        <f t="shared" si="18"/>
        <v>0</v>
      </c>
      <c r="AJ17" s="267">
        <f t="shared" si="19"/>
        <v>0</v>
      </c>
      <c r="AK17" s="96">
        <f t="shared" si="20"/>
        <v>0</v>
      </c>
      <c r="AL17" s="118"/>
      <c r="AM17" s="151"/>
      <c r="AN17" s="151">
        <f t="shared" si="21"/>
        <v>0</v>
      </c>
      <c r="AO17" s="151">
        <f>AN17/AN2</f>
        <v>0</v>
      </c>
      <c r="AP17" s="96">
        <f t="shared" si="22"/>
        <v>0</v>
      </c>
      <c r="AQ17" s="267">
        <f t="shared" si="23"/>
        <v>0</v>
      </c>
      <c r="AR17" s="96">
        <f t="shared" si="24"/>
        <v>0</v>
      </c>
      <c r="AS17" s="118"/>
      <c r="AT17" s="287">
        <v>8850</v>
      </c>
      <c r="AU17" s="287">
        <f>AT17/118%</f>
        <v>7500</v>
      </c>
      <c r="AV17" s="288">
        <f t="shared" si="26"/>
        <v>6.9012477455924035</v>
      </c>
      <c r="AW17" s="96">
        <f t="shared" si="27"/>
        <v>6.9012477455924035</v>
      </c>
      <c r="AX17" s="267">
        <f t="shared" si="28"/>
        <v>12346.172107917109</v>
      </c>
      <c r="AY17" s="96">
        <f t="shared" si="29"/>
        <v>14568.483087342189</v>
      </c>
      <c r="AZ17" s="118"/>
      <c r="BA17" s="287"/>
      <c r="BB17" s="287"/>
      <c r="BC17" s="288"/>
      <c r="BD17" s="96">
        <f t="shared" si="30"/>
        <v>0</v>
      </c>
      <c r="BE17" s="267">
        <f t="shared" si="121"/>
        <v>0</v>
      </c>
      <c r="BF17" s="96">
        <f t="shared" si="31"/>
        <v>0</v>
      </c>
      <c r="BG17" s="118"/>
      <c r="BH17" s="151"/>
      <c r="BI17" s="151">
        <f t="shared" si="32"/>
        <v>0</v>
      </c>
      <c r="BJ17" s="151">
        <f>BI17/BI2</f>
        <v>0</v>
      </c>
      <c r="BK17" s="210"/>
      <c r="BL17" s="210">
        <f>BK17*BL2</f>
        <v>0</v>
      </c>
      <c r="BM17" s="210">
        <f t="shared" si="33"/>
        <v>0</v>
      </c>
      <c r="BN17" s="118"/>
      <c r="BO17" s="151"/>
      <c r="BP17" s="151">
        <f t="shared" si="34"/>
        <v>0</v>
      </c>
      <c r="BQ17" s="151">
        <f>BP17/BP2</f>
        <v>0</v>
      </c>
      <c r="BR17" s="210"/>
      <c r="BS17" s="210">
        <f>BR17*BS2</f>
        <v>0</v>
      </c>
      <c r="BT17" s="210">
        <f t="shared" si="35"/>
        <v>0</v>
      </c>
      <c r="BU17" s="118"/>
      <c r="BV17" s="151"/>
      <c r="BW17" s="151">
        <f t="shared" si="36"/>
        <v>0</v>
      </c>
      <c r="BX17" s="151">
        <f>BW17/BW2</f>
        <v>0</v>
      </c>
      <c r="BY17" s="96">
        <f t="shared" si="37"/>
        <v>0</v>
      </c>
      <c r="BZ17" s="96">
        <f t="shared" si="38"/>
        <v>0</v>
      </c>
      <c r="CA17" s="96">
        <f t="shared" si="39"/>
        <v>0</v>
      </c>
      <c r="CB17" s="118"/>
      <c r="CC17" s="151"/>
      <c r="CD17" s="151">
        <f t="shared" si="40"/>
        <v>0</v>
      </c>
      <c r="CE17" s="151">
        <f>CD17/CD2</f>
        <v>0</v>
      </c>
      <c r="CF17" s="96">
        <f t="shared" si="41"/>
        <v>0</v>
      </c>
      <c r="CG17" s="267">
        <f t="shared" si="42"/>
        <v>0</v>
      </c>
      <c r="CH17" s="96">
        <f t="shared" si="43"/>
        <v>0</v>
      </c>
      <c r="CI17" s="118"/>
      <c r="CJ17" s="151"/>
      <c r="CK17" s="151">
        <f t="shared" si="44"/>
        <v>0</v>
      </c>
      <c r="CL17" s="151">
        <f>CK17/CK2</f>
        <v>0</v>
      </c>
      <c r="CM17" s="96">
        <f t="shared" si="45"/>
        <v>0</v>
      </c>
      <c r="CN17" s="267">
        <f t="shared" si="46"/>
        <v>0</v>
      </c>
      <c r="CO17" s="96">
        <f t="shared" si="47"/>
        <v>0</v>
      </c>
      <c r="CP17" s="118"/>
      <c r="CQ17" s="151"/>
      <c r="CR17" s="151">
        <f t="shared" si="48"/>
        <v>0</v>
      </c>
      <c r="CS17" s="151">
        <f>CR17/CR2</f>
        <v>0</v>
      </c>
      <c r="CT17" s="96">
        <f t="shared" si="49"/>
        <v>0</v>
      </c>
      <c r="CU17" s="267">
        <f t="shared" si="50"/>
        <v>0</v>
      </c>
      <c r="CV17" s="96">
        <f t="shared" si="51"/>
        <v>0</v>
      </c>
      <c r="CW17" s="118"/>
      <c r="CX17" s="151"/>
      <c r="CY17" s="151">
        <f t="shared" si="52"/>
        <v>0</v>
      </c>
      <c r="CZ17" s="151">
        <f>CY17/CY2</f>
        <v>0</v>
      </c>
      <c r="DA17" s="210"/>
      <c r="DB17" s="210">
        <f>DA17*DB2</f>
        <v>0</v>
      </c>
      <c r="DC17" s="210">
        <f t="shared" si="53"/>
        <v>0</v>
      </c>
      <c r="DD17" s="118"/>
      <c r="DE17" s="151">
        <v>8850</v>
      </c>
      <c r="DF17" s="151">
        <f t="shared" si="54"/>
        <v>7500</v>
      </c>
      <c r="DG17" s="151">
        <f>DF17/DF2</f>
        <v>7.6608784473953015</v>
      </c>
      <c r="DH17" s="159">
        <v>0</v>
      </c>
      <c r="DI17" s="266">
        <f t="shared" si="56"/>
        <v>0</v>
      </c>
      <c r="DJ17" s="159">
        <f t="shared" si="57"/>
        <v>0</v>
      </c>
      <c r="DK17" s="118"/>
      <c r="DL17" s="151"/>
      <c r="DM17" s="151">
        <f t="shared" si="58"/>
        <v>0</v>
      </c>
      <c r="DN17" s="151">
        <f>DM17/DM2</f>
        <v>0</v>
      </c>
      <c r="DO17" s="96">
        <f t="shared" si="59"/>
        <v>0</v>
      </c>
      <c r="DP17" s="267">
        <f t="shared" si="60"/>
        <v>0</v>
      </c>
      <c r="DQ17" s="96">
        <f t="shared" si="61"/>
        <v>0</v>
      </c>
      <c r="DR17" s="118"/>
      <c r="DS17" s="151"/>
      <c r="DT17" s="151">
        <f t="shared" si="62"/>
        <v>0</v>
      </c>
      <c r="DU17" s="133">
        <f t="shared" si="63"/>
        <v>0</v>
      </c>
      <c r="DV17" s="159">
        <f t="shared" si="64"/>
        <v>0</v>
      </c>
      <c r="DW17" s="266">
        <f t="shared" si="65"/>
        <v>0</v>
      </c>
      <c r="DX17" s="159">
        <f t="shared" si="66"/>
        <v>0</v>
      </c>
      <c r="DY17" s="118"/>
      <c r="DZ17" s="151"/>
      <c r="EA17" s="151">
        <f t="shared" si="67"/>
        <v>0</v>
      </c>
      <c r="EB17" s="151">
        <f>EA17/EA2</f>
        <v>0</v>
      </c>
      <c r="EC17" s="96">
        <f t="shared" si="68"/>
        <v>0</v>
      </c>
      <c r="ED17" s="267">
        <f t="shared" si="69"/>
        <v>0</v>
      </c>
      <c r="EE17" s="96">
        <f t="shared" si="70"/>
        <v>0</v>
      </c>
      <c r="EF17" s="118"/>
      <c r="EG17" s="151"/>
      <c r="EH17" s="151">
        <f t="shared" si="71"/>
        <v>0</v>
      </c>
      <c r="EI17" s="151">
        <f>EH17/EH2</f>
        <v>0</v>
      </c>
      <c r="EJ17" s="210"/>
      <c r="EK17" s="210">
        <f>EJ17*EK2</f>
        <v>0</v>
      </c>
      <c r="EL17" s="210">
        <f t="shared" si="72"/>
        <v>0</v>
      </c>
      <c r="EM17" s="118"/>
      <c r="EN17" s="151">
        <v>8850</v>
      </c>
      <c r="EO17" s="151">
        <f t="shared" si="73"/>
        <v>7500</v>
      </c>
      <c r="EP17" s="151">
        <f>EO17/EO2</f>
        <v>12.017690039738495</v>
      </c>
      <c r="EQ17" s="159"/>
      <c r="ER17" s="266">
        <f t="shared" si="75"/>
        <v>0</v>
      </c>
      <c r="ES17" s="159">
        <f t="shared" si="76"/>
        <v>0</v>
      </c>
      <c r="ET17" s="118"/>
      <c r="EU17" s="151"/>
      <c r="EV17" s="151">
        <f t="shared" si="77"/>
        <v>0</v>
      </c>
      <c r="EW17" s="151">
        <f>EV17/EV2</f>
        <v>0</v>
      </c>
      <c r="EX17" s="96">
        <f t="shared" si="78"/>
        <v>0</v>
      </c>
      <c r="EY17" s="267">
        <f t="shared" si="79"/>
        <v>0</v>
      </c>
      <c r="EZ17" s="96">
        <f t="shared" si="80"/>
        <v>0</v>
      </c>
      <c r="FA17" s="118"/>
      <c r="FB17" s="151"/>
      <c r="FC17" s="151">
        <f t="shared" si="81"/>
        <v>0</v>
      </c>
      <c r="FD17" s="151">
        <f>FC17/FC2</f>
        <v>0</v>
      </c>
      <c r="FE17" s="96">
        <f t="shared" si="82"/>
        <v>0</v>
      </c>
      <c r="FF17" s="267">
        <f t="shared" si="83"/>
        <v>0</v>
      </c>
      <c r="FG17" s="96">
        <f t="shared" si="84"/>
        <v>0</v>
      </c>
      <c r="FH17" s="118"/>
      <c r="FI17" s="287">
        <v>8850</v>
      </c>
      <c r="FJ17" s="287">
        <f>FI17/118%</f>
        <v>7500</v>
      </c>
      <c r="FK17" s="288">
        <f t="shared" si="85"/>
        <v>6.9012477455924035</v>
      </c>
      <c r="FL17" s="96"/>
      <c r="FM17" s="267">
        <f t="shared" si="87"/>
        <v>0</v>
      </c>
      <c r="FN17" s="139">
        <f t="shared" si="88"/>
        <v>0</v>
      </c>
      <c r="FO17" s="118"/>
      <c r="FP17" s="151"/>
      <c r="FQ17" s="151">
        <f t="shared" si="89"/>
        <v>0</v>
      </c>
      <c r="FR17" s="151">
        <f>FQ17/FQ2</f>
        <v>0</v>
      </c>
      <c r="FS17" s="96">
        <f t="shared" si="90"/>
        <v>0</v>
      </c>
      <c r="FT17" s="267">
        <f t="shared" si="91"/>
        <v>0</v>
      </c>
      <c r="FU17" s="96">
        <f t="shared" si="92"/>
        <v>0</v>
      </c>
      <c r="FV17" s="118"/>
      <c r="FW17" s="151"/>
      <c r="FX17" s="151">
        <f t="shared" si="93"/>
        <v>0</v>
      </c>
      <c r="FY17" s="151">
        <f>FX17/FX2</f>
        <v>0</v>
      </c>
      <c r="FZ17" s="96">
        <f t="shared" si="94"/>
        <v>0</v>
      </c>
      <c r="GA17" s="267">
        <f t="shared" si="95"/>
        <v>0</v>
      </c>
      <c r="GB17" s="96">
        <f t="shared" si="96"/>
        <v>0</v>
      </c>
      <c r="GC17" s="118"/>
      <c r="GD17" s="151"/>
      <c r="GE17" s="151">
        <f t="shared" si="97"/>
        <v>0</v>
      </c>
      <c r="GF17" s="151">
        <f>GE17/GE2</f>
        <v>0</v>
      </c>
      <c r="GG17" s="159">
        <f t="shared" si="98"/>
        <v>0</v>
      </c>
      <c r="GH17" s="266">
        <f t="shared" si="99"/>
        <v>0</v>
      </c>
      <c r="GI17" s="159">
        <f t="shared" si="100"/>
        <v>0</v>
      </c>
      <c r="GJ17" s="118"/>
      <c r="GK17" s="151">
        <v>8850</v>
      </c>
      <c r="GL17" s="151">
        <f t="shared" si="101"/>
        <v>7500</v>
      </c>
      <c r="GM17" s="270">
        <f t="shared" si="102"/>
        <v>29.787436850633878</v>
      </c>
      <c r="GN17" s="159">
        <v>0</v>
      </c>
      <c r="GO17" s="266">
        <f t="shared" si="104"/>
        <v>0</v>
      </c>
      <c r="GP17" s="159">
        <f t="shared" si="105"/>
        <v>0</v>
      </c>
      <c r="GQ17" s="118"/>
      <c r="GR17" s="151"/>
      <c r="GS17" s="151">
        <f t="shared" si="106"/>
        <v>0</v>
      </c>
      <c r="GT17" s="151">
        <f>GS17/GS2</f>
        <v>0</v>
      </c>
      <c r="GU17" s="96">
        <f t="shared" si="107"/>
        <v>0</v>
      </c>
      <c r="GV17" s="267">
        <f t="shared" si="108"/>
        <v>0</v>
      </c>
      <c r="GW17" s="96">
        <f t="shared" si="109"/>
        <v>0</v>
      </c>
      <c r="GX17" s="118"/>
      <c r="GY17" s="151">
        <v>8850</v>
      </c>
      <c r="GZ17" s="151">
        <f t="shared" si="110"/>
        <v>7500</v>
      </c>
      <c r="HA17" s="151">
        <f>GZ17/GZ2</f>
        <v>7.6608784473953015</v>
      </c>
      <c r="HB17" s="159">
        <v>0</v>
      </c>
      <c r="HC17" s="266">
        <f t="shared" si="112"/>
        <v>0</v>
      </c>
      <c r="HD17" s="159">
        <f t="shared" si="113"/>
        <v>0</v>
      </c>
      <c r="HE17" s="118"/>
      <c r="HF17" s="151"/>
      <c r="HG17" s="151">
        <f t="shared" si="114"/>
        <v>0</v>
      </c>
      <c r="HH17" s="151">
        <f>HG17/HG2</f>
        <v>0</v>
      </c>
      <c r="HI17" s="210"/>
      <c r="HJ17" s="210">
        <f>HI17*HJ2</f>
        <v>0</v>
      </c>
      <c r="HK17" s="210">
        <f t="shared" si="115"/>
        <v>0</v>
      </c>
      <c r="HL17" s="118"/>
      <c r="HM17" s="151"/>
      <c r="HN17" s="151">
        <f t="shared" si="116"/>
        <v>0</v>
      </c>
      <c r="HO17" s="151">
        <f>HN17/HN2</f>
        <v>0</v>
      </c>
      <c r="HP17" s="96">
        <f t="shared" si="117"/>
        <v>0</v>
      </c>
      <c r="HQ17" s="267">
        <f t="shared" si="118"/>
        <v>0</v>
      </c>
      <c r="HR17" s="96">
        <f t="shared" si="119"/>
        <v>0</v>
      </c>
      <c r="HS17" s="118"/>
      <c r="HT17" s="318">
        <f t="shared" si="0"/>
        <v>12346.172107917109</v>
      </c>
      <c r="HU17" s="151">
        <f t="shared" si="120"/>
        <v>14568.483087342189</v>
      </c>
      <c r="HV17" s="319"/>
    </row>
    <row r="18" spans="1:230" s="26" customFormat="1" ht="15">
      <c r="A18" s="262"/>
      <c r="B18" s="23" t="s">
        <v>21</v>
      </c>
      <c r="C18" s="119"/>
      <c r="D18" s="152">
        <f>SUM(D9:D17)</f>
        <v>154773.992</v>
      </c>
      <c r="E18" s="152">
        <f>SUM(E9:E17)</f>
        <v>131164.40000000002</v>
      </c>
      <c r="F18" s="152"/>
      <c r="G18" s="75"/>
      <c r="H18" s="76">
        <f>SUM(H9:H17)</f>
        <v>172740.67199999999</v>
      </c>
      <c r="I18" s="76">
        <f>SUM(I9:I17)</f>
        <v>203833.99296</v>
      </c>
      <c r="J18" s="119"/>
      <c r="K18" s="152">
        <f>SUM(K9:K17)</f>
        <v>154773.992</v>
      </c>
      <c r="L18" s="152">
        <f>SUM(L9:L17)</f>
        <v>131164.40000000002</v>
      </c>
      <c r="M18" s="152"/>
      <c r="N18" s="75"/>
      <c r="O18" s="76">
        <f>SUM(O9:O17)</f>
        <v>854021.17275428586</v>
      </c>
      <c r="P18" s="76">
        <f>SUM(P9:P17)</f>
        <v>1007744.9838500571</v>
      </c>
      <c r="Q18" s="119"/>
      <c r="R18" s="152">
        <f>SUM(R9:R17)</f>
        <v>59000</v>
      </c>
      <c r="S18" s="152">
        <f>SUM(S9:S17)</f>
        <v>50000</v>
      </c>
      <c r="T18" s="152"/>
      <c r="U18" s="75"/>
      <c r="V18" s="76">
        <f>SUM(V9:V17)</f>
        <v>309413.02525714284</v>
      </c>
      <c r="W18" s="76">
        <f>SUM(W9:W17)</f>
        <v>365107.36980342853</v>
      </c>
      <c r="X18" s="119"/>
      <c r="Y18" s="152">
        <f>SUM(Y9:Y17)</f>
        <v>59000</v>
      </c>
      <c r="Z18" s="152">
        <f>SUM(Z9:Z17)</f>
        <v>50000</v>
      </c>
      <c r="AA18" s="152"/>
      <c r="AB18" s="75"/>
      <c r="AC18" s="76">
        <f>SUM(AC9:AC17)</f>
        <v>309413.02525714284</v>
      </c>
      <c r="AD18" s="76">
        <f>SUM(AD9:AD17)</f>
        <v>365107.36980342853</v>
      </c>
      <c r="AE18" s="119"/>
      <c r="AF18" s="152">
        <f>SUM(AF9:AF17)</f>
        <v>87556.246732880289</v>
      </c>
      <c r="AG18" s="152">
        <f>SUM(AG9:AG17)</f>
        <v>74200.209095661266</v>
      </c>
      <c r="AH18" s="152"/>
      <c r="AI18" s="97"/>
      <c r="AJ18" s="98">
        <f>SUM(AJ9:AJ17)</f>
        <v>932758.39424693352</v>
      </c>
      <c r="AK18" s="98">
        <f>SUM(AK9:AK17)</f>
        <v>1100654.9052113816</v>
      </c>
      <c r="AL18" s="119"/>
      <c r="AM18" s="152">
        <f>SUM(AM9:AM17)</f>
        <v>1062000</v>
      </c>
      <c r="AN18" s="152">
        <f>SUM(AN9:AN17)</f>
        <v>900000</v>
      </c>
      <c r="AO18" s="152"/>
      <c r="AP18" s="97"/>
      <c r="AQ18" s="98">
        <f>SUM(AQ9:AQ17)</f>
        <v>394458.35955888295</v>
      </c>
      <c r="AR18" s="98">
        <f>SUM(AR9:AR17)</f>
        <v>465460.86427948187</v>
      </c>
      <c r="AS18" s="119"/>
      <c r="AT18" s="289">
        <f>SUM(AT9:AT17)</f>
        <v>362850</v>
      </c>
      <c r="AU18" s="289">
        <f>SUM(AU9:AU17)</f>
        <v>307500</v>
      </c>
      <c r="AV18" s="289"/>
      <c r="AW18" s="97"/>
      <c r="AX18" s="98">
        <f>SUM(AX9:AX17)</f>
        <v>810319.11242460145</v>
      </c>
      <c r="AY18" s="98">
        <f>SUM(AY9:AY17)</f>
        <v>956176.55266102962</v>
      </c>
      <c r="AZ18" s="119"/>
      <c r="BA18" s="289"/>
      <c r="BB18" s="289"/>
      <c r="BC18" s="289"/>
      <c r="BD18" s="97"/>
      <c r="BE18" s="98">
        <f>SUM(BE9:BE17)</f>
        <v>544313.95199999982</v>
      </c>
      <c r="BF18" s="98">
        <f>SUM(BF9:BF17)</f>
        <v>642290.46335999994</v>
      </c>
      <c r="BG18" s="119"/>
      <c r="BH18" s="152">
        <f>SUM(BH9:BH17)</f>
        <v>489110</v>
      </c>
      <c r="BI18" s="152">
        <f>SUM(BI9:BI17)</f>
        <v>414500</v>
      </c>
      <c r="BJ18" s="152"/>
      <c r="BK18" s="211"/>
      <c r="BL18" s="212">
        <f>SUM(BL9:BL17)</f>
        <v>0</v>
      </c>
      <c r="BM18" s="212">
        <f>SUM(BM9:BM17)</f>
        <v>0</v>
      </c>
      <c r="BN18" s="119"/>
      <c r="BO18" s="152">
        <f>SUM(BO9:BO17)</f>
        <v>489110</v>
      </c>
      <c r="BP18" s="152">
        <f>SUM(BP9:BP17)</f>
        <v>414500</v>
      </c>
      <c r="BQ18" s="152"/>
      <c r="BR18" s="211"/>
      <c r="BS18" s="212">
        <f>SUM(BS9:BS17)</f>
        <v>0</v>
      </c>
      <c r="BT18" s="212">
        <f>SUM(BT9:BT17)</f>
        <v>0</v>
      </c>
      <c r="BU18" s="119"/>
      <c r="BV18" s="152">
        <f>SUM(BV9:BV17)</f>
        <v>1897440</v>
      </c>
      <c r="BW18" s="152">
        <f>SUM(BW9:BW17)</f>
        <v>1608000</v>
      </c>
      <c r="BX18" s="152"/>
      <c r="BY18" s="97"/>
      <c r="BZ18" s="98">
        <f>SUM(BZ9:BZ17)</f>
        <v>1174330.872</v>
      </c>
      <c r="CA18" s="98">
        <f>SUM(CA9:CA17)</f>
        <v>1385710.4289599999</v>
      </c>
      <c r="CB18" s="119"/>
      <c r="CC18" s="152">
        <f>SUM(CC9:CC17)</f>
        <v>87556.246732880289</v>
      </c>
      <c r="CD18" s="152">
        <f>SUM(CD9:CD17)</f>
        <v>74200.209095661266</v>
      </c>
      <c r="CE18" s="152"/>
      <c r="CF18" s="97"/>
      <c r="CG18" s="98">
        <f>SUM(CG9:CG17)</f>
        <v>181023.13355313762</v>
      </c>
      <c r="CH18" s="98">
        <f>SUM(CH9:CH17)</f>
        <v>213607.29759270238</v>
      </c>
      <c r="CI18" s="119"/>
      <c r="CJ18" s="152">
        <f>SUM(CJ9:CJ17)</f>
        <v>1062000</v>
      </c>
      <c r="CK18" s="152">
        <f>SUM(CK9:CK17)</f>
        <v>900000</v>
      </c>
      <c r="CL18" s="152"/>
      <c r="CM18" s="97"/>
      <c r="CN18" s="98">
        <f>SUM(CN9:CN17)</f>
        <v>179350.47151724729</v>
      </c>
      <c r="CO18" s="98">
        <f>SUM(CO9:CO17)</f>
        <v>211633.55639035179</v>
      </c>
      <c r="CP18" s="119"/>
      <c r="CQ18" s="152">
        <f>SUM(CQ9:CQ17)</f>
        <v>1062000</v>
      </c>
      <c r="CR18" s="152">
        <f>SUM(CR9:CR17)</f>
        <v>900000</v>
      </c>
      <c r="CS18" s="152"/>
      <c r="CT18" s="97"/>
      <c r="CU18" s="98">
        <f>SUM(CU9:CU17)</f>
        <v>179350.47151724729</v>
      </c>
      <c r="CV18" s="98">
        <f>SUM(CV9:CV17)</f>
        <v>211633.55639035179</v>
      </c>
      <c r="CW18" s="119"/>
      <c r="CX18" s="152">
        <f>SUM(CX9:CX17)</f>
        <v>489110</v>
      </c>
      <c r="CY18" s="152">
        <f>SUM(CY9:CY17)</f>
        <v>414500</v>
      </c>
      <c r="CZ18" s="152"/>
      <c r="DA18" s="211"/>
      <c r="DB18" s="212">
        <f>SUM(DB9:DB17)</f>
        <v>0</v>
      </c>
      <c r="DC18" s="212">
        <f>SUM(DC9:DC17)</f>
        <v>0</v>
      </c>
      <c r="DD18" s="119"/>
      <c r="DE18" s="152">
        <f>SUM(DE9:DE17)</f>
        <v>126850</v>
      </c>
      <c r="DF18" s="152">
        <f>SUM(DF9:DF17)</f>
        <v>107500</v>
      </c>
      <c r="DG18" s="152"/>
      <c r="DH18" s="75"/>
      <c r="DI18" s="76">
        <f>SUM(DI9:DI17)</f>
        <v>91981.59490663941</v>
      </c>
      <c r="DJ18" s="76">
        <f>SUM(DJ9:DJ17)</f>
        <v>108538.2819898345</v>
      </c>
      <c r="DK18" s="119"/>
      <c r="DL18" s="152">
        <f>SUM(DL9:DL17)</f>
        <v>87556.246732880289</v>
      </c>
      <c r="DM18" s="152">
        <f>SUM(DM9:DM17)</f>
        <v>74200.209095661266</v>
      </c>
      <c r="DN18" s="152"/>
      <c r="DO18" s="97"/>
      <c r="DP18" s="98">
        <f>SUM(DP9:DP17)</f>
        <v>350916.15375360637</v>
      </c>
      <c r="DQ18" s="98">
        <f>SUM(DQ9:DQ17)</f>
        <v>414081.06142925553</v>
      </c>
      <c r="DR18" s="119"/>
      <c r="DS18" s="152">
        <f>SUM(DS9:DS17)</f>
        <v>2666534.08</v>
      </c>
      <c r="DT18" s="152">
        <f>SUM(DT9:DT17)</f>
        <v>2339064.9824561407</v>
      </c>
      <c r="DU18" s="152"/>
      <c r="DV18" s="75"/>
      <c r="DW18" s="76">
        <f>SUM(DW9:DW17)</f>
        <v>712166.69371607457</v>
      </c>
      <c r="DX18" s="76">
        <f>SUM(DX9:DX17)</f>
        <v>840356.69858496799</v>
      </c>
      <c r="DY18" s="119"/>
      <c r="DZ18" s="152">
        <f>SUM(DZ9:DZ17)</f>
        <v>1062000</v>
      </c>
      <c r="EA18" s="152">
        <f>SUM(EA9:EA17)</f>
        <v>900000</v>
      </c>
      <c r="EB18" s="152"/>
      <c r="EC18" s="97"/>
      <c r="ED18" s="98">
        <f>SUM(ED9:ED17)</f>
        <v>186918.76452169102</v>
      </c>
      <c r="EE18" s="98">
        <f>SUM(EE9:EE17)</f>
        <v>220564.14213559538</v>
      </c>
      <c r="EF18" s="119"/>
      <c r="EG18" s="152">
        <f>SUM(EG9:EG17)</f>
        <v>489110</v>
      </c>
      <c r="EH18" s="152">
        <f>SUM(EH9:EH17)</f>
        <v>414500</v>
      </c>
      <c r="EI18" s="152"/>
      <c r="EJ18" s="211"/>
      <c r="EK18" s="212">
        <f>SUM(EK9:EK17)</f>
        <v>0</v>
      </c>
      <c r="EL18" s="212">
        <f>SUM(EL9:EL17)</f>
        <v>0</v>
      </c>
      <c r="EM18" s="119"/>
      <c r="EN18" s="152">
        <f>SUM(EN9:EN17)</f>
        <v>156350</v>
      </c>
      <c r="EO18" s="152">
        <f>SUM(EO9:EO17)</f>
        <v>132500</v>
      </c>
      <c r="EP18" s="152"/>
      <c r="EQ18" s="75"/>
      <c r="ER18" s="76">
        <f>SUM(ER9:ER17)</f>
        <v>145719.56650529418</v>
      </c>
      <c r="ES18" s="76">
        <f>SUM(ES9:ES17)</f>
        <v>171949.0884762471</v>
      </c>
      <c r="ET18" s="119"/>
      <c r="EU18" s="152">
        <f>SUM(EU9:EU17)</f>
        <v>1062000</v>
      </c>
      <c r="EV18" s="152">
        <f>SUM(EV9:EV17)</f>
        <v>900000</v>
      </c>
      <c r="EW18" s="152"/>
      <c r="EX18" s="97"/>
      <c r="EY18" s="98">
        <f>SUM(EY9:EY17)</f>
        <v>1275658.9602968446</v>
      </c>
      <c r="EZ18" s="98">
        <f>SUM(EZ9:EZ17)</f>
        <v>1505277.5731502767</v>
      </c>
      <c r="FA18" s="119"/>
      <c r="FB18" s="152">
        <f>SUM(FB9:FB17)</f>
        <v>1897440</v>
      </c>
      <c r="FC18" s="152">
        <f>SUM(FC9:FC17)</f>
        <v>1608000</v>
      </c>
      <c r="FD18" s="152"/>
      <c r="FE18" s="97"/>
      <c r="FF18" s="98">
        <f>SUM(FF9:FF17)</f>
        <v>1938410.6133600001</v>
      </c>
      <c r="FG18" s="98">
        <f>SUM(FG9:FG17)</f>
        <v>2287324.5237648003</v>
      </c>
      <c r="FH18" s="119"/>
      <c r="FI18" s="289">
        <f>SUM(FI9:FI17)</f>
        <v>362850</v>
      </c>
      <c r="FJ18" s="289">
        <f>SUM(FJ9:FJ17)</f>
        <v>307500</v>
      </c>
      <c r="FK18" s="289"/>
      <c r="FL18" s="97"/>
      <c r="FM18" s="98">
        <f>SUM(FM9:FM17)</f>
        <v>619866.85616404715</v>
      </c>
      <c r="FN18" s="98">
        <f>SUM(FN9:FN17)</f>
        <v>731442.89027357555</v>
      </c>
      <c r="FO18" s="119"/>
      <c r="FP18" s="152">
        <f>SUM(FP9:FP17)</f>
        <v>62700</v>
      </c>
      <c r="FQ18" s="152">
        <f>SUM(FQ9:FQ17)</f>
        <v>53135.593220338982</v>
      </c>
      <c r="FR18" s="152"/>
      <c r="FS18" s="97"/>
      <c r="FT18" s="98">
        <f>SUM(FT9:FT17)</f>
        <v>544483.84075932193</v>
      </c>
      <c r="FU18" s="98">
        <f>SUM(FU9:FU17)</f>
        <v>642490.93209599983</v>
      </c>
      <c r="FV18" s="119"/>
      <c r="FW18" s="152">
        <f>SUM(FW9:FW17)</f>
        <v>87556.246732880289</v>
      </c>
      <c r="FX18" s="152">
        <f>SUM(FX9:FX17)</f>
        <v>74200.209095661266</v>
      </c>
      <c r="FY18" s="152"/>
      <c r="FZ18" s="97"/>
      <c r="GA18" s="98">
        <f>SUM(GA9:GA17)</f>
        <v>130362.28071092523</v>
      </c>
      <c r="GB18" s="98">
        <f>SUM(GB9:GB17)</f>
        <v>153827.49123889173</v>
      </c>
      <c r="GC18" s="119"/>
      <c r="GD18" s="152">
        <f>SUM(GD9:GD17)</f>
        <v>59000</v>
      </c>
      <c r="GE18" s="152">
        <f>SUM(GE9:GE17)</f>
        <v>50000</v>
      </c>
      <c r="GF18" s="152"/>
      <c r="GG18" s="75"/>
      <c r="GH18" s="76">
        <f>SUM(GH9:GH17)</f>
        <v>350744.93999999994</v>
      </c>
      <c r="GI18" s="76">
        <f>SUM(GI9:GI17)</f>
        <v>413879.02919999993</v>
      </c>
      <c r="GJ18" s="119"/>
      <c r="GK18" s="152">
        <f>SUM(GK9:GK17)</f>
        <v>179950</v>
      </c>
      <c r="GL18" s="152">
        <f>SUM(GL9:GL17)</f>
        <v>152500</v>
      </c>
      <c r="GM18" s="152"/>
      <c r="GN18" s="75"/>
      <c r="GO18" s="76">
        <f>SUM(GO9:GO17)</f>
        <v>204400.76127881039</v>
      </c>
      <c r="GP18" s="76">
        <f>SUM(GP9:GP17)</f>
        <v>241192.89830899626</v>
      </c>
      <c r="GQ18" s="119"/>
      <c r="GR18" s="152">
        <f>SUM(GR9:GR17)</f>
        <v>87556.246732880289</v>
      </c>
      <c r="GS18" s="152">
        <f>SUM(GS9:GS17)</f>
        <v>74200.209095661266</v>
      </c>
      <c r="GT18" s="152"/>
      <c r="GU18" s="97"/>
      <c r="GV18" s="98">
        <f>SUM(GV9:GV17)</f>
        <v>241977.48049053841</v>
      </c>
      <c r="GW18" s="98">
        <f>SUM(GW9:GW17)</f>
        <v>285533.42697883531</v>
      </c>
      <c r="GX18" s="119"/>
      <c r="GY18" s="152">
        <f>SUM(GY9:GY17)</f>
        <v>126850</v>
      </c>
      <c r="GZ18" s="152">
        <f>SUM(GZ9:GZ17)</f>
        <v>107500</v>
      </c>
      <c r="HA18" s="152"/>
      <c r="HB18" s="75"/>
      <c r="HC18" s="76">
        <f>SUM(HC9:HC17)</f>
        <v>143291.46199182837</v>
      </c>
      <c r="HD18" s="76">
        <f>SUM(HD9:HD17)</f>
        <v>169083.92515035748</v>
      </c>
      <c r="HE18" s="119"/>
      <c r="HF18" s="152">
        <f>SUM(HF9:HF17)</f>
        <v>489110</v>
      </c>
      <c r="HG18" s="152">
        <f>SUM(HG9:HG17)</f>
        <v>414500</v>
      </c>
      <c r="HH18" s="152"/>
      <c r="HI18" s="211"/>
      <c r="HJ18" s="212">
        <f>SUM(HJ9:HJ17)</f>
        <v>0</v>
      </c>
      <c r="HK18" s="212">
        <f>SUM(HK9:HK17)</f>
        <v>0</v>
      </c>
      <c r="HL18" s="119"/>
      <c r="HM18" s="152">
        <f>SUM(HM9:HM17)</f>
        <v>87556.246732880289</v>
      </c>
      <c r="HN18" s="152">
        <f>SUM(HN9:HN17)</f>
        <v>74200.209095661266</v>
      </c>
      <c r="HO18" s="152"/>
      <c r="HP18" s="97"/>
      <c r="HQ18" s="98">
        <f>SUM(HQ9:HQ17)</f>
        <v>425675.3082696558</v>
      </c>
      <c r="HR18" s="98">
        <f>SUM(HR9:HR17)</f>
        <v>502296.86375819391</v>
      </c>
      <c r="HS18" s="123"/>
      <c r="HT18" s="321">
        <f t="shared" si="0"/>
        <v>13404067.938811898</v>
      </c>
      <c r="HU18" s="161">
        <f t="shared" si="120"/>
        <v>15816800.167798039</v>
      </c>
      <c r="HV18" s="320"/>
    </row>
    <row r="19" spans="1:230" ht="15">
      <c r="A19" s="262"/>
      <c r="B19" s="23"/>
      <c r="C19" s="118"/>
      <c r="D19" s="161"/>
      <c r="E19" s="161"/>
      <c r="F19" s="161"/>
      <c r="G19" s="74"/>
      <c r="H19" s="159"/>
      <c r="I19" s="159"/>
      <c r="J19" s="118"/>
      <c r="K19" s="161"/>
      <c r="L19" s="161"/>
      <c r="M19" s="161"/>
      <c r="N19" s="74"/>
      <c r="O19" s="159"/>
      <c r="P19" s="159"/>
      <c r="Q19" s="118"/>
      <c r="R19" s="161"/>
      <c r="S19" s="161"/>
      <c r="T19" s="161"/>
      <c r="U19" s="74"/>
      <c r="V19" s="159"/>
      <c r="W19" s="159"/>
      <c r="X19" s="118"/>
      <c r="Y19" s="161"/>
      <c r="Z19" s="161"/>
      <c r="AA19" s="161"/>
      <c r="AB19" s="74"/>
      <c r="AC19" s="159"/>
      <c r="AD19" s="159"/>
      <c r="AE19" s="118"/>
      <c r="AF19" s="161"/>
      <c r="AG19" s="149"/>
      <c r="AH19" s="161"/>
      <c r="AI19" s="96"/>
      <c r="AJ19" s="96"/>
      <c r="AK19" s="96"/>
      <c r="AL19" s="118"/>
      <c r="AM19" s="149"/>
      <c r="AN19" s="161"/>
      <c r="AO19" s="161"/>
      <c r="AP19" s="96"/>
      <c r="AQ19" s="96"/>
      <c r="AR19" s="96"/>
      <c r="AS19" s="118"/>
      <c r="AT19" s="289"/>
      <c r="AU19" s="289"/>
      <c r="AV19" s="289"/>
      <c r="AW19" s="96"/>
      <c r="AX19" s="96"/>
      <c r="AY19" s="96"/>
      <c r="AZ19" s="118"/>
      <c r="BA19" s="289"/>
      <c r="BB19" s="289"/>
      <c r="BC19" s="289"/>
      <c r="BD19" s="96"/>
      <c r="BE19" s="96"/>
      <c r="BF19" s="96"/>
      <c r="BG19" s="118"/>
      <c r="BH19" s="161"/>
      <c r="BI19" s="161"/>
      <c r="BJ19" s="161"/>
      <c r="BK19" s="210"/>
      <c r="BL19" s="210"/>
      <c r="BM19" s="210"/>
      <c r="BN19" s="118"/>
      <c r="BO19" s="161"/>
      <c r="BP19" s="161"/>
      <c r="BQ19" s="161"/>
      <c r="BR19" s="210"/>
      <c r="BS19" s="210"/>
      <c r="BT19" s="210"/>
      <c r="BU19" s="118"/>
      <c r="BV19" s="149"/>
      <c r="BW19" s="161"/>
      <c r="BX19" s="161"/>
      <c r="BY19" s="96"/>
      <c r="BZ19" s="96"/>
      <c r="CA19" s="96"/>
      <c r="CB19" s="118"/>
      <c r="CC19" s="161"/>
      <c r="CD19" s="149"/>
      <c r="CE19" s="161"/>
      <c r="CF19" s="96"/>
      <c r="CG19" s="96"/>
      <c r="CH19" s="96"/>
      <c r="CI19" s="118"/>
      <c r="CJ19" s="149"/>
      <c r="CK19" s="161"/>
      <c r="CL19" s="161"/>
      <c r="CM19" s="96"/>
      <c r="CN19" s="96"/>
      <c r="CO19" s="96"/>
      <c r="CP19" s="118"/>
      <c r="CQ19" s="149"/>
      <c r="CR19" s="161"/>
      <c r="CS19" s="161"/>
      <c r="CT19" s="96"/>
      <c r="CU19" s="96"/>
      <c r="CV19" s="96"/>
      <c r="CW19" s="118"/>
      <c r="CX19" s="161"/>
      <c r="CY19" s="161"/>
      <c r="CZ19" s="161"/>
      <c r="DA19" s="210"/>
      <c r="DB19" s="210"/>
      <c r="DC19" s="210"/>
      <c r="DD19" s="118"/>
      <c r="DE19" s="161"/>
      <c r="DF19" s="161"/>
      <c r="DG19" s="161"/>
      <c r="DH19" s="74"/>
      <c r="DI19" s="159"/>
      <c r="DJ19" s="159"/>
      <c r="DK19" s="118"/>
      <c r="DL19" s="161"/>
      <c r="DM19" s="149"/>
      <c r="DN19" s="161"/>
      <c r="DO19" s="96"/>
      <c r="DP19" s="96"/>
      <c r="DQ19" s="96"/>
      <c r="DR19" s="118"/>
      <c r="DS19" s="161"/>
      <c r="DT19" s="161"/>
      <c r="DU19" s="161"/>
      <c r="DV19" s="74"/>
      <c r="DW19" s="159"/>
      <c r="DX19" s="159"/>
      <c r="DY19" s="118"/>
      <c r="DZ19" s="149"/>
      <c r="EA19" s="161"/>
      <c r="EB19" s="161"/>
      <c r="EC19" s="96"/>
      <c r="ED19" s="96"/>
      <c r="EE19" s="96"/>
      <c r="EF19" s="118"/>
      <c r="EG19" s="161"/>
      <c r="EH19" s="161"/>
      <c r="EI19" s="161"/>
      <c r="EJ19" s="210"/>
      <c r="EK19" s="210"/>
      <c r="EL19" s="210"/>
      <c r="EM19" s="118"/>
      <c r="EN19" s="161"/>
      <c r="EO19" s="161"/>
      <c r="EP19" s="161"/>
      <c r="EQ19" s="74"/>
      <c r="ER19" s="159"/>
      <c r="ES19" s="159"/>
      <c r="ET19" s="118"/>
      <c r="EU19" s="149"/>
      <c r="EV19" s="161"/>
      <c r="EW19" s="161"/>
      <c r="EX19" s="96"/>
      <c r="EY19" s="96"/>
      <c r="EZ19" s="96"/>
      <c r="FA19" s="118"/>
      <c r="FB19" s="149"/>
      <c r="FC19" s="161"/>
      <c r="FD19" s="161"/>
      <c r="FE19" s="96"/>
      <c r="FF19" s="96"/>
      <c r="FG19" s="96"/>
      <c r="FH19" s="118"/>
      <c r="FI19" s="289"/>
      <c r="FJ19" s="289"/>
      <c r="FK19" s="289"/>
      <c r="FL19" s="96"/>
      <c r="FM19" s="96"/>
      <c r="FN19" s="96"/>
      <c r="FO19" s="118"/>
      <c r="FP19" s="161"/>
      <c r="FQ19" s="161"/>
      <c r="FR19" s="161"/>
      <c r="FS19" s="96"/>
      <c r="FT19" s="96"/>
      <c r="FU19" s="96"/>
      <c r="FV19" s="118"/>
      <c r="FW19" s="161"/>
      <c r="FX19" s="149"/>
      <c r="FY19" s="161"/>
      <c r="FZ19" s="96"/>
      <c r="GA19" s="96"/>
      <c r="GB19" s="96"/>
      <c r="GC19" s="118"/>
      <c r="GD19" s="161"/>
      <c r="GE19" s="161"/>
      <c r="GF19" s="161"/>
      <c r="GG19" s="74"/>
      <c r="GH19" s="159"/>
      <c r="GI19" s="159"/>
      <c r="GJ19" s="118"/>
      <c r="GK19" s="161"/>
      <c r="GL19" s="161"/>
      <c r="GM19" s="161"/>
      <c r="GN19" s="74"/>
      <c r="GO19" s="159"/>
      <c r="GP19" s="159"/>
      <c r="GQ19" s="118"/>
      <c r="GR19" s="161"/>
      <c r="GS19" s="149"/>
      <c r="GT19" s="161"/>
      <c r="GU19" s="96"/>
      <c r="GV19" s="96"/>
      <c r="GW19" s="96"/>
      <c r="GX19" s="118"/>
      <c r="GY19" s="161"/>
      <c r="GZ19" s="161"/>
      <c r="HA19" s="161"/>
      <c r="HB19" s="74"/>
      <c r="HC19" s="159"/>
      <c r="HD19" s="159"/>
      <c r="HE19" s="118"/>
      <c r="HF19" s="161"/>
      <c r="HG19" s="161"/>
      <c r="HH19" s="161"/>
      <c r="HI19" s="210"/>
      <c r="HJ19" s="210"/>
      <c r="HK19" s="210"/>
      <c r="HL19" s="118"/>
      <c r="HM19" s="161"/>
      <c r="HN19" s="149"/>
      <c r="HO19" s="161"/>
      <c r="HP19" s="96"/>
      <c r="HQ19" s="96"/>
      <c r="HR19" s="96"/>
      <c r="HS19" s="118"/>
      <c r="HT19" s="321"/>
      <c r="HU19" s="161"/>
      <c r="HV19" s="320"/>
    </row>
    <row r="20" spans="1:230" ht="15">
      <c r="A20" s="13" t="s">
        <v>22</v>
      </c>
      <c r="B20" s="14" t="s">
        <v>23</v>
      </c>
      <c r="C20" s="120"/>
      <c r="D20" s="150"/>
      <c r="E20" s="150"/>
      <c r="F20" s="153"/>
      <c r="G20" s="27"/>
      <c r="H20" s="153"/>
      <c r="I20" s="27"/>
      <c r="J20" s="120"/>
      <c r="K20" s="150"/>
      <c r="L20" s="150"/>
      <c r="M20" s="153"/>
      <c r="N20" s="27"/>
      <c r="O20" s="153"/>
      <c r="P20" s="27"/>
      <c r="Q20" s="120"/>
      <c r="R20" s="150"/>
      <c r="S20" s="150"/>
      <c r="T20" s="153"/>
      <c r="U20" s="27"/>
      <c r="V20" s="153"/>
      <c r="W20" s="27"/>
      <c r="X20" s="120"/>
      <c r="Y20" s="150"/>
      <c r="Z20" s="150"/>
      <c r="AA20" s="153"/>
      <c r="AB20" s="27"/>
      <c r="AC20" s="153"/>
      <c r="AD20" s="27"/>
      <c r="AE20" s="120"/>
      <c r="AF20" s="150"/>
      <c r="AG20" s="150"/>
      <c r="AH20" s="153"/>
      <c r="AI20" s="27"/>
      <c r="AJ20" s="153"/>
      <c r="AK20" s="27"/>
      <c r="AL20" s="120"/>
      <c r="AM20" s="150"/>
      <c r="AN20" s="150"/>
      <c r="AO20" s="153"/>
      <c r="AP20" s="27"/>
      <c r="AQ20" s="153"/>
      <c r="AR20" s="27"/>
      <c r="AS20" s="120"/>
      <c r="AT20" s="286"/>
      <c r="AU20" s="286"/>
      <c r="AV20" s="286"/>
      <c r="AW20" s="27"/>
      <c r="AX20" s="153"/>
      <c r="AY20" s="27"/>
      <c r="AZ20" s="120"/>
      <c r="BA20" s="286"/>
      <c r="BB20" s="286"/>
      <c r="BC20" s="286"/>
      <c r="BD20" s="27"/>
      <c r="BE20" s="153"/>
      <c r="BF20" s="27"/>
      <c r="BG20" s="120"/>
      <c r="BH20" s="150"/>
      <c r="BI20" s="150"/>
      <c r="BJ20" s="153"/>
      <c r="BK20" s="27"/>
      <c r="BL20" s="153"/>
      <c r="BM20" s="27"/>
      <c r="BN20" s="120"/>
      <c r="BO20" s="150"/>
      <c r="BP20" s="150"/>
      <c r="BQ20" s="153"/>
      <c r="BR20" s="27"/>
      <c r="BS20" s="153"/>
      <c r="BT20" s="27"/>
      <c r="BU20" s="120"/>
      <c r="BV20" s="150"/>
      <c r="BW20" s="150"/>
      <c r="BX20" s="153"/>
      <c r="BY20" s="27"/>
      <c r="BZ20" s="153"/>
      <c r="CA20" s="27"/>
      <c r="CB20" s="120"/>
      <c r="CC20" s="150"/>
      <c r="CD20" s="150"/>
      <c r="CE20" s="153"/>
      <c r="CF20" s="27"/>
      <c r="CG20" s="153"/>
      <c r="CH20" s="27"/>
      <c r="CI20" s="120"/>
      <c r="CJ20" s="150"/>
      <c r="CK20" s="150"/>
      <c r="CL20" s="153"/>
      <c r="CM20" s="27"/>
      <c r="CN20" s="153"/>
      <c r="CO20" s="27"/>
      <c r="CP20" s="120"/>
      <c r="CQ20" s="150"/>
      <c r="CR20" s="150"/>
      <c r="CS20" s="153"/>
      <c r="CT20" s="27"/>
      <c r="CU20" s="153"/>
      <c r="CV20" s="27"/>
      <c r="CW20" s="120"/>
      <c r="CX20" s="150"/>
      <c r="CY20" s="150"/>
      <c r="CZ20" s="153"/>
      <c r="DA20" s="27"/>
      <c r="DB20" s="153"/>
      <c r="DC20" s="27"/>
      <c r="DD20" s="120"/>
      <c r="DE20" s="150"/>
      <c r="DF20" s="150"/>
      <c r="DG20" s="153"/>
      <c r="DH20" s="27"/>
      <c r="DI20" s="153"/>
      <c r="DJ20" s="27"/>
      <c r="DK20" s="120"/>
      <c r="DL20" s="150"/>
      <c r="DM20" s="150"/>
      <c r="DN20" s="153"/>
      <c r="DO20" s="27"/>
      <c r="DP20" s="153"/>
      <c r="DQ20" s="27"/>
      <c r="DR20" s="120"/>
      <c r="DS20" s="150"/>
      <c r="DT20" s="150"/>
      <c r="DU20" s="150"/>
      <c r="DV20" s="27"/>
      <c r="DW20" s="153"/>
      <c r="DX20" s="27"/>
      <c r="DY20" s="120"/>
      <c r="DZ20" s="150"/>
      <c r="EA20" s="150"/>
      <c r="EB20" s="153"/>
      <c r="EC20" s="27"/>
      <c r="ED20" s="153"/>
      <c r="EE20" s="27"/>
      <c r="EF20" s="120"/>
      <c r="EG20" s="150"/>
      <c r="EH20" s="150"/>
      <c r="EI20" s="153"/>
      <c r="EJ20" s="27"/>
      <c r="EK20" s="153"/>
      <c r="EL20" s="27"/>
      <c r="EM20" s="120"/>
      <c r="EN20" s="150"/>
      <c r="EO20" s="150"/>
      <c r="EP20" s="153"/>
      <c r="EQ20" s="27"/>
      <c r="ER20" s="153"/>
      <c r="ES20" s="27"/>
      <c r="ET20" s="120"/>
      <c r="EU20" s="150"/>
      <c r="EV20" s="150"/>
      <c r="EW20" s="153"/>
      <c r="EX20" s="27"/>
      <c r="EY20" s="153"/>
      <c r="EZ20" s="27"/>
      <c r="FA20" s="120"/>
      <c r="FB20" s="150"/>
      <c r="FC20" s="150"/>
      <c r="FD20" s="153"/>
      <c r="FE20" s="27"/>
      <c r="FF20" s="153"/>
      <c r="FG20" s="27"/>
      <c r="FH20" s="120"/>
      <c r="FI20" s="286"/>
      <c r="FJ20" s="286"/>
      <c r="FK20" s="286"/>
      <c r="FL20" s="27"/>
      <c r="FM20" s="153"/>
      <c r="FN20" s="27"/>
      <c r="FO20" s="120"/>
      <c r="FP20" s="150"/>
      <c r="FQ20" s="150"/>
      <c r="FR20" s="153"/>
      <c r="FS20" s="27"/>
      <c r="FT20" s="153"/>
      <c r="FU20" s="27"/>
      <c r="FV20" s="120"/>
      <c r="FW20" s="150"/>
      <c r="FX20" s="150"/>
      <c r="FY20" s="153"/>
      <c r="FZ20" s="27"/>
      <c r="GA20" s="153"/>
      <c r="GB20" s="27"/>
      <c r="GC20" s="120"/>
      <c r="GD20" s="150"/>
      <c r="GE20" s="150"/>
      <c r="GF20" s="153"/>
      <c r="GG20" s="27"/>
      <c r="GH20" s="153"/>
      <c r="GI20" s="27"/>
      <c r="GJ20" s="120"/>
      <c r="GK20" s="150"/>
      <c r="GL20" s="150"/>
      <c r="GM20" s="150"/>
      <c r="GN20" s="27"/>
      <c r="GO20" s="153"/>
      <c r="GP20" s="27"/>
      <c r="GQ20" s="120"/>
      <c r="GR20" s="150"/>
      <c r="GS20" s="150"/>
      <c r="GT20" s="153"/>
      <c r="GU20" s="27"/>
      <c r="GV20" s="153"/>
      <c r="GW20" s="27"/>
      <c r="GX20" s="120"/>
      <c r="GY20" s="150"/>
      <c r="GZ20" s="150"/>
      <c r="HA20" s="153"/>
      <c r="HB20" s="27"/>
      <c r="HC20" s="153"/>
      <c r="HD20" s="27"/>
      <c r="HE20" s="120"/>
      <c r="HF20" s="150"/>
      <c r="HG20" s="150"/>
      <c r="HH20" s="153"/>
      <c r="HI20" s="27"/>
      <c r="HJ20" s="153"/>
      <c r="HK20" s="27"/>
      <c r="HL20" s="120"/>
      <c r="HM20" s="150"/>
      <c r="HN20" s="150"/>
      <c r="HO20" s="153"/>
      <c r="HP20" s="27"/>
      <c r="HQ20" s="153"/>
      <c r="HR20" s="27"/>
      <c r="HS20" s="120"/>
      <c r="HT20" s="323"/>
      <c r="HU20" s="153"/>
      <c r="HV20" s="41"/>
    </row>
    <row r="21" spans="1:230">
      <c r="A21" s="18">
        <v>1</v>
      </c>
      <c r="B21" s="19" t="s">
        <v>24</v>
      </c>
      <c r="C21" s="118"/>
      <c r="D21" s="151">
        <v>116810.56</v>
      </c>
      <c r="E21" s="151">
        <f t="shared" ref="E21:E26" si="122">D21/118%</f>
        <v>98992</v>
      </c>
      <c r="F21" s="151">
        <f>E21/E2</f>
        <v>400</v>
      </c>
      <c r="G21" s="159">
        <v>350</v>
      </c>
      <c r="H21" s="266">
        <f t="shared" ref="H21:H26" si="123">G21*$H$2</f>
        <v>177821.28</v>
      </c>
      <c r="I21" s="159">
        <f t="shared" ref="I21:I26" si="124">H21*118%</f>
        <v>209829.11039999998</v>
      </c>
      <c r="J21" s="118"/>
      <c r="K21" s="151">
        <v>116810.56</v>
      </c>
      <c r="L21" s="151">
        <f t="shared" ref="L21:L26" si="125">K21/118%</f>
        <v>98992</v>
      </c>
      <c r="M21" s="151">
        <f>L21/L2</f>
        <v>1414.1714285714286</v>
      </c>
      <c r="N21" s="159">
        <v>350</v>
      </c>
      <c r="O21" s="266">
        <f t="shared" ref="O21:O26" si="126">N21*$O$2</f>
        <v>177821.28</v>
      </c>
      <c r="P21" s="159">
        <f t="shared" ref="P21:P26" si="127">O21*118%</f>
        <v>209829.11039999998</v>
      </c>
      <c r="Q21" s="118"/>
      <c r="R21" s="151"/>
      <c r="S21" s="151">
        <f t="shared" ref="S21:S26" si="128">R21/118%</f>
        <v>0</v>
      </c>
      <c r="T21" s="151">
        <f>S21/S2</f>
        <v>0</v>
      </c>
      <c r="U21" s="159">
        <v>350</v>
      </c>
      <c r="V21" s="266">
        <f t="shared" ref="V21:V26" si="129">U21*$V$2</f>
        <v>134646.87599999999</v>
      </c>
      <c r="W21" s="159">
        <f t="shared" ref="W21:W26" si="130">V21*118%</f>
        <v>158883.31367999999</v>
      </c>
      <c r="X21" s="118"/>
      <c r="Y21" s="151"/>
      <c r="Z21" s="151">
        <f t="shared" ref="Z21:Z26" si="131">Y21/118%</f>
        <v>0</v>
      </c>
      <c r="AA21" s="151">
        <f>Z21/Z2</f>
        <v>0</v>
      </c>
      <c r="AB21" s="159">
        <v>350</v>
      </c>
      <c r="AC21" s="266">
        <f t="shared" ref="AC21:AC26" si="132">AB21*$AC$2</f>
        <v>134646.87599999999</v>
      </c>
      <c r="AD21" s="159">
        <f t="shared" ref="AD21:AD26" si="133">AC21*118%</f>
        <v>158883.31367999999</v>
      </c>
      <c r="AE21" s="118"/>
      <c r="AF21" s="151"/>
      <c r="AG21" s="151">
        <f t="shared" ref="AG21:AG26" si="134">AF21/118%</f>
        <v>0</v>
      </c>
      <c r="AH21" s="151">
        <f>AG21/AG2</f>
        <v>0</v>
      </c>
      <c r="AI21" s="96">
        <v>100</v>
      </c>
      <c r="AJ21" s="267">
        <f t="shared" ref="AJ21:AJ26" si="135">AI21*$AJ$2</f>
        <v>178897.67999999996</v>
      </c>
      <c r="AK21" s="96">
        <f t="shared" ref="AK21:AK26" si="136">AJ21*118%</f>
        <v>211099.26239999995</v>
      </c>
      <c r="AL21" s="118"/>
      <c r="AM21" s="151"/>
      <c r="AN21" s="151">
        <f t="shared" ref="AN21:AN26" si="137">AM21/118%</f>
        <v>0</v>
      </c>
      <c r="AO21" s="151">
        <f>AN21/AN2</f>
        <v>0</v>
      </c>
      <c r="AP21" s="96">
        <v>300</v>
      </c>
      <c r="AQ21" s="267">
        <f t="shared" ref="AQ21:AQ26" si="138">AP21*$AQ$2</f>
        <v>224849.196</v>
      </c>
      <c r="AR21" s="96">
        <f t="shared" ref="AR21:AR26" si="139">AQ21*118%</f>
        <v>265322.05127999996</v>
      </c>
      <c r="AS21" s="118"/>
      <c r="AT21" s="287"/>
      <c r="AU21" s="287">
        <f>AT21/118%</f>
        <v>0</v>
      </c>
      <c r="AV21" s="288">
        <f>AU21/AU$2</f>
        <v>0</v>
      </c>
      <c r="AW21" s="96">
        <v>200</v>
      </c>
      <c r="AX21" s="267">
        <f t="shared" ref="AX21:AX26" si="140">AW21*$AX$2</f>
        <v>357795.35999999993</v>
      </c>
      <c r="AY21" s="96">
        <f t="shared" ref="AY21:AY26" si="141">AX21*118%</f>
        <v>422198.5247999999</v>
      </c>
      <c r="AZ21" s="118"/>
      <c r="BA21" s="287"/>
      <c r="BB21" s="287"/>
      <c r="BC21" s="288"/>
      <c r="BD21" s="96">
        <v>400</v>
      </c>
      <c r="BE21" s="267">
        <f t="shared" ref="BE21:BE26" si="142">BD21*$BE$2</f>
        <v>388795.67999999993</v>
      </c>
      <c r="BF21" s="96">
        <f t="shared" ref="BF21:BF26" si="143">BE21*118%</f>
        <v>458778.9023999999</v>
      </c>
      <c r="BG21" s="118"/>
      <c r="BH21" s="151"/>
      <c r="BI21" s="151">
        <f t="shared" ref="BI21:BI26" si="144">BH21/118%</f>
        <v>0</v>
      </c>
      <c r="BJ21" s="151">
        <f>BI21/BI2</f>
        <v>0</v>
      </c>
      <c r="BK21" s="210"/>
      <c r="BL21" s="210">
        <f>BK21*BL2</f>
        <v>0</v>
      </c>
      <c r="BM21" s="210">
        <f t="shared" ref="BM21:BM26" si="145">BL21*118%</f>
        <v>0</v>
      </c>
      <c r="BN21" s="118"/>
      <c r="BO21" s="151"/>
      <c r="BP21" s="151">
        <f t="shared" ref="BP21:BP26" si="146">BO21/118%</f>
        <v>0</v>
      </c>
      <c r="BQ21" s="151">
        <f>BP21/BP2</f>
        <v>0</v>
      </c>
      <c r="BR21" s="210"/>
      <c r="BS21" s="210">
        <f>BR21*BS2</f>
        <v>0</v>
      </c>
      <c r="BT21" s="210">
        <f t="shared" ref="BT21:BT26" si="147">BS21*118%</f>
        <v>0</v>
      </c>
      <c r="BU21" s="118"/>
      <c r="BV21" s="151"/>
      <c r="BW21" s="151">
        <f t="shared" ref="BW21:BW26" si="148">BV21/118%</f>
        <v>0</v>
      </c>
      <c r="BX21" s="151">
        <f>BW21/BW2</f>
        <v>0</v>
      </c>
      <c r="BY21" s="96">
        <v>20</v>
      </c>
      <c r="BZ21" s="96">
        <f t="shared" ref="BZ21:BZ26" si="149">BY21*$BZ$2</f>
        <v>63938.159999999996</v>
      </c>
      <c r="CA21" s="96">
        <f t="shared" ref="CA21:CA26" si="150">BZ21*118%</f>
        <v>75447.028799999985</v>
      </c>
      <c r="CB21" s="118"/>
      <c r="CC21" s="151"/>
      <c r="CD21" s="151">
        <f t="shared" ref="CD21:CD26" si="151">CC21/118%</f>
        <v>0</v>
      </c>
      <c r="CE21" s="151">
        <f>CD21/CD2</f>
        <v>0</v>
      </c>
      <c r="CF21" s="96">
        <v>200</v>
      </c>
      <c r="CG21" s="267">
        <f t="shared" ref="CG21:CG26" si="152">CF21*$CG$2</f>
        <v>65660.399999999994</v>
      </c>
      <c r="CH21" s="96">
        <f t="shared" ref="CH21:CH26" si="153">CG21*118%</f>
        <v>77479.271999999983</v>
      </c>
      <c r="CI21" s="118"/>
      <c r="CJ21" s="151"/>
      <c r="CK21" s="151">
        <f t="shared" ref="CK21:CK26" si="154">CJ21/118%</f>
        <v>0</v>
      </c>
      <c r="CL21" s="151">
        <f>CK21/CK2</f>
        <v>0</v>
      </c>
      <c r="CM21" s="96">
        <v>100</v>
      </c>
      <c r="CN21" s="267">
        <f t="shared" ref="CN21:CN26" si="155">CM21*CN$2</f>
        <v>32830.199999999997</v>
      </c>
      <c r="CO21" s="96">
        <f t="shared" ref="CO21:CO26" si="156">CN21*118%</f>
        <v>38739.635999999991</v>
      </c>
      <c r="CP21" s="118"/>
      <c r="CQ21" s="151"/>
      <c r="CR21" s="151">
        <f t="shared" ref="CR21:CR26" si="157">CQ21/118%</f>
        <v>0</v>
      </c>
      <c r="CS21" s="151">
        <f>CR21/CR2</f>
        <v>0</v>
      </c>
      <c r="CT21" s="96">
        <v>200</v>
      </c>
      <c r="CU21" s="267">
        <f t="shared" ref="CU21:CU26" si="158">CT21*CU$2</f>
        <v>65660.399999999994</v>
      </c>
      <c r="CV21" s="96">
        <f t="shared" ref="CV21:CV26" si="159">CU21*118%</f>
        <v>77479.271999999983</v>
      </c>
      <c r="CW21" s="118"/>
      <c r="CX21" s="151"/>
      <c r="CY21" s="151">
        <f t="shared" ref="CY21:CY26" si="160">CX21/118%</f>
        <v>0</v>
      </c>
      <c r="CZ21" s="151">
        <f>CY21/CY2</f>
        <v>0</v>
      </c>
      <c r="DA21" s="210"/>
      <c r="DB21" s="210">
        <f>DA21*DB2</f>
        <v>0</v>
      </c>
      <c r="DC21" s="210">
        <f t="shared" ref="DC21:DC26" si="161">DB21*118%</f>
        <v>0</v>
      </c>
      <c r="DD21" s="118"/>
      <c r="DE21" s="151"/>
      <c r="DF21" s="151">
        <f t="shared" ref="DF21:DF26" si="162">DE21/118%</f>
        <v>0</v>
      </c>
      <c r="DG21" s="151">
        <f>DF21/DF2</f>
        <v>0</v>
      </c>
      <c r="DH21" s="159">
        <v>200</v>
      </c>
      <c r="DI21" s="266">
        <f t="shared" ref="DI21:DI26" si="163">DH21*$DI$2</f>
        <v>75972.311999999991</v>
      </c>
      <c r="DJ21" s="159">
        <f t="shared" ref="DJ21:DJ26" si="164">DI21*118%</f>
        <v>89647.32815999999</v>
      </c>
      <c r="DK21" s="118"/>
      <c r="DL21" s="151"/>
      <c r="DM21" s="151">
        <f t="shared" ref="DM21:DM26" si="165">DL21/118%</f>
        <v>0</v>
      </c>
      <c r="DN21" s="151">
        <f>DM21/DM2</f>
        <v>0</v>
      </c>
      <c r="DO21" s="96">
        <v>100</v>
      </c>
      <c r="DP21" s="267">
        <f t="shared" ref="DP21:DP26" si="166">DO21*$DP$2</f>
        <v>66037.14</v>
      </c>
      <c r="DQ21" s="96">
        <f t="shared" ref="DQ21:DQ26" si="167">DP21*118%</f>
        <v>77923.825199999992</v>
      </c>
      <c r="DR21" s="118"/>
      <c r="DS21" s="151"/>
      <c r="DT21" s="151">
        <f t="shared" ref="DT21:DT26" si="168">DS21/114%</f>
        <v>0</v>
      </c>
      <c r="DU21" s="133">
        <f t="shared" ref="DU21:DU26" si="169">DT21/$DS$2</f>
        <v>0</v>
      </c>
      <c r="DV21" s="159">
        <v>100</v>
      </c>
      <c r="DW21" s="266">
        <f t="shared" ref="DW21:DW26" si="170">DV21*$DW$2</f>
        <v>76801.139999999985</v>
      </c>
      <c r="DX21" s="159">
        <f t="shared" ref="DX21:DX26" si="171">DW21*118%</f>
        <v>90625.345199999982</v>
      </c>
      <c r="DY21" s="118"/>
      <c r="DZ21" s="151"/>
      <c r="EA21" s="151">
        <f t="shared" ref="EA21:EA26" si="172">DZ21/118%</f>
        <v>0</v>
      </c>
      <c r="EB21" s="151">
        <f>EA21/EA2</f>
        <v>0</v>
      </c>
      <c r="EC21" s="96">
        <v>100</v>
      </c>
      <c r="ED21" s="267">
        <f t="shared" ref="ED21:ED26" si="173">EC21*$ED$2</f>
        <v>35515.817999999999</v>
      </c>
      <c r="EE21" s="96">
        <f t="shared" ref="EE21:EE26" si="174">ED21*118%</f>
        <v>41908.665239999995</v>
      </c>
      <c r="EF21" s="118"/>
      <c r="EG21" s="151"/>
      <c r="EH21" s="151">
        <f t="shared" ref="EH21:EH26" si="175">EG21/118%</f>
        <v>0</v>
      </c>
      <c r="EI21" s="151">
        <f>EH21/EH2</f>
        <v>0</v>
      </c>
      <c r="EJ21" s="210"/>
      <c r="EK21" s="210">
        <f>EJ21*EK2</f>
        <v>0</v>
      </c>
      <c r="EL21" s="210">
        <f t="shared" ref="EL21:EL26" si="176">EK21*118%</f>
        <v>0</v>
      </c>
      <c r="EM21" s="118"/>
      <c r="EN21" s="151"/>
      <c r="EO21" s="151">
        <f t="shared" ref="EO21:EO26" si="177">EN21/118%</f>
        <v>0</v>
      </c>
      <c r="EP21" s="151">
        <f>EO21/EO2</f>
        <v>0</v>
      </c>
      <c r="EQ21" s="159">
        <v>200</v>
      </c>
      <c r="ER21" s="266">
        <f t="shared" ref="ER21:ER26" si="178">EQ21*$ER$2</f>
        <v>71031.635999999999</v>
      </c>
      <c r="ES21" s="159">
        <f t="shared" ref="ES21:ES26" si="179">ER21*118%</f>
        <v>83817.33047999999</v>
      </c>
      <c r="ET21" s="118"/>
      <c r="EU21" s="151"/>
      <c r="EV21" s="151">
        <f t="shared" ref="EV21:EV26" si="180">EU21/118%</f>
        <v>0</v>
      </c>
      <c r="EW21" s="151">
        <f>EV21/EV2</f>
        <v>0</v>
      </c>
      <c r="EX21" s="96">
        <v>50</v>
      </c>
      <c r="EY21" s="267">
        <f t="shared" ref="EY21:EY26" si="181">EX21*$EY$2</f>
        <v>121191.876</v>
      </c>
      <c r="EZ21" s="96">
        <f t="shared" ref="EZ21:EZ26" si="182">EY21*118%</f>
        <v>143006.41368</v>
      </c>
      <c r="FA21" s="118"/>
      <c r="FB21" s="151"/>
      <c r="FC21" s="151">
        <f t="shared" ref="FC21:FC26" si="183">FB21/118%</f>
        <v>0</v>
      </c>
      <c r="FD21" s="151">
        <f>FC21/FC2</f>
        <v>0</v>
      </c>
      <c r="FE21" s="96">
        <v>50</v>
      </c>
      <c r="FF21" s="267">
        <f t="shared" ref="FF21:FF26" si="184">FE21*$FF$2</f>
        <v>260305.81200000001</v>
      </c>
      <c r="FG21" s="96">
        <f t="shared" ref="FG21:FG26" si="185">FF21*118%</f>
        <v>307160.85816</v>
      </c>
      <c r="FH21" s="118"/>
      <c r="FI21" s="287"/>
      <c r="FJ21" s="287">
        <f>FI21/118%</f>
        <v>0</v>
      </c>
      <c r="FK21" s="288">
        <f>FJ21/FJ$2</f>
        <v>0</v>
      </c>
      <c r="FL21" s="96">
        <v>80</v>
      </c>
      <c r="FM21" s="267">
        <f t="shared" ref="FM21:FM26" si="186">FL21*$FM$2</f>
        <v>116393.28479999998</v>
      </c>
      <c r="FN21" s="139">
        <f t="shared" ref="FN21:FN26" si="187">FM21*118%</f>
        <v>137344.07606399996</v>
      </c>
      <c r="FO21" s="118"/>
      <c r="FP21" s="151">
        <v>59472</v>
      </c>
      <c r="FQ21" s="151">
        <f t="shared" ref="FQ21:FQ26" si="188">FP21/118%</f>
        <v>50400</v>
      </c>
      <c r="FR21" s="151">
        <f>FQ21/FQ2</f>
        <v>336</v>
      </c>
      <c r="FS21" s="96">
        <f t="shared" ref="FS21:FS26" si="189">+FR21</f>
        <v>336</v>
      </c>
      <c r="FT21" s="267">
        <f t="shared" ref="FT21:FT26" si="190">FS21*$FT$2</f>
        <v>488851.79615999991</v>
      </c>
      <c r="FU21" s="96">
        <f t="shared" ref="FU21:FU26" si="191">FT21*118%</f>
        <v>576845.11946879991</v>
      </c>
      <c r="FV21" s="118"/>
      <c r="FW21" s="151"/>
      <c r="FX21" s="151">
        <f t="shared" ref="FX21:FX26" si="192">FW21/118%</f>
        <v>0</v>
      </c>
      <c r="FY21" s="151">
        <f>FX21/FX2</f>
        <v>0</v>
      </c>
      <c r="FZ21" s="96">
        <v>100</v>
      </c>
      <c r="GA21" s="267">
        <f t="shared" ref="GA21:GA26" si="193">FZ21*$GA$2</f>
        <v>18836.999999999996</v>
      </c>
      <c r="GB21" s="96">
        <f t="shared" ref="GB21:GB26" si="194">GA21*118%</f>
        <v>22227.659999999996</v>
      </c>
      <c r="GC21" s="118"/>
      <c r="GD21" s="151"/>
      <c r="GE21" s="151">
        <f t="shared" ref="GE21:GE26" si="195">GD21/118%</f>
        <v>0</v>
      </c>
      <c r="GF21" s="151">
        <f>GE21/GE2</f>
        <v>0</v>
      </c>
      <c r="GG21" s="159">
        <v>200</v>
      </c>
      <c r="GH21" s="266">
        <f t="shared" ref="GH21:GH26" si="196">GG21*$GH$2</f>
        <v>73841.039999999994</v>
      </c>
      <c r="GI21" s="159">
        <f t="shared" ref="GI21:GI26" si="197">GH21*118%</f>
        <v>87132.427199999991</v>
      </c>
      <c r="GJ21" s="118"/>
      <c r="GK21" s="151"/>
      <c r="GL21" s="151">
        <f>GK21/118%</f>
        <v>0</v>
      </c>
      <c r="GM21" s="270">
        <f>GL21/$GL$2</f>
        <v>0</v>
      </c>
      <c r="GN21" s="159">
        <v>300</v>
      </c>
      <c r="GO21" s="266">
        <f t="shared" ref="GO21:GO26" si="198">GN21*$GO$2</f>
        <v>84475.871999999988</v>
      </c>
      <c r="GP21" s="159">
        <f t="shared" ref="GP21:GP26" si="199">GO21*118%</f>
        <v>99681.528959999981</v>
      </c>
      <c r="GQ21" s="118"/>
      <c r="GR21" s="151"/>
      <c r="GS21" s="151">
        <f t="shared" ref="GS21:GS26" si="200">GR21/118%</f>
        <v>0</v>
      </c>
      <c r="GT21" s="151">
        <f>GS21/GS2</f>
        <v>0</v>
      </c>
      <c r="GU21" s="96">
        <v>200</v>
      </c>
      <c r="GV21" s="267">
        <f t="shared" ref="GV21:GV26" si="201">GU21*$GV$2</f>
        <v>87769.656000000003</v>
      </c>
      <c r="GW21" s="96">
        <f t="shared" ref="GW21:GW26" si="202">GV21*118%</f>
        <v>103568.19408</v>
      </c>
      <c r="GX21" s="118"/>
      <c r="GY21" s="151"/>
      <c r="GZ21" s="151">
        <f t="shared" ref="GZ21:GZ26" si="203">GY21/118%</f>
        <v>0</v>
      </c>
      <c r="HA21" s="151">
        <f>GZ21/GZ2</f>
        <v>0</v>
      </c>
      <c r="HB21" s="159">
        <v>150</v>
      </c>
      <c r="HC21" s="266">
        <f t="shared" ref="HC21:HC26" si="204">HB21*$HC$2</f>
        <v>101316.15</v>
      </c>
      <c r="HD21" s="159">
        <f t="shared" ref="HD21:HD26" si="205">HC21*118%</f>
        <v>119553.05699999999</v>
      </c>
      <c r="HE21" s="118"/>
      <c r="HF21" s="151"/>
      <c r="HG21" s="151">
        <f t="shared" ref="HG21:HG26" si="206">HF21/118%</f>
        <v>0</v>
      </c>
      <c r="HH21" s="151">
        <f>HG21/HG2</f>
        <v>0</v>
      </c>
      <c r="HI21" s="210"/>
      <c r="HJ21" s="210">
        <f>HI21*HJ2</f>
        <v>0</v>
      </c>
      <c r="HK21" s="210">
        <f t="shared" ref="HK21:HK26" si="207">HJ21*118%</f>
        <v>0</v>
      </c>
      <c r="HL21" s="118"/>
      <c r="HM21" s="151"/>
      <c r="HN21" s="151">
        <f t="shared" ref="HN21:HN26" si="208">HM21/118%</f>
        <v>0</v>
      </c>
      <c r="HO21" s="151">
        <f>HN21/HN2</f>
        <v>0</v>
      </c>
      <c r="HP21" s="96">
        <v>80</v>
      </c>
      <c r="HQ21" s="267">
        <f t="shared" ref="HQ21:HQ26" si="209">HP21*$HQ$2</f>
        <v>64084.5504</v>
      </c>
      <c r="HR21" s="96">
        <f t="shared" ref="HR21:HR26" si="210">HQ21*118%</f>
        <v>75619.769472</v>
      </c>
      <c r="HS21" s="118"/>
      <c r="HT21" s="318">
        <f t="shared" ref="HT21:HT27" si="211">SUM(H21,O21,V21,AC21,AJ21,AQ21,AX21,BE21,BL21,BS21,BZ21,CG21,CN21,CU21,DB21,DI21,DP21,DW21,ED21,EK21,ER21,EY21,FF21,FM21,FT21,GA21,GH21,GO21,GV21,HC21,HJ21,HQ21)</f>
        <v>3745788.4713599994</v>
      </c>
      <c r="HU21" s="151">
        <f t="shared" ref="HU21:HU27" si="212">HT21*118%</f>
        <v>4420030.3962047994</v>
      </c>
      <c r="HV21" s="319"/>
    </row>
    <row r="22" spans="1:230">
      <c r="A22" s="18">
        <v>2</v>
      </c>
      <c r="B22" s="19" t="s">
        <v>25</v>
      </c>
      <c r="C22" s="118"/>
      <c r="D22" s="151">
        <v>0</v>
      </c>
      <c r="E22" s="151">
        <f t="shared" si="122"/>
        <v>0</v>
      </c>
      <c r="F22" s="151">
        <f>E22/E2</f>
        <v>0</v>
      </c>
      <c r="G22" s="159">
        <f>+F22</f>
        <v>0</v>
      </c>
      <c r="H22" s="266">
        <f t="shared" si="123"/>
        <v>0</v>
      </c>
      <c r="I22" s="159">
        <f t="shared" si="124"/>
        <v>0</v>
      </c>
      <c r="J22" s="118"/>
      <c r="K22" s="151">
        <v>0</v>
      </c>
      <c r="L22" s="151">
        <f t="shared" si="125"/>
        <v>0</v>
      </c>
      <c r="M22" s="151">
        <f>L22/L2</f>
        <v>0</v>
      </c>
      <c r="N22" s="159">
        <f>+M22</f>
        <v>0</v>
      </c>
      <c r="O22" s="266">
        <f t="shared" si="126"/>
        <v>0</v>
      </c>
      <c r="P22" s="159">
        <f t="shared" si="127"/>
        <v>0</v>
      </c>
      <c r="Q22" s="118"/>
      <c r="R22" s="151"/>
      <c r="S22" s="151">
        <f t="shared" si="128"/>
        <v>0</v>
      </c>
      <c r="T22" s="151">
        <f>S22/S2</f>
        <v>0</v>
      </c>
      <c r="U22" s="159">
        <f>+T22</f>
        <v>0</v>
      </c>
      <c r="V22" s="266">
        <f t="shared" si="129"/>
        <v>0</v>
      </c>
      <c r="W22" s="159">
        <f t="shared" si="130"/>
        <v>0</v>
      </c>
      <c r="X22" s="118"/>
      <c r="Y22" s="151"/>
      <c r="Z22" s="151">
        <f t="shared" si="131"/>
        <v>0</v>
      </c>
      <c r="AA22" s="151">
        <f>Z22/Z2</f>
        <v>0</v>
      </c>
      <c r="AB22" s="159">
        <f>+AA22</f>
        <v>0</v>
      </c>
      <c r="AC22" s="266">
        <f t="shared" si="132"/>
        <v>0</v>
      </c>
      <c r="AD22" s="159">
        <f t="shared" si="133"/>
        <v>0</v>
      </c>
      <c r="AE22" s="118"/>
      <c r="AF22" s="151"/>
      <c r="AG22" s="151">
        <f t="shared" si="134"/>
        <v>0</v>
      </c>
      <c r="AH22" s="151">
        <f>AG22/AG2</f>
        <v>0</v>
      </c>
      <c r="AI22" s="96">
        <f>+AH22</f>
        <v>0</v>
      </c>
      <c r="AJ22" s="267">
        <f t="shared" si="135"/>
        <v>0</v>
      </c>
      <c r="AK22" s="96">
        <f t="shared" si="136"/>
        <v>0</v>
      </c>
      <c r="AL22" s="118"/>
      <c r="AM22" s="151"/>
      <c r="AN22" s="151">
        <f t="shared" si="137"/>
        <v>0</v>
      </c>
      <c r="AO22" s="151">
        <f>AN22/AN2</f>
        <v>0</v>
      </c>
      <c r="AP22" s="96">
        <f>+AO22</f>
        <v>0</v>
      </c>
      <c r="AQ22" s="267">
        <f t="shared" si="138"/>
        <v>0</v>
      </c>
      <c r="AR22" s="96">
        <f t="shared" si="139"/>
        <v>0</v>
      </c>
      <c r="AS22" s="118"/>
      <c r="AT22" s="287"/>
      <c r="AU22" s="287">
        <f>AT22/118%</f>
        <v>0</v>
      </c>
      <c r="AV22" s="288">
        <f>AU22/AU$2</f>
        <v>0</v>
      </c>
      <c r="AW22" s="96">
        <f>+AV22</f>
        <v>0</v>
      </c>
      <c r="AX22" s="267">
        <f t="shared" si="140"/>
        <v>0</v>
      </c>
      <c r="AY22" s="96">
        <f t="shared" si="141"/>
        <v>0</v>
      </c>
      <c r="AZ22" s="118"/>
      <c r="BA22" s="287"/>
      <c r="BB22" s="287"/>
      <c r="BC22" s="288"/>
      <c r="BD22" s="96">
        <f>+BC22</f>
        <v>0</v>
      </c>
      <c r="BE22" s="267">
        <f t="shared" si="142"/>
        <v>0</v>
      </c>
      <c r="BF22" s="96">
        <f t="shared" si="143"/>
        <v>0</v>
      </c>
      <c r="BG22" s="118"/>
      <c r="BH22" s="151"/>
      <c r="BI22" s="151">
        <f t="shared" si="144"/>
        <v>0</v>
      </c>
      <c r="BJ22" s="151">
        <f>BI22/BI2</f>
        <v>0</v>
      </c>
      <c r="BK22" s="210"/>
      <c r="BL22" s="210">
        <f>BK22*BL2</f>
        <v>0</v>
      </c>
      <c r="BM22" s="210">
        <f t="shared" si="145"/>
        <v>0</v>
      </c>
      <c r="BN22" s="118"/>
      <c r="BO22" s="151"/>
      <c r="BP22" s="151">
        <f t="shared" si="146"/>
        <v>0</v>
      </c>
      <c r="BQ22" s="151">
        <f>BP22/BP2</f>
        <v>0</v>
      </c>
      <c r="BR22" s="210"/>
      <c r="BS22" s="210">
        <f>BR22*BS2</f>
        <v>0</v>
      </c>
      <c r="BT22" s="210">
        <f t="shared" si="147"/>
        <v>0</v>
      </c>
      <c r="BU22" s="118"/>
      <c r="BV22" s="151">
        <v>102717.38</v>
      </c>
      <c r="BW22" s="151">
        <f t="shared" si="148"/>
        <v>87048.627118644072</v>
      </c>
      <c r="BX22" s="151">
        <f>BW22/BW2</f>
        <v>19.344139359698683</v>
      </c>
      <c r="BY22" s="96"/>
      <c r="BZ22" s="96">
        <f t="shared" si="149"/>
        <v>0</v>
      </c>
      <c r="CA22" s="96">
        <f t="shared" si="150"/>
        <v>0</v>
      </c>
      <c r="CB22" s="118"/>
      <c r="CC22" s="151"/>
      <c r="CD22" s="151">
        <f t="shared" si="151"/>
        <v>0</v>
      </c>
      <c r="CE22" s="151">
        <f>CD22/CD2</f>
        <v>0</v>
      </c>
      <c r="CF22" s="96">
        <f>+CE22</f>
        <v>0</v>
      </c>
      <c r="CG22" s="267">
        <f t="shared" si="152"/>
        <v>0</v>
      </c>
      <c r="CH22" s="96">
        <f t="shared" si="153"/>
        <v>0</v>
      </c>
      <c r="CI22" s="118"/>
      <c r="CJ22" s="151"/>
      <c r="CK22" s="151">
        <f t="shared" si="154"/>
        <v>0</v>
      </c>
      <c r="CL22" s="151">
        <f>CK22/CK2</f>
        <v>0</v>
      </c>
      <c r="CM22" s="96">
        <f>+CL22</f>
        <v>0</v>
      </c>
      <c r="CN22" s="267">
        <f t="shared" si="155"/>
        <v>0</v>
      </c>
      <c r="CO22" s="96">
        <f t="shared" si="156"/>
        <v>0</v>
      </c>
      <c r="CP22" s="118"/>
      <c r="CQ22" s="151"/>
      <c r="CR22" s="151">
        <f t="shared" si="157"/>
        <v>0</v>
      </c>
      <c r="CS22" s="151">
        <f>CR22/CR2</f>
        <v>0</v>
      </c>
      <c r="CT22" s="96">
        <f>+CS22</f>
        <v>0</v>
      </c>
      <c r="CU22" s="267">
        <f t="shared" si="158"/>
        <v>0</v>
      </c>
      <c r="CV22" s="96">
        <f t="shared" si="159"/>
        <v>0</v>
      </c>
      <c r="CW22" s="118"/>
      <c r="CX22" s="151"/>
      <c r="CY22" s="151">
        <f t="shared" si="160"/>
        <v>0</v>
      </c>
      <c r="CZ22" s="151">
        <f>CY22/CY2</f>
        <v>0</v>
      </c>
      <c r="DA22" s="210"/>
      <c r="DB22" s="210">
        <f>DA22*DB2</f>
        <v>0</v>
      </c>
      <c r="DC22" s="210">
        <f t="shared" si="161"/>
        <v>0</v>
      </c>
      <c r="DD22" s="118"/>
      <c r="DE22" s="151"/>
      <c r="DF22" s="151">
        <f t="shared" si="162"/>
        <v>0</v>
      </c>
      <c r="DG22" s="151">
        <f>DF22/DF2</f>
        <v>0</v>
      </c>
      <c r="DH22" s="159">
        <f>+DG22</f>
        <v>0</v>
      </c>
      <c r="DI22" s="266">
        <f t="shared" si="163"/>
        <v>0</v>
      </c>
      <c r="DJ22" s="159">
        <f t="shared" si="164"/>
        <v>0</v>
      </c>
      <c r="DK22" s="118"/>
      <c r="DL22" s="151"/>
      <c r="DM22" s="151">
        <f t="shared" si="165"/>
        <v>0</v>
      </c>
      <c r="DN22" s="151">
        <f>DM22/DM2</f>
        <v>0</v>
      </c>
      <c r="DO22" s="96">
        <f>+DN22</f>
        <v>0</v>
      </c>
      <c r="DP22" s="267">
        <f t="shared" si="166"/>
        <v>0</v>
      </c>
      <c r="DQ22" s="96">
        <f t="shared" si="167"/>
        <v>0</v>
      </c>
      <c r="DR22" s="118"/>
      <c r="DS22" s="151"/>
      <c r="DT22" s="151">
        <f t="shared" si="168"/>
        <v>0</v>
      </c>
      <c r="DU22" s="133">
        <f t="shared" si="169"/>
        <v>0</v>
      </c>
      <c r="DV22" s="159">
        <f>+DU22</f>
        <v>0</v>
      </c>
      <c r="DW22" s="266">
        <f t="shared" si="170"/>
        <v>0</v>
      </c>
      <c r="DX22" s="159">
        <f t="shared" si="171"/>
        <v>0</v>
      </c>
      <c r="DY22" s="118"/>
      <c r="DZ22" s="151"/>
      <c r="EA22" s="151">
        <f t="shared" si="172"/>
        <v>0</v>
      </c>
      <c r="EB22" s="151">
        <f>EA22/EA2</f>
        <v>0</v>
      </c>
      <c r="EC22" s="96">
        <f>+EB22</f>
        <v>0</v>
      </c>
      <c r="ED22" s="267">
        <f t="shared" si="173"/>
        <v>0</v>
      </c>
      <c r="EE22" s="96">
        <f t="shared" si="174"/>
        <v>0</v>
      </c>
      <c r="EF22" s="118"/>
      <c r="EG22" s="151"/>
      <c r="EH22" s="151">
        <f t="shared" si="175"/>
        <v>0</v>
      </c>
      <c r="EI22" s="151">
        <f>EH22/EH2</f>
        <v>0</v>
      </c>
      <c r="EJ22" s="210"/>
      <c r="EK22" s="210">
        <f>EJ22*EK2</f>
        <v>0</v>
      </c>
      <c r="EL22" s="210">
        <f t="shared" si="176"/>
        <v>0</v>
      </c>
      <c r="EM22" s="118"/>
      <c r="EN22" s="151"/>
      <c r="EO22" s="151">
        <f t="shared" si="177"/>
        <v>0</v>
      </c>
      <c r="EP22" s="151">
        <f>EO22/EO2</f>
        <v>0</v>
      </c>
      <c r="EQ22" s="159">
        <f>+EP22</f>
        <v>0</v>
      </c>
      <c r="ER22" s="266">
        <f t="shared" si="178"/>
        <v>0</v>
      </c>
      <c r="ES22" s="159">
        <f t="shared" si="179"/>
        <v>0</v>
      </c>
      <c r="ET22" s="118"/>
      <c r="EU22" s="151"/>
      <c r="EV22" s="151">
        <f t="shared" si="180"/>
        <v>0</v>
      </c>
      <c r="EW22" s="151">
        <f>EV22/EV2</f>
        <v>0</v>
      </c>
      <c r="EX22" s="96">
        <f>+EW22</f>
        <v>0</v>
      </c>
      <c r="EY22" s="267">
        <f t="shared" si="181"/>
        <v>0</v>
      </c>
      <c r="EZ22" s="96">
        <f t="shared" si="182"/>
        <v>0</v>
      </c>
      <c r="FA22" s="118"/>
      <c r="FB22" s="151">
        <v>102717.38</v>
      </c>
      <c r="FC22" s="151">
        <f t="shared" si="183"/>
        <v>87048.627118644072</v>
      </c>
      <c r="FD22" s="151">
        <f>FC22/FC2</f>
        <v>19.344139359698683</v>
      </c>
      <c r="FE22" s="96"/>
      <c r="FF22" s="267">
        <f t="shared" si="184"/>
        <v>0</v>
      </c>
      <c r="FG22" s="96">
        <f t="shared" si="185"/>
        <v>0</v>
      </c>
      <c r="FH22" s="118"/>
      <c r="FI22" s="287"/>
      <c r="FJ22" s="287">
        <f>FI22/118%</f>
        <v>0</v>
      </c>
      <c r="FK22" s="288">
        <f>FJ22/FJ$2</f>
        <v>0</v>
      </c>
      <c r="FL22" s="96">
        <f>+FK22</f>
        <v>0</v>
      </c>
      <c r="FM22" s="267">
        <f t="shared" si="186"/>
        <v>0</v>
      </c>
      <c r="FN22" s="139">
        <f t="shared" si="187"/>
        <v>0</v>
      </c>
      <c r="FO22" s="118"/>
      <c r="FP22" s="151"/>
      <c r="FQ22" s="151">
        <f t="shared" si="188"/>
        <v>0</v>
      </c>
      <c r="FR22" s="151">
        <f>FQ22/FQ2</f>
        <v>0</v>
      </c>
      <c r="FS22" s="96">
        <f t="shared" si="189"/>
        <v>0</v>
      </c>
      <c r="FT22" s="267">
        <f t="shared" si="190"/>
        <v>0</v>
      </c>
      <c r="FU22" s="96">
        <f t="shared" si="191"/>
        <v>0</v>
      </c>
      <c r="FV22" s="118"/>
      <c r="FW22" s="151"/>
      <c r="FX22" s="151">
        <f t="shared" si="192"/>
        <v>0</v>
      </c>
      <c r="FY22" s="151">
        <f>FX22/FX2</f>
        <v>0</v>
      </c>
      <c r="FZ22" s="96">
        <f>+FY22</f>
        <v>0</v>
      </c>
      <c r="GA22" s="267">
        <f t="shared" si="193"/>
        <v>0</v>
      </c>
      <c r="GB22" s="96">
        <f t="shared" si="194"/>
        <v>0</v>
      </c>
      <c r="GC22" s="118"/>
      <c r="GD22" s="151"/>
      <c r="GE22" s="151">
        <f t="shared" si="195"/>
        <v>0</v>
      </c>
      <c r="GF22" s="151">
        <f>GE22/GE2</f>
        <v>0</v>
      </c>
      <c r="GG22" s="159">
        <f>+GF22</f>
        <v>0</v>
      </c>
      <c r="GH22" s="266">
        <f t="shared" si="196"/>
        <v>0</v>
      </c>
      <c r="GI22" s="159">
        <f t="shared" si="197"/>
        <v>0</v>
      </c>
      <c r="GJ22" s="118"/>
      <c r="GK22" s="151"/>
      <c r="GL22" s="151">
        <f>GK22/118%</f>
        <v>0</v>
      </c>
      <c r="GM22" s="270">
        <f>GL22/$GL$2</f>
        <v>0</v>
      </c>
      <c r="GN22" s="159">
        <f>+GM22</f>
        <v>0</v>
      </c>
      <c r="GO22" s="266">
        <f t="shared" si="198"/>
        <v>0</v>
      </c>
      <c r="GP22" s="159">
        <f t="shared" si="199"/>
        <v>0</v>
      </c>
      <c r="GQ22" s="118"/>
      <c r="GR22" s="151"/>
      <c r="GS22" s="151">
        <f t="shared" si="200"/>
        <v>0</v>
      </c>
      <c r="GT22" s="151">
        <f>GS22/GS2</f>
        <v>0</v>
      </c>
      <c r="GU22" s="96">
        <f>+GT22</f>
        <v>0</v>
      </c>
      <c r="GV22" s="267">
        <f t="shared" si="201"/>
        <v>0</v>
      </c>
      <c r="GW22" s="96">
        <f t="shared" si="202"/>
        <v>0</v>
      </c>
      <c r="GX22" s="118"/>
      <c r="GY22" s="151"/>
      <c r="GZ22" s="151">
        <f t="shared" si="203"/>
        <v>0</v>
      </c>
      <c r="HA22" s="151">
        <f>GZ22/GZ2</f>
        <v>0</v>
      </c>
      <c r="HB22" s="159">
        <f>+HA22</f>
        <v>0</v>
      </c>
      <c r="HC22" s="266">
        <f t="shared" si="204"/>
        <v>0</v>
      </c>
      <c r="HD22" s="159">
        <f t="shared" si="205"/>
        <v>0</v>
      </c>
      <c r="HE22" s="118"/>
      <c r="HF22" s="151"/>
      <c r="HG22" s="151">
        <f t="shared" si="206"/>
        <v>0</v>
      </c>
      <c r="HH22" s="151">
        <f>HG22/HG2</f>
        <v>0</v>
      </c>
      <c r="HI22" s="210"/>
      <c r="HJ22" s="210">
        <f>HI22*HJ2</f>
        <v>0</v>
      </c>
      <c r="HK22" s="210">
        <f t="shared" si="207"/>
        <v>0</v>
      </c>
      <c r="HL22" s="118"/>
      <c r="HM22" s="151"/>
      <c r="HN22" s="151">
        <f t="shared" si="208"/>
        <v>0</v>
      </c>
      <c r="HO22" s="151">
        <f>HN22/HN2</f>
        <v>0</v>
      </c>
      <c r="HP22" s="96">
        <f>+HO22</f>
        <v>0</v>
      </c>
      <c r="HQ22" s="267">
        <f t="shared" si="209"/>
        <v>0</v>
      </c>
      <c r="HR22" s="96">
        <f t="shared" si="210"/>
        <v>0</v>
      </c>
      <c r="HS22" s="118"/>
      <c r="HT22" s="318">
        <f t="shared" si="211"/>
        <v>0</v>
      </c>
      <c r="HU22" s="151">
        <f t="shared" si="212"/>
        <v>0</v>
      </c>
      <c r="HV22" s="319"/>
    </row>
    <row r="23" spans="1:230">
      <c r="A23" s="18">
        <v>3</v>
      </c>
      <c r="B23" s="19" t="s">
        <v>26</v>
      </c>
      <c r="C23" s="118"/>
      <c r="D23" s="151">
        <v>0</v>
      </c>
      <c r="E23" s="151">
        <f t="shared" si="122"/>
        <v>0</v>
      </c>
      <c r="F23" s="151">
        <f>E23/E2</f>
        <v>0</v>
      </c>
      <c r="G23" s="159">
        <f>+F23</f>
        <v>0</v>
      </c>
      <c r="H23" s="266">
        <f t="shared" si="123"/>
        <v>0</v>
      </c>
      <c r="I23" s="159">
        <f t="shared" si="124"/>
        <v>0</v>
      </c>
      <c r="J23" s="118"/>
      <c r="K23" s="151">
        <v>0</v>
      </c>
      <c r="L23" s="151">
        <f t="shared" si="125"/>
        <v>0</v>
      </c>
      <c r="M23" s="151">
        <f>L23/L2</f>
        <v>0</v>
      </c>
      <c r="N23" s="159">
        <f>+M23</f>
        <v>0</v>
      </c>
      <c r="O23" s="266">
        <f t="shared" si="126"/>
        <v>0</v>
      </c>
      <c r="P23" s="159">
        <f t="shared" si="127"/>
        <v>0</v>
      </c>
      <c r="Q23" s="118"/>
      <c r="R23" s="151"/>
      <c r="S23" s="151">
        <f t="shared" si="128"/>
        <v>0</v>
      </c>
      <c r="T23" s="151">
        <f>S23/S2</f>
        <v>0</v>
      </c>
      <c r="U23" s="159">
        <f>+T23</f>
        <v>0</v>
      </c>
      <c r="V23" s="266">
        <f t="shared" si="129"/>
        <v>0</v>
      </c>
      <c r="W23" s="159">
        <f t="shared" si="130"/>
        <v>0</v>
      </c>
      <c r="X23" s="118"/>
      <c r="Y23" s="151"/>
      <c r="Z23" s="151">
        <f t="shared" si="131"/>
        <v>0</v>
      </c>
      <c r="AA23" s="151">
        <f>Z23/Z2</f>
        <v>0</v>
      </c>
      <c r="AB23" s="159">
        <f>+AA23</f>
        <v>0</v>
      </c>
      <c r="AC23" s="266">
        <f t="shared" si="132"/>
        <v>0</v>
      </c>
      <c r="AD23" s="159">
        <f t="shared" si="133"/>
        <v>0</v>
      </c>
      <c r="AE23" s="118"/>
      <c r="AF23" s="151"/>
      <c r="AG23" s="151">
        <f t="shared" si="134"/>
        <v>0</v>
      </c>
      <c r="AH23" s="151">
        <f>AG23/AG2</f>
        <v>0</v>
      </c>
      <c r="AI23" s="96">
        <f>+AH23</f>
        <v>0</v>
      </c>
      <c r="AJ23" s="267">
        <f t="shared" si="135"/>
        <v>0</v>
      </c>
      <c r="AK23" s="96">
        <f t="shared" si="136"/>
        <v>0</v>
      </c>
      <c r="AL23" s="118"/>
      <c r="AM23" s="151"/>
      <c r="AN23" s="151">
        <f t="shared" si="137"/>
        <v>0</v>
      </c>
      <c r="AO23" s="151">
        <f>AN23/AN2</f>
        <v>0</v>
      </c>
      <c r="AP23" s="96">
        <f>+AO23</f>
        <v>0</v>
      </c>
      <c r="AQ23" s="267">
        <f t="shared" si="138"/>
        <v>0</v>
      </c>
      <c r="AR23" s="96">
        <f t="shared" si="139"/>
        <v>0</v>
      </c>
      <c r="AS23" s="118"/>
      <c r="AT23" s="287"/>
      <c r="AU23" s="287">
        <f>AT23/118%</f>
        <v>0</v>
      </c>
      <c r="AV23" s="288">
        <f>AU23/AU$2</f>
        <v>0</v>
      </c>
      <c r="AW23" s="96">
        <f>+AV23</f>
        <v>0</v>
      </c>
      <c r="AX23" s="267">
        <f t="shared" si="140"/>
        <v>0</v>
      </c>
      <c r="AY23" s="96">
        <f t="shared" si="141"/>
        <v>0</v>
      </c>
      <c r="AZ23" s="118"/>
      <c r="BA23" s="287"/>
      <c r="BB23" s="287"/>
      <c r="BC23" s="288"/>
      <c r="BD23" s="96">
        <f>+BC23</f>
        <v>0</v>
      </c>
      <c r="BE23" s="267">
        <f t="shared" si="142"/>
        <v>0</v>
      </c>
      <c r="BF23" s="96">
        <f t="shared" si="143"/>
        <v>0</v>
      </c>
      <c r="BG23" s="118"/>
      <c r="BH23" s="151"/>
      <c r="BI23" s="151">
        <f t="shared" si="144"/>
        <v>0</v>
      </c>
      <c r="BJ23" s="151">
        <f>BI23/BI2</f>
        <v>0</v>
      </c>
      <c r="BK23" s="210"/>
      <c r="BL23" s="210">
        <f>BK23*BL2</f>
        <v>0</v>
      </c>
      <c r="BM23" s="210">
        <f t="shared" si="145"/>
        <v>0</v>
      </c>
      <c r="BN23" s="118"/>
      <c r="BO23" s="151"/>
      <c r="BP23" s="151">
        <f t="shared" si="146"/>
        <v>0</v>
      </c>
      <c r="BQ23" s="151">
        <f>BP23/BP2</f>
        <v>0</v>
      </c>
      <c r="BR23" s="210"/>
      <c r="BS23" s="210">
        <f>BR23*BS2</f>
        <v>0</v>
      </c>
      <c r="BT23" s="210">
        <f t="shared" si="147"/>
        <v>0</v>
      </c>
      <c r="BU23" s="118"/>
      <c r="BV23" s="151"/>
      <c r="BW23" s="151">
        <f t="shared" si="148"/>
        <v>0</v>
      </c>
      <c r="BX23" s="151">
        <f>BW23/BW2</f>
        <v>0</v>
      </c>
      <c r="BY23" s="96">
        <f>+BX23</f>
        <v>0</v>
      </c>
      <c r="BZ23" s="96">
        <f t="shared" si="149"/>
        <v>0</v>
      </c>
      <c r="CA23" s="96">
        <f t="shared" si="150"/>
        <v>0</v>
      </c>
      <c r="CB23" s="118"/>
      <c r="CC23" s="151"/>
      <c r="CD23" s="151">
        <f t="shared" si="151"/>
        <v>0</v>
      </c>
      <c r="CE23" s="151">
        <f>CD23/CD2</f>
        <v>0</v>
      </c>
      <c r="CF23" s="96">
        <f>+CE23</f>
        <v>0</v>
      </c>
      <c r="CG23" s="267">
        <f t="shared" si="152"/>
        <v>0</v>
      </c>
      <c r="CH23" s="96">
        <f t="shared" si="153"/>
        <v>0</v>
      </c>
      <c r="CI23" s="118"/>
      <c r="CJ23" s="151"/>
      <c r="CK23" s="151">
        <f t="shared" si="154"/>
        <v>0</v>
      </c>
      <c r="CL23" s="151">
        <f>CK23/CK2</f>
        <v>0</v>
      </c>
      <c r="CM23" s="96">
        <f>+CL23</f>
        <v>0</v>
      </c>
      <c r="CN23" s="267">
        <f t="shared" si="155"/>
        <v>0</v>
      </c>
      <c r="CO23" s="96">
        <f t="shared" si="156"/>
        <v>0</v>
      </c>
      <c r="CP23" s="118"/>
      <c r="CQ23" s="151"/>
      <c r="CR23" s="151">
        <f t="shared" si="157"/>
        <v>0</v>
      </c>
      <c r="CS23" s="151">
        <f>CR23/CR2</f>
        <v>0</v>
      </c>
      <c r="CT23" s="96">
        <f>+CS23</f>
        <v>0</v>
      </c>
      <c r="CU23" s="267">
        <f t="shared" si="158"/>
        <v>0</v>
      </c>
      <c r="CV23" s="96">
        <f t="shared" si="159"/>
        <v>0</v>
      </c>
      <c r="CW23" s="118"/>
      <c r="CX23" s="151"/>
      <c r="CY23" s="151">
        <f t="shared" si="160"/>
        <v>0</v>
      </c>
      <c r="CZ23" s="151">
        <f>CY23/CY2</f>
        <v>0</v>
      </c>
      <c r="DA23" s="210"/>
      <c r="DB23" s="210">
        <f>DA23*DB2</f>
        <v>0</v>
      </c>
      <c r="DC23" s="210">
        <f t="shared" si="161"/>
        <v>0</v>
      </c>
      <c r="DD23" s="118"/>
      <c r="DE23" s="151"/>
      <c r="DF23" s="151">
        <f t="shared" si="162"/>
        <v>0</v>
      </c>
      <c r="DG23" s="151">
        <f>DF23/DF2</f>
        <v>0</v>
      </c>
      <c r="DH23" s="159">
        <f>+DG23</f>
        <v>0</v>
      </c>
      <c r="DI23" s="266">
        <f t="shared" si="163"/>
        <v>0</v>
      </c>
      <c r="DJ23" s="159">
        <f t="shared" si="164"/>
        <v>0</v>
      </c>
      <c r="DK23" s="118"/>
      <c r="DL23" s="151"/>
      <c r="DM23" s="151">
        <f t="shared" si="165"/>
        <v>0</v>
      </c>
      <c r="DN23" s="151">
        <f>DM23/DM2</f>
        <v>0</v>
      </c>
      <c r="DO23" s="96">
        <f>+DN23</f>
        <v>0</v>
      </c>
      <c r="DP23" s="267">
        <f t="shared" si="166"/>
        <v>0</v>
      </c>
      <c r="DQ23" s="96">
        <f t="shared" si="167"/>
        <v>0</v>
      </c>
      <c r="DR23" s="118"/>
      <c r="DS23" s="151"/>
      <c r="DT23" s="151">
        <f t="shared" si="168"/>
        <v>0</v>
      </c>
      <c r="DU23" s="133">
        <f t="shared" si="169"/>
        <v>0</v>
      </c>
      <c r="DV23" s="159">
        <f>+DU23</f>
        <v>0</v>
      </c>
      <c r="DW23" s="266">
        <f t="shared" si="170"/>
        <v>0</v>
      </c>
      <c r="DX23" s="159">
        <f t="shared" si="171"/>
        <v>0</v>
      </c>
      <c r="DY23" s="118"/>
      <c r="DZ23" s="151"/>
      <c r="EA23" s="151">
        <f t="shared" si="172"/>
        <v>0</v>
      </c>
      <c r="EB23" s="151">
        <f>EA23/EA2</f>
        <v>0</v>
      </c>
      <c r="EC23" s="96">
        <f>+EB23</f>
        <v>0</v>
      </c>
      <c r="ED23" s="267">
        <f t="shared" si="173"/>
        <v>0</v>
      </c>
      <c r="EE23" s="96">
        <f t="shared" si="174"/>
        <v>0</v>
      </c>
      <c r="EF23" s="118"/>
      <c r="EG23" s="151"/>
      <c r="EH23" s="151">
        <f t="shared" si="175"/>
        <v>0</v>
      </c>
      <c r="EI23" s="151">
        <f>EH23/EH2</f>
        <v>0</v>
      </c>
      <c r="EJ23" s="210"/>
      <c r="EK23" s="210">
        <f>EJ23*EK2</f>
        <v>0</v>
      </c>
      <c r="EL23" s="210">
        <f t="shared" si="176"/>
        <v>0</v>
      </c>
      <c r="EM23" s="118"/>
      <c r="EN23" s="151"/>
      <c r="EO23" s="151">
        <f t="shared" si="177"/>
        <v>0</v>
      </c>
      <c r="EP23" s="151">
        <f>EO23/EO2</f>
        <v>0</v>
      </c>
      <c r="EQ23" s="159">
        <f>+EP23</f>
        <v>0</v>
      </c>
      <c r="ER23" s="266">
        <f t="shared" si="178"/>
        <v>0</v>
      </c>
      <c r="ES23" s="159">
        <f t="shared" si="179"/>
        <v>0</v>
      </c>
      <c r="ET23" s="118"/>
      <c r="EU23" s="151"/>
      <c r="EV23" s="151">
        <f t="shared" si="180"/>
        <v>0</v>
      </c>
      <c r="EW23" s="151">
        <f>EV23/EV2</f>
        <v>0</v>
      </c>
      <c r="EX23" s="96">
        <f>+EW23</f>
        <v>0</v>
      </c>
      <c r="EY23" s="267">
        <f t="shared" si="181"/>
        <v>0</v>
      </c>
      <c r="EZ23" s="96">
        <f t="shared" si="182"/>
        <v>0</v>
      </c>
      <c r="FA23" s="118"/>
      <c r="FB23" s="151"/>
      <c r="FC23" s="151">
        <f t="shared" si="183"/>
        <v>0</v>
      </c>
      <c r="FD23" s="151">
        <f>FC23/FC2</f>
        <v>0</v>
      </c>
      <c r="FE23" s="96">
        <f>+FD23</f>
        <v>0</v>
      </c>
      <c r="FF23" s="267">
        <f t="shared" si="184"/>
        <v>0</v>
      </c>
      <c r="FG23" s="96">
        <f t="shared" si="185"/>
        <v>0</v>
      </c>
      <c r="FH23" s="118"/>
      <c r="FI23" s="287"/>
      <c r="FJ23" s="287">
        <f>FI23/118%</f>
        <v>0</v>
      </c>
      <c r="FK23" s="288">
        <f>FJ23/FJ$2</f>
        <v>0</v>
      </c>
      <c r="FL23" s="96">
        <f>+FK23</f>
        <v>0</v>
      </c>
      <c r="FM23" s="267">
        <f t="shared" si="186"/>
        <v>0</v>
      </c>
      <c r="FN23" s="139">
        <f t="shared" si="187"/>
        <v>0</v>
      </c>
      <c r="FO23" s="118"/>
      <c r="FP23" s="151"/>
      <c r="FQ23" s="151">
        <f t="shared" si="188"/>
        <v>0</v>
      </c>
      <c r="FR23" s="151">
        <f>FQ23/FQ2</f>
        <v>0</v>
      </c>
      <c r="FS23" s="96">
        <f t="shared" si="189"/>
        <v>0</v>
      </c>
      <c r="FT23" s="267">
        <f t="shared" si="190"/>
        <v>0</v>
      </c>
      <c r="FU23" s="96">
        <f t="shared" si="191"/>
        <v>0</v>
      </c>
      <c r="FV23" s="118"/>
      <c r="FW23" s="151"/>
      <c r="FX23" s="151">
        <f t="shared" si="192"/>
        <v>0</v>
      </c>
      <c r="FY23" s="151">
        <f>FX23/FX2</f>
        <v>0</v>
      </c>
      <c r="FZ23" s="96">
        <f>+FY23</f>
        <v>0</v>
      </c>
      <c r="GA23" s="267">
        <f t="shared" si="193"/>
        <v>0</v>
      </c>
      <c r="GB23" s="96">
        <f t="shared" si="194"/>
        <v>0</v>
      </c>
      <c r="GC23" s="118"/>
      <c r="GD23" s="151"/>
      <c r="GE23" s="151">
        <f t="shared" si="195"/>
        <v>0</v>
      </c>
      <c r="GF23" s="151">
        <f>GE23/GE2</f>
        <v>0</v>
      </c>
      <c r="GG23" s="159">
        <f>+GF23</f>
        <v>0</v>
      </c>
      <c r="GH23" s="266">
        <f t="shared" si="196"/>
        <v>0</v>
      </c>
      <c r="GI23" s="159">
        <f t="shared" si="197"/>
        <v>0</v>
      </c>
      <c r="GJ23" s="118"/>
      <c r="GK23" s="151"/>
      <c r="GL23" s="151">
        <f>GK23/118%</f>
        <v>0</v>
      </c>
      <c r="GM23" s="270">
        <f>GL23/$GL$2</f>
        <v>0</v>
      </c>
      <c r="GN23" s="159">
        <f>+GM23</f>
        <v>0</v>
      </c>
      <c r="GO23" s="266">
        <f t="shared" si="198"/>
        <v>0</v>
      </c>
      <c r="GP23" s="159">
        <f t="shared" si="199"/>
        <v>0</v>
      </c>
      <c r="GQ23" s="118"/>
      <c r="GR23" s="151"/>
      <c r="GS23" s="151">
        <f t="shared" si="200"/>
        <v>0</v>
      </c>
      <c r="GT23" s="151">
        <f>GS23/GS2</f>
        <v>0</v>
      </c>
      <c r="GU23" s="96">
        <f>+GT23</f>
        <v>0</v>
      </c>
      <c r="GV23" s="267">
        <f t="shared" si="201"/>
        <v>0</v>
      </c>
      <c r="GW23" s="96">
        <f t="shared" si="202"/>
        <v>0</v>
      </c>
      <c r="GX23" s="118"/>
      <c r="GY23" s="151"/>
      <c r="GZ23" s="151">
        <f t="shared" si="203"/>
        <v>0</v>
      </c>
      <c r="HA23" s="151">
        <f>GZ23/GZ2</f>
        <v>0</v>
      </c>
      <c r="HB23" s="159">
        <f>+HA23</f>
        <v>0</v>
      </c>
      <c r="HC23" s="266">
        <f t="shared" si="204"/>
        <v>0</v>
      </c>
      <c r="HD23" s="159">
        <f t="shared" si="205"/>
        <v>0</v>
      </c>
      <c r="HE23" s="118"/>
      <c r="HF23" s="151"/>
      <c r="HG23" s="151">
        <f t="shared" si="206"/>
        <v>0</v>
      </c>
      <c r="HH23" s="151">
        <f>HG23/HG2</f>
        <v>0</v>
      </c>
      <c r="HI23" s="210"/>
      <c r="HJ23" s="210">
        <f>HI23*HJ2</f>
        <v>0</v>
      </c>
      <c r="HK23" s="210">
        <f t="shared" si="207"/>
        <v>0</v>
      </c>
      <c r="HL23" s="118"/>
      <c r="HM23" s="151"/>
      <c r="HN23" s="151">
        <f t="shared" si="208"/>
        <v>0</v>
      </c>
      <c r="HO23" s="151">
        <f>HN23/HN2</f>
        <v>0</v>
      </c>
      <c r="HP23" s="96">
        <f>+HO23</f>
        <v>0</v>
      </c>
      <c r="HQ23" s="267">
        <f t="shared" si="209"/>
        <v>0</v>
      </c>
      <c r="HR23" s="96">
        <f t="shared" si="210"/>
        <v>0</v>
      </c>
      <c r="HS23" s="118"/>
      <c r="HT23" s="318">
        <f t="shared" si="211"/>
        <v>0</v>
      </c>
      <c r="HU23" s="151">
        <f t="shared" si="212"/>
        <v>0</v>
      </c>
      <c r="HV23" s="319"/>
    </row>
    <row r="24" spans="1:230">
      <c r="A24" s="18">
        <v>4</v>
      </c>
      <c r="B24" s="19" t="s">
        <v>209</v>
      </c>
      <c r="C24" s="118"/>
      <c r="D24" s="151">
        <v>1022092.3999999999</v>
      </c>
      <c r="E24" s="151">
        <f t="shared" si="122"/>
        <v>866180</v>
      </c>
      <c r="F24" s="151">
        <f>E24/E2</f>
        <v>3500</v>
      </c>
      <c r="G24" s="159">
        <f>+F24</f>
        <v>3500</v>
      </c>
      <c r="H24" s="266">
        <f t="shared" si="123"/>
        <v>1778212.7999999998</v>
      </c>
      <c r="I24" s="159">
        <f t="shared" si="124"/>
        <v>2098291.1039999998</v>
      </c>
      <c r="J24" s="118"/>
      <c r="K24" s="151">
        <v>1022092.3999999999</v>
      </c>
      <c r="L24" s="151">
        <f t="shared" si="125"/>
        <v>866180</v>
      </c>
      <c r="M24" s="151">
        <f>L24/L2</f>
        <v>12374</v>
      </c>
      <c r="N24" s="159">
        <f>+M24</f>
        <v>12374</v>
      </c>
      <c r="O24" s="266">
        <f t="shared" si="126"/>
        <v>6286744.3391999993</v>
      </c>
      <c r="P24" s="159">
        <f t="shared" si="127"/>
        <v>7418358.3202559985</v>
      </c>
      <c r="Q24" s="118"/>
      <c r="R24" s="151">
        <v>861860</v>
      </c>
      <c r="S24" s="151">
        <f t="shared" si="128"/>
        <v>730389.83050847461</v>
      </c>
      <c r="T24" s="151">
        <f>S24/S2</f>
        <v>10434.140435835352</v>
      </c>
      <c r="U24" s="159">
        <f>+T24</f>
        <v>10434.140435835352</v>
      </c>
      <c r="V24" s="266">
        <f t="shared" si="129"/>
        <v>4014069.7526585958</v>
      </c>
      <c r="W24" s="159">
        <f t="shared" si="130"/>
        <v>4736602.308137143</v>
      </c>
      <c r="X24" s="118"/>
      <c r="Y24" s="151">
        <v>861860</v>
      </c>
      <c r="Z24" s="151">
        <f t="shared" si="131"/>
        <v>730389.83050847461</v>
      </c>
      <c r="AA24" s="151">
        <f>Z24/Z2</f>
        <v>10434.140435835352</v>
      </c>
      <c r="AB24" s="159">
        <f>+AA24</f>
        <v>10434.140435835352</v>
      </c>
      <c r="AC24" s="266">
        <f t="shared" si="132"/>
        <v>4014069.7526585958</v>
      </c>
      <c r="AD24" s="159">
        <f t="shared" si="133"/>
        <v>4736602.308137143</v>
      </c>
      <c r="AE24" s="118"/>
      <c r="AF24" s="151">
        <v>1647049.13</v>
      </c>
      <c r="AG24" s="151">
        <f t="shared" si="134"/>
        <v>1395804.3474576271</v>
      </c>
      <c r="AH24" s="151">
        <f>AG24/AG2</f>
        <v>9243.7374003816367</v>
      </c>
      <c r="AI24" s="96">
        <f>+AH24</f>
        <v>9243.7374003816367</v>
      </c>
      <c r="AJ24" s="267">
        <f t="shared" si="135"/>
        <v>16536831.754575057</v>
      </c>
      <c r="AK24" s="96">
        <f t="shared" si="136"/>
        <v>19513461.470398568</v>
      </c>
      <c r="AL24" s="118"/>
      <c r="AM24" s="151">
        <v>10974000</v>
      </c>
      <c r="AN24" s="151">
        <f t="shared" si="137"/>
        <v>9300000</v>
      </c>
      <c r="AO24" s="151">
        <f>AN24/AN2</f>
        <v>5025.0713235929798</v>
      </c>
      <c r="AP24" s="96">
        <f>+AO24</f>
        <v>5025.0713235929798</v>
      </c>
      <c r="AQ24" s="267">
        <f t="shared" si="138"/>
        <v>3766277.4898417909</v>
      </c>
      <c r="AR24" s="96">
        <f t="shared" si="139"/>
        <v>4444207.4380133133</v>
      </c>
      <c r="AS24" s="118"/>
      <c r="AT24" s="287">
        <v>4873031.84</v>
      </c>
      <c r="AU24" s="287">
        <f>AT24/118%</f>
        <v>4129688</v>
      </c>
      <c r="AV24" s="288">
        <f>AU24/AU$2</f>
        <v>3800</v>
      </c>
      <c r="AW24" s="96">
        <f>+AV24</f>
        <v>3800</v>
      </c>
      <c r="AX24" s="267">
        <f t="shared" si="140"/>
        <v>6798111.8399999989</v>
      </c>
      <c r="AY24" s="96">
        <f t="shared" si="141"/>
        <v>8021771.9711999986</v>
      </c>
      <c r="AZ24" s="118"/>
      <c r="BA24" s="287"/>
      <c r="BB24" s="287"/>
      <c r="BC24" s="288"/>
      <c r="BD24" s="96">
        <v>12200</v>
      </c>
      <c r="BE24" s="267">
        <f t="shared" si="142"/>
        <v>11858268.239999998</v>
      </c>
      <c r="BF24" s="96">
        <f t="shared" si="143"/>
        <v>13992756.523199998</v>
      </c>
      <c r="BG24" s="118"/>
      <c r="BH24" s="151">
        <v>4489750.1399999997</v>
      </c>
      <c r="BI24" s="151">
        <f t="shared" si="144"/>
        <v>3804873</v>
      </c>
      <c r="BJ24" s="151">
        <f>BI24/BI2</f>
        <v>585.36507692307691</v>
      </c>
      <c r="BK24" s="210"/>
      <c r="BL24" s="210">
        <f>BK24*BL2</f>
        <v>0</v>
      </c>
      <c r="BM24" s="210">
        <f t="shared" si="145"/>
        <v>0</v>
      </c>
      <c r="BN24" s="118"/>
      <c r="BO24" s="151">
        <v>4489750.1399999997</v>
      </c>
      <c r="BP24" s="151">
        <f t="shared" si="146"/>
        <v>3804873</v>
      </c>
      <c r="BQ24" s="151">
        <f>BP24/BP2</f>
        <v>585.36507692307691</v>
      </c>
      <c r="BR24" s="210"/>
      <c r="BS24" s="210">
        <f>BR24*BS2</f>
        <v>0</v>
      </c>
      <c r="BT24" s="210">
        <f t="shared" si="147"/>
        <v>0</v>
      </c>
      <c r="BU24" s="118"/>
      <c r="BV24" s="151"/>
      <c r="BW24" s="151">
        <f t="shared" si="148"/>
        <v>0</v>
      </c>
      <c r="BX24" s="151">
        <f>BW24/BW2</f>
        <v>0</v>
      </c>
      <c r="BY24" s="96">
        <f>+BX24</f>
        <v>0</v>
      </c>
      <c r="BZ24" s="96">
        <f t="shared" si="149"/>
        <v>0</v>
      </c>
      <c r="CA24" s="96">
        <f t="shared" si="150"/>
        <v>0</v>
      </c>
      <c r="CB24" s="118"/>
      <c r="CC24" s="151">
        <v>1647049.13</v>
      </c>
      <c r="CD24" s="151">
        <f t="shared" si="151"/>
        <v>1395804.3474576271</v>
      </c>
      <c r="CE24" s="151">
        <f>CD24/CD2</f>
        <v>9243.7374003816367</v>
      </c>
      <c r="CF24" s="96">
        <f>+CE24</f>
        <v>9243.7374003816367</v>
      </c>
      <c r="CG24" s="267">
        <f t="shared" si="152"/>
        <v>3034737.4760200917</v>
      </c>
      <c r="CH24" s="96">
        <f t="shared" si="153"/>
        <v>3580990.2217037082</v>
      </c>
      <c r="CI24" s="118"/>
      <c r="CJ24" s="151">
        <v>10974000</v>
      </c>
      <c r="CK24" s="151">
        <f t="shared" si="154"/>
        <v>9300000</v>
      </c>
      <c r="CL24" s="151">
        <f>CK24/CK2</f>
        <v>5025.0713235929798</v>
      </c>
      <c r="CM24" s="96">
        <f>+CL24</f>
        <v>5025.0713235929798</v>
      </c>
      <c r="CN24" s="267">
        <f t="shared" si="155"/>
        <v>1649740.9656782222</v>
      </c>
      <c r="CO24" s="96">
        <f t="shared" si="156"/>
        <v>1946694.3395003022</v>
      </c>
      <c r="CP24" s="118"/>
      <c r="CQ24" s="151">
        <v>10974000</v>
      </c>
      <c r="CR24" s="151">
        <f t="shared" si="157"/>
        <v>9300000</v>
      </c>
      <c r="CS24" s="151">
        <f>CR24/CR2</f>
        <v>5025.0713235929798</v>
      </c>
      <c r="CT24" s="96">
        <f>+CS24</f>
        <v>5025.0713235929798</v>
      </c>
      <c r="CU24" s="267">
        <f t="shared" si="158"/>
        <v>1649740.9656782222</v>
      </c>
      <c r="CV24" s="96">
        <f t="shared" si="159"/>
        <v>1946694.3395003022</v>
      </c>
      <c r="CW24" s="118"/>
      <c r="CX24" s="151">
        <v>4489750.1399999997</v>
      </c>
      <c r="CY24" s="151">
        <f t="shared" si="160"/>
        <v>3804873</v>
      </c>
      <c r="CZ24" s="151">
        <f>CY24/CY2</f>
        <v>585.36507692307691</v>
      </c>
      <c r="DA24" s="210"/>
      <c r="DB24" s="210">
        <f>DA24*DB2</f>
        <v>0</v>
      </c>
      <c r="DC24" s="210">
        <f t="shared" si="161"/>
        <v>0</v>
      </c>
      <c r="DD24" s="118"/>
      <c r="DE24" s="151">
        <v>361858.8</v>
      </c>
      <c r="DF24" s="151">
        <f t="shared" si="162"/>
        <v>306660</v>
      </c>
      <c r="DG24" s="151">
        <f>DF24/DF2</f>
        <v>313.23799795709908</v>
      </c>
      <c r="DH24" s="159">
        <f>+DG24</f>
        <v>313.23799795709908</v>
      </c>
      <c r="DI24" s="266">
        <f t="shared" si="163"/>
        <v>118987.07455526045</v>
      </c>
      <c r="DJ24" s="159">
        <f t="shared" si="164"/>
        <v>140404.74797520731</v>
      </c>
      <c r="DK24" s="118"/>
      <c r="DL24" s="151">
        <v>1647049.13</v>
      </c>
      <c r="DM24" s="151">
        <f t="shared" si="165"/>
        <v>1395804.3474576271</v>
      </c>
      <c r="DN24" s="151">
        <f>DM24/DM2</f>
        <v>9243.7374003816367</v>
      </c>
      <c r="DO24" s="96">
        <f>+DN24</f>
        <v>9243.7374003816367</v>
      </c>
      <c r="DP24" s="267">
        <f t="shared" si="166"/>
        <v>6104299.8083223822</v>
      </c>
      <c r="DQ24" s="96">
        <f t="shared" si="167"/>
        <v>7203073.7738204105</v>
      </c>
      <c r="DR24" s="118"/>
      <c r="DS24" s="151">
        <v>15780854.2752</v>
      </c>
      <c r="DT24" s="270">
        <f>DS24/112%</f>
        <v>14090048.459999999</v>
      </c>
      <c r="DU24" s="133">
        <f t="shared" si="169"/>
        <v>5344.8328882482365</v>
      </c>
      <c r="DV24" s="159">
        <f>+DU24</f>
        <v>5344.8328882482365</v>
      </c>
      <c r="DW24" s="266">
        <f t="shared" si="170"/>
        <v>4104892.589269571</v>
      </c>
      <c r="DX24" s="159">
        <f t="shared" si="171"/>
        <v>4843773.2553380933</v>
      </c>
      <c r="DY24" s="118"/>
      <c r="DZ24" s="151">
        <v>10974000</v>
      </c>
      <c r="EA24" s="151">
        <f t="shared" si="172"/>
        <v>9300000</v>
      </c>
      <c r="EB24" s="151">
        <f>EA24/EA2</f>
        <v>5025.0713235929798</v>
      </c>
      <c r="EC24" s="96">
        <f>+EB24</f>
        <v>5025.0713235929798</v>
      </c>
      <c r="ED24" s="267">
        <f t="shared" si="173"/>
        <v>1784695.1856574735</v>
      </c>
      <c r="EE24" s="96">
        <f t="shared" si="174"/>
        <v>2105940.3190758186</v>
      </c>
      <c r="EF24" s="118"/>
      <c r="EG24" s="151">
        <v>4489750.1399999997</v>
      </c>
      <c r="EH24" s="151">
        <f t="shared" si="175"/>
        <v>3804873</v>
      </c>
      <c r="EI24" s="151">
        <f>EH24/EH2</f>
        <v>585.36507692307691</v>
      </c>
      <c r="EJ24" s="210"/>
      <c r="EK24" s="210">
        <f>EJ24*EK2</f>
        <v>0</v>
      </c>
      <c r="EL24" s="210">
        <f t="shared" si="176"/>
        <v>0</v>
      </c>
      <c r="EM24" s="118"/>
      <c r="EN24" s="151">
        <v>2724733.28</v>
      </c>
      <c r="EO24" s="151">
        <f t="shared" si="177"/>
        <v>2309096</v>
      </c>
      <c r="EP24" s="151">
        <f>EO24/EO2</f>
        <v>3699.9999999999995</v>
      </c>
      <c r="EQ24" s="159">
        <f>+EP24</f>
        <v>3699.9999999999995</v>
      </c>
      <c r="ER24" s="266">
        <f t="shared" si="178"/>
        <v>1314085.2659999996</v>
      </c>
      <c r="ES24" s="159">
        <f t="shared" si="179"/>
        <v>1550620.6138799994</v>
      </c>
      <c r="ET24" s="118"/>
      <c r="EU24" s="151">
        <v>10974000</v>
      </c>
      <c r="EV24" s="151">
        <f t="shared" si="180"/>
        <v>9300000</v>
      </c>
      <c r="EW24" s="151">
        <f>EV24/EV2</f>
        <v>5025.0713235929798</v>
      </c>
      <c r="EX24" s="96">
        <f>+EW24</f>
        <v>5025.0713235929798</v>
      </c>
      <c r="EY24" s="267">
        <f t="shared" si="181"/>
        <v>12179956.414800726</v>
      </c>
      <c r="EZ24" s="96">
        <f t="shared" si="182"/>
        <v>14372348.569464855</v>
      </c>
      <c r="FA24" s="118"/>
      <c r="FB24" s="151"/>
      <c r="FC24" s="151">
        <f t="shared" si="183"/>
        <v>0</v>
      </c>
      <c r="FD24" s="151">
        <f>FC24/FC2</f>
        <v>0</v>
      </c>
      <c r="FE24" s="96">
        <f>+FD24</f>
        <v>0</v>
      </c>
      <c r="FF24" s="267">
        <f t="shared" si="184"/>
        <v>0</v>
      </c>
      <c r="FG24" s="96">
        <f t="shared" si="185"/>
        <v>0</v>
      </c>
      <c r="FH24" s="118"/>
      <c r="FI24" s="287">
        <v>4873031.84</v>
      </c>
      <c r="FJ24" s="287">
        <f>FI24/118%</f>
        <v>4129688</v>
      </c>
      <c r="FK24" s="288">
        <f>FJ24/FJ$2</f>
        <v>3800</v>
      </c>
      <c r="FL24" s="96">
        <f>+FK24</f>
        <v>3800</v>
      </c>
      <c r="FM24" s="267">
        <f t="shared" si="186"/>
        <v>5528681.027999999</v>
      </c>
      <c r="FN24" s="139">
        <f t="shared" si="187"/>
        <v>6523843.6130399983</v>
      </c>
      <c r="FO24" s="118"/>
      <c r="FP24" s="151">
        <v>816171</v>
      </c>
      <c r="FQ24" s="151">
        <f t="shared" si="188"/>
        <v>691670.3389830509</v>
      </c>
      <c r="FR24" s="151">
        <f>FQ24/FQ2</f>
        <v>4611.1355932203396</v>
      </c>
      <c r="FS24" s="96">
        <f t="shared" si="189"/>
        <v>4611.1355932203396</v>
      </c>
      <c r="FT24" s="267">
        <f t="shared" si="190"/>
        <v>6708815.2294138987</v>
      </c>
      <c r="FU24" s="96">
        <f t="shared" si="191"/>
        <v>7916401.9707084</v>
      </c>
      <c r="FV24" s="118"/>
      <c r="FW24" s="151">
        <v>1647049.13</v>
      </c>
      <c r="FX24" s="151">
        <f t="shared" si="192"/>
        <v>1395804.3474576271</v>
      </c>
      <c r="FY24" s="151">
        <f>FX24/FX2</f>
        <v>9243.7374003816367</v>
      </c>
      <c r="FZ24" s="96">
        <f>+FY24</f>
        <v>9243.7374003816367</v>
      </c>
      <c r="GA24" s="267">
        <f t="shared" si="193"/>
        <v>1741242.8141098886</v>
      </c>
      <c r="GB24" s="96">
        <f t="shared" si="194"/>
        <v>2054666.5206496685</v>
      </c>
      <c r="GC24" s="118"/>
      <c r="GD24" s="151">
        <v>999359</v>
      </c>
      <c r="GE24" s="151">
        <f t="shared" si="195"/>
        <v>846914.40677966108</v>
      </c>
      <c r="GF24" s="151">
        <f>GE24/GE2</f>
        <v>12098.777239709443</v>
      </c>
      <c r="GG24" s="159">
        <f>+GF24</f>
        <v>12098.777239709443</v>
      </c>
      <c r="GH24" s="266">
        <f t="shared" si="196"/>
        <v>4466931.4705423722</v>
      </c>
      <c r="GI24" s="159">
        <f t="shared" si="197"/>
        <v>5270979.1352399988</v>
      </c>
      <c r="GJ24" s="118"/>
      <c r="GK24" s="151">
        <v>1426104.5759999999</v>
      </c>
      <c r="GL24" s="151">
        <f>GK24/118%</f>
        <v>1208563.2</v>
      </c>
      <c r="GM24" s="270">
        <f>GL24/$GL$2</f>
        <v>4800</v>
      </c>
      <c r="GN24" s="159">
        <f>+GM24</f>
        <v>4800</v>
      </c>
      <c r="GO24" s="266">
        <f t="shared" si="198"/>
        <v>1351613.9519999998</v>
      </c>
      <c r="GP24" s="159">
        <f t="shared" si="199"/>
        <v>1594904.4633599997</v>
      </c>
      <c r="GQ24" s="118"/>
      <c r="GR24" s="151">
        <v>1647049.13</v>
      </c>
      <c r="GS24" s="151">
        <f t="shared" si="200"/>
        <v>1395804.3474576271</v>
      </c>
      <c r="GT24" s="151">
        <f>GS24/GS2</f>
        <v>9243.7374003816367</v>
      </c>
      <c r="GU24" s="96">
        <f>+GT24</f>
        <v>9243.7374003816367</v>
      </c>
      <c r="GV24" s="267">
        <f t="shared" si="201"/>
        <v>4056598.2589291525</v>
      </c>
      <c r="GW24" s="96">
        <f t="shared" si="202"/>
        <v>4786785.9455363993</v>
      </c>
      <c r="GX24" s="118"/>
      <c r="GY24" s="151">
        <v>361858.8</v>
      </c>
      <c r="GZ24" s="151">
        <f t="shared" si="203"/>
        <v>306660</v>
      </c>
      <c r="HA24" s="151">
        <f>GZ24/GZ2</f>
        <v>313.23799795709908</v>
      </c>
      <c r="HB24" s="159">
        <f>+HA24</f>
        <v>313.23799795709908</v>
      </c>
      <c r="HC24" s="266">
        <f t="shared" si="204"/>
        <v>211573.78657814095</v>
      </c>
      <c r="HD24" s="159">
        <f t="shared" si="205"/>
        <v>249657.0681622063</v>
      </c>
      <c r="HE24" s="118"/>
      <c r="HF24" s="151">
        <v>4489750.1399999997</v>
      </c>
      <c r="HG24" s="151">
        <f t="shared" si="206"/>
        <v>3804873</v>
      </c>
      <c r="HH24" s="151">
        <f>HG24/HG2</f>
        <v>585.36507692307691</v>
      </c>
      <c r="HI24" s="210"/>
      <c r="HJ24" s="210">
        <f>HI24*HJ2</f>
        <v>0</v>
      </c>
      <c r="HK24" s="210">
        <f t="shared" si="207"/>
        <v>0</v>
      </c>
      <c r="HL24" s="118"/>
      <c r="HM24" s="151">
        <v>1647049.13</v>
      </c>
      <c r="HN24" s="151">
        <f t="shared" si="208"/>
        <v>1395804.3474576271</v>
      </c>
      <c r="HO24" s="151">
        <f>HN24/HN2</f>
        <v>9243.7374003816367</v>
      </c>
      <c r="HP24" s="96">
        <f>+HO24</f>
        <v>9243.7374003816367</v>
      </c>
      <c r="HQ24" s="267">
        <f t="shared" si="209"/>
        <v>7404759.4414890241</v>
      </c>
      <c r="HR24" s="96">
        <f t="shared" si="210"/>
        <v>8737616.1409570482</v>
      </c>
      <c r="HS24" s="118"/>
      <c r="HT24" s="318">
        <f t="shared" si="211"/>
        <v>118463937.69597846</v>
      </c>
      <c r="HU24" s="151">
        <f t="shared" si="212"/>
        <v>139787446.48125458</v>
      </c>
      <c r="HV24" s="319"/>
    </row>
    <row r="25" spans="1:230">
      <c r="A25" s="18">
        <v>5</v>
      </c>
      <c r="B25" s="19" t="s">
        <v>208</v>
      </c>
      <c r="C25" s="118"/>
      <c r="D25" s="151"/>
      <c r="E25" s="151">
        <f t="shared" si="122"/>
        <v>0</v>
      </c>
      <c r="F25" s="151">
        <f>E25/E2</f>
        <v>0</v>
      </c>
      <c r="G25" s="159">
        <f>+F25</f>
        <v>0</v>
      </c>
      <c r="H25" s="266">
        <f t="shared" si="123"/>
        <v>0</v>
      </c>
      <c r="I25" s="159">
        <f t="shared" si="124"/>
        <v>0</v>
      </c>
      <c r="J25" s="118"/>
      <c r="K25" s="151"/>
      <c r="L25" s="151">
        <f t="shared" si="125"/>
        <v>0</v>
      </c>
      <c r="M25" s="151">
        <f>L25/L2</f>
        <v>0</v>
      </c>
      <c r="N25" s="159">
        <f>+M25</f>
        <v>0</v>
      </c>
      <c r="O25" s="266">
        <f t="shared" si="126"/>
        <v>0</v>
      </c>
      <c r="P25" s="159">
        <f t="shared" si="127"/>
        <v>0</v>
      </c>
      <c r="Q25" s="118"/>
      <c r="R25" s="151"/>
      <c r="S25" s="151">
        <f t="shared" si="128"/>
        <v>0</v>
      </c>
      <c r="T25" s="151">
        <f>S25/S2</f>
        <v>0</v>
      </c>
      <c r="U25" s="159">
        <f>+T25</f>
        <v>0</v>
      </c>
      <c r="V25" s="266">
        <f t="shared" si="129"/>
        <v>0</v>
      </c>
      <c r="W25" s="159">
        <f t="shared" si="130"/>
        <v>0</v>
      </c>
      <c r="X25" s="118"/>
      <c r="Y25" s="151"/>
      <c r="Z25" s="151">
        <f t="shared" si="131"/>
        <v>0</v>
      </c>
      <c r="AA25" s="151">
        <f>Z25/Z2</f>
        <v>0</v>
      </c>
      <c r="AB25" s="159">
        <f>+AA25</f>
        <v>0</v>
      </c>
      <c r="AC25" s="266">
        <f t="shared" si="132"/>
        <v>0</v>
      </c>
      <c r="AD25" s="159">
        <f t="shared" si="133"/>
        <v>0</v>
      </c>
      <c r="AE25" s="118"/>
      <c r="AF25" s="151"/>
      <c r="AG25" s="151">
        <f t="shared" si="134"/>
        <v>0</v>
      </c>
      <c r="AH25" s="151">
        <f>AG25/AG2</f>
        <v>0</v>
      </c>
      <c r="AI25" s="96">
        <f>+AH25</f>
        <v>0</v>
      </c>
      <c r="AJ25" s="267">
        <f t="shared" si="135"/>
        <v>0</v>
      </c>
      <c r="AK25" s="96">
        <f t="shared" si="136"/>
        <v>0</v>
      </c>
      <c r="AL25" s="118"/>
      <c r="AM25" s="151"/>
      <c r="AN25" s="151">
        <f t="shared" si="137"/>
        <v>0</v>
      </c>
      <c r="AO25" s="151">
        <f>AN25/AN2</f>
        <v>0</v>
      </c>
      <c r="AP25" s="96">
        <f>+AO25</f>
        <v>0</v>
      </c>
      <c r="AQ25" s="267">
        <f t="shared" si="138"/>
        <v>0</v>
      </c>
      <c r="AR25" s="96">
        <f t="shared" si="139"/>
        <v>0</v>
      </c>
      <c r="AS25" s="118"/>
      <c r="AT25" s="287">
        <v>472000</v>
      </c>
      <c r="AU25" s="287">
        <f>AT25/118%</f>
        <v>400000</v>
      </c>
      <c r="AV25" s="288">
        <f>AU25/AU$2</f>
        <v>368.06654643159482</v>
      </c>
      <c r="AW25" s="96">
        <f>+AV25</f>
        <v>368.06654643159482</v>
      </c>
      <c r="AX25" s="267">
        <f t="shared" si="140"/>
        <v>658462.51242224581</v>
      </c>
      <c r="AY25" s="96">
        <f t="shared" si="141"/>
        <v>776985.76465825003</v>
      </c>
      <c r="AZ25" s="118"/>
      <c r="BA25" s="287"/>
      <c r="BB25" s="287"/>
      <c r="BC25" s="288"/>
      <c r="BD25" s="96">
        <f>+BC25</f>
        <v>0</v>
      </c>
      <c r="BE25" s="267">
        <f t="shared" si="142"/>
        <v>0</v>
      </c>
      <c r="BF25" s="96">
        <f t="shared" si="143"/>
        <v>0</v>
      </c>
      <c r="BG25" s="118"/>
      <c r="BH25" s="151"/>
      <c r="BI25" s="151">
        <f t="shared" si="144"/>
        <v>0</v>
      </c>
      <c r="BJ25" s="151">
        <f>BI25/BI2</f>
        <v>0</v>
      </c>
      <c r="BK25" s="210">
        <v>500</v>
      </c>
      <c r="BL25" s="210">
        <f>BK25*BL2</f>
        <v>479105.63999999996</v>
      </c>
      <c r="BM25" s="210">
        <f t="shared" si="145"/>
        <v>565344.65519999992</v>
      </c>
      <c r="BN25" s="118"/>
      <c r="BO25" s="151"/>
      <c r="BP25" s="151">
        <f t="shared" si="146"/>
        <v>0</v>
      </c>
      <c r="BQ25" s="151">
        <f>BP25/BP2</f>
        <v>0</v>
      </c>
      <c r="BR25" s="210">
        <v>500</v>
      </c>
      <c r="BS25" s="210">
        <f>BR25*BS2</f>
        <v>542613.23999999987</v>
      </c>
      <c r="BT25" s="210">
        <f t="shared" si="147"/>
        <v>640283.6231999998</v>
      </c>
      <c r="BU25" s="118"/>
      <c r="BV25" s="151">
        <v>18536454.759999998</v>
      </c>
      <c r="BW25" s="151">
        <f t="shared" si="148"/>
        <v>15708859.966101695</v>
      </c>
      <c r="BX25" s="151">
        <f>BW25/BW2</f>
        <v>3490.857770244821</v>
      </c>
      <c r="BY25" s="96">
        <f>+BX25</f>
        <v>3490.857770244821</v>
      </c>
      <c r="BZ25" s="96">
        <f t="shared" si="149"/>
        <v>11159951.13255783</v>
      </c>
      <c r="CA25" s="96">
        <f t="shared" si="150"/>
        <v>13168742.336418239</v>
      </c>
      <c r="CB25" s="118"/>
      <c r="CC25" s="151"/>
      <c r="CD25" s="151">
        <f t="shared" si="151"/>
        <v>0</v>
      </c>
      <c r="CE25" s="151">
        <f>CD25/CD2</f>
        <v>0</v>
      </c>
      <c r="CF25" s="96">
        <f>+CE25</f>
        <v>0</v>
      </c>
      <c r="CG25" s="267">
        <f t="shared" si="152"/>
        <v>0</v>
      </c>
      <c r="CH25" s="96">
        <f t="shared" si="153"/>
        <v>0</v>
      </c>
      <c r="CI25" s="118"/>
      <c r="CJ25" s="151"/>
      <c r="CK25" s="151">
        <f t="shared" si="154"/>
        <v>0</v>
      </c>
      <c r="CL25" s="151">
        <f>CK25/CK2</f>
        <v>0</v>
      </c>
      <c r="CM25" s="96">
        <f>+CL25</f>
        <v>0</v>
      </c>
      <c r="CN25" s="267">
        <f t="shared" si="155"/>
        <v>0</v>
      </c>
      <c r="CO25" s="96">
        <f t="shared" si="156"/>
        <v>0</v>
      </c>
      <c r="CP25" s="118"/>
      <c r="CQ25" s="151"/>
      <c r="CR25" s="151">
        <f t="shared" si="157"/>
        <v>0</v>
      </c>
      <c r="CS25" s="151">
        <f>CR25/CR2</f>
        <v>0</v>
      </c>
      <c r="CT25" s="96">
        <f>+CS25</f>
        <v>0</v>
      </c>
      <c r="CU25" s="267">
        <f t="shared" si="158"/>
        <v>0</v>
      </c>
      <c r="CV25" s="96">
        <f t="shared" si="159"/>
        <v>0</v>
      </c>
      <c r="CW25" s="118"/>
      <c r="CX25" s="151"/>
      <c r="CY25" s="151">
        <f t="shared" si="160"/>
        <v>0</v>
      </c>
      <c r="CZ25" s="151">
        <f>CY25/CY2</f>
        <v>0</v>
      </c>
      <c r="DA25" s="210">
        <v>500</v>
      </c>
      <c r="DB25" s="210">
        <f>DA25*DB2</f>
        <v>320390.45999999996</v>
      </c>
      <c r="DC25" s="210">
        <f t="shared" si="161"/>
        <v>378060.74279999995</v>
      </c>
      <c r="DD25" s="118"/>
      <c r="DE25" s="151">
        <v>647536.79999999993</v>
      </c>
      <c r="DF25" s="151">
        <f t="shared" si="162"/>
        <v>548760</v>
      </c>
      <c r="DG25" s="151">
        <f>DF25/DF2</f>
        <v>560.53115423901943</v>
      </c>
      <c r="DH25" s="159">
        <f>+DG25</f>
        <v>560.53115423901943</v>
      </c>
      <c r="DI25" s="266">
        <f t="shared" si="163"/>
        <v>212924.23867783451</v>
      </c>
      <c r="DJ25" s="159">
        <f t="shared" si="164"/>
        <v>251250.60163984471</v>
      </c>
      <c r="DK25" s="118"/>
      <c r="DL25" s="151"/>
      <c r="DM25" s="151">
        <f t="shared" si="165"/>
        <v>0</v>
      </c>
      <c r="DN25" s="151">
        <f>DM25/DM2</f>
        <v>0</v>
      </c>
      <c r="DO25" s="96">
        <f>+DN25</f>
        <v>0</v>
      </c>
      <c r="DP25" s="267">
        <f t="shared" si="166"/>
        <v>0</v>
      </c>
      <c r="DQ25" s="96">
        <f t="shared" si="167"/>
        <v>0</v>
      </c>
      <c r="DR25" s="118"/>
      <c r="DS25" s="151"/>
      <c r="DT25" s="151">
        <f t="shared" si="168"/>
        <v>0</v>
      </c>
      <c r="DU25" s="133">
        <f t="shared" si="169"/>
        <v>0</v>
      </c>
      <c r="DV25" s="159">
        <f>+DU25</f>
        <v>0</v>
      </c>
      <c r="DW25" s="266">
        <f t="shared" si="170"/>
        <v>0</v>
      </c>
      <c r="DX25" s="159">
        <f t="shared" si="171"/>
        <v>0</v>
      </c>
      <c r="DY25" s="118"/>
      <c r="DZ25" s="151"/>
      <c r="EA25" s="151">
        <f t="shared" si="172"/>
        <v>0</v>
      </c>
      <c r="EB25" s="151">
        <f>EA25/EA2</f>
        <v>0</v>
      </c>
      <c r="EC25" s="96">
        <f>+EB25</f>
        <v>0</v>
      </c>
      <c r="ED25" s="267">
        <f t="shared" si="173"/>
        <v>0</v>
      </c>
      <c r="EE25" s="96">
        <f t="shared" si="174"/>
        <v>0</v>
      </c>
      <c r="EF25" s="118"/>
      <c r="EG25" s="151"/>
      <c r="EH25" s="151">
        <f t="shared" si="175"/>
        <v>0</v>
      </c>
      <c r="EI25" s="151">
        <f>EH25/EH2</f>
        <v>0</v>
      </c>
      <c r="EJ25" s="210">
        <v>500</v>
      </c>
      <c r="EK25" s="210">
        <f>EJ25*EK2</f>
        <v>367644.42</v>
      </c>
      <c r="EL25" s="210">
        <f t="shared" si="176"/>
        <v>433820.41559999995</v>
      </c>
      <c r="EM25" s="118"/>
      <c r="EN25" s="151"/>
      <c r="EO25" s="151">
        <f t="shared" si="177"/>
        <v>0</v>
      </c>
      <c r="EP25" s="151">
        <f>EO25/EO2</f>
        <v>0</v>
      </c>
      <c r="EQ25" s="159">
        <f>+EP25</f>
        <v>0</v>
      </c>
      <c r="ER25" s="266">
        <f t="shared" si="178"/>
        <v>0</v>
      </c>
      <c r="ES25" s="159">
        <f t="shared" si="179"/>
        <v>0</v>
      </c>
      <c r="ET25" s="118"/>
      <c r="EU25" s="151"/>
      <c r="EV25" s="151">
        <f t="shared" si="180"/>
        <v>0</v>
      </c>
      <c r="EW25" s="151">
        <f>EV25/EV2</f>
        <v>0</v>
      </c>
      <c r="EX25" s="96">
        <f>+EW25</f>
        <v>0</v>
      </c>
      <c r="EY25" s="267">
        <f t="shared" si="181"/>
        <v>0</v>
      </c>
      <c r="EZ25" s="96">
        <f t="shared" si="182"/>
        <v>0</v>
      </c>
      <c r="FA25" s="118"/>
      <c r="FB25" s="151">
        <v>18536454.759999998</v>
      </c>
      <c r="FC25" s="151">
        <f t="shared" si="183"/>
        <v>15708859.966101695</v>
      </c>
      <c r="FD25" s="151">
        <f>FC25/FC2</f>
        <v>3490.857770244821</v>
      </c>
      <c r="FE25" s="96">
        <f>+FD25</f>
        <v>3490.857770244821</v>
      </c>
      <c r="FF25" s="267">
        <f>FE25*$FF$2</f>
        <v>18173811.329201754</v>
      </c>
      <c r="FG25" s="96">
        <f>FF25*118%</f>
        <v>21445097.36845807</v>
      </c>
      <c r="FH25" s="118"/>
      <c r="FI25" s="287">
        <v>472000</v>
      </c>
      <c r="FJ25" s="287">
        <f>FI25/118%</f>
        <v>400000</v>
      </c>
      <c r="FK25" s="288">
        <f>FJ25/FJ$2</f>
        <v>368.06654643159482</v>
      </c>
      <c r="FL25" s="96">
        <f>+FK25</f>
        <v>368.06654643159482</v>
      </c>
      <c r="FM25" s="267">
        <f t="shared" si="186"/>
        <v>535505.92955206288</v>
      </c>
      <c r="FN25" s="139">
        <f t="shared" si="187"/>
        <v>631896.99687143415</v>
      </c>
      <c r="FO25" s="118"/>
      <c r="FP25" s="151"/>
      <c r="FQ25" s="151">
        <f t="shared" si="188"/>
        <v>0</v>
      </c>
      <c r="FR25" s="151">
        <f>FQ25/FQ2</f>
        <v>0</v>
      </c>
      <c r="FS25" s="96">
        <f t="shared" si="189"/>
        <v>0</v>
      </c>
      <c r="FT25" s="267">
        <f t="shared" si="190"/>
        <v>0</v>
      </c>
      <c r="FU25" s="96">
        <f t="shared" si="191"/>
        <v>0</v>
      </c>
      <c r="FV25" s="118"/>
      <c r="FW25" s="151"/>
      <c r="FX25" s="151">
        <f t="shared" si="192"/>
        <v>0</v>
      </c>
      <c r="FY25" s="151">
        <f>FX25/FX2</f>
        <v>0</v>
      </c>
      <c r="FZ25" s="96">
        <f>+FY25</f>
        <v>0</v>
      </c>
      <c r="GA25" s="267">
        <f t="shared" si="193"/>
        <v>0</v>
      </c>
      <c r="GB25" s="96">
        <f t="shared" si="194"/>
        <v>0</v>
      </c>
      <c r="GC25" s="118"/>
      <c r="GD25" s="151"/>
      <c r="GE25" s="151">
        <f t="shared" si="195"/>
        <v>0</v>
      </c>
      <c r="GF25" s="151">
        <f>GE25/GE2</f>
        <v>0</v>
      </c>
      <c r="GG25" s="159">
        <f>+GF25</f>
        <v>0</v>
      </c>
      <c r="GH25" s="266">
        <f t="shared" si="196"/>
        <v>0</v>
      </c>
      <c r="GI25" s="159">
        <f t="shared" si="197"/>
        <v>0</v>
      </c>
      <c r="GJ25" s="118"/>
      <c r="GK25" s="151">
        <v>295000</v>
      </c>
      <c r="GL25" s="151">
        <f>GK25/118%</f>
        <v>250000</v>
      </c>
      <c r="GM25" s="270">
        <f>GL25/$GL$2</f>
        <v>992.91456168779587</v>
      </c>
      <c r="GN25" s="159">
        <f>+GM25</f>
        <v>992.91456168779587</v>
      </c>
      <c r="GO25" s="266">
        <f t="shared" si="198"/>
        <v>279591.07806691446</v>
      </c>
      <c r="GP25" s="159">
        <f t="shared" si="199"/>
        <v>329917.47211895906</v>
      </c>
      <c r="GQ25" s="118"/>
      <c r="GR25" s="151"/>
      <c r="GS25" s="151">
        <f t="shared" si="200"/>
        <v>0</v>
      </c>
      <c r="GT25" s="151">
        <f>GS25/GS2</f>
        <v>0</v>
      </c>
      <c r="GU25" s="96">
        <f>+GT25</f>
        <v>0</v>
      </c>
      <c r="GV25" s="267">
        <f t="shared" si="201"/>
        <v>0</v>
      </c>
      <c r="GW25" s="96">
        <f t="shared" si="202"/>
        <v>0</v>
      </c>
      <c r="GX25" s="118"/>
      <c r="GY25" s="151">
        <v>647536.79999999993</v>
      </c>
      <c r="GZ25" s="151">
        <f t="shared" si="203"/>
        <v>548760</v>
      </c>
      <c r="HA25" s="151">
        <f>GZ25/GZ2</f>
        <v>560.53115423901943</v>
      </c>
      <c r="HB25" s="159">
        <f>+HA25</f>
        <v>560.53115423901943</v>
      </c>
      <c r="HC25" s="266">
        <f t="shared" si="204"/>
        <v>378605.7233503575</v>
      </c>
      <c r="HD25" s="159">
        <f t="shared" si="205"/>
        <v>446754.75355342182</v>
      </c>
      <c r="HE25" s="118"/>
      <c r="HF25" s="151"/>
      <c r="HG25" s="151">
        <f t="shared" si="206"/>
        <v>0</v>
      </c>
      <c r="HH25" s="151">
        <f>HG25/HG2</f>
        <v>0</v>
      </c>
      <c r="HI25" s="210">
        <v>500</v>
      </c>
      <c r="HJ25" s="210">
        <f>HI25*HJ2</f>
        <v>492183.9</v>
      </c>
      <c r="HK25" s="210">
        <f t="shared" si="207"/>
        <v>580777.00199999998</v>
      </c>
      <c r="HL25" s="118"/>
      <c r="HM25" s="151"/>
      <c r="HN25" s="151">
        <f t="shared" si="208"/>
        <v>0</v>
      </c>
      <c r="HO25" s="151">
        <f>HN25/HN2</f>
        <v>0</v>
      </c>
      <c r="HP25" s="96">
        <f>+HO25</f>
        <v>0</v>
      </c>
      <c r="HQ25" s="267">
        <f t="shared" si="209"/>
        <v>0</v>
      </c>
      <c r="HR25" s="96">
        <f t="shared" si="210"/>
        <v>0</v>
      </c>
      <c r="HS25" s="118"/>
      <c r="HT25" s="318">
        <f t="shared" si="211"/>
        <v>33600789.603829004</v>
      </c>
      <c r="HU25" s="151">
        <f t="shared" si="212"/>
        <v>39648931.732518226</v>
      </c>
      <c r="HV25" s="319"/>
    </row>
    <row r="26" spans="1:230">
      <c r="A26" s="18">
        <v>6</v>
      </c>
      <c r="B26" s="19" t="s">
        <v>27</v>
      </c>
      <c r="C26" s="118"/>
      <c r="D26" s="151"/>
      <c r="E26" s="151">
        <f t="shared" si="122"/>
        <v>0</v>
      </c>
      <c r="F26" s="151">
        <f>E26/E2</f>
        <v>0</v>
      </c>
      <c r="G26" s="159">
        <f>+F26</f>
        <v>0</v>
      </c>
      <c r="H26" s="266">
        <f t="shared" si="123"/>
        <v>0</v>
      </c>
      <c r="I26" s="159">
        <f t="shared" si="124"/>
        <v>0</v>
      </c>
      <c r="J26" s="118"/>
      <c r="K26" s="151"/>
      <c r="L26" s="151">
        <f t="shared" si="125"/>
        <v>0</v>
      </c>
      <c r="M26" s="151">
        <f>L26/L2</f>
        <v>0</v>
      </c>
      <c r="N26" s="159">
        <f>+M26</f>
        <v>0</v>
      </c>
      <c r="O26" s="266">
        <f t="shared" si="126"/>
        <v>0</v>
      </c>
      <c r="P26" s="159">
        <f t="shared" si="127"/>
        <v>0</v>
      </c>
      <c r="Q26" s="118"/>
      <c r="R26" s="151"/>
      <c r="S26" s="151">
        <f t="shared" si="128"/>
        <v>0</v>
      </c>
      <c r="T26" s="151">
        <f>S26/S2</f>
        <v>0</v>
      </c>
      <c r="U26" s="159">
        <f>+T26</f>
        <v>0</v>
      </c>
      <c r="V26" s="266">
        <f t="shared" si="129"/>
        <v>0</v>
      </c>
      <c r="W26" s="159">
        <f t="shared" si="130"/>
        <v>0</v>
      </c>
      <c r="X26" s="118"/>
      <c r="Y26" s="151"/>
      <c r="Z26" s="151">
        <f t="shared" si="131"/>
        <v>0</v>
      </c>
      <c r="AA26" s="151">
        <f>Z26/Z2</f>
        <v>0</v>
      </c>
      <c r="AB26" s="159">
        <f>+AA26</f>
        <v>0</v>
      </c>
      <c r="AC26" s="266">
        <f t="shared" si="132"/>
        <v>0</v>
      </c>
      <c r="AD26" s="159">
        <f t="shared" si="133"/>
        <v>0</v>
      </c>
      <c r="AE26" s="118"/>
      <c r="AF26" s="151"/>
      <c r="AG26" s="151">
        <f t="shared" si="134"/>
        <v>0</v>
      </c>
      <c r="AH26" s="151">
        <f>AG26/AG2</f>
        <v>0</v>
      </c>
      <c r="AI26" s="96">
        <f>+AH26</f>
        <v>0</v>
      </c>
      <c r="AJ26" s="267">
        <f t="shared" si="135"/>
        <v>0</v>
      </c>
      <c r="AK26" s="96">
        <f t="shared" si="136"/>
        <v>0</v>
      </c>
      <c r="AL26" s="118"/>
      <c r="AM26" s="151"/>
      <c r="AN26" s="151">
        <f t="shared" si="137"/>
        <v>0</v>
      </c>
      <c r="AO26" s="151">
        <f>AN26/AN2</f>
        <v>0</v>
      </c>
      <c r="AP26" s="96">
        <f>+AO26</f>
        <v>0</v>
      </c>
      <c r="AQ26" s="267">
        <f t="shared" si="138"/>
        <v>0</v>
      </c>
      <c r="AR26" s="96">
        <f t="shared" si="139"/>
        <v>0</v>
      </c>
      <c r="AS26" s="118"/>
      <c r="AT26" s="287"/>
      <c r="AU26" s="287"/>
      <c r="AV26" s="288"/>
      <c r="AW26" s="96">
        <f>+AV26</f>
        <v>0</v>
      </c>
      <c r="AX26" s="267">
        <f t="shared" si="140"/>
        <v>0</v>
      </c>
      <c r="AY26" s="96">
        <f t="shared" si="141"/>
        <v>0</v>
      </c>
      <c r="AZ26" s="118"/>
      <c r="BA26" s="287"/>
      <c r="BB26" s="287"/>
      <c r="BC26" s="288"/>
      <c r="BD26" s="96">
        <f>+BC26</f>
        <v>0</v>
      </c>
      <c r="BE26" s="267">
        <f t="shared" si="142"/>
        <v>0</v>
      </c>
      <c r="BF26" s="96">
        <f t="shared" si="143"/>
        <v>0</v>
      </c>
      <c r="BG26" s="118"/>
      <c r="BH26" s="151"/>
      <c r="BI26" s="151">
        <f t="shared" si="144"/>
        <v>0</v>
      </c>
      <c r="BJ26" s="151">
        <f>BI26/BI2</f>
        <v>0</v>
      </c>
      <c r="BK26" s="210"/>
      <c r="BL26" s="210">
        <f>BK26*BL2</f>
        <v>0</v>
      </c>
      <c r="BM26" s="210">
        <f t="shared" si="145"/>
        <v>0</v>
      </c>
      <c r="BN26" s="118"/>
      <c r="BO26" s="151"/>
      <c r="BP26" s="151">
        <f t="shared" si="146"/>
        <v>0</v>
      </c>
      <c r="BQ26" s="151">
        <f>BP26/BP2</f>
        <v>0</v>
      </c>
      <c r="BR26" s="210"/>
      <c r="BS26" s="210">
        <f>BR26*BS2</f>
        <v>0</v>
      </c>
      <c r="BT26" s="210">
        <f t="shared" si="147"/>
        <v>0</v>
      </c>
      <c r="BU26" s="118"/>
      <c r="BV26" s="151"/>
      <c r="BW26" s="151">
        <f t="shared" si="148"/>
        <v>0</v>
      </c>
      <c r="BX26" s="151">
        <f>BW26/BW2</f>
        <v>0</v>
      </c>
      <c r="BY26" s="96">
        <f>+BX26</f>
        <v>0</v>
      </c>
      <c r="BZ26" s="96">
        <f t="shared" si="149"/>
        <v>0</v>
      </c>
      <c r="CA26" s="96">
        <f t="shared" si="150"/>
        <v>0</v>
      </c>
      <c r="CB26" s="118"/>
      <c r="CC26" s="151"/>
      <c r="CD26" s="151">
        <f t="shared" si="151"/>
        <v>0</v>
      </c>
      <c r="CE26" s="151">
        <f>CD26/CD2</f>
        <v>0</v>
      </c>
      <c r="CF26" s="96">
        <f>+CE26</f>
        <v>0</v>
      </c>
      <c r="CG26" s="267">
        <f t="shared" si="152"/>
        <v>0</v>
      </c>
      <c r="CH26" s="96">
        <f t="shared" si="153"/>
        <v>0</v>
      </c>
      <c r="CI26" s="118"/>
      <c r="CJ26" s="151"/>
      <c r="CK26" s="151">
        <f t="shared" si="154"/>
        <v>0</v>
      </c>
      <c r="CL26" s="151">
        <f>CK26/CK2</f>
        <v>0</v>
      </c>
      <c r="CM26" s="96">
        <f>+CL26</f>
        <v>0</v>
      </c>
      <c r="CN26" s="267">
        <f t="shared" si="155"/>
        <v>0</v>
      </c>
      <c r="CO26" s="96">
        <f t="shared" si="156"/>
        <v>0</v>
      </c>
      <c r="CP26" s="118"/>
      <c r="CQ26" s="151"/>
      <c r="CR26" s="151">
        <f t="shared" si="157"/>
        <v>0</v>
      </c>
      <c r="CS26" s="151">
        <f>CR26/CR2</f>
        <v>0</v>
      </c>
      <c r="CT26" s="96">
        <f>+CS26</f>
        <v>0</v>
      </c>
      <c r="CU26" s="267">
        <f t="shared" si="158"/>
        <v>0</v>
      </c>
      <c r="CV26" s="96">
        <f t="shared" si="159"/>
        <v>0</v>
      </c>
      <c r="CW26" s="118"/>
      <c r="CX26" s="151"/>
      <c r="CY26" s="151">
        <f t="shared" si="160"/>
        <v>0</v>
      </c>
      <c r="CZ26" s="151">
        <f>CY26/CY2</f>
        <v>0</v>
      </c>
      <c r="DA26" s="210"/>
      <c r="DB26" s="210">
        <f>DA26*DB2</f>
        <v>0</v>
      </c>
      <c r="DC26" s="210">
        <f t="shared" si="161"/>
        <v>0</v>
      </c>
      <c r="DD26" s="118"/>
      <c r="DE26" s="151">
        <v>118000</v>
      </c>
      <c r="DF26" s="151">
        <f t="shared" si="162"/>
        <v>100000</v>
      </c>
      <c r="DG26" s="151">
        <f>DF26/DF2</f>
        <v>102.14504596527068</v>
      </c>
      <c r="DH26" s="159">
        <f>+DG26</f>
        <v>102.14504596527068</v>
      </c>
      <c r="DI26" s="266">
        <f t="shared" si="163"/>
        <v>38800.976506639425</v>
      </c>
      <c r="DJ26" s="159">
        <f t="shared" si="164"/>
        <v>45785.152277834517</v>
      </c>
      <c r="DK26" s="118"/>
      <c r="DL26" s="151"/>
      <c r="DM26" s="151">
        <f t="shared" si="165"/>
        <v>0</v>
      </c>
      <c r="DN26" s="151">
        <f>DM26/DM2</f>
        <v>0</v>
      </c>
      <c r="DO26" s="96">
        <f>+DN26</f>
        <v>0</v>
      </c>
      <c r="DP26" s="267">
        <f t="shared" si="166"/>
        <v>0</v>
      </c>
      <c r="DQ26" s="96">
        <f t="shared" si="167"/>
        <v>0</v>
      </c>
      <c r="DR26" s="118"/>
      <c r="DS26" s="151"/>
      <c r="DT26" s="151">
        <f t="shared" si="168"/>
        <v>0</v>
      </c>
      <c r="DU26" s="133">
        <f t="shared" si="169"/>
        <v>0</v>
      </c>
      <c r="DV26" s="159">
        <f>+DU26</f>
        <v>0</v>
      </c>
      <c r="DW26" s="266">
        <f t="shared" si="170"/>
        <v>0</v>
      </c>
      <c r="DX26" s="159">
        <f t="shared" si="171"/>
        <v>0</v>
      </c>
      <c r="DY26" s="118"/>
      <c r="DZ26" s="151"/>
      <c r="EA26" s="151">
        <f t="shared" si="172"/>
        <v>0</v>
      </c>
      <c r="EB26" s="151">
        <f>EA26/EA2</f>
        <v>0</v>
      </c>
      <c r="EC26" s="96">
        <f>+EB26</f>
        <v>0</v>
      </c>
      <c r="ED26" s="267">
        <f t="shared" si="173"/>
        <v>0</v>
      </c>
      <c r="EE26" s="96">
        <f t="shared" si="174"/>
        <v>0</v>
      </c>
      <c r="EF26" s="118"/>
      <c r="EG26" s="151"/>
      <c r="EH26" s="151">
        <f t="shared" si="175"/>
        <v>0</v>
      </c>
      <c r="EI26" s="151">
        <f>EH26/EH2</f>
        <v>0</v>
      </c>
      <c r="EJ26" s="210"/>
      <c r="EK26" s="210">
        <f>EJ26*EK2</f>
        <v>0</v>
      </c>
      <c r="EL26" s="210">
        <f t="shared" si="176"/>
        <v>0</v>
      </c>
      <c r="EM26" s="118"/>
      <c r="EN26" s="151">
        <v>295000</v>
      </c>
      <c r="EO26" s="151">
        <f t="shared" si="177"/>
        <v>250000</v>
      </c>
      <c r="EP26" s="151">
        <f>EO26/EO2</f>
        <v>400.58966799128314</v>
      </c>
      <c r="EQ26" s="159">
        <f>+EP26</f>
        <v>400.58966799128314</v>
      </c>
      <c r="ER26" s="266">
        <f t="shared" si="178"/>
        <v>142272.69741058836</v>
      </c>
      <c r="ES26" s="159">
        <f t="shared" si="179"/>
        <v>167881.78294449425</v>
      </c>
      <c r="ET26" s="118"/>
      <c r="EU26" s="151"/>
      <c r="EV26" s="151">
        <f t="shared" si="180"/>
        <v>0</v>
      </c>
      <c r="EW26" s="151">
        <f>EV26/EV2</f>
        <v>0</v>
      </c>
      <c r="EX26" s="96">
        <f>+EW26</f>
        <v>0</v>
      </c>
      <c r="EY26" s="267">
        <f t="shared" si="181"/>
        <v>0</v>
      </c>
      <c r="EZ26" s="96">
        <f t="shared" si="182"/>
        <v>0</v>
      </c>
      <c r="FA26" s="118"/>
      <c r="FB26" s="151"/>
      <c r="FC26" s="151">
        <f t="shared" si="183"/>
        <v>0</v>
      </c>
      <c r="FD26" s="151">
        <f>FC26/FC2</f>
        <v>0</v>
      </c>
      <c r="FE26" s="96">
        <f>+FD26</f>
        <v>0</v>
      </c>
      <c r="FF26" s="267">
        <f t="shared" si="184"/>
        <v>0</v>
      </c>
      <c r="FG26" s="96">
        <f t="shared" si="185"/>
        <v>0</v>
      </c>
      <c r="FH26" s="118"/>
      <c r="FI26" s="287"/>
      <c r="FJ26" s="287"/>
      <c r="FK26" s="288"/>
      <c r="FL26" s="96">
        <f>+FK26</f>
        <v>0</v>
      </c>
      <c r="FM26" s="267">
        <f t="shared" si="186"/>
        <v>0</v>
      </c>
      <c r="FN26" s="139">
        <f t="shared" si="187"/>
        <v>0</v>
      </c>
      <c r="FO26" s="118"/>
      <c r="FP26" s="151"/>
      <c r="FQ26" s="151">
        <f t="shared" si="188"/>
        <v>0</v>
      </c>
      <c r="FR26" s="151">
        <f>FQ26/FQ2</f>
        <v>0</v>
      </c>
      <c r="FS26" s="96">
        <f t="shared" si="189"/>
        <v>0</v>
      </c>
      <c r="FT26" s="267">
        <f t="shared" si="190"/>
        <v>0</v>
      </c>
      <c r="FU26" s="96">
        <f t="shared" si="191"/>
        <v>0</v>
      </c>
      <c r="FV26" s="118"/>
      <c r="FW26" s="151"/>
      <c r="FX26" s="151">
        <f t="shared" si="192"/>
        <v>0</v>
      </c>
      <c r="FY26" s="151">
        <f>FX26/FX2</f>
        <v>0</v>
      </c>
      <c r="FZ26" s="96">
        <f>+FY26</f>
        <v>0</v>
      </c>
      <c r="GA26" s="267">
        <f t="shared" si="193"/>
        <v>0</v>
      </c>
      <c r="GB26" s="96">
        <f t="shared" si="194"/>
        <v>0</v>
      </c>
      <c r="GC26" s="118"/>
      <c r="GD26" s="151"/>
      <c r="GE26" s="151">
        <f t="shared" si="195"/>
        <v>0</v>
      </c>
      <c r="GF26" s="151">
        <f>GE26/GE2</f>
        <v>0</v>
      </c>
      <c r="GG26" s="159">
        <f>+GF26</f>
        <v>0</v>
      </c>
      <c r="GH26" s="266">
        <f t="shared" si="196"/>
        <v>0</v>
      </c>
      <c r="GI26" s="159">
        <f t="shared" si="197"/>
        <v>0</v>
      </c>
      <c r="GJ26" s="118"/>
      <c r="GK26" s="151"/>
      <c r="GL26" s="151"/>
      <c r="GM26" s="151"/>
      <c r="GN26" s="159">
        <f>+GM26</f>
        <v>0</v>
      </c>
      <c r="GO26" s="266">
        <f t="shared" si="198"/>
        <v>0</v>
      </c>
      <c r="GP26" s="159">
        <f t="shared" si="199"/>
        <v>0</v>
      </c>
      <c r="GQ26" s="118"/>
      <c r="GR26" s="151"/>
      <c r="GS26" s="151">
        <f t="shared" si="200"/>
        <v>0</v>
      </c>
      <c r="GT26" s="151">
        <f>GS26/GS2</f>
        <v>0</v>
      </c>
      <c r="GU26" s="96">
        <f>+GT26</f>
        <v>0</v>
      </c>
      <c r="GV26" s="267">
        <f t="shared" si="201"/>
        <v>0</v>
      </c>
      <c r="GW26" s="96">
        <f t="shared" si="202"/>
        <v>0</v>
      </c>
      <c r="GX26" s="118"/>
      <c r="GY26" s="151">
        <v>118000</v>
      </c>
      <c r="GZ26" s="151">
        <f t="shared" si="203"/>
        <v>100000</v>
      </c>
      <c r="HA26" s="151">
        <f>GZ26/GZ2</f>
        <v>102.14504596527068</v>
      </c>
      <c r="HB26" s="159">
        <f>+HA26</f>
        <v>102.14504596527068</v>
      </c>
      <c r="HC26" s="266">
        <f t="shared" si="204"/>
        <v>68992.951991828391</v>
      </c>
      <c r="HD26" s="159">
        <f t="shared" si="205"/>
        <v>81411.683350357504</v>
      </c>
      <c r="HE26" s="118"/>
      <c r="HF26" s="151"/>
      <c r="HG26" s="151">
        <f t="shared" si="206"/>
        <v>0</v>
      </c>
      <c r="HH26" s="151">
        <f>HG26/HG2</f>
        <v>0</v>
      </c>
      <c r="HI26" s="210"/>
      <c r="HJ26" s="210">
        <f>HI26*HJ2</f>
        <v>0</v>
      </c>
      <c r="HK26" s="210">
        <f t="shared" si="207"/>
        <v>0</v>
      </c>
      <c r="HL26" s="118"/>
      <c r="HM26" s="151"/>
      <c r="HN26" s="151">
        <f t="shared" si="208"/>
        <v>0</v>
      </c>
      <c r="HO26" s="151">
        <f>HN26/HN2</f>
        <v>0</v>
      </c>
      <c r="HP26" s="96">
        <f>+HO26</f>
        <v>0</v>
      </c>
      <c r="HQ26" s="267">
        <f t="shared" si="209"/>
        <v>0</v>
      </c>
      <c r="HR26" s="96">
        <f t="shared" si="210"/>
        <v>0</v>
      </c>
      <c r="HS26" s="118"/>
      <c r="HT26" s="318">
        <f t="shared" si="211"/>
        <v>250066.62590905617</v>
      </c>
      <c r="HU26" s="151">
        <f t="shared" si="212"/>
        <v>295078.61857268628</v>
      </c>
      <c r="HV26" s="319"/>
    </row>
    <row r="27" spans="1:230" s="26" customFormat="1" ht="15">
      <c r="A27" s="262"/>
      <c r="B27" s="23" t="s">
        <v>28</v>
      </c>
      <c r="C27" s="121"/>
      <c r="D27" s="154">
        <f>SUM(D21:D26)</f>
        <v>1138902.96</v>
      </c>
      <c r="E27" s="154">
        <f>SUM(E21:E26)</f>
        <v>965172</v>
      </c>
      <c r="F27" s="152"/>
      <c r="G27" s="77"/>
      <c r="H27" s="78">
        <f>SUM(H21:H26)</f>
        <v>1956034.0799999998</v>
      </c>
      <c r="I27" s="78">
        <f>SUM(I21:I26)</f>
        <v>2308120.2143999999</v>
      </c>
      <c r="J27" s="121"/>
      <c r="K27" s="154">
        <f>SUM(K21:K26)</f>
        <v>1138902.96</v>
      </c>
      <c r="L27" s="154">
        <f>SUM(L21:L26)</f>
        <v>965172</v>
      </c>
      <c r="M27" s="152"/>
      <c r="N27" s="77"/>
      <c r="O27" s="78">
        <f>SUM(O21:O26)</f>
        <v>6464565.6191999996</v>
      </c>
      <c r="P27" s="78">
        <f>SUM(P21:P26)</f>
        <v>7628187.4306559982</v>
      </c>
      <c r="Q27" s="121"/>
      <c r="R27" s="154">
        <f>SUM(R21:R26)</f>
        <v>861860</v>
      </c>
      <c r="S27" s="154">
        <f>SUM(S21:S26)</f>
        <v>730389.83050847461</v>
      </c>
      <c r="T27" s="152"/>
      <c r="U27" s="77"/>
      <c r="V27" s="78">
        <f>SUM(V21:V26)</f>
        <v>4148716.628658596</v>
      </c>
      <c r="W27" s="78">
        <f>SUM(W21:W26)</f>
        <v>4895485.6218171427</v>
      </c>
      <c r="X27" s="121"/>
      <c r="Y27" s="154">
        <f>SUM(Y21:Y26)</f>
        <v>861860</v>
      </c>
      <c r="Z27" s="154">
        <f>SUM(Z21:Z26)</f>
        <v>730389.83050847461</v>
      </c>
      <c r="AA27" s="152"/>
      <c r="AB27" s="77"/>
      <c r="AC27" s="78">
        <f>SUM(AC21:AC26)</f>
        <v>4148716.628658596</v>
      </c>
      <c r="AD27" s="78">
        <f>SUM(AD21:AD26)</f>
        <v>4895485.6218171427</v>
      </c>
      <c r="AE27" s="121"/>
      <c r="AF27" s="154">
        <f>SUM(AF21:AF26)</f>
        <v>1647049.13</v>
      </c>
      <c r="AG27" s="154">
        <f>SUM(AG21:AG26)</f>
        <v>1395804.3474576271</v>
      </c>
      <c r="AH27" s="152"/>
      <c r="AI27" s="99"/>
      <c r="AJ27" s="100">
        <f>SUM(AJ21:AJ26)</f>
        <v>16715729.434575057</v>
      </c>
      <c r="AK27" s="100">
        <f>SUM(AK21:AK26)</f>
        <v>19724560.732798569</v>
      </c>
      <c r="AL27" s="121"/>
      <c r="AM27" s="154">
        <f>SUM(AM21:AM26)</f>
        <v>10974000</v>
      </c>
      <c r="AN27" s="154">
        <f>SUM(AN21:AN26)</f>
        <v>9300000</v>
      </c>
      <c r="AO27" s="152"/>
      <c r="AP27" s="99"/>
      <c r="AQ27" s="100">
        <f>SUM(AQ21:AQ26)</f>
        <v>3991126.6858417909</v>
      </c>
      <c r="AR27" s="100">
        <f>SUM(AR21:AR26)</f>
        <v>4709529.4892933136</v>
      </c>
      <c r="AS27" s="121"/>
      <c r="AT27" s="290">
        <f>SUM(AT21:AT26)</f>
        <v>5345031.84</v>
      </c>
      <c r="AU27" s="290">
        <f>SUM(AU21:AU26)</f>
        <v>4529688</v>
      </c>
      <c r="AV27" s="289"/>
      <c r="AW27" s="99"/>
      <c r="AX27" s="100">
        <f>SUM(AX21:AX26)</f>
        <v>7814369.7124222452</v>
      </c>
      <c r="AY27" s="100">
        <f>SUM(AY21:AY26)</f>
        <v>9220956.2606582493</v>
      </c>
      <c r="AZ27" s="121"/>
      <c r="BA27" s="290"/>
      <c r="BB27" s="290"/>
      <c r="BC27" s="289"/>
      <c r="BD27" s="99"/>
      <c r="BE27" s="100">
        <f>SUM(BE21:BE26)</f>
        <v>12247063.919999998</v>
      </c>
      <c r="BF27" s="100">
        <f>SUM(BF21:BF26)</f>
        <v>14451535.425599998</v>
      </c>
      <c r="BG27" s="121"/>
      <c r="BH27" s="154">
        <f>SUM(BH21:BH26)</f>
        <v>4489750.1399999997</v>
      </c>
      <c r="BI27" s="154">
        <f>SUM(BI21:BI26)</f>
        <v>3804873</v>
      </c>
      <c r="BJ27" s="152"/>
      <c r="BK27" s="213"/>
      <c r="BL27" s="214">
        <f>SUM(BL21:BL26)</f>
        <v>479105.63999999996</v>
      </c>
      <c r="BM27" s="214">
        <f>SUM(BM21:BM26)</f>
        <v>565344.65519999992</v>
      </c>
      <c r="BN27" s="121"/>
      <c r="BO27" s="154">
        <f>SUM(BO21:BO26)</f>
        <v>4489750.1399999997</v>
      </c>
      <c r="BP27" s="154">
        <f>SUM(BP21:BP26)</f>
        <v>3804873</v>
      </c>
      <c r="BQ27" s="152"/>
      <c r="BR27" s="213"/>
      <c r="BS27" s="214">
        <f>SUM(BS21:BS26)</f>
        <v>542613.23999999987</v>
      </c>
      <c r="BT27" s="214">
        <f>SUM(BT21:BT26)</f>
        <v>640283.6231999998</v>
      </c>
      <c r="BU27" s="121"/>
      <c r="BV27" s="154">
        <f>SUM(BV21:BV26)</f>
        <v>18639172.139999997</v>
      </c>
      <c r="BW27" s="154">
        <f>SUM(BW21:BW26)</f>
        <v>15795908.593220338</v>
      </c>
      <c r="BX27" s="152"/>
      <c r="BY27" s="99"/>
      <c r="BZ27" s="100">
        <f>SUM(BZ21:BZ26)</f>
        <v>11223889.29255783</v>
      </c>
      <c r="CA27" s="100">
        <f>SUM(CA21:CA26)</f>
        <v>13244189.365218239</v>
      </c>
      <c r="CB27" s="121"/>
      <c r="CC27" s="154">
        <f>SUM(CC21:CC26)</f>
        <v>1647049.13</v>
      </c>
      <c r="CD27" s="154">
        <f>SUM(CD21:CD26)</f>
        <v>1395804.3474576271</v>
      </c>
      <c r="CE27" s="152"/>
      <c r="CF27" s="99"/>
      <c r="CG27" s="100">
        <f>SUM(CG21:CG26)</f>
        <v>3100397.8760200916</v>
      </c>
      <c r="CH27" s="100">
        <f>SUM(CH21:CH26)</f>
        <v>3658469.4937037081</v>
      </c>
      <c r="CI27" s="121"/>
      <c r="CJ27" s="154">
        <f>SUM(CJ21:CJ26)</f>
        <v>10974000</v>
      </c>
      <c r="CK27" s="154">
        <f>SUM(CK21:CK26)</f>
        <v>9300000</v>
      </c>
      <c r="CL27" s="152"/>
      <c r="CM27" s="99"/>
      <c r="CN27" s="100">
        <f>SUM(CN21:CN26)</f>
        <v>1682571.1656782222</v>
      </c>
      <c r="CO27" s="100">
        <f>SUM(CO21:CO26)</f>
        <v>1985433.9755003022</v>
      </c>
      <c r="CP27" s="121"/>
      <c r="CQ27" s="154">
        <f>SUM(CQ21:CQ26)</f>
        <v>10974000</v>
      </c>
      <c r="CR27" s="154">
        <f>SUM(CR21:CR26)</f>
        <v>9300000</v>
      </c>
      <c r="CS27" s="152"/>
      <c r="CT27" s="99"/>
      <c r="CU27" s="100">
        <f>SUM(CU21:CU26)</f>
        <v>1715401.3656782222</v>
      </c>
      <c r="CV27" s="100">
        <f>SUM(CV21:CV26)</f>
        <v>2024173.6115003021</v>
      </c>
      <c r="CW27" s="121"/>
      <c r="CX27" s="154">
        <f>SUM(CX21:CX26)</f>
        <v>4489750.1399999997</v>
      </c>
      <c r="CY27" s="154">
        <f>SUM(CY21:CY26)</f>
        <v>3804873</v>
      </c>
      <c r="CZ27" s="152"/>
      <c r="DA27" s="213"/>
      <c r="DB27" s="214">
        <f>SUM(DB21:DB26)</f>
        <v>320390.45999999996</v>
      </c>
      <c r="DC27" s="214">
        <f>SUM(DC21:DC26)</f>
        <v>378060.74279999995</v>
      </c>
      <c r="DD27" s="121"/>
      <c r="DE27" s="154">
        <f>SUM(DE21:DE26)</f>
        <v>1127395.5999999999</v>
      </c>
      <c r="DF27" s="154">
        <f>SUM(DF21:DF26)</f>
        <v>955420</v>
      </c>
      <c r="DG27" s="152"/>
      <c r="DH27" s="77"/>
      <c r="DI27" s="78">
        <f>SUM(DI21:DI26)</f>
        <v>446684.60173973441</v>
      </c>
      <c r="DJ27" s="78">
        <f>SUM(DJ21:DJ26)</f>
        <v>527087.83005288651</v>
      </c>
      <c r="DK27" s="121"/>
      <c r="DL27" s="154">
        <f>SUM(DL21:DL26)</f>
        <v>1647049.13</v>
      </c>
      <c r="DM27" s="154">
        <f>SUM(DM21:DM26)</f>
        <v>1395804.3474576271</v>
      </c>
      <c r="DN27" s="152"/>
      <c r="DO27" s="99"/>
      <c r="DP27" s="100">
        <f>SUM(DP21:DP26)</f>
        <v>6170336.9483223818</v>
      </c>
      <c r="DQ27" s="100">
        <f>SUM(DQ21:DQ26)</f>
        <v>7280997.5990204103</v>
      </c>
      <c r="DR27" s="121"/>
      <c r="DS27" s="154">
        <f>SUM(DS21:DS26)</f>
        <v>15780854.2752</v>
      </c>
      <c r="DT27" s="154">
        <f>SUM(DT21:DT26)</f>
        <v>14090048.459999999</v>
      </c>
      <c r="DU27" s="152"/>
      <c r="DV27" s="77"/>
      <c r="DW27" s="78">
        <f>SUM(DW21:DW26)</f>
        <v>4181693.7292695711</v>
      </c>
      <c r="DX27" s="78">
        <f>SUM(DX21:DX26)</f>
        <v>4934398.6005380936</v>
      </c>
      <c r="DY27" s="121"/>
      <c r="DZ27" s="154">
        <f>SUM(DZ21:DZ26)</f>
        <v>10974000</v>
      </c>
      <c r="EA27" s="154">
        <f>SUM(EA21:EA26)</f>
        <v>9300000</v>
      </c>
      <c r="EB27" s="152"/>
      <c r="EC27" s="99"/>
      <c r="ED27" s="100">
        <f>SUM(ED21:ED26)</f>
        <v>1820211.0036574735</v>
      </c>
      <c r="EE27" s="100">
        <f>SUM(EE21:EE26)</f>
        <v>2147848.9843158186</v>
      </c>
      <c r="EF27" s="121"/>
      <c r="EG27" s="154">
        <f>SUM(EG21:EG26)</f>
        <v>4489750.1399999997</v>
      </c>
      <c r="EH27" s="154">
        <f>SUM(EH21:EH26)</f>
        <v>3804873</v>
      </c>
      <c r="EI27" s="152"/>
      <c r="EJ27" s="213"/>
      <c r="EK27" s="214">
        <f>SUM(EK21:EK26)</f>
        <v>367644.42</v>
      </c>
      <c r="EL27" s="214">
        <f>SUM(EL21:EL26)</f>
        <v>433820.41559999995</v>
      </c>
      <c r="EM27" s="121"/>
      <c r="EN27" s="154">
        <f>SUM(EN21:EN26)</f>
        <v>3019733.28</v>
      </c>
      <c r="EO27" s="154">
        <f>SUM(EO21:EO26)</f>
        <v>2559096</v>
      </c>
      <c r="EP27" s="152"/>
      <c r="EQ27" s="77"/>
      <c r="ER27" s="78">
        <f>SUM(ER21:ER26)</f>
        <v>1527389.5994105879</v>
      </c>
      <c r="ES27" s="78">
        <f>SUM(ES21:ES26)</f>
        <v>1802319.7273044935</v>
      </c>
      <c r="ET27" s="121"/>
      <c r="EU27" s="154">
        <f>SUM(EU21:EU26)</f>
        <v>10974000</v>
      </c>
      <c r="EV27" s="154">
        <f>SUM(EV21:EV26)</f>
        <v>9300000</v>
      </c>
      <c r="EW27" s="152"/>
      <c r="EX27" s="99"/>
      <c r="EY27" s="100">
        <f>SUM(EY21:EY26)</f>
        <v>12301148.290800726</v>
      </c>
      <c r="EZ27" s="100">
        <f>SUM(EZ21:EZ26)</f>
        <v>14515354.983144855</v>
      </c>
      <c r="FA27" s="121"/>
      <c r="FB27" s="154">
        <f>SUM(FB21:FB26)</f>
        <v>18639172.139999997</v>
      </c>
      <c r="FC27" s="154">
        <f>SUM(FC21:FC26)</f>
        <v>15795908.593220338</v>
      </c>
      <c r="FD27" s="152"/>
      <c r="FE27" s="99"/>
      <c r="FF27" s="100">
        <f>SUM(FF21:FF26)</f>
        <v>18434117.141201753</v>
      </c>
      <c r="FG27" s="100">
        <f>SUM(FG21:FG26)</f>
        <v>21752258.22661807</v>
      </c>
      <c r="FH27" s="121"/>
      <c r="FI27" s="290">
        <f>SUM(FI21:FI26)</f>
        <v>5345031.84</v>
      </c>
      <c r="FJ27" s="290">
        <f>SUM(FJ21:FJ26)</f>
        <v>4529688</v>
      </c>
      <c r="FK27" s="289"/>
      <c r="FL27" s="99"/>
      <c r="FM27" s="100">
        <f>SUM(FM21:FM26)</f>
        <v>6180580.242352061</v>
      </c>
      <c r="FN27" s="100">
        <f>SUM(FN21:FN26)</f>
        <v>7293084.6859754324</v>
      </c>
      <c r="FO27" s="121"/>
      <c r="FP27" s="154">
        <f>SUM(FP21:FP26)</f>
        <v>875643</v>
      </c>
      <c r="FQ27" s="154">
        <f>SUM(FQ21:FQ26)</f>
        <v>742070.3389830509</v>
      </c>
      <c r="FR27" s="152"/>
      <c r="FS27" s="99"/>
      <c r="FT27" s="100">
        <f>SUM(FT21:FT26)</f>
        <v>7197667.0255738981</v>
      </c>
      <c r="FU27" s="100">
        <f>SUM(FU21:FU26)</f>
        <v>8493247.0901772007</v>
      </c>
      <c r="FV27" s="121"/>
      <c r="FW27" s="154">
        <f>SUM(FW21:FW26)</f>
        <v>1647049.13</v>
      </c>
      <c r="FX27" s="154">
        <f>SUM(FX21:FX26)</f>
        <v>1395804.3474576271</v>
      </c>
      <c r="FY27" s="152"/>
      <c r="FZ27" s="99"/>
      <c r="GA27" s="100">
        <f>SUM(GA21:GA26)</f>
        <v>1760079.8141098886</v>
      </c>
      <c r="GB27" s="100">
        <f>SUM(GB21:GB26)</f>
        <v>2076894.1806496684</v>
      </c>
      <c r="GC27" s="121"/>
      <c r="GD27" s="154">
        <f>SUM(GD21:GD26)</f>
        <v>999359</v>
      </c>
      <c r="GE27" s="154">
        <f>SUM(GE21:GE26)</f>
        <v>846914.40677966108</v>
      </c>
      <c r="GF27" s="152"/>
      <c r="GG27" s="77"/>
      <c r="GH27" s="78">
        <f>SUM(GH21:GH26)</f>
        <v>4540772.5105423722</v>
      </c>
      <c r="GI27" s="78">
        <f>SUM(GI21:GI26)</f>
        <v>5358111.5624399986</v>
      </c>
      <c r="GJ27" s="121"/>
      <c r="GK27" s="154">
        <f>SUM(GK21:GK26)</f>
        <v>1721104.5759999999</v>
      </c>
      <c r="GL27" s="154">
        <f>SUM(GL21:GL26)</f>
        <v>1458563.2</v>
      </c>
      <c r="GM27" s="152"/>
      <c r="GN27" s="77"/>
      <c r="GO27" s="78">
        <f>SUM(GO21:GO26)</f>
        <v>1715680.9020669144</v>
      </c>
      <c r="GP27" s="78">
        <f>SUM(GP21:GP26)</f>
        <v>2024503.4644389588</v>
      </c>
      <c r="GQ27" s="121"/>
      <c r="GR27" s="154">
        <f>SUM(GR21:GR26)</f>
        <v>1647049.13</v>
      </c>
      <c r="GS27" s="154">
        <f>SUM(GS21:GS26)</f>
        <v>1395804.3474576271</v>
      </c>
      <c r="GT27" s="152"/>
      <c r="GU27" s="99"/>
      <c r="GV27" s="100">
        <f>SUM(GV21:GV26)</f>
        <v>4144367.9149291525</v>
      </c>
      <c r="GW27" s="100">
        <f>SUM(GW21:GW26)</f>
        <v>4890354.1396163991</v>
      </c>
      <c r="GX27" s="121"/>
      <c r="GY27" s="154">
        <f>SUM(GY21:GY26)</f>
        <v>1127395.5999999999</v>
      </c>
      <c r="GZ27" s="154">
        <f>SUM(GZ21:GZ26)</f>
        <v>955420</v>
      </c>
      <c r="HA27" s="152"/>
      <c r="HB27" s="77"/>
      <c r="HC27" s="78">
        <f>SUM(HC21:HC26)</f>
        <v>760488.61192032683</v>
      </c>
      <c r="HD27" s="78">
        <f>SUM(HD21:HD26)</f>
        <v>897376.56206598552</v>
      </c>
      <c r="HE27" s="121"/>
      <c r="HF27" s="154">
        <f>SUM(HF21:HF26)</f>
        <v>4489750.1399999997</v>
      </c>
      <c r="HG27" s="154">
        <f>SUM(HG21:HG26)</f>
        <v>3804873</v>
      </c>
      <c r="HH27" s="152"/>
      <c r="HI27" s="213"/>
      <c r="HJ27" s="214">
        <f>SUM(HJ21:HJ26)</f>
        <v>492183.9</v>
      </c>
      <c r="HK27" s="214">
        <f>SUM(HK21:HK26)</f>
        <v>580777.00199999998</v>
      </c>
      <c r="HL27" s="121"/>
      <c r="HM27" s="154">
        <f>SUM(HM21:HM26)</f>
        <v>1647049.13</v>
      </c>
      <c r="HN27" s="154">
        <f>SUM(HN21:HN26)</f>
        <v>1395804.3474576271</v>
      </c>
      <c r="HO27" s="152"/>
      <c r="HP27" s="99"/>
      <c r="HQ27" s="100">
        <f>SUM(HQ21:HQ26)</f>
        <v>7468843.9918890242</v>
      </c>
      <c r="HR27" s="100">
        <f>SUM(HR21:HR26)</f>
        <v>8813235.9104290474</v>
      </c>
      <c r="HS27" s="122"/>
      <c r="HT27" s="321">
        <f t="shared" si="211"/>
        <v>156060582.39707652</v>
      </c>
      <c r="HU27" s="161">
        <f t="shared" si="212"/>
        <v>184151487.22855029</v>
      </c>
      <c r="HV27" s="320"/>
    </row>
    <row r="28" spans="1:230" ht="15">
      <c r="A28" s="18"/>
      <c r="B28" s="23"/>
      <c r="C28" s="122"/>
      <c r="D28" s="161"/>
      <c r="E28" s="161"/>
      <c r="F28" s="161"/>
      <c r="G28" s="106"/>
      <c r="H28" s="106"/>
      <c r="I28" s="106"/>
      <c r="J28" s="122"/>
      <c r="K28" s="161"/>
      <c r="L28" s="161"/>
      <c r="M28" s="161"/>
      <c r="N28" s="106"/>
      <c r="O28" s="106"/>
      <c r="P28" s="106"/>
      <c r="Q28" s="122"/>
      <c r="R28" s="161"/>
      <c r="S28" s="161"/>
      <c r="T28" s="161"/>
      <c r="U28" s="106"/>
      <c r="V28" s="106"/>
      <c r="W28" s="106"/>
      <c r="X28" s="122"/>
      <c r="Y28" s="161"/>
      <c r="Z28" s="161"/>
      <c r="AA28" s="161"/>
      <c r="AB28" s="106"/>
      <c r="AC28" s="106"/>
      <c r="AD28" s="106"/>
      <c r="AE28" s="122"/>
      <c r="AF28" s="161"/>
      <c r="AG28" s="149"/>
      <c r="AH28" s="161"/>
      <c r="AI28" s="107"/>
      <c r="AJ28" s="107"/>
      <c r="AK28" s="107"/>
      <c r="AL28" s="122"/>
      <c r="AM28" s="149"/>
      <c r="AN28" s="161"/>
      <c r="AO28" s="161"/>
      <c r="AP28" s="107"/>
      <c r="AQ28" s="107"/>
      <c r="AR28" s="107"/>
      <c r="AS28" s="122"/>
      <c r="AT28" s="289"/>
      <c r="AU28" s="289"/>
      <c r="AV28" s="289"/>
      <c r="AW28" s="107"/>
      <c r="AX28" s="107"/>
      <c r="AY28" s="107"/>
      <c r="AZ28" s="122"/>
      <c r="BA28" s="289"/>
      <c r="BB28" s="289"/>
      <c r="BC28" s="289"/>
      <c r="BD28" s="107"/>
      <c r="BE28" s="107"/>
      <c r="BF28" s="107"/>
      <c r="BG28" s="122"/>
      <c r="BH28" s="161"/>
      <c r="BI28" s="161"/>
      <c r="BJ28" s="161"/>
      <c r="BK28" s="215"/>
      <c r="BL28" s="215"/>
      <c r="BM28" s="215"/>
      <c r="BN28" s="122"/>
      <c r="BO28" s="161"/>
      <c r="BP28" s="161"/>
      <c r="BQ28" s="161"/>
      <c r="BR28" s="215"/>
      <c r="BS28" s="215"/>
      <c r="BT28" s="215"/>
      <c r="BU28" s="122"/>
      <c r="BV28" s="149"/>
      <c r="BW28" s="161"/>
      <c r="BX28" s="161"/>
      <c r="BY28" s="107"/>
      <c r="BZ28" s="107"/>
      <c r="CA28" s="107"/>
      <c r="CB28" s="122"/>
      <c r="CC28" s="161"/>
      <c r="CD28" s="149"/>
      <c r="CE28" s="161"/>
      <c r="CF28" s="107"/>
      <c r="CG28" s="107"/>
      <c r="CH28" s="107"/>
      <c r="CI28" s="122"/>
      <c r="CJ28" s="149"/>
      <c r="CK28" s="161"/>
      <c r="CL28" s="161"/>
      <c r="CM28" s="107"/>
      <c r="CN28" s="107"/>
      <c r="CO28" s="107"/>
      <c r="CP28" s="122"/>
      <c r="CQ28" s="149"/>
      <c r="CR28" s="161"/>
      <c r="CS28" s="161"/>
      <c r="CT28" s="107"/>
      <c r="CU28" s="107"/>
      <c r="CV28" s="107"/>
      <c r="CW28" s="122"/>
      <c r="CX28" s="161"/>
      <c r="CY28" s="161"/>
      <c r="CZ28" s="161"/>
      <c r="DA28" s="215"/>
      <c r="DB28" s="215"/>
      <c r="DC28" s="215"/>
      <c r="DD28" s="122"/>
      <c r="DE28" s="161"/>
      <c r="DF28" s="161"/>
      <c r="DG28" s="161"/>
      <c r="DH28" s="106"/>
      <c r="DI28" s="106"/>
      <c r="DJ28" s="106"/>
      <c r="DK28" s="122"/>
      <c r="DL28" s="161"/>
      <c r="DM28" s="149"/>
      <c r="DN28" s="161"/>
      <c r="DO28" s="107"/>
      <c r="DP28" s="107"/>
      <c r="DQ28" s="107"/>
      <c r="DR28" s="122"/>
      <c r="DS28" s="161"/>
      <c r="DT28" s="161"/>
      <c r="DU28" s="161"/>
      <c r="DV28" s="106"/>
      <c r="DW28" s="106"/>
      <c r="DX28" s="106"/>
      <c r="DY28" s="122"/>
      <c r="DZ28" s="149"/>
      <c r="EA28" s="161"/>
      <c r="EB28" s="161"/>
      <c r="EC28" s="107"/>
      <c r="ED28" s="107"/>
      <c r="EE28" s="107"/>
      <c r="EF28" s="122"/>
      <c r="EG28" s="161"/>
      <c r="EH28" s="161"/>
      <c r="EI28" s="161"/>
      <c r="EJ28" s="215"/>
      <c r="EK28" s="215"/>
      <c r="EL28" s="215"/>
      <c r="EM28" s="122"/>
      <c r="EN28" s="161"/>
      <c r="EO28" s="161"/>
      <c r="EP28" s="161"/>
      <c r="EQ28" s="106"/>
      <c r="ER28" s="106"/>
      <c r="ES28" s="106"/>
      <c r="ET28" s="122"/>
      <c r="EU28" s="149"/>
      <c r="EV28" s="161"/>
      <c r="EW28" s="161"/>
      <c r="EX28" s="107"/>
      <c r="EY28" s="107"/>
      <c r="EZ28" s="107"/>
      <c r="FA28" s="122"/>
      <c r="FB28" s="149"/>
      <c r="FC28" s="161"/>
      <c r="FD28" s="161"/>
      <c r="FE28" s="107"/>
      <c r="FF28" s="107"/>
      <c r="FG28" s="107"/>
      <c r="FH28" s="122"/>
      <c r="FI28" s="289"/>
      <c r="FJ28" s="289"/>
      <c r="FK28" s="289"/>
      <c r="FL28" s="107"/>
      <c r="FM28" s="107"/>
      <c r="FN28" s="107"/>
      <c r="FO28" s="122"/>
      <c r="FP28" s="161"/>
      <c r="FQ28" s="161"/>
      <c r="FR28" s="161"/>
      <c r="FS28" s="107"/>
      <c r="FT28" s="107"/>
      <c r="FU28" s="107"/>
      <c r="FV28" s="122"/>
      <c r="FW28" s="161"/>
      <c r="FX28" s="149"/>
      <c r="FY28" s="161"/>
      <c r="FZ28" s="107"/>
      <c r="GA28" s="107"/>
      <c r="GB28" s="107"/>
      <c r="GC28" s="122"/>
      <c r="GD28" s="161"/>
      <c r="GE28" s="161"/>
      <c r="GF28" s="161"/>
      <c r="GG28" s="106"/>
      <c r="GH28" s="106"/>
      <c r="GI28" s="106"/>
      <c r="GJ28" s="122"/>
      <c r="GK28" s="161"/>
      <c r="GL28" s="161"/>
      <c r="GM28" s="161"/>
      <c r="GN28" s="106"/>
      <c r="GO28" s="106"/>
      <c r="GP28" s="106"/>
      <c r="GQ28" s="122"/>
      <c r="GR28" s="161"/>
      <c r="GS28" s="149"/>
      <c r="GT28" s="161"/>
      <c r="GU28" s="107"/>
      <c r="GV28" s="107"/>
      <c r="GW28" s="107"/>
      <c r="GX28" s="122"/>
      <c r="GY28" s="161"/>
      <c r="GZ28" s="161"/>
      <c r="HA28" s="161"/>
      <c r="HB28" s="106"/>
      <c r="HC28" s="106"/>
      <c r="HD28" s="106"/>
      <c r="HE28" s="122"/>
      <c r="HF28" s="161"/>
      <c r="HG28" s="161"/>
      <c r="HH28" s="161"/>
      <c r="HI28" s="215"/>
      <c r="HJ28" s="215"/>
      <c r="HK28" s="215"/>
      <c r="HL28" s="122"/>
      <c r="HM28" s="161"/>
      <c r="HN28" s="149"/>
      <c r="HO28" s="161"/>
      <c r="HP28" s="107"/>
      <c r="HQ28" s="107"/>
      <c r="HR28" s="107"/>
      <c r="HS28" s="122"/>
      <c r="HT28" s="321"/>
      <c r="HU28" s="161"/>
      <c r="HV28" s="320"/>
    </row>
    <row r="29" spans="1:230" ht="15">
      <c r="A29" s="13" t="s">
        <v>29</v>
      </c>
      <c r="B29" s="14" t="s">
        <v>30</v>
      </c>
      <c r="C29" s="120"/>
      <c r="D29" s="150"/>
      <c r="E29" s="150"/>
      <c r="F29" s="153"/>
      <c r="G29" s="27"/>
      <c r="H29" s="153"/>
      <c r="I29" s="27"/>
      <c r="J29" s="120"/>
      <c r="K29" s="150"/>
      <c r="L29" s="150"/>
      <c r="M29" s="153"/>
      <c r="N29" s="27"/>
      <c r="O29" s="153"/>
      <c r="P29" s="27"/>
      <c r="Q29" s="120"/>
      <c r="R29" s="150"/>
      <c r="S29" s="150"/>
      <c r="T29" s="153"/>
      <c r="U29" s="27"/>
      <c r="V29" s="153"/>
      <c r="W29" s="27"/>
      <c r="X29" s="120"/>
      <c r="Y29" s="150"/>
      <c r="Z29" s="150"/>
      <c r="AA29" s="153"/>
      <c r="AB29" s="27"/>
      <c r="AC29" s="153"/>
      <c r="AD29" s="27"/>
      <c r="AE29" s="120"/>
      <c r="AF29" s="150"/>
      <c r="AG29" s="150"/>
      <c r="AH29" s="153"/>
      <c r="AI29" s="27"/>
      <c r="AJ29" s="153"/>
      <c r="AK29" s="27"/>
      <c r="AL29" s="120"/>
      <c r="AM29" s="150"/>
      <c r="AN29" s="150"/>
      <c r="AO29" s="153"/>
      <c r="AP29" s="27"/>
      <c r="AQ29" s="153"/>
      <c r="AR29" s="27"/>
      <c r="AS29" s="120"/>
      <c r="AT29" s="286"/>
      <c r="AU29" s="286"/>
      <c r="AV29" s="286"/>
      <c r="AW29" s="27"/>
      <c r="AX29" s="153"/>
      <c r="AY29" s="27"/>
      <c r="AZ29" s="120"/>
      <c r="BA29" s="286"/>
      <c r="BB29" s="286"/>
      <c r="BC29" s="286"/>
      <c r="BD29" s="27"/>
      <c r="BE29" s="153"/>
      <c r="BF29" s="27"/>
      <c r="BG29" s="120"/>
      <c r="BH29" s="150"/>
      <c r="BI29" s="150"/>
      <c r="BJ29" s="153"/>
      <c r="BK29" s="27"/>
      <c r="BL29" s="153"/>
      <c r="BM29" s="27"/>
      <c r="BN29" s="120"/>
      <c r="BO29" s="150"/>
      <c r="BP29" s="150"/>
      <c r="BQ29" s="153"/>
      <c r="BR29" s="27"/>
      <c r="BS29" s="153"/>
      <c r="BT29" s="27"/>
      <c r="BU29" s="120"/>
      <c r="BV29" s="150"/>
      <c r="BW29" s="150"/>
      <c r="BX29" s="153"/>
      <c r="BY29" s="27"/>
      <c r="BZ29" s="153"/>
      <c r="CA29" s="27"/>
      <c r="CB29" s="120"/>
      <c r="CC29" s="150"/>
      <c r="CD29" s="150"/>
      <c r="CE29" s="153"/>
      <c r="CF29" s="27"/>
      <c r="CG29" s="153"/>
      <c r="CH29" s="27"/>
      <c r="CI29" s="120"/>
      <c r="CJ29" s="150"/>
      <c r="CK29" s="150"/>
      <c r="CL29" s="153"/>
      <c r="CM29" s="27"/>
      <c r="CN29" s="153"/>
      <c r="CO29" s="27"/>
      <c r="CP29" s="120"/>
      <c r="CQ29" s="150"/>
      <c r="CR29" s="150"/>
      <c r="CS29" s="153"/>
      <c r="CT29" s="27"/>
      <c r="CU29" s="153"/>
      <c r="CV29" s="27"/>
      <c r="CW29" s="120"/>
      <c r="CX29" s="150"/>
      <c r="CY29" s="150"/>
      <c r="CZ29" s="153"/>
      <c r="DA29" s="27"/>
      <c r="DB29" s="153"/>
      <c r="DC29" s="27"/>
      <c r="DD29" s="120"/>
      <c r="DE29" s="150"/>
      <c r="DF29" s="150"/>
      <c r="DG29" s="153"/>
      <c r="DH29" s="27"/>
      <c r="DI29" s="153"/>
      <c r="DJ29" s="27"/>
      <c r="DK29" s="120"/>
      <c r="DL29" s="150"/>
      <c r="DM29" s="150"/>
      <c r="DN29" s="153"/>
      <c r="DO29" s="27"/>
      <c r="DP29" s="153"/>
      <c r="DQ29" s="27"/>
      <c r="DR29" s="120"/>
      <c r="DS29" s="150"/>
      <c r="DT29" s="150"/>
      <c r="DU29" s="150"/>
      <c r="DV29" s="27"/>
      <c r="DW29" s="153"/>
      <c r="DX29" s="27"/>
      <c r="DY29" s="120"/>
      <c r="DZ29" s="150"/>
      <c r="EA29" s="150"/>
      <c r="EB29" s="153"/>
      <c r="EC29" s="27"/>
      <c r="ED29" s="153"/>
      <c r="EE29" s="27"/>
      <c r="EF29" s="120"/>
      <c r="EG29" s="150"/>
      <c r="EH29" s="150"/>
      <c r="EI29" s="153"/>
      <c r="EJ29" s="27"/>
      <c r="EK29" s="153"/>
      <c r="EL29" s="27"/>
      <c r="EM29" s="120"/>
      <c r="EN29" s="150"/>
      <c r="EO29" s="150"/>
      <c r="EP29" s="153"/>
      <c r="EQ29" s="27"/>
      <c r="ER29" s="153"/>
      <c r="ES29" s="27"/>
      <c r="ET29" s="120"/>
      <c r="EU29" s="150"/>
      <c r="EV29" s="150"/>
      <c r="EW29" s="153"/>
      <c r="EX29" s="27"/>
      <c r="EY29" s="153"/>
      <c r="EZ29" s="27"/>
      <c r="FA29" s="120"/>
      <c r="FB29" s="150"/>
      <c r="FC29" s="150"/>
      <c r="FD29" s="153"/>
      <c r="FE29" s="27"/>
      <c r="FF29" s="153"/>
      <c r="FG29" s="27"/>
      <c r="FH29" s="120"/>
      <c r="FI29" s="286"/>
      <c r="FJ29" s="286"/>
      <c r="FK29" s="286"/>
      <c r="FL29" s="27"/>
      <c r="FM29" s="153"/>
      <c r="FN29" s="27"/>
      <c r="FO29" s="120"/>
      <c r="FP29" s="150"/>
      <c r="FQ29" s="150"/>
      <c r="FR29" s="153"/>
      <c r="FS29" s="27"/>
      <c r="FT29" s="153"/>
      <c r="FU29" s="27"/>
      <c r="FV29" s="120"/>
      <c r="FW29" s="150"/>
      <c r="FX29" s="150"/>
      <c r="FY29" s="153"/>
      <c r="FZ29" s="27"/>
      <c r="GA29" s="153"/>
      <c r="GB29" s="27"/>
      <c r="GC29" s="120"/>
      <c r="GD29" s="150"/>
      <c r="GE29" s="150"/>
      <c r="GF29" s="153"/>
      <c r="GG29" s="27"/>
      <c r="GH29" s="153"/>
      <c r="GI29" s="27"/>
      <c r="GJ29" s="120"/>
      <c r="GK29" s="150"/>
      <c r="GL29" s="150"/>
      <c r="GM29" s="150"/>
      <c r="GN29" s="27"/>
      <c r="GO29" s="153"/>
      <c r="GP29" s="27"/>
      <c r="GQ29" s="120"/>
      <c r="GR29" s="150"/>
      <c r="GS29" s="150"/>
      <c r="GT29" s="153"/>
      <c r="GU29" s="27"/>
      <c r="GV29" s="153"/>
      <c r="GW29" s="27"/>
      <c r="GX29" s="120"/>
      <c r="GY29" s="150"/>
      <c r="GZ29" s="150"/>
      <c r="HA29" s="153"/>
      <c r="HB29" s="27"/>
      <c r="HC29" s="153"/>
      <c r="HD29" s="27"/>
      <c r="HE29" s="120"/>
      <c r="HF29" s="150"/>
      <c r="HG29" s="150"/>
      <c r="HH29" s="153"/>
      <c r="HI29" s="27"/>
      <c r="HJ29" s="153"/>
      <c r="HK29" s="27"/>
      <c r="HL29" s="120"/>
      <c r="HM29" s="150"/>
      <c r="HN29" s="150"/>
      <c r="HO29" s="153"/>
      <c r="HP29" s="27"/>
      <c r="HQ29" s="153"/>
      <c r="HR29" s="27"/>
      <c r="HS29" s="120"/>
      <c r="HT29" s="323"/>
      <c r="HU29" s="153"/>
      <c r="HV29" s="41"/>
    </row>
    <row r="30" spans="1:230">
      <c r="A30" s="18">
        <v>1</v>
      </c>
      <c r="B30" s="19" t="s">
        <v>31</v>
      </c>
      <c r="C30" s="118"/>
      <c r="D30" s="151">
        <v>0</v>
      </c>
      <c r="E30" s="151">
        <f t="shared" ref="E30:E40" si="213">D30/118%</f>
        <v>0</v>
      </c>
      <c r="F30" s="151">
        <f>E30/E2</f>
        <v>0</v>
      </c>
      <c r="G30" s="159"/>
      <c r="H30" s="266">
        <f t="shared" ref="H30:H42" si="214">G30*$H$2</f>
        <v>0</v>
      </c>
      <c r="I30" s="159">
        <f t="shared" ref="I30:I42" si="215">H30*118%</f>
        <v>0</v>
      </c>
      <c r="J30" s="118"/>
      <c r="K30" s="151">
        <v>0</v>
      </c>
      <c r="L30" s="151">
        <f t="shared" ref="L30:L40" si="216">K30/118%</f>
        <v>0</v>
      </c>
      <c r="M30" s="151">
        <f>L30/L2</f>
        <v>0</v>
      </c>
      <c r="N30" s="159"/>
      <c r="O30" s="266">
        <f t="shared" ref="O30:O42" si="217">N30*$O$2</f>
        <v>0</v>
      </c>
      <c r="P30" s="159">
        <f t="shared" ref="P30:P42" si="218">O30*118%</f>
        <v>0</v>
      </c>
      <c r="Q30" s="118"/>
      <c r="R30" s="151"/>
      <c r="S30" s="151">
        <f t="shared" ref="S30:S39" si="219">R30/118%</f>
        <v>0</v>
      </c>
      <c r="T30" s="151">
        <f>S30/S2</f>
        <v>0</v>
      </c>
      <c r="U30" s="159"/>
      <c r="V30" s="266">
        <f t="shared" ref="V30:V42" si="220">U30*$V$2</f>
        <v>0</v>
      </c>
      <c r="W30" s="159">
        <f t="shared" ref="W30:W42" si="221">V30*118%</f>
        <v>0</v>
      </c>
      <c r="X30" s="118"/>
      <c r="Y30" s="151"/>
      <c r="Z30" s="151">
        <f t="shared" ref="Z30:Z39" si="222">Y30/118%</f>
        <v>0</v>
      </c>
      <c r="AA30" s="151">
        <f>Z30/Z2</f>
        <v>0</v>
      </c>
      <c r="AB30" s="159"/>
      <c r="AC30" s="266">
        <f t="shared" ref="AC30:AC42" si="223">AB30*$AC$2</f>
        <v>0</v>
      </c>
      <c r="AD30" s="159">
        <f t="shared" ref="AD30:AD42" si="224">AC30*118%</f>
        <v>0</v>
      </c>
      <c r="AE30" s="118"/>
      <c r="AF30" s="151"/>
      <c r="AG30" s="151">
        <f t="shared" ref="AG30:AG39" si="225">AF30/118%</f>
        <v>0</v>
      </c>
      <c r="AH30" s="151">
        <f>AG30/AG2</f>
        <v>0</v>
      </c>
      <c r="AI30" s="96">
        <f t="shared" ref="AI30:AI41" si="226">+AH30</f>
        <v>0</v>
      </c>
      <c r="AJ30" s="267">
        <f t="shared" ref="AJ30:AJ42" si="227">AI30*$AJ$2</f>
        <v>0</v>
      </c>
      <c r="AK30" s="96">
        <f t="shared" ref="AK30:AK42" si="228">AJ30*118%</f>
        <v>0</v>
      </c>
      <c r="AL30" s="118"/>
      <c r="AM30" s="151">
        <v>413000</v>
      </c>
      <c r="AN30" s="151">
        <f t="shared" ref="AN30:AN39" si="229">AM30/118%</f>
        <v>350000</v>
      </c>
      <c r="AO30" s="151">
        <f>AN30/AN2</f>
        <v>189.11558744704763</v>
      </c>
      <c r="AP30" s="96">
        <f t="shared" ref="AP30:AP41" si="230">+AO30</f>
        <v>189.11558744704763</v>
      </c>
      <c r="AQ30" s="267">
        <f t="shared" ref="AQ30:AQ42" si="231">AP30*$AQ$2</f>
        <v>141741.62596178782</v>
      </c>
      <c r="AR30" s="96">
        <f t="shared" ref="AR30:AR42" si="232">AQ30*118%</f>
        <v>167255.11863490962</v>
      </c>
      <c r="AS30" s="118"/>
      <c r="AT30" s="287">
        <v>346241.73599999998</v>
      </c>
      <c r="AU30" s="287">
        <f t="shared" ref="AU30:AU41" si="233">AT30/118%</f>
        <v>293425.2</v>
      </c>
      <c r="AV30" s="288">
        <f t="shared" ref="AV30:AV41" si="234">AU30/AU$2</f>
        <v>270</v>
      </c>
      <c r="AW30" s="96">
        <f t="shared" ref="AW30:AW41" si="235">+AV30</f>
        <v>270</v>
      </c>
      <c r="AX30" s="267">
        <f t="shared" ref="AX30:AX42" si="236">AW30*$AX$2</f>
        <v>483023.73599999992</v>
      </c>
      <c r="AY30" s="96">
        <f t="shared" ref="AY30:AY42" si="237">AX30*118%</f>
        <v>569968.00847999984</v>
      </c>
      <c r="AZ30" s="118"/>
      <c r="BA30" s="287"/>
      <c r="BB30" s="287"/>
      <c r="BC30" s="288"/>
      <c r="BD30" s="96">
        <f>+BC30</f>
        <v>0</v>
      </c>
      <c r="BE30" s="267">
        <f t="shared" ref="BE30:BE42" si="238">BD30*$BE$2</f>
        <v>0</v>
      </c>
      <c r="BF30" s="96">
        <f t="shared" ref="BF30:BF42" si="239">BE30*118%</f>
        <v>0</v>
      </c>
      <c r="BG30" s="118"/>
      <c r="BH30" s="151"/>
      <c r="BI30" s="151">
        <f t="shared" ref="BI30:BI39" si="240">BH30/118%</f>
        <v>0</v>
      </c>
      <c r="BJ30" s="151">
        <f>BI30/BI2</f>
        <v>0</v>
      </c>
      <c r="BK30" s="210"/>
      <c r="BL30" s="210">
        <f>BK30*BL2</f>
        <v>0</v>
      </c>
      <c r="BM30" s="210">
        <f t="shared" ref="BM30:BM42" si="241">BL30*118%</f>
        <v>0</v>
      </c>
      <c r="BN30" s="118"/>
      <c r="BO30" s="151"/>
      <c r="BP30" s="151">
        <f t="shared" ref="BP30:BP39" si="242">BO30/118%</f>
        <v>0</v>
      </c>
      <c r="BQ30" s="151">
        <f>BP30/BP2</f>
        <v>0</v>
      </c>
      <c r="BR30" s="210"/>
      <c r="BS30" s="210">
        <f>BR30*BS2</f>
        <v>0</v>
      </c>
      <c r="BT30" s="210">
        <f t="shared" ref="BT30:BT42" si="243">BS30*118%</f>
        <v>0</v>
      </c>
      <c r="BU30" s="118"/>
      <c r="BV30" s="151">
        <v>360592</v>
      </c>
      <c r="BW30" s="151">
        <f t="shared" ref="BW30:BW39" si="244">BV30/118%</f>
        <v>305586.44067796611</v>
      </c>
      <c r="BX30" s="151">
        <f>BW30/BW2</f>
        <v>67.908097928436916</v>
      </c>
      <c r="BY30" s="96">
        <f t="shared" ref="BY30:BY41" si="245">+BX30</f>
        <v>67.908097928436916</v>
      </c>
      <c r="BZ30" s="96">
        <f t="shared" ref="BZ30:BZ42" si="246">BY30*$BZ$2</f>
        <v>217095.9415322034</v>
      </c>
      <c r="CA30" s="96">
        <f t="shared" ref="CA30:CA42" si="247">BZ30*118%</f>
        <v>256173.21100800001</v>
      </c>
      <c r="CB30" s="118"/>
      <c r="CC30" s="151"/>
      <c r="CD30" s="151">
        <f t="shared" ref="CD30:CD39" si="248">CC30/118%</f>
        <v>0</v>
      </c>
      <c r="CE30" s="151">
        <f>CD30/CD2</f>
        <v>0</v>
      </c>
      <c r="CF30" s="96">
        <f t="shared" ref="CF30:CF41" si="249">+CE30</f>
        <v>0</v>
      </c>
      <c r="CG30" s="267">
        <f t="shared" ref="CG30:CG42" si="250">CF30*$CG$2</f>
        <v>0</v>
      </c>
      <c r="CH30" s="96">
        <f t="shared" ref="CH30:CH42" si="251">CG30*118%</f>
        <v>0</v>
      </c>
      <c r="CI30" s="118"/>
      <c r="CJ30" s="151">
        <v>413000</v>
      </c>
      <c r="CK30" s="151">
        <f t="shared" ref="CK30:CK39" si="252">CJ30/118%</f>
        <v>350000</v>
      </c>
      <c r="CL30" s="151">
        <f>CK30/CK2</f>
        <v>189.11558744704763</v>
      </c>
      <c r="CM30" s="96">
        <f>+CL30*0</f>
        <v>0</v>
      </c>
      <c r="CN30" s="267">
        <f t="shared" ref="CN30:CN42" si="253">CM30*CN$2</f>
        <v>0</v>
      </c>
      <c r="CO30" s="96">
        <f t="shared" ref="CO30:CO42" si="254">CN30*118%</f>
        <v>0</v>
      </c>
      <c r="CP30" s="118"/>
      <c r="CQ30" s="151">
        <v>413000</v>
      </c>
      <c r="CR30" s="151">
        <f t="shared" ref="CR30:CR39" si="255">CQ30/118%</f>
        <v>350000</v>
      </c>
      <c r="CS30" s="151">
        <f>CR30/CR2</f>
        <v>189.11558744704763</v>
      </c>
      <c r="CT30" s="96">
        <f>+CS30*0</f>
        <v>0</v>
      </c>
      <c r="CU30" s="267">
        <f t="shared" ref="CU30:CU42" si="256">CT30*CU$2</f>
        <v>0</v>
      </c>
      <c r="CV30" s="96">
        <f t="shared" ref="CV30:CV42" si="257">CU30*118%</f>
        <v>0</v>
      </c>
      <c r="CW30" s="118"/>
      <c r="CX30" s="151"/>
      <c r="CY30" s="151">
        <f t="shared" ref="CY30:CY39" si="258">CX30/118%</f>
        <v>0</v>
      </c>
      <c r="CZ30" s="151">
        <f>CY30/CY2</f>
        <v>0</v>
      </c>
      <c r="DA30" s="210"/>
      <c r="DB30" s="210">
        <f>DA30*DB2</f>
        <v>0</v>
      </c>
      <c r="DC30" s="210">
        <f t="shared" ref="DC30:DC42" si="259">DB30*118%</f>
        <v>0</v>
      </c>
      <c r="DD30" s="118"/>
      <c r="DE30" s="151">
        <v>271521.06799999997</v>
      </c>
      <c r="DF30" s="151">
        <f t="shared" ref="DF30:DF40" si="260">DE30/118%</f>
        <v>230102.59999999998</v>
      </c>
      <c r="DG30" s="151">
        <f>DF30/DF2</f>
        <v>235.03840653728292</v>
      </c>
      <c r="DH30" s="159"/>
      <c r="DI30" s="266">
        <f t="shared" ref="DI30:DI42" si="261">DH30*$DI$2</f>
        <v>0</v>
      </c>
      <c r="DJ30" s="159">
        <f t="shared" ref="DJ30:DJ42" si="262">DI30*118%</f>
        <v>0</v>
      </c>
      <c r="DK30" s="118"/>
      <c r="DL30" s="151"/>
      <c r="DM30" s="151">
        <f t="shared" ref="DM30:DM39" si="263">DL30/118%</f>
        <v>0</v>
      </c>
      <c r="DN30" s="151">
        <f>DM30/DM2</f>
        <v>0</v>
      </c>
      <c r="DO30" s="96">
        <f t="shared" ref="DO30:DO41" si="264">+DN30</f>
        <v>0</v>
      </c>
      <c r="DP30" s="267">
        <f t="shared" ref="DP30:DP42" si="265">DO30*$DP$2</f>
        <v>0</v>
      </c>
      <c r="DQ30" s="96">
        <f t="shared" ref="DQ30:DQ42" si="266">DP30*118%</f>
        <v>0</v>
      </c>
      <c r="DR30" s="118"/>
      <c r="DS30" s="151">
        <v>196000.00000000003</v>
      </c>
      <c r="DT30" s="151">
        <f t="shared" ref="DT30:DT42" si="267">DS30/112%</f>
        <v>175000</v>
      </c>
      <c r="DU30" s="133">
        <f t="shared" ref="DU30:DU42" si="268">DT30/$DS$2</f>
        <v>66.383430695698365</v>
      </c>
      <c r="DV30" s="159">
        <f t="shared" ref="DV30:DV41" si="269">+DU30</f>
        <v>66.383430695698365</v>
      </c>
      <c r="DW30" s="266">
        <f t="shared" ref="DW30:DW42" si="270">DV30*$DW$2</f>
        <v>50983.23154540627</v>
      </c>
      <c r="DX30" s="159">
        <f t="shared" ref="DX30:DX42" si="271">DW30*118%</f>
        <v>60160.213223579398</v>
      </c>
      <c r="DY30" s="118"/>
      <c r="DZ30" s="151">
        <v>413000</v>
      </c>
      <c r="EA30" s="151">
        <f t="shared" ref="EA30:EA39" si="272">DZ30/118%</f>
        <v>350000</v>
      </c>
      <c r="EB30" s="151">
        <f>EA30/EA2</f>
        <v>189.11558744704763</v>
      </c>
      <c r="EC30" s="96"/>
      <c r="ED30" s="267">
        <f t="shared" ref="ED30:ED42" si="273">EC30*$ED$2</f>
        <v>0</v>
      </c>
      <c r="EE30" s="96">
        <f t="shared" ref="EE30:EE42" si="274">ED30*118%</f>
        <v>0</v>
      </c>
      <c r="EF30" s="118"/>
      <c r="EG30" s="151"/>
      <c r="EH30" s="151">
        <f t="shared" ref="EH30:EH39" si="275">EG30/118%</f>
        <v>0</v>
      </c>
      <c r="EI30" s="151">
        <f>EH30/EH2</f>
        <v>0</v>
      </c>
      <c r="EJ30" s="210"/>
      <c r="EK30" s="210">
        <f>EJ30*EK2</f>
        <v>0</v>
      </c>
      <c r="EL30" s="210">
        <f t="shared" ref="EL30:EL42" si="276">EK30*118%</f>
        <v>0</v>
      </c>
      <c r="EM30" s="118"/>
      <c r="EN30" s="151">
        <v>368207.19999999995</v>
      </c>
      <c r="EO30" s="151">
        <f t="shared" ref="EO30:EO40" si="277">EN30/118%</f>
        <v>312040</v>
      </c>
      <c r="EP30" s="151">
        <f>EO30/EO2</f>
        <v>499.99999999999994</v>
      </c>
      <c r="EQ30" s="159">
        <f>+EP30*0</f>
        <v>0</v>
      </c>
      <c r="ER30" s="266">
        <f t="shared" ref="ER30:ER42" si="278">EQ30*$ER$2</f>
        <v>0</v>
      </c>
      <c r="ES30" s="159">
        <f t="shared" ref="ES30:ES42" si="279">ER30*118%</f>
        <v>0</v>
      </c>
      <c r="ET30" s="118"/>
      <c r="EU30" s="151">
        <v>413000</v>
      </c>
      <c r="EV30" s="151">
        <f t="shared" ref="EV30:EV39" si="280">EU30/118%</f>
        <v>350000</v>
      </c>
      <c r="EW30" s="151">
        <f>EV30/EV2</f>
        <v>189.11558744704763</v>
      </c>
      <c r="EX30" s="96">
        <f t="shared" ref="EX30:EX41" si="281">+EW30</f>
        <v>189.11558744704763</v>
      </c>
      <c r="EY30" s="267">
        <f t="shared" ref="EY30:EY42" si="282">EX30*$EY$2</f>
        <v>458385.45647099509</v>
      </c>
      <c r="EZ30" s="96">
        <f t="shared" ref="EZ30:EZ42" si="283">EY30*118%</f>
        <v>540894.83863577421</v>
      </c>
      <c r="FA30" s="118"/>
      <c r="FB30" s="151">
        <v>360592</v>
      </c>
      <c r="FC30" s="151">
        <f t="shared" ref="FC30:FC39" si="284">FB30/118%</f>
        <v>305586.44067796611</v>
      </c>
      <c r="FD30" s="151">
        <f>FC30/FC2</f>
        <v>67.908097928436916</v>
      </c>
      <c r="FE30" s="96">
        <f t="shared" ref="FE30:FE41" si="285">+FD30</f>
        <v>67.908097928436916</v>
      </c>
      <c r="FF30" s="267">
        <f t="shared" ref="FF30:FF42" si="286">FE30*$FF$2</f>
        <v>353537.45145274582</v>
      </c>
      <c r="FG30" s="96">
        <f t="shared" ref="FG30:FG42" si="287">FF30*118%</f>
        <v>417174.19271424005</v>
      </c>
      <c r="FH30" s="118"/>
      <c r="FI30" s="287">
        <v>346241.73599999998</v>
      </c>
      <c r="FJ30" s="287">
        <f t="shared" ref="FJ30:FJ41" si="288">FI30/118%</f>
        <v>293425.2</v>
      </c>
      <c r="FK30" s="288">
        <f t="shared" ref="FK30:FK41" si="289">FJ30/FJ$2</f>
        <v>270</v>
      </c>
      <c r="FL30" s="96">
        <f t="shared" ref="FL30:FL41" si="290">+FK30</f>
        <v>270</v>
      </c>
      <c r="FM30" s="267">
        <f t="shared" ref="FM30:FM42" si="291">FL30*$FM$2</f>
        <v>392827.33619999996</v>
      </c>
      <c r="FN30" s="139">
        <f t="shared" ref="FN30:FN42" si="292">FM30*118%</f>
        <v>463536.25671599992</v>
      </c>
      <c r="FO30" s="118"/>
      <c r="FP30" s="151"/>
      <c r="FQ30" s="151">
        <f t="shared" ref="FQ30:FQ42" si="293">FP30/118%</f>
        <v>0</v>
      </c>
      <c r="FR30" s="151">
        <f>FQ30/FQ2</f>
        <v>0</v>
      </c>
      <c r="FS30" s="96">
        <v>270</v>
      </c>
      <c r="FT30" s="267">
        <f t="shared" ref="FT30:FT42" si="294">FS30*$FT$2</f>
        <v>392827.33619999996</v>
      </c>
      <c r="FU30" s="96">
        <f t="shared" ref="FU30:FU42" si="295">FT30*118%</f>
        <v>463536.25671599992</v>
      </c>
      <c r="FV30" s="118"/>
      <c r="FW30" s="151"/>
      <c r="FX30" s="151">
        <f t="shared" ref="FX30:FX39" si="296">FW30/118%</f>
        <v>0</v>
      </c>
      <c r="FY30" s="151">
        <f>FX30/FX2</f>
        <v>0</v>
      </c>
      <c r="FZ30" s="96">
        <f t="shared" ref="FZ30:FZ41" si="297">+FY30</f>
        <v>0</v>
      </c>
      <c r="GA30" s="267">
        <f t="shared" ref="GA30:GA42" si="298">FZ30*$GA$2</f>
        <v>0</v>
      </c>
      <c r="GB30" s="96">
        <f t="shared" ref="GB30:GB42" si="299">GA30*118%</f>
        <v>0</v>
      </c>
      <c r="GC30" s="118"/>
      <c r="GD30" s="151"/>
      <c r="GE30" s="151">
        <f t="shared" ref="GE30:GE39" si="300">GD30/118%</f>
        <v>0</v>
      </c>
      <c r="GF30" s="151">
        <f>GE30/GE2</f>
        <v>0</v>
      </c>
      <c r="GG30" s="159">
        <f t="shared" ref="GG30:GG41" si="301">+GF30</f>
        <v>0</v>
      </c>
      <c r="GH30" s="266">
        <f t="shared" ref="GH30:GH42" si="302">GG30*$GH$2</f>
        <v>0</v>
      </c>
      <c r="GI30" s="159">
        <f t="shared" ref="GI30:GI42" si="303">GH30*118%</f>
        <v>0</v>
      </c>
      <c r="GJ30" s="118"/>
      <c r="GK30" s="151"/>
      <c r="GL30" s="151"/>
      <c r="GM30" s="270"/>
      <c r="GN30" s="159"/>
      <c r="GO30" s="266"/>
      <c r="GP30" s="159"/>
      <c r="GQ30" s="118"/>
      <c r="GR30" s="151"/>
      <c r="GS30" s="151">
        <f t="shared" ref="GS30:GS39" si="304">GR30/118%</f>
        <v>0</v>
      </c>
      <c r="GT30" s="151">
        <f>GS30/GS2</f>
        <v>0</v>
      </c>
      <c r="GU30" s="96">
        <f t="shared" ref="GU30:GU41" si="305">+GT30</f>
        <v>0</v>
      </c>
      <c r="GV30" s="267">
        <f t="shared" ref="GV30:GV42" si="306">GU30*$GV$2</f>
        <v>0</v>
      </c>
      <c r="GW30" s="96">
        <f t="shared" ref="GW30:GW42" si="307">GV30*118%</f>
        <v>0</v>
      </c>
      <c r="GX30" s="118"/>
      <c r="GY30" s="151">
        <v>271521.06799999997</v>
      </c>
      <c r="GZ30" s="151">
        <f t="shared" ref="GZ30:GZ42" si="308">GY30/118%</f>
        <v>230102.59999999998</v>
      </c>
      <c r="HA30" s="151">
        <f>GZ30/GZ2</f>
        <v>235.03840653728292</v>
      </c>
      <c r="HB30" s="159"/>
      <c r="HC30" s="266"/>
      <c r="HD30" s="159"/>
      <c r="HE30" s="118"/>
      <c r="HF30" s="151"/>
      <c r="HG30" s="151">
        <f t="shared" ref="HG30:HG39" si="309">HF30/118%</f>
        <v>0</v>
      </c>
      <c r="HH30" s="151">
        <f>HG30/HG2</f>
        <v>0</v>
      </c>
      <c r="HI30" s="210"/>
      <c r="HJ30" s="210">
        <f>HI30*HJ2</f>
        <v>0</v>
      </c>
      <c r="HK30" s="210">
        <f t="shared" ref="HK30:HK42" si="310">HJ30*118%</f>
        <v>0</v>
      </c>
      <c r="HL30" s="118"/>
      <c r="HM30" s="151"/>
      <c r="HN30" s="151">
        <f t="shared" ref="HN30:HN39" si="311">HM30/118%</f>
        <v>0</v>
      </c>
      <c r="HO30" s="151">
        <f>HN30/HN2</f>
        <v>0</v>
      </c>
      <c r="HP30" s="96">
        <f t="shared" ref="HP30:HP41" si="312">+HO30</f>
        <v>0</v>
      </c>
      <c r="HQ30" s="267">
        <f t="shared" ref="HQ30:HQ42" si="313">HP30*$HQ$2</f>
        <v>0</v>
      </c>
      <c r="HR30" s="96">
        <f t="shared" ref="HR30:HR42" si="314">HQ30*118%</f>
        <v>0</v>
      </c>
      <c r="HS30" s="118"/>
      <c r="HT30" s="318">
        <f t="shared" ref="HT30:HT43" si="315">SUM(H30,O30,V30,AC30,AJ30,AQ30,AX30,BE30,BL30,BS30,BZ30,CG30,CN30,CU30,DB30,DI30,DP30,DW30,ED30,EK30,ER30,EY30,FF30,FM30,FT30,GA30,GH30,GO30,GV30,HC30,HJ30,HQ30)</f>
        <v>2490422.1153631383</v>
      </c>
      <c r="HU30" s="151">
        <f t="shared" ref="HU30:HU43" si="316">HT30*118%</f>
        <v>2938698.0961285029</v>
      </c>
      <c r="HV30" s="319"/>
    </row>
    <row r="31" spans="1:230">
      <c r="A31" s="18">
        <v>2</v>
      </c>
      <c r="B31" s="19" t="s">
        <v>32</v>
      </c>
      <c r="C31" s="118"/>
      <c r="D31" s="151">
        <v>0</v>
      </c>
      <c r="E31" s="151">
        <f t="shared" si="213"/>
        <v>0</v>
      </c>
      <c r="F31" s="151">
        <f>E31/E2</f>
        <v>0</v>
      </c>
      <c r="G31" s="159"/>
      <c r="H31" s="266">
        <f t="shared" si="214"/>
        <v>0</v>
      </c>
      <c r="I31" s="159">
        <f t="shared" si="215"/>
        <v>0</v>
      </c>
      <c r="J31" s="118"/>
      <c r="K31" s="151">
        <v>0</v>
      </c>
      <c r="L31" s="151">
        <f t="shared" si="216"/>
        <v>0</v>
      </c>
      <c r="M31" s="151">
        <f>L31/L2</f>
        <v>0</v>
      </c>
      <c r="N31" s="159"/>
      <c r="O31" s="266">
        <f t="shared" si="217"/>
        <v>0</v>
      </c>
      <c r="P31" s="159">
        <f t="shared" si="218"/>
        <v>0</v>
      </c>
      <c r="Q31" s="118"/>
      <c r="R31" s="151"/>
      <c r="S31" s="151">
        <f t="shared" si="219"/>
        <v>0</v>
      </c>
      <c r="T31" s="151">
        <f>S31/S2</f>
        <v>0</v>
      </c>
      <c r="U31" s="159"/>
      <c r="V31" s="266">
        <f t="shared" si="220"/>
        <v>0</v>
      </c>
      <c r="W31" s="159">
        <f t="shared" si="221"/>
        <v>0</v>
      </c>
      <c r="X31" s="118"/>
      <c r="Y31" s="151"/>
      <c r="Z31" s="151">
        <f t="shared" si="222"/>
        <v>0</v>
      </c>
      <c r="AA31" s="151">
        <f>Z31/Z2</f>
        <v>0</v>
      </c>
      <c r="AB31" s="159"/>
      <c r="AC31" s="266">
        <f t="shared" si="223"/>
        <v>0</v>
      </c>
      <c r="AD31" s="159">
        <f t="shared" si="224"/>
        <v>0</v>
      </c>
      <c r="AE31" s="118"/>
      <c r="AF31" s="151"/>
      <c r="AG31" s="151">
        <f t="shared" si="225"/>
        <v>0</v>
      </c>
      <c r="AH31" s="151">
        <f>AG31/AG2</f>
        <v>0</v>
      </c>
      <c r="AI31" s="96">
        <f t="shared" si="226"/>
        <v>0</v>
      </c>
      <c r="AJ31" s="267">
        <f t="shared" si="227"/>
        <v>0</v>
      </c>
      <c r="AK31" s="96">
        <f t="shared" si="228"/>
        <v>0</v>
      </c>
      <c r="AL31" s="118"/>
      <c r="AM31" s="151">
        <v>236000</v>
      </c>
      <c r="AN31" s="151">
        <f t="shared" si="229"/>
        <v>200000</v>
      </c>
      <c r="AO31" s="151">
        <f>AN31/AN2</f>
        <v>108.0660499697415</v>
      </c>
      <c r="AP31" s="96">
        <f t="shared" si="230"/>
        <v>108.0660499697415</v>
      </c>
      <c r="AQ31" s="267">
        <f t="shared" si="231"/>
        <v>80995.214835307328</v>
      </c>
      <c r="AR31" s="96">
        <f t="shared" si="232"/>
        <v>95574.353505662642</v>
      </c>
      <c r="AS31" s="118"/>
      <c r="AT31" s="287">
        <v>282122.89600000001</v>
      </c>
      <c r="AU31" s="287">
        <f t="shared" si="233"/>
        <v>239087.2</v>
      </c>
      <c r="AV31" s="288">
        <f t="shared" si="234"/>
        <v>220</v>
      </c>
      <c r="AW31" s="96">
        <f t="shared" si="235"/>
        <v>220</v>
      </c>
      <c r="AX31" s="267">
        <f t="shared" si="236"/>
        <v>393574.89599999995</v>
      </c>
      <c r="AY31" s="96">
        <f t="shared" si="237"/>
        <v>464418.3772799999</v>
      </c>
      <c r="AZ31" s="118"/>
      <c r="BA31" s="287"/>
      <c r="BB31" s="287"/>
      <c r="BC31" s="288"/>
      <c r="BD31" s="96">
        <v>200</v>
      </c>
      <c r="BE31" s="267">
        <f t="shared" si="238"/>
        <v>194397.83999999997</v>
      </c>
      <c r="BF31" s="96">
        <f t="shared" si="239"/>
        <v>229389.45119999995</v>
      </c>
      <c r="BG31" s="118"/>
      <c r="BH31" s="151"/>
      <c r="BI31" s="151">
        <f t="shared" si="240"/>
        <v>0</v>
      </c>
      <c r="BJ31" s="151">
        <f>BI31/BI2</f>
        <v>0</v>
      </c>
      <c r="BK31" s="210"/>
      <c r="BL31" s="210">
        <f>BK31*BL2</f>
        <v>0</v>
      </c>
      <c r="BM31" s="210">
        <f t="shared" si="241"/>
        <v>0</v>
      </c>
      <c r="BN31" s="118"/>
      <c r="BO31" s="151"/>
      <c r="BP31" s="151">
        <f t="shared" si="242"/>
        <v>0</v>
      </c>
      <c r="BQ31" s="151">
        <f>BP31/BP2</f>
        <v>0</v>
      </c>
      <c r="BR31" s="210"/>
      <c r="BS31" s="210">
        <f>BR31*BS2</f>
        <v>0</v>
      </c>
      <c r="BT31" s="210">
        <f t="shared" si="243"/>
        <v>0</v>
      </c>
      <c r="BU31" s="118"/>
      <c r="BV31" s="151">
        <v>302197</v>
      </c>
      <c r="BW31" s="151">
        <f t="shared" si="244"/>
        <v>256099.1525423729</v>
      </c>
      <c r="BX31" s="151">
        <f>BW31/BW2</f>
        <v>56.910922787193975</v>
      </c>
      <c r="BY31" s="96">
        <f t="shared" si="245"/>
        <v>56.910922787193975</v>
      </c>
      <c r="BZ31" s="96">
        <f t="shared" si="246"/>
        <v>181938.9843457627</v>
      </c>
      <c r="CA31" s="96">
        <f t="shared" si="247"/>
        <v>214688.00152799996</v>
      </c>
      <c r="CB31" s="118"/>
      <c r="CC31" s="151"/>
      <c r="CD31" s="151">
        <f t="shared" si="248"/>
        <v>0</v>
      </c>
      <c r="CE31" s="151">
        <f>CD31/CD2</f>
        <v>0</v>
      </c>
      <c r="CF31" s="96">
        <f t="shared" si="249"/>
        <v>0</v>
      </c>
      <c r="CG31" s="267">
        <f t="shared" si="250"/>
        <v>0</v>
      </c>
      <c r="CH31" s="96">
        <f t="shared" si="251"/>
        <v>0</v>
      </c>
      <c r="CI31" s="118"/>
      <c r="CJ31" s="151">
        <v>236000</v>
      </c>
      <c r="CK31" s="151">
        <f t="shared" si="252"/>
        <v>200000</v>
      </c>
      <c r="CL31" s="151">
        <f>CK31/CK2</f>
        <v>108.0660499697415</v>
      </c>
      <c r="CM31" s="96">
        <f>+CL31*0</f>
        <v>0</v>
      </c>
      <c r="CN31" s="267">
        <f t="shared" si="253"/>
        <v>0</v>
      </c>
      <c r="CO31" s="96">
        <f t="shared" si="254"/>
        <v>0</v>
      </c>
      <c r="CP31" s="118"/>
      <c r="CQ31" s="151">
        <v>236000</v>
      </c>
      <c r="CR31" s="151">
        <f t="shared" si="255"/>
        <v>200000</v>
      </c>
      <c r="CS31" s="151">
        <f>CR31/CR2</f>
        <v>108.0660499697415</v>
      </c>
      <c r="CT31" s="96">
        <f>+CS31*0</f>
        <v>0</v>
      </c>
      <c r="CU31" s="267">
        <f t="shared" si="256"/>
        <v>0</v>
      </c>
      <c r="CV31" s="96">
        <f t="shared" si="257"/>
        <v>0</v>
      </c>
      <c r="CW31" s="118"/>
      <c r="CX31" s="151"/>
      <c r="CY31" s="151">
        <f t="shared" si="258"/>
        <v>0</v>
      </c>
      <c r="CZ31" s="151">
        <f>CY31/CY2</f>
        <v>0</v>
      </c>
      <c r="DA31" s="210"/>
      <c r="DB31" s="210">
        <f>DA31*DB2</f>
        <v>0</v>
      </c>
      <c r="DC31" s="210">
        <f t="shared" si="259"/>
        <v>0</v>
      </c>
      <c r="DD31" s="118"/>
      <c r="DE31" s="151">
        <v>213750.628</v>
      </c>
      <c r="DF31" s="151">
        <f t="shared" si="260"/>
        <v>181144.6</v>
      </c>
      <c r="DG31" s="151">
        <f>DF31/DF2</f>
        <v>185.03023493360573</v>
      </c>
      <c r="DH31" s="159"/>
      <c r="DI31" s="266">
        <f t="shared" si="261"/>
        <v>0</v>
      </c>
      <c r="DJ31" s="159">
        <f t="shared" si="262"/>
        <v>0</v>
      </c>
      <c r="DK31" s="118"/>
      <c r="DL31" s="151"/>
      <c r="DM31" s="151">
        <f t="shared" si="263"/>
        <v>0</v>
      </c>
      <c r="DN31" s="151">
        <f>DM31/DM2</f>
        <v>0</v>
      </c>
      <c r="DO31" s="96">
        <f t="shared" si="264"/>
        <v>0</v>
      </c>
      <c r="DP31" s="267">
        <f t="shared" si="265"/>
        <v>0</v>
      </c>
      <c r="DQ31" s="96">
        <f t="shared" si="266"/>
        <v>0</v>
      </c>
      <c r="DR31" s="118"/>
      <c r="DS31" s="151">
        <v>131631.36000000002</v>
      </c>
      <c r="DT31" s="151">
        <f t="shared" si="267"/>
        <v>117528</v>
      </c>
      <c r="DU31" s="133">
        <f t="shared" si="268"/>
        <v>44.58235338745164</v>
      </c>
      <c r="DV31" s="159">
        <f t="shared" si="269"/>
        <v>44.58235338745164</v>
      </c>
      <c r="DW31" s="266">
        <f t="shared" si="270"/>
        <v>34239.755640391471</v>
      </c>
      <c r="DX31" s="159">
        <f t="shared" si="271"/>
        <v>40402.911655661934</v>
      </c>
      <c r="DY31" s="118"/>
      <c r="DZ31" s="151">
        <v>236000</v>
      </c>
      <c r="EA31" s="151">
        <f t="shared" si="272"/>
        <v>200000</v>
      </c>
      <c r="EB31" s="151">
        <f>EA31/EA2</f>
        <v>108.0660499697415</v>
      </c>
      <c r="EC31" s="96"/>
      <c r="ED31" s="267">
        <f t="shared" si="273"/>
        <v>0</v>
      </c>
      <c r="EE31" s="96">
        <f t="shared" si="274"/>
        <v>0</v>
      </c>
      <c r="EF31" s="118"/>
      <c r="EG31" s="151"/>
      <c r="EH31" s="151">
        <f t="shared" si="275"/>
        <v>0</v>
      </c>
      <c r="EI31" s="151">
        <f>EH31/EH2</f>
        <v>0</v>
      </c>
      <c r="EJ31" s="210"/>
      <c r="EK31" s="210">
        <f>EJ31*EK2</f>
        <v>0</v>
      </c>
      <c r="EL31" s="210">
        <f t="shared" si="276"/>
        <v>0</v>
      </c>
      <c r="EM31" s="118"/>
      <c r="EN31" s="151">
        <v>552310.80000000005</v>
      </c>
      <c r="EO31" s="151">
        <f t="shared" si="277"/>
        <v>468060.00000000006</v>
      </c>
      <c r="EP31" s="151">
        <f>EO31/EO2</f>
        <v>750</v>
      </c>
      <c r="EQ31" s="159">
        <f>+EP31*0</f>
        <v>0</v>
      </c>
      <c r="ER31" s="266">
        <f t="shared" si="278"/>
        <v>0</v>
      </c>
      <c r="ES31" s="159">
        <f t="shared" si="279"/>
        <v>0</v>
      </c>
      <c r="ET31" s="118"/>
      <c r="EU31" s="151">
        <v>236000</v>
      </c>
      <c r="EV31" s="151">
        <f t="shared" si="280"/>
        <v>200000</v>
      </c>
      <c r="EW31" s="151">
        <f>EV31/EV2</f>
        <v>108.0660499697415</v>
      </c>
      <c r="EX31" s="96">
        <f t="shared" si="281"/>
        <v>108.0660499697415</v>
      </c>
      <c r="EY31" s="267">
        <f t="shared" si="282"/>
        <v>261934.54655485431</v>
      </c>
      <c r="EZ31" s="96">
        <f t="shared" si="283"/>
        <v>309082.7649347281</v>
      </c>
      <c r="FA31" s="118"/>
      <c r="FB31" s="151">
        <v>302197</v>
      </c>
      <c r="FC31" s="151">
        <f t="shared" si="284"/>
        <v>256099.1525423729</v>
      </c>
      <c r="FD31" s="151">
        <f>FC31/FC2</f>
        <v>56.910922787193975</v>
      </c>
      <c r="FE31" s="96">
        <f t="shared" si="285"/>
        <v>56.910922787193975</v>
      </c>
      <c r="FF31" s="267">
        <f t="shared" si="286"/>
        <v>296284.87935579661</v>
      </c>
      <c r="FG31" s="96">
        <f t="shared" si="287"/>
        <v>349616.15763983998</v>
      </c>
      <c r="FH31" s="118"/>
      <c r="FI31" s="287">
        <v>282122.89600000001</v>
      </c>
      <c r="FJ31" s="287">
        <f t="shared" si="288"/>
        <v>239087.2</v>
      </c>
      <c r="FK31" s="288">
        <f t="shared" si="289"/>
        <v>220</v>
      </c>
      <c r="FL31" s="96">
        <f t="shared" si="290"/>
        <v>220</v>
      </c>
      <c r="FM31" s="267">
        <f t="shared" si="291"/>
        <v>320081.53319999995</v>
      </c>
      <c r="FN31" s="139">
        <f t="shared" si="292"/>
        <v>377696.20917599992</v>
      </c>
      <c r="FO31" s="118"/>
      <c r="FP31" s="151"/>
      <c r="FQ31" s="151">
        <f t="shared" si="293"/>
        <v>0</v>
      </c>
      <c r="FR31" s="151">
        <f>FQ31/FQ2</f>
        <v>0</v>
      </c>
      <c r="FS31" s="96">
        <v>220</v>
      </c>
      <c r="FT31" s="267">
        <f t="shared" si="294"/>
        <v>320081.53319999995</v>
      </c>
      <c r="FU31" s="96">
        <f t="shared" si="295"/>
        <v>377696.20917599992</v>
      </c>
      <c r="FV31" s="118"/>
      <c r="FW31" s="151"/>
      <c r="FX31" s="151">
        <f t="shared" si="296"/>
        <v>0</v>
      </c>
      <c r="FY31" s="151">
        <f>FX31/FX2</f>
        <v>0</v>
      </c>
      <c r="FZ31" s="96">
        <f t="shared" si="297"/>
        <v>0</v>
      </c>
      <c r="GA31" s="267">
        <f t="shared" si="298"/>
        <v>0</v>
      </c>
      <c r="GB31" s="96">
        <f t="shared" si="299"/>
        <v>0</v>
      </c>
      <c r="GC31" s="118"/>
      <c r="GD31" s="151"/>
      <c r="GE31" s="151">
        <f t="shared" si="300"/>
        <v>0</v>
      </c>
      <c r="GF31" s="151">
        <f>GE31/GE2</f>
        <v>0</v>
      </c>
      <c r="GG31" s="159">
        <f t="shared" si="301"/>
        <v>0</v>
      </c>
      <c r="GH31" s="266">
        <f t="shared" si="302"/>
        <v>0</v>
      </c>
      <c r="GI31" s="159">
        <f t="shared" si="303"/>
        <v>0</v>
      </c>
      <c r="GJ31" s="118"/>
      <c r="GK31" s="151"/>
      <c r="GL31" s="151"/>
      <c r="GM31" s="270"/>
      <c r="GN31" s="159"/>
      <c r="GO31" s="266"/>
      <c r="GP31" s="159"/>
      <c r="GQ31" s="118"/>
      <c r="GR31" s="151"/>
      <c r="GS31" s="151">
        <f t="shared" si="304"/>
        <v>0</v>
      </c>
      <c r="GT31" s="151">
        <f>GS31/GS2</f>
        <v>0</v>
      </c>
      <c r="GU31" s="96">
        <f t="shared" si="305"/>
        <v>0</v>
      </c>
      <c r="GV31" s="267">
        <f t="shared" si="306"/>
        <v>0</v>
      </c>
      <c r="GW31" s="96">
        <f t="shared" si="307"/>
        <v>0</v>
      </c>
      <c r="GX31" s="118"/>
      <c r="GY31" s="151">
        <v>213750.628</v>
      </c>
      <c r="GZ31" s="151">
        <f t="shared" si="308"/>
        <v>181144.6</v>
      </c>
      <c r="HA31" s="151">
        <f>GZ31/GZ2</f>
        <v>185.03023493360573</v>
      </c>
      <c r="HB31" s="159"/>
      <c r="HC31" s="266"/>
      <c r="HD31" s="159"/>
      <c r="HE31" s="118"/>
      <c r="HF31" s="151"/>
      <c r="HG31" s="151">
        <f t="shared" si="309"/>
        <v>0</v>
      </c>
      <c r="HH31" s="151">
        <f>HG31/HG2</f>
        <v>0</v>
      </c>
      <c r="HI31" s="210"/>
      <c r="HJ31" s="210">
        <f>HI31*HJ2</f>
        <v>0</v>
      </c>
      <c r="HK31" s="210">
        <f t="shared" si="310"/>
        <v>0</v>
      </c>
      <c r="HL31" s="118"/>
      <c r="HM31" s="151"/>
      <c r="HN31" s="151">
        <f t="shared" si="311"/>
        <v>0</v>
      </c>
      <c r="HO31" s="151">
        <f>HN31/HN2</f>
        <v>0</v>
      </c>
      <c r="HP31" s="96">
        <f t="shared" si="312"/>
        <v>0</v>
      </c>
      <c r="HQ31" s="267">
        <f t="shared" si="313"/>
        <v>0</v>
      </c>
      <c r="HR31" s="96">
        <f t="shared" si="314"/>
        <v>0</v>
      </c>
      <c r="HS31" s="118"/>
      <c r="HT31" s="318">
        <f t="shared" si="315"/>
        <v>2083529.1831321123</v>
      </c>
      <c r="HU31" s="151">
        <f t="shared" si="316"/>
        <v>2458564.4360958925</v>
      </c>
      <c r="HV31" s="319"/>
    </row>
    <row r="32" spans="1:230">
      <c r="A32" s="18">
        <v>3</v>
      </c>
      <c r="B32" s="19" t="s">
        <v>33</v>
      </c>
      <c r="C32" s="118"/>
      <c r="D32" s="151">
        <v>43803.96</v>
      </c>
      <c r="E32" s="151">
        <f t="shared" si="213"/>
        <v>37122</v>
      </c>
      <c r="F32" s="151">
        <f>E32/E2</f>
        <v>150</v>
      </c>
      <c r="G32" s="159">
        <v>1000</v>
      </c>
      <c r="H32" s="266">
        <f t="shared" si="214"/>
        <v>508060.8</v>
      </c>
      <c r="I32" s="159">
        <f t="shared" si="215"/>
        <v>599511.74399999995</v>
      </c>
      <c r="J32" s="118"/>
      <c r="K32" s="151">
        <v>43803.96</v>
      </c>
      <c r="L32" s="151">
        <f t="shared" si="216"/>
        <v>37122</v>
      </c>
      <c r="M32" s="151">
        <f>L32/L2</f>
        <v>530.31428571428569</v>
      </c>
      <c r="N32" s="159">
        <v>1000</v>
      </c>
      <c r="O32" s="266">
        <f t="shared" si="217"/>
        <v>508060.8</v>
      </c>
      <c r="P32" s="159">
        <f t="shared" si="218"/>
        <v>599511.74399999995</v>
      </c>
      <c r="Q32" s="118"/>
      <c r="R32" s="151"/>
      <c r="S32" s="151">
        <f t="shared" si="219"/>
        <v>0</v>
      </c>
      <c r="T32" s="151">
        <f>S32/S2</f>
        <v>0</v>
      </c>
      <c r="U32" s="159">
        <v>1000</v>
      </c>
      <c r="V32" s="266">
        <f t="shared" si="220"/>
        <v>384705.36</v>
      </c>
      <c r="W32" s="159">
        <f t="shared" si="221"/>
        <v>453952.32479999994</v>
      </c>
      <c r="X32" s="118"/>
      <c r="Y32" s="151"/>
      <c r="Z32" s="151">
        <f t="shared" si="222"/>
        <v>0</v>
      </c>
      <c r="AA32" s="151">
        <f>Z32/Z2</f>
        <v>0</v>
      </c>
      <c r="AB32" s="159">
        <v>1000</v>
      </c>
      <c r="AC32" s="266">
        <f t="shared" si="223"/>
        <v>384705.36</v>
      </c>
      <c r="AD32" s="159">
        <f t="shared" si="224"/>
        <v>453952.32479999994</v>
      </c>
      <c r="AE32" s="118"/>
      <c r="AF32" s="151">
        <v>47082</v>
      </c>
      <c r="AG32" s="151">
        <f t="shared" si="225"/>
        <v>39900</v>
      </c>
      <c r="AH32" s="151">
        <f>AG32/AG2</f>
        <v>264.23841059602648</v>
      </c>
      <c r="AI32" s="96">
        <f t="shared" si="226"/>
        <v>264.23841059602648</v>
      </c>
      <c r="AJ32" s="267">
        <f t="shared" si="227"/>
        <v>472716.38622516545</v>
      </c>
      <c r="AK32" s="96">
        <f t="shared" si="228"/>
        <v>557805.33574569516</v>
      </c>
      <c r="AL32" s="118"/>
      <c r="AM32" s="151"/>
      <c r="AN32" s="151">
        <f t="shared" si="229"/>
        <v>0</v>
      </c>
      <c r="AO32" s="151">
        <f>AN32/AN2</f>
        <v>0</v>
      </c>
      <c r="AP32" s="96">
        <f t="shared" si="230"/>
        <v>0</v>
      </c>
      <c r="AQ32" s="267">
        <f t="shared" si="231"/>
        <v>0</v>
      </c>
      <c r="AR32" s="96">
        <f t="shared" si="232"/>
        <v>0</v>
      </c>
      <c r="AS32" s="118"/>
      <c r="AT32" s="287">
        <v>47001.759999999995</v>
      </c>
      <c r="AU32" s="287">
        <f t="shared" si="233"/>
        <v>39832</v>
      </c>
      <c r="AV32" s="288">
        <f t="shared" si="234"/>
        <v>36.652066693658213</v>
      </c>
      <c r="AW32" s="96">
        <f t="shared" si="235"/>
        <v>36.652066693658213</v>
      </c>
      <c r="AX32" s="267">
        <f t="shared" si="236"/>
        <v>65569.696987007235</v>
      </c>
      <c r="AY32" s="96">
        <f t="shared" si="237"/>
        <v>77372.242444668533</v>
      </c>
      <c r="AZ32" s="118"/>
      <c r="BA32" s="287"/>
      <c r="BB32" s="287"/>
      <c r="BC32" s="288"/>
      <c r="BD32" s="96">
        <v>300</v>
      </c>
      <c r="BE32" s="267">
        <f t="shared" si="238"/>
        <v>291596.75999999995</v>
      </c>
      <c r="BF32" s="96">
        <f t="shared" si="239"/>
        <v>344084.1767999999</v>
      </c>
      <c r="BG32" s="118"/>
      <c r="BH32" s="151"/>
      <c r="BI32" s="151">
        <f t="shared" si="240"/>
        <v>0</v>
      </c>
      <c r="BJ32" s="151">
        <f>BI32/BI2</f>
        <v>0</v>
      </c>
      <c r="BK32" s="210"/>
      <c r="BL32" s="210">
        <f>BK32*BL2</f>
        <v>0</v>
      </c>
      <c r="BM32" s="210">
        <f t="shared" si="241"/>
        <v>0</v>
      </c>
      <c r="BN32" s="118"/>
      <c r="BO32" s="151"/>
      <c r="BP32" s="151">
        <f t="shared" si="242"/>
        <v>0</v>
      </c>
      <c r="BQ32" s="151">
        <f>BP32/BP2</f>
        <v>0</v>
      </c>
      <c r="BR32" s="210"/>
      <c r="BS32" s="210">
        <f>BR32*BS2</f>
        <v>0</v>
      </c>
      <c r="BT32" s="210">
        <f t="shared" si="243"/>
        <v>0</v>
      </c>
      <c r="BU32" s="118"/>
      <c r="BV32" s="151">
        <v>233350</v>
      </c>
      <c r="BW32" s="151">
        <f t="shared" si="244"/>
        <v>197754.2372881356</v>
      </c>
      <c r="BX32" s="151">
        <f>BW32/BW2</f>
        <v>43.945386064030131</v>
      </c>
      <c r="BY32" s="96">
        <v>80</v>
      </c>
      <c r="BZ32" s="96">
        <f t="shared" si="246"/>
        <v>255752.63999999998</v>
      </c>
      <c r="CA32" s="96">
        <f t="shared" si="247"/>
        <v>301788.11519999994</v>
      </c>
      <c r="CB32" s="118"/>
      <c r="CC32" s="151">
        <v>47082</v>
      </c>
      <c r="CD32" s="151">
        <f t="shared" si="248"/>
        <v>39900</v>
      </c>
      <c r="CE32" s="151">
        <f>CD32/CD2</f>
        <v>264.23841059602648</v>
      </c>
      <c r="CF32" s="96">
        <v>800</v>
      </c>
      <c r="CG32" s="267">
        <f t="shared" si="250"/>
        <v>262641.59999999998</v>
      </c>
      <c r="CH32" s="96">
        <f t="shared" si="251"/>
        <v>309917.08799999993</v>
      </c>
      <c r="CI32" s="118"/>
      <c r="CJ32" s="151"/>
      <c r="CK32" s="151">
        <f t="shared" si="252"/>
        <v>0</v>
      </c>
      <c r="CL32" s="151">
        <f>CK32/CK2</f>
        <v>0</v>
      </c>
      <c r="CM32" s="96">
        <f t="shared" ref="CM32:CM41" si="317">+CL32</f>
        <v>0</v>
      </c>
      <c r="CN32" s="267">
        <f t="shared" si="253"/>
        <v>0</v>
      </c>
      <c r="CO32" s="96">
        <f t="shared" si="254"/>
        <v>0</v>
      </c>
      <c r="CP32" s="118"/>
      <c r="CQ32" s="151"/>
      <c r="CR32" s="151">
        <f t="shared" si="255"/>
        <v>0</v>
      </c>
      <c r="CS32" s="151">
        <f>CR32/CR2</f>
        <v>0</v>
      </c>
      <c r="CT32" s="96">
        <f t="shared" ref="CT32:CT41" si="318">+CS32</f>
        <v>0</v>
      </c>
      <c r="CU32" s="267">
        <f t="shared" si="256"/>
        <v>0</v>
      </c>
      <c r="CV32" s="96">
        <f t="shared" si="257"/>
        <v>0</v>
      </c>
      <c r="CW32" s="118"/>
      <c r="CX32" s="151"/>
      <c r="CY32" s="151">
        <f t="shared" si="258"/>
        <v>0</v>
      </c>
      <c r="CZ32" s="151">
        <f>CY32/CY2</f>
        <v>0</v>
      </c>
      <c r="DA32" s="210"/>
      <c r="DB32" s="210">
        <f>DA32*DB2</f>
        <v>0</v>
      </c>
      <c r="DC32" s="210">
        <f t="shared" si="259"/>
        <v>0</v>
      </c>
      <c r="DD32" s="118"/>
      <c r="DE32" s="151">
        <v>16000.8</v>
      </c>
      <c r="DF32" s="151">
        <f t="shared" si="260"/>
        <v>13560</v>
      </c>
      <c r="DG32" s="151">
        <f>DF32/DF2</f>
        <v>13.850868232890704</v>
      </c>
      <c r="DH32" s="159">
        <v>600</v>
      </c>
      <c r="DI32" s="266">
        <f t="shared" si="261"/>
        <v>227916.93599999996</v>
      </c>
      <c r="DJ32" s="159">
        <f t="shared" si="262"/>
        <v>268941.98447999993</v>
      </c>
      <c r="DK32" s="118"/>
      <c r="DL32" s="151">
        <v>47082</v>
      </c>
      <c r="DM32" s="151">
        <f t="shared" si="263"/>
        <v>39900</v>
      </c>
      <c r="DN32" s="151">
        <f>DM32/DM2</f>
        <v>264.23841059602648</v>
      </c>
      <c r="DO32" s="96">
        <v>550</v>
      </c>
      <c r="DP32" s="267">
        <f t="shared" si="265"/>
        <v>363204.27</v>
      </c>
      <c r="DQ32" s="96">
        <f t="shared" si="266"/>
        <v>428581.03859999997</v>
      </c>
      <c r="DR32" s="118"/>
      <c r="DS32" s="151">
        <v>140295.23199999999</v>
      </c>
      <c r="DT32" s="151">
        <f t="shared" si="267"/>
        <v>125263.59999999998</v>
      </c>
      <c r="DU32" s="133">
        <f t="shared" si="268"/>
        <v>47.516728624535311</v>
      </c>
      <c r="DV32" s="159">
        <f t="shared" si="269"/>
        <v>47.516728624535311</v>
      </c>
      <c r="DW32" s="266">
        <f t="shared" si="270"/>
        <v>36493.389274349429</v>
      </c>
      <c r="DX32" s="159">
        <f t="shared" si="271"/>
        <v>43062.199343732325</v>
      </c>
      <c r="DY32" s="118"/>
      <c r="DZ32" s="151"/>
      <c r="EA32" s="151">
        <f t="shared" si="272"/>
        <v>0</v>
      </c>
      <c r="EB32" s="151">
        <f>EA32/EA2</f>
        <v>0</v>
      </c>
      <c r="EC32" s="96">
        <f t="shared" ref="EC32:EC41" si="319">+EB32</f>
        <v>0</v>
      </c>
      <c r="ED32" s="267">
        <f t="shared" si="273"/>
        <v>0</v>
      </c>
      <c r="EE32" s="96">
        <f t="shared" si="274"/>
        <v>0</v>
      </c>
      <c r="EF32" s="118"/>
      <c r="EG32" s="151"/>
      <c r="EH32" s="151">
        <f t="shared" si="275"/>
        <v>0</v>
      </c>
      <c r="EI32" s="151">
        <f>EH32/EH2</f>
        <v>0</v>
      </c>
      <c r="EJ32" s="210"/>
      <c r="EK32" s="210">
        <f>EJ32*EK2</f>
        <v>0</v>
      </c>
      <c r="EL32" s="210">
        <f t="shared" si="276"/>
        <v>0</v>
      </c>
      <c r="EM32" s="118"/>
      <c r="EN32" s="151">
        <v>32001.599999999999</v>
      </c>
      <c r="EO32" s="151">
        <f t="shared" si="277"/>
        <v>27120</v>
      </c>
      <c r="EP32" s="151">
        <f>EO32/EO2</f>
        <v>43.455967183694398</v>
      </c>
      <c r="EQ32" s="159">
        <v>500</v>
      </c>
      <c r="ER32" s="266">
        <f t="shared" si="278"/>
        <v>177579.08999999997</v>
      </c>
      <c r="ES32" s="159">
        <f t="shared" si="279"/>
        <v>209543.32619999995</v>
      </c>
      <c r="ET32" s="118"/>
      <c r="EU32" s="151"/>
      <c r="EV32" s="151">
        <f t="shared" si="280"/>
        <v>0</v>
      </c>
      <c r="EW32" s="151">
        <f>EV32/EV2</f>
        <v>0</v>
      </c>
      <c r="EX32" s="96">
        <f t="shared" si="281"/>
        <v>0</v>
      </c>
      <c r="EY32" s="267">
        <f t="shared" si="282"/>
        <v>0</v>
      </c>
      <c r="EZ32" s="96">
        <f t="shared" si="283"/>
        <v>0</v>
      </c>
      <c r="FA32" s="118"/>
      <c r="FB32" s="151">
        <v>233350</v>
      </c>
      <c r="FC32" s="151">
        <f t="shared" si="284"/>
        <v>197754.2372881356</v>
      </c>
      <c r="FD32" s="151">
        <f>FC32/FC2</f>
        <v>43.945386064030131</v>
      </c>
      <c r="FE32" s="96">
        <f t="shared" si="285"/>
        <v>43.945386064030131</v>
      </c>
      <c r="FF32" s="267">
        <f t="shared" si="286"/>
        <v>228784.78806101697</v>
      </c>
      <c r="FG32" s="96">
        <f t="shared" si="287"/>
        <v>269966.04991200002</v>
      </c>
      <c r="FH32" s="118"/>
      <c r="FI32" s="287">
        <v>47001.759999999995</v>
      </c>
      <c r="FJ32" s="287">
        <f t="shared" si="288"/>
        <v>39832</v>
      </c>
      <c r="FK32" s="288">
        <f t="shared" si="289"/>
        <v>36.652066693658213</v>
      </c>
      <c r="FL32" s="96">
        <v>200</v>
      </c>
      <c r="FM32" s="267">
        <f t="shared" si="291"/>
        <v>290983.21199999994</v>
      </c>
      <c r="FN32" s="139">
        <f t="shared" si="292"/>
        <v>343360.19015999994</v>
      </c>
      <c r="FO32" s="118"/>
      <c r="FP32" s="151"/>
      <c r="FQ32" s="151">
        <f t="shared" si="293"/>
        <v>0</v>
      </c>
      <c r="FR32" s="151">
        <f>FQ32/FQ2</f>
        <v>0</v>
      </c>
      <c r="FS32" s="96">
        <v>200</v>
      </c>
      <c r="FT32" s="267">
        <f t="shared" si="294"/>
        <v>290983.21199999994</v>
      </c>
      <c r="FU32" s="96">
        <f t="shared" si="295"/>
        <v>343360.19015999994</v>
      </c>
      <c r="FV32" s="118"/>
      <c r="FW32" s="151">
        <v>47082</v>
      </c>
      <c r="FX32" s="151">
        <f t="shared" si="296"/>
        <v>39900</v>
      </c>
      <c r="FY32" s="151">
        <f>FX32/FX2</f>
        <v>264.23841059602648</v>
      </c>
      <c r="FZ32" s="96">
        <v>600</v>
      </c>
      <c r="GA32" s="267">
        <f t="shared" si="298"/>
        <v>113021.99999999999</v>
      </c>
      <c r="GB32" s="96">
        <f t="shared" si="299"/>
        <v>133365.95999999996</v>
      </c>
      <c r="GC32" s="118"/>
      <c r="GD32" s="151"/>
      <c r="GE32" s="151">
        <f t="shared" si="300"/>
        <v>0</v>
      </c>
      <c r="GF32" s="151">
        <f>GE32/GE2</f>
        <v>0</v>
      </c>
      <c r="GG32" s="159">
        <v>400</v>
      </c>
      <c r="GH32" s="266">
        <f t="shared" si="302"/>
        <v>147682.07999999999</v>
      </c>
      <c r="GI32" s="159">
        <f t="shared" si="303"/>
        <v>174264.85439999998</v>
      </c>
      <c r="GJ32" s="118"/>
      <c r="GK32" s="151">
        <v>31000.959999999999</v>
      </c>
      <c r="GL32" s="151">
        <f t="shared" ref="GL32:GL42" si="320">GK32/118%</f>
        <v>26272</v>
      </c>
      <c r="GM32" s="270">
        <f t="shared" ref="GM32:GM42" si="321">GL32/$GL$2</f>
        <v>104.3434054586471</v>
      </c>
      <c r="GN32" s="159">
        <f t="shared" ref="GN32:GN41" si="322">+GM32</f>
        <v>104.3434054586471</v>
      </c>
      <c r="GO32" s="266">
        <f t="shared" ref="GO32:GO42" si="323">GN32*$GO$2</f>
        <v>29381.66721189591</v>
      </c>
      <c r="GP32" s="159">
        <f t="shared" ref="GP32:GP42" si="324">GO32*118%</f>
        <v>34670.367310037174</v>
      </c>
      <c r="GQ32" s="118"/>
      <c r="GR32" s="151">
        <v>47082</v>
      </c>
      <c r="GS32" s="151">
        <f t="shared" si="304"/>
        <v>39900</v>
      </c>
      <c r="GT32" s="151">
        <f>GS32/GS2</f>
        <v>264.23841059602648</v>
      </c>
      <c r="GU32" s="96">
        <v>500</v>
      </c>
      <c r="GV32" s="267">
        <f t="shared" si="306"/>
        <v>219424.13999999998</v>
      </c>
      <c r="GW32" s="96">
        <f t="shared" si="307"/>
        <v>258920.48519999997</v>
      </c>
      <c r="GX32" s="118"/>
      <c r="GY32" s="151">
        <v>16000.8</v>
      </c>
      <c r="GZ32" s="151">
        <f t="shared" si="308"/>
        <v>13560</v>
      </c>
      <c r="HA32" s="151">
        <f>GZ32/GZ2</f>
        <v>13.850868232890704</v>
      </c>
      <c r="HB32" s="159">
        <v>400</v>
      </c>
      <c r="HC32" s="266">
        <f t="shared" ref="HC32:HC42" si="325">HB32*$HC$2</f>
        <v>270176.39999999997</v>
      </c>
      <c r="HD32" s="159">
        <f t="shared" ref="HD32:HD42" si="326">HC32*118%</f>
        <v>318808.15199999994</v>
      </c>
      <c r="HE32" s="118"/>
      <c r="HF32" s="151"/>
      <c r="HG32" s="151">
        <f t="shared" si="309"/>
        <v>0</v>
      </c>
      <c r="HH32" s="151">
        <f>HG32/HG2</f>
        <v>0</v>
      </c>
      <c r="HI32" s="210"/>
      <c r="HJ32" s="210">
        <f>HI32*HJ2</f>
        <v>0</v>
      </c>
      <c r="HK32" s="210">
        <f t="shared" si="310"/>
        <v>0</v>
      </c>
      <c r="HL32" s="118"/>
      <c r="HM32" s="151">
        <v>47082</v>
      </c>
      <c r="HN32" s="151">
        <f t="shared" si="311"/>
        <v>39900</v>
      </c>
      <c r="HO32" s="151">
        <f>HN32/HN2</f>
        <v>264.23841059602648</v>
      </c>
      <c r="HP32" s="96">
        <v>500</v>
      </c>
      <c r="HQ32" s="267">
        <f t="shared" si="313"/>
        <v>400528.44</v>
      </c>
      <c r="HR32" s="96">
        <f t="shared" si="314"/>
        <v>472623.55919999996</v>
      </c>
      <c r="HS32" s="118"/>
      <c r="HT32" s="318">
        <f t="shared" si="315"/>
        <v>5929969.0277594356</v>
      </c>
      <c r="HU32" s="151">
        <f t="shared" si="316"/>
        <v>6997363.4527561339</v>
      </c>
      <c r="HV32" s="319"/>
    </row>
    <row r="33" spans="1:230">
      <c r="A33" s="18">
        <v>4</v>
      </c>
      <c r="B33" s="19" t="s">
        <v>34</v>
      </c>
      <c r="C33" s="118"/>
      <c r="D33" s="151">
        <v>29202.639999999999</v>
      </c>
      <c r="E33" s="151">
        <f t="shared" si="213"/>
        <v>24748</v>
      </c>
      <c r="F33" s="151">
        <f>E33/E2</f>
        <v>100</v>
      </c>
      <c r="G33" s="159">
        <v>378.23117489409526</v>
      </c>
      <c r="H33" s="266">
        <f t="shared" si="214"/>
        <v>192164.43330163395</v>
      </c>
      <c r="I33" s="159">
        <f t="shared" si="215"/>
        <v>226754.03129592806</v>
      </c>
      <c r="J33" s="118"/>
      <c r="K33" s="151">
        <v>29202.639999999999</v>
      </c>
      <c r="L33" s="151">
        <f t="shared" si="216"/>
        <v>24748</v>
      </c>
      <c r="M33" s="151">
        <f>L33/L2</f>
        <v>353.54285714285714</v>
      </c>
      <c r="N33" s="159">
        <v>378.23117489409526</v>
      </c>
      <c r="O33" s="266">
        <f t="shared" si="217"/>
        <v>192164.43330163395</v>
      </c>
      <c r="P33" s="159">
        <f t="shared" si="218"/>
        <v>226754.03129592806</v>
      </c>
      <c r="Q33" s="118"/>
      <c r="R33" s="151"/>
      <c r="S33" s="151">
        <f t="shared" si="219"/>
        <v>0</v>
      </c>
      <c r="T33" s="151">
        <f>S33/S2</f>
        <v>0</v>
      </c>
      <c r="U33" s="159">
        <v>378.23117489409526</v>
      </c>
      <c r="V33" s="266">
        <f t="shared" si="220"/>
        <v>145507.56030085587</v>
      </c>
      <c r="W33" s="159">
        <f t="shared" si="221"/>
        <v>171698.92115500991</v>
      </c>
      <c r="X33" s="118"/>
      <c r="Y33" s="151"/>
      <c r="Z33" s="151">
        <f t="shared" si="222"/>
        <v>0</v>
      </c>
      <c r="AA33" s="151">
        <f>Z33/Z2</f>
        <v>0</v>
      </c>
      <c r="AB33" s="159">
        <v>378.23117489409526</v>
      </c>
      <c r="AC33" s="266">
        <f t="shared" si="223"/>
        <v>145507.56030085587</v>
      </c>
      <c r="AD33" s="159">
        <f t="shared" si="224"/>
        <v>171698.92115500991</v>
      </c>
      <c r="AE33" s="118"/>
      <c r="AF33" s="151">
        <v>39176</v>
      </c>
      <c r="AG33" s="151">
        <f t="shared" si="225"/>
        <v>33200</v>
      </c>
      <c r="AH33" s="151">
        <f>AG33/AG2</f>
        <v>219.86754966887418</v>
      </c>
      <c r="AI33" s="96">
        <v>300</v>
      </c>
      <c r="AJ33" s="267">
        <f t="shared" si="227"/>
        <v>536693.03999999992</v>
      </c>
      <c r="AK33" s="96">
        <f t="shared" si="228"/>
        <v>633297.7871999999</v>
      </c>
      <c r="AL33" s="118"/>
      <c r="AM33" s="151">
        <v>826000</v>
      </c>
      <c r="AN33" s="151">
        <f t="shared" si="229"/>
        <v>700000</v>
      </c>
      <c r="AO33" s="151">
        <f>AN33/AN2</f>
        <v>378.23117489409526</v>
      </c>
      <c r="AP33" s="96">
        <f t="shared" si="230"/>
        <v>378.23117489409526</v>
      </c>
      <c r="AQ33" s="267">
        <f t="shared" si="231"/>
        <v>283483.25192357565</v>
      </c>
      <c r="AR33" s="96">
        <f t="shared" si="232"/>
        <v>334510.23726981925</v>
      </c>
      <c r="AS33" s="118"/>
      <c r="AT33" s="287">
        <v>802071.96</v>
      </c>
      <c r="AU33" s="287">
        <f t="shared" si="233"/>
        <v>679722</v>
      </c>
      <c r="AV33" s="288">
        <f t="shared" si="234"/>
        <v>625.45732268394124</v>
      </c>
      <c r="AW33" s="96">
        <f t="shared" si="235"/>
        <v>625.45732268394124</v>
      </c>
      <c r="AX33" s="267">
        <f t="shared" si="236"/>
        <v>1118928.6396716845</v>
      </c>
      <c r="AY33" s="96">
        <f t="shared" si="237"/>
        <v>1320335.7948125876</v>
      </c>
      <c r="AZ33" s="118"/>
      <c r="BA33" s="287"/>
      <c r="BB33" s="287"/>
      <c r="BC33" s="288"/>
      <c r="BD33" s="96">
        <v>600</v>
      </c>
      <c r="BE33" s="267">
        <f t="shared" si="238"/>
        <v>583193.5199999999</v>
      </c>
      <c r="BF33" s="96">
        <f t="shared" si="239"/>
        <v>688168.3535999998</v>
      </c>
      <c r="BG33" s="118"/>
      <c r="BH33" s="151"/>
      <c r="BI33" s="151">
        <f t="shared" si="240"/>
        <v>0</v>
      </c>
      <c r="BJ33" s="151">
        <f>BI33/BI2</f>
        <v>0</v>
      </c>
      <c r="BK33" s="210"/>
      <c r="BL33" s="210">
        <f>BK33*BL2</f>
        <v>0</v>
      </c>
      <c r="BM33" s="210">
        <f t="shared" si="241"/>
        <v>0</v>
      </c>
      <c r="BN33" s="118"/>
      <c r="BO33" s="151"/>
      <c r="BP33" s="151">
        <f t="shared" si="242"/>
        <v>0</v>
      </c>
      <c r="BQ33" s="151">
        <f>BP33/BP2</f>
        <v>0</v>
      </c>
      <c r="BR33" s="210"/>
      <c r="BS33" s="210">
        <f>BR33*BS2</f>
        <v>0</v>
      </c>
      <c r="BT33" s="210">
        <f t="shared" si="243"/>
        <v>0</v>
      </c>
      <c r="BU33" s="118"/>
      <c r="BV33" s="151"/>
      <c r="BW33" s="151">
        <f t="shared" si="244"/>
        <v>0</v>
      </c>
      <c r="BX33" s="151">
        <f>BW33/BW2</f>
        <v>0</v>
      </c>
      <c r="BY33" s="96">
        <v>200</v>
      </c>
      <c r="BZ33" s="96">
        <f t="shared" si="246"/>
        <v>639381.6</v>
      </c>
      <c r="CA33" s="96">
        <f t="shared" si="247"/>
        <v>754470.28799999994</v>
      </c>
      <c r="CB33" s="118"/>
      <c r="CC33" s="151">
        <v>39176</v>
      </c>
      <c r="CD33" s="151">
        <f t="shared" si="248"/>
        <v>33200</v>
      </c>
      <c r="CE33" s="151">
        <f>CD33/CD2</f>
        <v>219.86754966887418</v>
      </c>
      <c r="CF33" s="96">
        <v>1100</v>
      </c>
      <c r="CG33" s="267">
        <f t="shared" si="250"/>
        <v>361132.19999999995</v>
      </c>
      <c r="CH33" s="96">
        <f t="shared" si="251"/>
        <v>426135.99599999993</v>
      </c>
      <c r="CI33" s="118"/>
      <c r="CJ33" s="151">
        <v>826000</v>
      </c>
      <c r="CK33" s="151">
        <f t="shared" si="252"/>
        <v>700000</v>
      </c>
      <c r="CL33" s="151">
        <f>CK33/CK2</f>
        <v>378.23117489409526</v>
      </c>
      <c r="CM33" s="96">
        <f t="shared" si="317"/>
        <v>378.23117489409526</v>
      </c>
      <c r="CN33" s="267">
        <f t="shared" si="253"/>
        <v>124174.05118008125</v>
      </c>
      <c r="CO33" s="96">
        <f t="shared" si="254"/>
        <v>146525.38039249586</v>
      </c>
      <c r="CP33" s="118"/>
      <c r="CQ33" s="151">
        <v>826000</v>
      </c>
      <c r="CR33" s="151">
        <f t="shared" si="255"/>
        <v>700000</v>
      </c>
      <c r="CS33" s="151">
        <f>CR33/CR2</f>
        <v>378.23117489409526</v>
      </c>
      <c r="CT33" s="96">
        <f t="shared" si="318"/>
        <v>378.23117489409526</v>
      </c>
      <c r="CU33" s="267">
        <f t="shared" si="256"/>
        <v>124174.05118008125</v>
      </c>
      <c r="CV33" s="96">
        <f t="shared" si="257"/>
        <v>146525.38039249586</v>
      </c>
      <c r="CW33" s="118"/>
      <c r="CX33" s="151"/>
      <c r="CY33" s="151">
        <f t="shared" si="258"/>
        <v>0</v>
      </c>
      <c r="CZ33" s="151">
        <f>CY33/CY2</f>
        <v>0</v>
      </c>
      <c r="DA33" s="210"/>
      <c r="DB33" s="210">
        <f>DA33*DB2</f>
        <v>0</v>
      </c>
      <c r="DC33" s="210">
        <f t="shared" si="259"/>
        <v>0</v>
      </c>
      <c r="DD33" s="118"/>
      <c r="DE33" s="151">
        <f>115540.88+45000.48</f>
        <v>160541.36000000002</v>
      </c>
      <c r="DF33" s="151">
        <f t="shared" si="260"/>
        <v>136052.00000000003</v>
      </c>
      <c r="DG33" s="151">
        <f>DF33/DF2</f>
        <v>138.9703779366701</v>
      </c>
      <c r="DH33" s="159">
        <v>950</v>
      </c>
      <c r="DI33" s="266">
        <f t="shared" si="261"/>
        <v>360868.48199999996</v>
      </c>
      <c r="DJ33" s="159">
        <f t="shared" si="262"/>
        <v>425824.80875999993</v>
      </c>
      <c r="DK33" s="118"/>
      <c r="DL33" s="151">
        <v>39176</v>
      </c>
      <c r="DM33" s="151">
        <f t="shared" si="263"/>
        <v>33200</v>
      </c>
      <c r="DN33" s="151">
        <f>DM33/DM2</f>
        <v>219.86754966887418</v>
      </c>
      <c r="DO33" s="96">
        <v>600</v>
      </c>
      <c r="DP33" s="267">
        <f t="shared" si="265"/>
        <v>396222.83999999997</v>
      </c>
      <c r="DQ33" s="96">
        <f t="shared" si="266"/>
        <v>467542.95119999995</v>
      </c>
      <c r="DR33" s="118"/>
      <c r="DS33" s="151">
        <v>935055.82239999995</v>
      </c>
      <c r="DT33" s="151">
        <f t="shared" si="267"/>
        <v>834871.2699999999</v>
      </c>
      <c r="DU33" s="133">
        <f t="shared" si="268"/>
        <v>316.69496623928381</v>
      </c>
      <c r="DV33" s="159">
        <v>500</v>
      </c>
      <c r="DW33" s="266">
        <f t="shared" si="270"/>
        <v>384005.69999999995</v>
      </c>
      <c r="DX33" s="159">
        <f t="shared" si="271"/>
        <v>453126.72599999991</v>
      </c>
      <c r="DY33" s="118"/>
      <c r="DZ33" s="151">
        <v>826000</v>
      </c>
      <c r="EA33" s="151">
        <f t="shared" si="272"/>
        <v>700000</v>
      </c>
      <c r="EB33" s="151">
        <f>EA33/EA2</f>
        <v>378.23117489409526</v>
      </c>
      <c r="EC33" s="96">
        <v>600</v>
      </c>
      <c r="ED33" s="267">
        <f t="shared" si="273"/>
        <v>213094.90799999997</v>
      </c>
      <c r="EE33" s="96">
        <f t="shared" si="274"/>
        <v>251451.99143999995</v>
      </c>
      <c r="EF33" s="118"/>
      <c r="EG33" s="151"/>
      <c r="EH33" s="151">
        <f t="shared" si="275"/>
        <v>0</v>
      </c>
      <c r="EI33" s="151">
        <f>EH33/EH2</f>
        <v>0</v>
      </c>
      <c r="EJ33" s="210"/>
      <c r="EK33" s="210">
        <f>EJ33*EK2</f>
        <v>0</v>
      </c>
      <c r="EL33" s="210">
        <f t="shared" si="276"/>
        <v>0</v>
      </c>
      <c r="EM33" s="118"/>
      <c r="EN33" s="151">
        <f>294565.76+45000</f>
        <v>339565.76</v>
      </c>
      <c r="EO33" s="151">
        <f t="shared" si="277"/>
        <v>287767.59322033898</v>
      </c>
      <c r="EP33" s="151">
        <f>EO33/EO2</f>
        <v>461.10689850714488</v>
      </c>
      <c r="EQ33" s="159">
        <v>800</v>
      </c>
      <c r="ER33" s="266">
        <f t="shared" si="278"/>
        <v>284126.54399999999</v>
      </c>
      <c r="ES33" s="159">
        <f t="shared" si="279"/>
        <v>335269.32191999996</v>
      </c>
      <c r="ET33" s="118"/>
      <c r="EU33" s="151">
        <v>826000</v>
      </c>
      <c r="EV33" s="151">
        <f t="shared" si="280"/>
        <v>700000</v>
      </c>
      <c r="EW33" s="151">
        <f>EV33/EV2</f>
        <v>378.23117489409526</v>
      </c>
      <c r="EX33" s="96">
        <f t="shared" si="281"/>
        <v>378.23117489409526</v>
      </c>
      <c r="EY33" s="267">
        <f t="shared" si="282"/>
        <v>916770.91294199019</v>
      </c>
      <c r="EZ33" s="96">
        <f t="shared" si="283"/>
        <v>1081789.6772715484</v>
      </c>
      <c r="FA33" s="118"/>
      <c r="FB33" s="151"/>
      <c r="FC33" s="151">
        <f t="shared" si="284"/>
        <v>0</v>
      </c>
      <c r="FD33" s="151">
        <f>FC33/FC2</f>
        <v>0</v>
      </c>
      <c r="FE33" s="96">
        <v>120</v>
      </c>
      <c r="FF33" s="267">
        <f t="shared" si="286"/>
        <v>624733.94880000001</v>
      </c>
      <c r="FG33" s="96">
        <f t="shared" si="287"/>
        <v>737186.05958400003</v>
      </c>
      <c r="FH33" s="118"/>
      <c r="FI33" s="287">
        <v>802071.96</v>
      </c>
      <c r="FJ33" s="287">
        <f t="shared" si="288"/>
        <v>679722</v>
      </c>
      <c r="FK33" s="288">
        <f t="shared" si="289"/>
        <v>625.45732268394124</v>
      </c>
      <c r="FL33" s="96">
        <f t="shared" si="290"/>
        <v>625.45732268394124</v>
      </c>
      <c r="FM33" s="267">
        <f t="shared" si="291"/>
        <v>909987.90361746831</v>
      </c>
      <c r="FN33" s="139">
        <f t="shared" si="292"/>
        <v>1073785.7262686125</v>
      </c>
      <c r="FO33" s="118"/>
      <c r="FP33" s="151"/>
      <c r="FQ33" s="151">
        <f t="shared" si="293"/>
        <v>0</v>
      </c>
      <c r="FR33" s="151">
        <f>FQ33/FQ2</f>
        <v>0</v>
      </c>
      <c r="FS33" s="96">
        <v>625.45732268394124</v>
      </c>
      <c r="FT33" s="267">
        <f t="shared" si="294"/>
        <v>909987.90361746831</v>
      </c>
      <c r="FU33" s="96">
        <f t="shared" si="295"/>
        <v>1073785.7262686125</v>
      </c>
      <c r="FV33" s="118"/>
      <c r="FW33" s="151">
        <v>39176</v>
      </c>
      <c r="FX33" s="151">
        <f t="shared" si="296"/>
        <v>33200</v>
      </c>
      <c r="FY33" s="151">
        <f>FX33/FX2</f>
        <v>219.86754966887418</v>
      </c>
      <c r="FZ33" s="96">
        <v>1100</v>
      </c>
      <c r="GA33" s="267">
        <f t="shared" si="298"/>
        <v>207206.99999999997</v>
      </c>
      <c r="GB33" s="96">
        <f t="shared" si="299"/>
        <v>244504.25999999995</v>
      </c>
      <c r="GC33" s="118"/>
      <c r="GD33" s="151"/>
      <c r="GE33" s="151">
        <f t="shared" si="300"/>
        <v>0</v>
      </c>
      <c r="GF33" s="151">
        <f>GE33/GE2</f>
        <v>0</v>
      </c>
      <c r="GG33" s="159">
        <v>900</v>
      </c>
      <c r="GH33" s="266">
        <f t="shared" si="302"/>
        <v>332284.67999999993</v>
      </c>
      <c r="GI33" s="159">
        <f t="shared" si="303"/>
        <v>392095.92239999992</v>
      </c>
      <c r="GJ33" s="118"/>
      <c r="GK33" s="151">
        <v>163842.52799999999</v>
      </c>
      <c r="GL33" s="151">
        <f t="shared" si="320"/>
        <v>138849.60000000001</v>
      </c>
      <c r="GM33" s="270">
        <f t="shared" si="321"/>
        <v>551.46315889810319</v>
      </c>
      <c r="GN33" s="159">
        <v>1100</v>
      </c>
      <c r="GO33" s="266">
        <f t="shared" si="323"/>
        <v>309744.864</v>
      </c>
      <c r="GP33" s="159">
        <f t="shared" si="324"/>
        <v>365498.93951999996</v>
      </c>
      <c r="GQ33" s="118"/>
      <c r="GR33" s="151">
        <v>39176</v>
      </c>
      <c r="GS33" s="151">
        <f t="shared" si="304"/>
        <v>33200</v>
      </c>
      <c r="GT33" s="151">
        <f>GS33/GS2</f>
        <v>219.86754966887418</v>
      </c>
      <c r="GU33" s="96">
        <v>600</v>
      </c>
      <c r="GV33" s="267">
        <f t="shared" si="306"/>
        <v>263308.96799999999</v>
      </c>
      <c r="GW33" s="96">
        <f t="shared" si="307"/>
        <v>310704.58223999996</v>
      </c>
      <c r="GX33" s="118"/>
      <c r="GY33" s="151">
        <f>115540.88+45000.48</f>
        <v>160541.36000000002</v>
      </c>
      <c r="GZ33" s="151">
        <f t="shared" si="308"/>
        <v>136052.00000000003</v>
      </c>
      <c r="HA33" s="151">
        <f>GZ33/GZ2</f>
        <v>138.9703779366701</v>
      </c>
      <c r="HB33" s="159">
        <v>600</v>
      </c>
      <c r="HC33" s="266">
        <f t="shared" si="325"/>
        <v>405264.6</v>
      </c>
      <c r="HD33" s="159">
        <f t="shared" si="326"/>
        <v>478212.22799999994</v>
      </c>
      <c r="HE33" s="118"/>
      <c r="HF33" s="151"/>
      <c r="HG33" s="151">
        <f t="shared" si="309"/>
        <v>0</v>
      </c>
      <c r="HH33" s="151">
        <f>HG33/HG2</f>
        <v>0</v>
      </c>
      <c r="HI33" s="210"/>
      <c r="HJ33" s="210">
        <f>HI33*HJ2</f>
        <v>0</v>
      </c>
      <c r="HK33" s="210">
        <f t="shared" si="310"/>
        <v>0</v>
      </c>
      <c r="HL33" s="118"/>
      <c r="HM33" s="151">
        <v>39176</v>
      </c>
      <c r="HN33" s="151">
        <f t="shared" si="311"/>
        <v>33200</v>
      </c>
      <c r="HO33" s="151">
        <f>HN33/HN2</f>
        <v>219.86754966887418</v>
      </c>
      <c r="HP33" s="96">
        <v>450</v>
      </c>
      <c r="HQ33" s="267">
        <f t="shared" si="313"/>
        <v>360475.59599999996</v>
      </c>
      <c r="HR33" s="96">
        <f t="shared" si="314"/>
        <v>425361.20327999996</v>
      </c>
      <c r="HS33" s="118"/>
      <c r="HT33" s="318">
        <f t="shared" si="315"/>
        <v>11324589.192137329</v>
      </c>
      <c r="HU33" s="151">
        <f t="shared" si="316"/>
        <v>13363015.246722048</v>
      </c>
      <c r="HV33" s="319"/>
    </row>
    <row r="34" spans="1:230">
      <c r="A34" s="18">
        <v>5</v>
      </c>
      <c r="B34" s="19" t="s">
        <v>91</v>
      </c>
      <c r="C34" s="118"/>
      <c r="D34" s="151">
        <v>0</v>
      </c>
      <c r="E34" s="151">
        <f t="shared" si="213"/>
        <v>0</v>
      </c>
      <c r="F34" s="151">
        <f>E34/E2</f>
        <v>0</v>
      </c>
      <c r="G34" s="159">
        <v>0</v>
      </c>
      <c r="H34" s="266">
        <f t="shared" si="214"/>
        <v>0</v>
      </c>
      <c r="I34" s="159">
        <f t="shared" si="215"/>
        <v>0</v>
      </c>
      <c r="J34" s="118"/>
      <c r="K34" s="151">
        <v>0</v>
      </c>
      <c r="L34" s="151">
        <f t="shared" si="216"/>
        <v>0</v>
      </c>
      <c r="M34" s="151">
        <f>L34/L2</f>
        <v>0</v>
      </c>
      <c r="N34" s="159">
        <v>0</v>
      </c>
      <c r="O34" s="266">
        <f t="shared" si="217"/>
        <v>0</v>
      </c>
      <c r="P34" s="159">
        <f t="shared" si="218"/>
        <v>0</v>
      </c>
      <c r="Q34" s="118"/>
      <c r="R34" s="151"/>
      <c r="S34" s="151">
        <f t="shared" si="219"/>
        <v>0</v>
      </c>
      <c r="T34" s="151">
        <f>S34/S2</f>
        <v>0</v>
      </c>
      <c r="U34" s="159">
        <v>0</v>
      </c>
      <c r="V34" s="266">
        <f t="shared" si="220"/>
        <v>0</v>
      </c>
      <c r="W34" s="159">
        <f t="shared" si="221"/>
        <v>0</v>
      </c>
      <c r="X34" s="118"/>
      <c r="Y34" s="151"/>
      <c r="Z34" s="151">
        <f t="shared" si="222"/>
        <v>0</v>
      </c>
      <c r="AA34" s="151">
        <f>Z34/Z2</f>
        <v>0</v>
      </c>
      <c r="AB34" s="159">
        <v>0</v>
      </c>
      <c r="AC34" s="266">
        <f t="shared" si="223"/>
        <v>0</v>
      </c>
      <c r="AD34" s="159">
        <f t="shared" si="224"/>
        <v>0</v>
      </c>
      <c r="AE34" s="118"/>
      <c r="AF34" s="151"/>
      <c r="AG34" s="151">
        <f t="shared" si="225"/>
        <v>0</v>
      </c>
      <c r="AH34" s="151">
        <f>AG34/AG2</f>
        <v>0</v>
      </c>
      <c r="AI34" s="96">
        <f t="shared" si="226"/>
        <v>0</v>
      </c>
      <c r="AJ34" s="267">
        <f t="shared" si="227"/>
        <v>0</v>
      </c>
      <c r="AK34" s="96">
        <f t="shared" si="228"/>
        <v>0</v>
      </c>
      <c r="AL34" s="118"/>
      <c r="AM34" s="151"/>
      <c r="AN34" s="151">
        <f t="shared" si="229"/>
        <v>0</v>
      </c>
      <c r="AO34" s="151">
        <f>AN34/AN2</f>
        <v>0</v>
      </c>
      <c r="AP34" s="96">
        <f t="shared" si="230"/>
        <v>0</v>
      </c>
      <c r="AQ34" s="267">
        <f t="shared" si="231"/>
        <v>0</v>
      </c>
      <c r="AR34" s="96">
        <f t="shared" si="232"/>
        <v>0</v>
      </c>
      <c r="AS34" s="118"/>
      <c r="AT34" s="287">
        <v>35400</v>
      </c>
      <c r="AU34" s="287">
        <f t="shared" si="233"/>
        <v>30000</v>
      </c>
      <c r="AV34" s="288">
        <f t="shared" si="234"/>
        <v>27.604990982369614</v>
      </c>
      <c r="AW34" s="96">
        <f t="shared" si="235"/>
        <v>27.604990982369614</v>
      </c>
      <c r="AX34" s="267">
        <f t="shared" si="236"/>
        <v>49384.688431668437</v>
      </c>
      <c r="AY34" s="96">
        <f t="shared" si="237"/>
        <v>58273.932349368755</v>
      </c>
      <c r="AZ34" s="118"/>
      <c r="BA34" s="287"/>
      <c r="BB34" s="287"/>
      <c r="BC34" s="288"/>
      <c r="BD34" s="96">
        <v>100</v>
      </c>
      <c r="BE34" s="267">
        <f t="shared" si="238"/>
        <v>97198.919999999984</v>
      </c>
      <c r="BF34" s="96">
        <f t="shared" si="239"/>
        <v>114694.72559999998</v>
      </c>
      <c r="BG34" s="118"/>
      <c r="BH34" s="151"/>
      <c r="BI34" s="151">
        <f t="shared" si="240"/>
        <v>0</v>
      </c>
      <c r="BJ34" s="151">
        <f>BI34/BI2</f>
        <v>0</v>
      </c>
      <c r="BK34" s="210"/>
      <c r="BL34" s="210">
        <f>BK34*BL2</f>
        <v>0</v>
      </c>
      <c r="BM34" s="210">
        <f t="shared" si="241"/>
        <v>0</v>
      </c>
      <c r="BN34" s="118"/>
      <c r="BO34" s="151"/>
      <c r="BP34" s="151">
        <f t="shared" si="242"/>
        <v>0</v>
      </c>
      <c r="BQ34" s="151">
        <f>BP34/BP2</f>
        <v>0</v>
      </c>
      <c r="BR34" s="210"/>
      <c r="BS34" s="210">
        <f>BR34*BS2</f>
        <v>0</v>
      </c>
      <c r="BT34" s="210">
        <f t="shared" si="243"/>
        <v>0</v>
      </c>
      <c r="BU34" s="118"/>
      <c r="BV34" s="151">
        <v>464892.15999999997</v>
      </c>
      <c r="BW34" s="151">
        <f t="shared" si="244"/>
        <v>393976.40677966102</v>
      </c>
      <c r="BX34" s="151">
        <f>BW34/BW2</f>
        <v>87.550312617702446</v>
      </c>
      <c r="BY34" s="96">
        <f t="shared" si="245"/>
        <v>87.550312617702446</v>
      </c>
      <c r="BZ34" s="96">
        <f t="shared" si="246"/>
        <v>279890.29481003387</v>
      </c>
      <c r="CA34" s="96">
        <f t="shared" si="247"/>
        <v>330270.54787583993</v>
      </c>
      <c r="CB34" s="118"/>
      <c r="CC34" s="151"/>
      <c r="CD34" s="151">
        <f t="shared" si="248"/>
        <v>0</v>
      </c>
      <c r="CE34" s="151">
        <f>CD34/CD2</f>
        <v>0</v>
      </c>
      <c r="CF34" s="96">
        <f t="shared" si="249"/>
        <v>0</v>
      </c>
      <c r="CG34" s="267">
        <f t="shared" si="250"/>
        <v>0</v>
      </c>
      <c r="CH34" s="96">
        <f t="shared" si="251"/>
        <v>0</v>
      </c>
      <c r="CI34" s="118"/>
      <c r="CJ34" s="151"/>
      <c r="CK34" s="151">
        <f t="shared" si="252"/>
        <v>0</v>
      </c>
      <c r="CL34" s="151">
        <f>CK34/CK2</f>
        <v>0</v>
      </c>
      <c r="CM34" s="96">
        <f t="shared" si="317"/>
        <v>0</v>
      </c>
      <c r="CN34" s="267">
        <f t="shared" si="253"/>
        <v>0</v>
      </c>
      <c r="CO34" s="96">
        <f t="shared" si="254"/>
        <v>0</v>
      </c>
      <c r="CP34" s="118"/>
      <c r="CQ34" s="151"/>
      <c r="CR34" s="151">
        <f t="shared" si="255"/>
        <v>0</v>
      </c>
      <c r="CS34" s="151">
        <f>CR34/CR2</f>
        <v>0</v>
      </c>
      <c r="CT34" s="96">
        <f t="shared" si="318"/>
        <v>0</v>
      </c>
      <c r="CU34" s="267">
        <f t="shared" si="256"/>
        <v>0</v>
      </c>
      <c r="CV34" s="96">
        <f t="shared" si="257"/>
        <v>0</v>
      </c>
      <c r="CW34" s="118"/>
      <c r="CX34" s="151"/>
      <c r="CY34" s="151">
        <f t="shared" si="258"/>
        <v>0</v>
      </c>
      <c r="CZ34" s="151">
        <f>CY34/CY2</f>
        <v>0</v>
      </c>
      <c r="DA34" s="210"/>
      <c r="DB34" s="210">
        <f>DA34*DB2</f>
        <v>0</v>
      </c>
      <c r="DC34" s="210">
        <f t="shared" si="259"/>
        <v>0</v>
      </c>
      <c r="DD34" s="118"/>
      <c r="DE34" s="151"/>
      <c r="DF34" s="151">
        <f t="shared" si="260"/>
        <v>0</v>
      </c>
      <c r="DG34" s="151">
        <f>DF34/DF2</f>
        <v>0</v>
      </c>
      <c r="DH34" s="159">
        <f t="shared" ref="DH34:DH41" si="327">+DG34</f>
        <v>0</v>
      </c>
      <c r="DI34" s="266">
        <f t="shared" si="261"/>
        <v>0</v>
      </c>
      <c r="DJ34" s="159">
        <f t="shared" si="262"/>
        <v>0</v>
      </c>
      <c r="DK34" s="118"/>
      <c r="DL34" s="151"/>
      <c r="DM34" s="151">
        <f t="shared" si="263"/>
        <v>0</v>
      </c>
      <c r="DN34" s="151">
        <f>DM34/DM2</f>
        <v>0</v>
      </c>
      <c r="DO34" s="96">
        <f t="shared" si="264"/>
        <v>0</v>
      </c>
      <c r="DP34" s="267">
        <f t="shared" si="265"/>
        <v>0</v>
      </c>
      <c r="DQ34" s="96">
        <f t="shared" si="266"/>
        <v>0</v>
      </c>
      <c r="DR34" s="118"/>
      <c r="DS34" s="151"/>
      <c r="DT34" s="151">
        <f t="shared" si="267"/>
        <v>0</v>
      </c>
      <c r="DU34" s="133">
        <f t="shared" si="268"/>
        <v>0</v>
      </c>
      <c r="DV34" s="159">
        <f t="shared" si="269"/>
        <v>0</v>
      </c>
      <c r="DW34" s="266">
        <f t="shared" si="270"/>
        <v>0</v>
      </c>
      <c r="DX34" s="159">
        <f t="shared" si="271"/>
        <v>0</v>
      </c>
      <c r="DY34" s="118"/>
      <c r="DZ34" s="151"/>
      <c r="EA34" s="151">
        <f t="shared" si="272"/>
        <v>0</v>
      </c>
      <c r="EB34" s="151">
        <f>EA34/EA2</f>
        <v>0</v>
      </c>
      <c r="EC34" s="96">
        <f t="shared" si="319"/>
        <v>0</v>
      </c>
      <c r="ED34" s="267">
        <f t="shared" si="273"/>
        <v>0</v>
      </c>
      <c r="EE34" s="96">
        <f t="shared" si="274"/>
        <v>0</v>
      </c>
      <c r="EF34" s="118"/>
      <c r="EG34" s="151"/>
      <c r="EH34" s="151">
        <f t="shared" si="275"/>
        <v>0</v>
      </c>
      <c r="EI34" s="151">
        <f>EH34/EH2</f>
        <v>0</v>
      </c>
      <c r="EJ34" s="210"/>
      <c r="EK34" s="210">
        <f>EJ34*EK2</f>
        <v>0</v>
      </c>
      <c r="EL34" s="210">
        <f t="shared" si="276"/>
        <v>0</v>
      </c>
      <c r="EM34" s="118"/>
      <c r="EN34" s="151">
        <v>23600</v>
      </c>
      <c r="EO34" s="151">
        <f t="shared" si="277"/>
        <v>20000</v>
      </c>
      <c r="EP34" s="151">
        <f>EO34/EO2</f>
        <v>32.047173439302654</v>
      </c>
      <c r="EQ34" s="159">
        <v>100</v>
      </c>
      <c r="ER34" s="266">
        <f t="shared" si="278"/>
        <v>35515.817999999999</v>
      </c>
      <c r="ES34" s="159">
        <f t="shared" si="279"/>
        <v>41908.665239999995</v>
      </c>
      <c r="ET34" s="118"/>
      <c r="EU34" s="151"/>
      <c r="EV34" s="151">
        <f t="shared" si="280"/>
        <v>0</v>
      </c>
      <c r="EW34" s="151">
        <f>EV34/EV2</f>
        <v>0</v>
      </c>
      <c r="EX34" s="96">
        <f t="shared" si="281"/>
        <v>0</v>
      </c>
      <c r="EY34" s="267">
        <f t="shared" si="282"/>
        <v>0</v>
      </c>
      <c r="EZ34" s="96">
        <f t="shared" si="283"/>
        <v>0</v>
      </c>
      <c r="FA34" s="118"/>
      <c r="FB34" s="151">
        <v>464892.15999999997</v>
      </c>
      <c r="FC34" s="151">
        <f t="shared" si="284"/>
        <v>393976.40677966102</v>
      </c>
      <c r="FD34" s="151">
        <f>FC34/FC2</f>
        <v>87.550312617702446</v>
      </c>
      <c r="FE34" s="96">
        <f t="shared" si="285"/>
        <v>87.550312617702446</v>
      </c>
      <c r="FF34" s="267">
        <f t="shared" si="286"/>
        <v>455797.10433609766</v>
      </c>
      <c r="FG34" s="96">
        <f t="shared" si="287"/>
        <v>537840.58311659517</v>
      </c>
      <c r="FH34" s="118"/>
      <c r="FI34" s="287">
        <v>35400</v>
      </c>
      <c r="FJ34" s="287">
        <f t="shared" si="288"/>
        <v>30000</v>
      </c>
      <c r="FK34" s="288">
        <f t="shared" si="289"/>
        <v>27.604990982369614</v>
      </c>
      <c r="FL34" s="96">
        <f t="shared" si="290"/>
        <v>27.604990982369614</v>
      </c>
      <c r="FM34" s="267">
        <f t="shared" si="291"/>
        <v>40162.944716404723</v>
      </c>
      <c r="FN34" s="139">
        <f t="shared" si="292"/>
        <v>47392.274765357572</v>
      </c>
      <c r="FO34" s="118"/>
      <c r="FP34" s="151"/>
      <c r="FQ34" s="151">
        <f t="shared" si="293"/>
        <v>0</v>
      </c>
      <c r="FR34" s="151">
        <f>FQ34/FQ2</f>
        <v>0</v>
      </c>
      <c r="FS34" s="96">
        <v>27.604990982369614</v>
      </c>
      <c r="FT34" s="267">
        <f t="shared" si="294"/>
        <v>40162.944716404723</v>
      </c>
      <c r="FU34" s="96">
        <f t="shared" si="295"/>
        <v>47392.274765357572</v>
      </c>
      <c r="FV34" s="118"/>
      <c r="FW34" s="151"/>
      <c r="FX34" s="151">
        <f t="shared" si="296"/>
        <v>0</v>
      </c>
      <c r="FY34" s="151">
        <f>FX34/FX2</f>
        <v>0</v>
      </c>
      <c r="FZ34" s="96">
        <f t="shared" si="297"/>
        <v>0</v>
      </c>
      <c r="GA34" s="267">
        <f t="shared" si="298"/>
        <v>0</v>
      </c>
      <c r="GB34" s="96">
        <f t="shared" si="299"/>
        <v>0</v>
      </c>
      <c r="GC34" s="118"/>
      <c r="GD34" s="151"/>
      <c r="GE34" s="151">
        <f t="shared" si="300"/>
        <v>0</v>
      </c>
      <c r="GF34" s="151">
        <f>GE34/GE2</f>
        <v>0</v>
      </c>
      <c r="GG34" s="159">
        <f t="shared" si="301"/>
        <v>0</v>
      </c>
      <c r="GH34" s="266">
        <f t="shared" si="302"/>
        <v>0</v>
      </c>
      <c r="GI34" s="159">
        <f t="shared" si="303"/>
        <v>0</v>
      </c>
      <c r="GJ34" s="118"/>
      <c r="GK34" s="151">
        <v>5900</v>
      </c>
      <c r="GL34" s="151">
        <f t="shared" si="320"/>
        <v>5000</v>
      </c>
      <c r="GM34" s="270">
        <f t="shared" si="321"/>
        <v>19.858291233755917</v>
      </c>
      <c r="GN34" s="159">
        <f t="shared" si="322"/>
        <v>19.858291233755917</v>
      </c>
      <c r="GO34" s="266">
        <f t="shared" si="323"/>
        <v>5591.821561338289</v>
      </c>
      <c r="GP34" s="159">
        <f t="shared" si="324"/>
        <v>6598.3494423791808</v>
      </c>
      <c r="GQ34" s="118"/>
      <c r="GR34" s="151"/>
      <c r="GS34" s="151">
        <f t="shared" si="304"/>
        <v>0</v>
      </c>
      <c r="GT34" s="151">
        <f>GS34/GS2</f>
        <v>0</v>
      </c>
      <c r="GU34" s="96">
        <f t="shared" si="305"/>
        <v>0</v>
      </c>
      <c r="GV34" s="267">
        <f t="shared" si="306"/>
        <v>0</v>
      </c>
      <c r="GW34" s="96">
        <f t="shared" si="307"/>
        <v>0</v>
      </c>
      <c r="GX34" s="118"/>
      <c r="GY34" s="151"/>
      <c r="GZ34" s="151">
        <f t="shared" si="308"/>
        <v>0</v>
      </c>
      <c r="HA34" s="151">
        <f>GZ34/GZ2</f>
        <v>0</v>
      </c>
      <c r="HB34" s="159">
        <f t="shared" ref="HB34:HB41" si="328">+HA34</f>
        <v>0</v>
      </c>
      <c r="HC34" s="266">
        <f t="shared" si="325"/>
        <v>0</v>
      </c>
      <c r="HD34" s="159">
        <f t="shared" si="326"/>
        <v>0</v>
      </c>
      <c r="HE34" s="118"/>
      <c r="HF34" s="151"/>
      <c r="HG34" s="151">
        <f t="shared" si="309"/>
        <v>0</v>
      </c>
      <c r="HH34" s="151">
        <f>HG34/HG2</f>
        <v>0</v>
      </c>
      <c r="HI34" s="210"/>
      <c r="HJ34" s="210">
        <f>HI34*HJ2</f>
        <v>0</v>
      </c>
      <c r="HK34" s="210">
        <f t="shared" si="310"/>
        <v>0</v>
      </c>
      <c r="HL34" s="118"/>
      <c r="HM34" s="151"/>
      <c r="HN34" s="151">
        <f t="shared" si="311"/>
        <v>0</v>
      </c>
      <c r="HO34" s="151">
        <f>HN34/HN2</f>
        <v>0</v>
      </c>
      <c r="HP34" s="96">
        <f t="shared" si="312"/>
        <v>0</v>
      </c>
      <c r="HQ34" s="267">
        <f t="shared" si="313"/>
        <v>0</v>
      </c>
      <c r="HR34" s="96">
        <f t="shared" si="314"/>
        <v>0</v>
      </c>
      <c r="HS34" s="118"/>
      <c r="HT34" s="318">
        <f t="shared" si="315"/>
        <v>1003704.5365719477</v>
      </c>
      <c r="HU34" s="151">
        <f t="shared" si="316"/>
        <v>1184371.3531548984</v>
      </c>
      <c r="HV34" s="319"/>
    </row>
    <row r="35" spans="1:230">
      <c r="A35" s="18">
        <v>6</v>
      </c>
      <c r="B35" s="19" t="s">
        <v>35</v>
      </c>
      <c r="C35" s="118"/>
      <c r="D35" s="151">
        <v>438039.6</v>
      </c>
      <c r="E35" s="151">
        <f t="shared" si="213"/>
        <v>371220</v>
      </c>
      <c r="F35" s="151">
        <f>E35/E2</f>
        <v>1500</v>
      </c>
      <c r="G35" s="159">
        <v>1296.7925996368981</v>
      </c>
      <c r="H35" s="266">
        <f t="shared" si="214"/>
        <v>658849.48560560215</v>
      </c>
      <c r="I35" s="159">
        <f t="shared" si="215"/>
        <v>777442.39301461051</v>
      </c>
      <c r="J35" s="118"/>
      <c r="K35" s="151">
        <v>438039.6</v>
      </c>
      <c r="L35" s="151">
        <f t="shared" si="216"/>
        <v>371220</v>
      </c>
      <c r="M35" s="151">
        <f>L35/L2</f>
        <v>5303.1428571428569</v>
      </c>
      <c r="N35" s="159">
        <v>1296.7925996368981</v>
      </c>
      <c r="O35" s="266">
        <f t="shared" si="217"/>
        <v>658849.48560560215</v>
      </c>
      <c r="P35" s="159">
        <f t="shared" si="218"/>
        <v>777442.39301461051</v>
      </c>
      <c r="Q35" s="118"/>
      <c r="R35" s="151"/>
      <c r="S35" s="151">
        <f t="shared" si="219"/>
        <v>0</v>
      </c>
      <c r="T35" s="151">
        <f>S35/S2</f>
        <v>0</v>
      </c>
      <c r="U35" s="159">
        <v>1296.7925996368981</v>
      </c>
      <c r="V35" s="266">
        <f t="shared" si="220"/>
        <v>498883.06388864876</v>
      </c>
      <c r="W35" s="159">
        <f t="shared" si="221"/>
        <v>588682.01538860553</v>
      </c>
      <c r="X35" s="118"/>
      <c r="Y35" s="151"/>
      <c r="Z35" s="151">
        <f t="shared" si="222"/>
        <v>0</v>
      </c>
      <c r="AA35" s="151">
        <f>Z35/Z2</f>
        <v>0</v>
      </c>
      <c r="AB35" s="159">
        <v>1296.7925996368981</v>
      </c>
      <c r="AC35" s="266">
        <f t="shared" si="223"/>
        <v>498883.06388864876</v>
      </c>
      <c r="AD35" s="159">
        <f t="shared" si="224"/>
        <v>588682.01538860553</v>
      </c>
      <c r="AE35" s="118"/>
      <c r="AF35" s="151">
        <v>435501.94</v>
      </c>
      <c r="AG35" s="151">
        <f t="shared" si="225"/>
        <v>369069.44067796611</v>
      </c>
      <c r="AH35" s="151">
        <f>AG35/AG2</f>
        <v>2444.1684813110337</v>
      </c>
      <c r="AI35" s="96">
        <f t="shared" si="226"/>
        <v>2444.1684813110337</v>
      </c>
      <c r="AJ35" s="267">
        <f t="shared" si="227"/>
        <v>4372560.708356672</v>
      </c>
      <c r="AK35" s="96">
        <f t="shared" si="228"/>
        <v>5159621.6358608725</v>
      </c>
      <c r="AL35" s="118"/>
      <c r="AM35" s="151">
        <v>2832000</v>
      </c>
      <c r="AN35" s="151">
        <f t="shared" si="229"/>
        <v>2400000</v>
      </c>
      <c r="AO35" s="151">
        <f>AN35/AN2</f>
        <v>1296.7925996368981</v>
      </c>
      <c r="AP35" s="96">
        <f t="shared" si="230"/>
        <v>1296.7925996368981</v>
      </c>
      <c r="AQ35" s="267">
        <f t="shared" si="231"/>
        <v>971942.57802368805</v>
      </c>
      <c r="AR35" s="96">
        <f t="shared" si="232"/>
        <v>1146892.2420679519</v>
      </c>
      <c r="AS35" s="118"/>
      <c r="AT35" s="287">
        <v>2244159.4</v>
      </c>
      <c r="AU35" s="287">
        <f t="shared" si="233"/>
        <v>1901830</v>
      </c>
      <c r="AV35" s="288">
        <f t="shared" si="234"/>
        <v>1750</v>
      </c>
      <c r="AW35" s="96">
        <f t="shared" si="235"/>
        <v>1750</v>
      </c>
      <c r="AX35" s="267">
        <f t="shared" si="236"/>
        <v>3130709.3999999994</v>
      </c>
      <c r="AY35" s="96">
        <f t="shared" si="237"/>
        <v>3694237.0919999992</v>
      </c>
      <c r="AZ35" s="118"/>
      <c r="BA35" s="287"/>
      <c r="BB35" s="287"/>
      <c r="BC35" s="288"/>
      <c r="BD35" s="96">
        <v>1500</v>
      </c>
      <c r="BE35" s="267">
        <f t="shared" si="238"/>
        <v>1457983.7999999998</v>
      </c>
      <c r="BF35" s="96">
        <f t="shared" si="239"/>
        <v>1720420.8839999996</v>
      </c>
      <c r="BG35" s="118"/>
      <c r="BH35" s="151"/>
      <c r="BI35" s="151">
        <f t="shared" si="240"/>
        <v>0</v>
      </c>
      <c r="BJ35" s="151">
        <f>BI35/BI2</f>
        <v>0</v>
      </c>
      <c r="BK35" s="210"/>
      <c r="BL35" s="210">
        <f>BK35*BL2</f>
        <v>0</v>
      </c>
      <c r="BM35" s="210">
        <f t="shared" si="241"/>
        <v>0</v>
      </c>
      <c r="BN35" s="118"/>
      <c r="BO35" s="151"/>
      <c r="BP35" s="151">
        <f t="shared" si="242"/>
        <v>0</v>
      </c>
      <c r="BQ35" s="151">
        <f>BP35/BP2</f>
        <v>0</v>
      </c>
      <c r="BR35" s="210"/>
      <c r="BS35" s="210">
        <f>BR35*BS2</f>
        <v>0</v>
      </c>
      <c r="BT35" s="210">
        <f t="shared" si="243"/>
        <v>0</v>
      </c>
      <c r="BU35" s="118"/>
      <c r="BV35" s="151">
        <v>2635577</v>
      </c>
      <c r="BW35" s="151">
        <f t="shared" si="244"/>
        <v>2233539.8305084747</v>
      </c>
      <c r="BX35" s="151">
        <f>BW35/BW2</f>
        <v>496.34218455743883</v>
      </c>
      <c r="BY35" s="96">
        <f t="shared" si="245"/>
        <v>496.34218455743883</v>
      </c>
      <c r="BZ35" s="96">
        <f t="shared" si="246"/>
        <v>1586760.3005491525</v>
      </c>
      <c r="CA35" s="96">
        <f t="shared" si="247"/>
        <v>1872377.1546479999</v>
      </c>
      <c r="CB35" s="118"/>
      <c r="CC35" s="151">
        <v>435501.94</v>
      </c>
      <c r="CD35" s="151">
        <f t="shared" si="248"/>
        <v>369069.44067796611</v>
      </c>
      <c r="CE35" s="151">
        <f>CD35/CD2</f>
        <v>2444.1684813110337</v>
      </c>
      <c r="CF35" s="96">
        <v>2000</v>
      </c>
      <c r="CG35" s="267">
        <f t="shared" si="250"/>
        <v>656603.99999999988</v>
      </c>
      <c r="CH35" s="96">
        <f t="shared" si="251"/>
        <v>774792.71999999986</v>
      </c>
      <c r="CI35" s="118"/>
      <c r="CJ35" s="151">
        <v>2832000</v>
      </c>
      <c r="CK35" s="151">
        <f t="shared" si="252"/>
        <v>2400000</v>
      </c>
      <c r="CL35" s="151">
        <f>CK35/CK2</f>
        <v>1296.7925996368981</v>
      </c>
      <c r="CM35" s="96">
        <f t="shared" si="317"/>
        <v>1296.7925996368981</v>
      </c>
      <c r="CN35" s="267">
        <f t="shared" si="253"/>
        <v>425739.60404599289</v>
      </c>
      <c r="CO35" s="96">
        <f t="shared" si="254"/>
        <v>502372.73277427157</v>
      </c>
      <c r="CP35" s="118"/>
      <c r="CQ35" s="151">
        <v>2832000</v>
      </c>
      <c r="CR35" s="151">
        <f t="shared" si="255"/>
        <v>2400000</v>
      </c>
      <c r="CS35" s="151">
        <f>CR35/CR2</f>
        <v>1296.7925996368981</v>
      </c>
      <c r="CT35" s="96">
        <f t="shared" si="318"/>
        <v>1296.7925996368981</v>
      </c>
      <c r="CU35" s="267">
        <f t="shared" si="256"/>
        <v>425739.60404599289</v>
      </c>
      <c r="CV35" s="96">
        <f t="shared" si="257"/>
        <v>502372.73277427157</v>
      </c>
      <c r="CW35" s="118"/>
      <c r="CX35" s="151"/>
      <c r="CY35" s="151">
        <f t="shared" si="258"/>
        <v>0</v>
      </c>
      <c r="CZ35" s="151">
        <f>CY35/CY2</f>
        <v>0</v>
      </c>
      <c r="DA35" s="210"/>
      <c r="DB35" s="210">
        <f>DA35*DB2</f>
        <v>0</v>
      </c>
      <c r="DC35" s="210">
        <f t="shared" si="259"/>
        <v>0</v>
      </c>
      <c r="DD35" s="118"/>
      <c r="DE35" s="151">
        <v>404393.07999999996</v>
      </c>
      <c r="DF35" s="151">
        <f t="shared" si="260"/>
        <v>342706</v>
      </c>
      <c r="DG35" s="151">
        <f>DF35/DF2</f>
        <v>350.05720122574053</v>
      </c>
      <c r="DH35" s="159">
        <v>1500</v>
      </c>
      <c r="DI35" s="266">
        <f t="shared" si="261"/>
        <v>569792.34</v>
      </c>
      <c r="DJ35" s="159">
        <f t="shared" si="262"/>
        <v>672354.9611999999</v>
      </c>
      <c r="DK35" s="118"/>
      <c r="DL35" s="151">
        <v>435501.94</v>
      </c>
      <c r="DM35" s="151">
        <f t="shared" si="263"/>
        <v>369069.44067796611</v>
      </c>
      <c r="DN35" s="151">
        <f>DM35/DM2</f>
        <v>2444.1684813110337</v>
      </c>
      <c r="DO35" s="96">
        <v>1800</v>
      </c>
      <c r="DP35" s="267">
        <f t="shared" si="265"/>
        <v>1188668.52</v>
      </c>
      <c r="DQ35" s="96">
        <f t="shared" si="266"/>
        <v>1402628.8536</v>
      </c>
      <c r="DR35" s="118"/>
      <c r="DS35" s="151">
        <v>3670559.2</v>
      </c>
      <c r="DT35" s="151">
        <f t="shared" si="267"/>
        <v>3277285</v>
      </c>
      <c r="DU35" s="133">
        <f t="shared" si="268"/>
        <v>1243.1852666717245</v>
      </c>
      <c r="DV35" s="159">
        <f t="shared" si="269"/>
        <v>1243.1852666717245</v>
      </c>
      <c r="DW35" s="266">
        <f t="shared" si="270"/>
        <v>954780.45711592434</v>
      </c>
      <c r="DX35" s="159">
        <f t="shared" si="271"/>
        <v>1126640.9393967907</v>
      </c>
      <c r="DY35" s="118"/>
      <c r="DZ35" s="151">
        <v>2832000</v>
      </c>
      <c r="EA35" s="151">
        <f t="shared" si="272"/>
        <v>2400000</v>
      </c>
      <c r="EB35" s="151">
        <f>EA35/EA2</f>
        <v>1296.7925996368981</v>
      </c>
      <c r="EC35" s="96">
        <f t="shared" si="319"/>
        <v>1296.7925996368981</v>
      </c>
      <c r="ED35" s="267">
        <f t="shared" si="273"/>
        <v>460566.49952450936</v>
      </c>
      <c r="EE35" s="96">
        <f t="shared" si="274"/>
        <v>543468.46943892096</v>
      </c>
      <c r="EF35" s="118"/>
      <c r="EG35" s="151"/>
      <c r="EH35" s="151">
        <f t="shared" si="275"/>
        <v>0</v>
      </c>
      <c r="EI35" s="151">
        <f>EH35/EH2</f>
        <v>0</v>
      </c>
      <c r="EJ35" s="210"/>
      <c r="EK35" s="210">
        <f>EJ35*EK2</f>
        <v>0</v>
      </c>
      <c r="EL35" s="210">
        <f t="shared" si="276"/>
        <v>0</v>
      </c>
      <c r="EM35" s="118"/>
      <c r="EN35" s="151">
        <v>1841036</v>
      </c>
      <c r="EO35" s="151">
        <f t="shared" si="277"/>
        <v>1560200</v>
      </c>
      <c r="EP35" s="151">
        <f>EO35/EO2</f>
        <v>2500</v>
      </c>
      <c r="EQ35" s="159">
        <f t="shared" ref="EQ35:EQ41" si="329">+EP35</f>
        <v>2500</v>
      </c>
      <c r="ER35" s="266">
        <f t="shared" si="278"/>
        <v>887895.45</v>
      </c>
      <c r="ES35" s="159">
        <f t="shared" si="279"/>
        <v>1047716.6309999999</v>
      </c>
      <c r="ET35" s="118"/>
      <c r="EU35" s="151">
        <v>2832000</v>
      </c>
      <c r="EV35" s="151">
        <f t="shared" si="280"/>
        <v>2400000</v>
      </c>
      <c r="EW35" s="151">
        <f>EV35/EV2</f>
        <v>1296.7925996368981</v>
      </c>
      <c r="EX35" s="96">
        <f t="shared" si="281"/>
        <v>1296.7925996368981</v>
      </c>
      <c r="EY35" s="267">
        <f t="shared" si="282"/>
        <v>3143214.558658252</v>
      </c>
      <c r="EZ35" s="96">
        <f t="shared" si="283"/>
        <v>3708993.1792167374</v>
      </c>
      <c r="FA35" s="118"/>
      <c r="FB35" s="151">
        <v>2635577</v>
      </c>
      <c r="FC35" s="151">
        <f t="shared" si="284"/>
        <v>2233539.8305084747</v>
      </c>
      <c r="FD35" s="151">
        <f>FC35/FC2</f>
        <v>496.34218455743883</v>
      </c>
      <c r="FE35" s="96">
        <f t="shared" si="285"/>
        <v>496.34218455743883</v>
      </c>
      <c r="FF35" s="267">
        <f t="shared" si="286"/>
        <v>2584015.1076215594</v>
      </c>
      <c r="FG35" s="96">
        <f t="shared" si="287"/>
        <v>3049137.8269934398</v>
      </c>
      <c r="FH35" s="118"/>
      <c r="FI35" s="287">
        <v>2244159.4</v>
      </c>
      <c r="FJ35" s="287">
        <f t="shared" si="288"/>
        <v>1901830</v>
      </c>
      <c r="FK35" s="288">
        <f t="shared" si="289"/>
        <v>1750</v>
      </c>
      <c r="FL35" s="96">
        <f t="shared" si="290"/>
        <v>1750</v>
      </c>
      <c r="FM35" s="267">
        <f t="shared" si="291"/>
        <v>2546103.1049999995</v>
      </c>
      <c r="FN35" s="139">
        <f t="shared" si="292"/>
        <v>3004401.6638999991</v>
      </c>
      <c r="FO35" s="118"/>
      <c r="FP35" s="151"/>
      <c r="FQ35" s="151">
        <f t="shared" si="293"/>
        <v>0</v>
      </c>
      <c r="FR35" s="151">
        <f>FQ35/FQ2</f>
        <v>0</v>
      </c>
      <c r="FS35" s="96">
        <v>1750</v>
      </c>
      <c r="FT35" s="267">
        <f t="shared" si="294"/>
        <v>2546103.1049999995</v>
      </c>
      <c r="FU35" s="96">
        <f t="shared" si="295"/>
        <v>3004401.6638999991</v>
      </c>
      <c r="FV35" s="118"/>
      <c r="FW35" s="151">
        <v>435501.94</v>
      </c>
      <c r="FX35" s="151">
        <f t="shared" si="296"/>
        <v>369069.44067796611</v>
      </c>
      <c r="FY35" s="151">
        <f>FX35/FX2</f>
        <v>2444.1684813110337</v>
      </c>
      <c r="FZ35" s="96">
        <f t="shared" si="297"/>
        <v>2444.1684813110337</v>
      </c>
      <c r="GA35" s="267">
        <f t="shared" si="298"/>
        <v>460408.01682455937</v>
      </c>
      <c r="GB35" s="96">
        <f t="shared" si="299"/>
        <v>543281.45985297998</v>
      </c>
      <c r="GC35" s="118"/>
      <c r="GD35" s="151"/>
      <c r="GE35" s="151">
        <f t="shared" si="300"/>
        <v>0</v>
      </c>
      <c r="GF35" s="151">
        <f>GE35/GE2</f>
        <v>0</v>
      </c>
      <c r="GG35" s="159">
        <v>1200</v>
      </c>
      <c r="GH35" s="266">
        <f t="shared" si="302"/>
        <v>443046.23999999993</v>
      </c>
      <c r="GI35" s="159">
        <f t="shared" si="303"/>
        <v>522794.56319999992</v>
      </c>
      <c r="GJ35" s="118"/>
      <c r="GK35" s="151">
        <v>386236.65600000002</v>
      </c>
      <c r="GL35" s="151">
        <f t="shared" si="320"/>
        <v>327319.2</v>
      </c>
      <c r="GM35" s="270">
        <f t="shared" si="321"/>
        <v>1300</v>
      </c>
      <c r="GN35" s="159">
        <v>1600</v>
      </c>
      <c r="GO35" s="266">
        <f t="shared" si="323"/>
        <v>450537.98399999994</v>
      </c>
      <c r="GP35" s="159">
        <f t="shared" si="324"/>
        <v>531634.82111999986</v>
      </c>
      <c r="GQ35" s="118"/>
      <c r="GR35" s="151">
        <v>435501.94</v>
      </c>
      <c r="GS35" s="151">
        <f t="shared" si="304"/>
        <v>369069.44067796611</v>
      </c>
      <c r="GT35" s="151">
        <f>GS35/GS2</f>
        <v>2444.1684813110337</v>
      </c>
      <c r="GU35" s="96">
        <v>2000</v>
      </c>
      <c r="GV35" s="267">
        <f t="shared" si="306"/>
        <v>877696.55999999994</v>
      </c>
      <c r="GW35" s="96">
        <f t="shared" si="307"/>
        <v>1035681.9407999999</v>
      </c>
      <c r="GX35" s="118"/>
      <c r="GY35" s="151">
        <v>404393.07999999996</v>
      </c>
      <c r="GZ35" s="151">
        <f t="shared" si="308"/>
        <v>342706</v>
      </c>
      <c r="HA35" s="151">
        <f>GZ35/GZ2</f>
        <v>350.05720122574053</v>
      </c>
      <c r="HB35" s="159">
        <v>950</v>
      </c>
      <c r="HC35" s="266">
        <f t="shared" si="325"/>
        <v>641668.94999999995</v>
      </c>
      <c r="HD35" s="159">
        <f t="shared" si="326"/>
        <v>757169.36099999992</v>
      </c>
      <c r="HE35" s="118"/>
      <c r="HF35" s="151"/>
      <c r="HG35" s="151">
        <f t="shared" si="309"/>
        <v>0</v>
      </c>
      <c r="HH35" s="151">
        <f>HG35/HG2</f>
        <v>0</v>
      </c>
      <c r="HI35" s="210"/>
      <c r="HJ35" s="210">
        <f>HI35*HJ2</f>
        <v>0</v>
      </c>
      <c r="HK35" s="210">
        <f t="shared" si="310"/>
        <v>0</v>
      </c>
      <c r="HL35" s="118"/>
      <c r="HM35" s="151">
        <v>435501.94</v>
      </c>
      <c r="HN35" s="151">
        <f t="shared" si="311"/>
        <v>369069.44067796611</v>
      </c>
      <c r="HO35" s="151">
        <f>HN35/HN2</f>
        <v>2444.1684813110337</v>
      </c>
      <c r="HP35" s="96">
        <v>2000</v>
      </c>
      <c r="HQ35" s="267">
        <f t="shared" si="313"/>
        <v>1602113.76</v>
      </c>
      <c r="HR35" s="96">
        <f t="shared" si="314"/>
        <v>1890494.2367999998</v>
      </c>
      <c r="HS35" s="118"/>
      <c r="HT35" s="318">
        <f t="shared" si="315"/>
        <v>34700115.747754797</v>
      </c>
      <c r="HU35" s="151">
        <f t="shared" si="316"/>
        <v>40946136.582350656</v>
      </c>
      <c r="HV35" s="319"/>
    </row>
    <row r="36" spans="1:230">
      <c r="A36" s="18">
        <v>7</v>
      </c>
      <c r="B36" s="19" t="s">
        <v>36</v>
      </c>
      <c r="C36" s="118"/>
      <c r="D36" s="151">
        <v>0</v>
      </c>
      <c r="E36" s="151">
        <f t="shared" si="213"/>
        <v>0</v>
      </c>
      <c r="F36" s="151">
        <f>E36/E2</f>
        <v>0</v>
      </c>
      <c r="G36" s="159"/>
      <c r="H36" s="266">
        <f t="shared" si="214"/>
        <v>0</v>
      </c>
      <c r="I36" s="159">
        <f t="shared" si="215"/>
        <v>0</v>
      </c>
      <c r="J36" s="118"/>
      <c r="K36" s="151">
        <v>0</v>
      </c>
      <c r="L36" s="151">
        <f t="shared" si="216"/>
        <v>0</v>
      </c>
      <c r="M36" s="151">
        <f>L36/L2</f>
        <v>0</v>
      </c>
      <c r="N36" s="159"/>
      <c r="O36" s="266">
        <f t="shared" si="217"/>
        <v>0</v>
      </c>
      <c r="P36" s="159">
        <f t="shared" si="218"/>
        <v>0</v>
      </c>
      <c r="Q36" s="118"/>
      <c r="R36" s="151"/>
      <c r="S36" s="151">
        <f t="shared" si="219"/>
        <v>0</v>
      </c>
      <c r="T36" s="151">
        <f>S36/S2</f>
        <v>0</v>
      </c>
      <c r="U36" s="159"/>
      <c r="V36" s="266">
        <f t="shared" si="220"/>
        <v>0</v>
      </c>
      <c r="W36" s="159">
        <f t="shared" si="221"/>
        <v>0</v>
      </c>
      <c r="X36" s="118"/>
      <c r="Y36" s="151"/>
      <c r="Z36" s="151">
        <f t="shared" si="222"/>
        <v>0</v>
      </c>
      <c r="AA36" s="151">
        <f>Z36/Z2</f>
        <v>0</v>
      </c>
      <c r="AB36" s="159"/>
      <c r="AC36" s="266">
        <f t="shared" si="223"/>
        <v>0</v>
      </c>
      <c r="AD36" s="159">
        <f t="shared" si="224"/>
        <v>0</v>
      </c>
      <c r="AE36" s="118"/>
      <c r="AF36" s="151"/>
      <c r="AG36" s="151">
        <f t="shared" si="225"/>
        <v>0</v>
      </c>
      <c r="AH36" s="151">
        <f>AG36/AG2</f>
        <v>0</v>
      </c>
      <c r="AI36" s="96">
        <f t="shared" si="226"/>
        <v>0</v>
      </c>
      <c r="AJ36" s="267">
        <f t="shared" si="227"/>
        <v>0</v>
      </c>
      <c r="AK36" s="96">
        <f t="shared" si="228"/>
        <v>0</v>
      </c>
      <c r="AL36" s="118"/>
      <c r="AM36" s="151">
        <v>1534000</v>
      </c>
      <c r="AN36" s="151">
        <f t="shared" si="229"/>
        <v>1300000</v>
      </c>
      <c r="AO36" s="151">
        <f>AN36/AN2</f>
        <v>702.42932480331979</v>
      </c>
      <c r="AP36" s="96">
        <f t="shared" si="230"/>
        <v>702.42932480331979</v>
      </c>
      <c r="AQ36" s="267">
        <f t="shared" si="231"/>
        <v>526468.89642949763</v>
      </c>
      <c r="AR36" s="96">
        <f t="shared" si="232"/>
        <v>621233.29778680718</v>
      </c>
      <c r="AS36" s="118"/>
      <c r="AT36" s="287"/>
      <c r="AU36" s="287">
        <f t="shared" si="233"/>
        <v>0</v>
      </c>
      <c r="AV36" s="288">
        <f t="shared" si="234"/>
        <v>0</v>
      </c>
      <c r="AW36" s="96">
        <f t="shared" si="235"/>
        <v>0</v>
      </c>
      <c r="AX36" s="267">
        <f t="shared" si="236"/>
        <v>0</v>
      </c>
      <c r="AY36" s="96">
        <f t="shared" si="237"/>
        <v>0</v>
      </c>
      <c r="AZ36" s="118"/>
      <c r="BA36" s="287"/>
      <c r="BB36" s="287"/>
      <c r="BC36" s="288"/>
      <c r="BD36" s="96">
        <v>500</v>
      </c>
      <c r="BE36" s="267">
        <f t="shared" si="238"/>
        <v>485994.59999999992</v>
      </c>
      <c r="BF36" s="96">
        <f t="shared" si="239"/>
        <v>573473.62799999991</v>
      </c>
      <c r="BG36" s="118"/>
      <c r="BH36" s="151"/>
      <c r="BI36" s="151">
        <f t="shared" si="240"/>
        <v>0</v>
      </c>
      <c r="BJ36" s="151">
        <f>BI36/BI2</f>
        <v>0</v>
      </c>
      <c r="BK36" s="210"/>
      <c r="BL36" s="210">
        <f>BK36*BL2</f>
        <v>0</v>
      </c>
      <c r="BM36" s="210">
        <f t="shared" si="241"/>
        <v>0</v>
      </c>
      <c r="BN36" s="118"/>
      <c r="BO36" s="151"/>
      <c r="BP36" s="151">
        <f t="shared" si="242"/>
        <v>0</v>
      </c>
      <c r="BQ36" s="151">
        <f>BP36/BP2</f>
        <v>0</v>
      </c>
      <c r="BR36" s="210"/>
      <c r="BS36" s="210">
        <f>BR36*BS2</f>
        <v>0</v>
      </c>
      <c r="BT36" s="210">
        <f t="shared" si="243"/>
        <v>0</v>
      </c>
      <c r="BU36" s="118"/>
      <c r="BV36" s="151">
        <v>1894472</v>
      </c>
      <c r="BW36" s="151">
        <f t="shared" si="244"/>
        <v>1605484.7457627119</v>
      </c>
      <c r="BX36" s="151">
        <f>BW36/BW2</f>
        <v>356.7743879472693</v>
      </c>
      <c r="BY36" s="96">
        <f t="shared" si="245"/>
        <v>356.7743879472693</v>
      </c>
      <c r="BZ36" s="96">
        <f t="shared" si="246"/>
        <v>1140574.8950237287</v>
      </c>
      <c r="CA36" s="96">
        <f t="shared" si="247"/>
        <v>1345878.3761279997</v>
      </c>
      <c r="CB36" s="118"/>
      <c r="CC36" s="151"/>
      <c r="CD36" s="151">
        <f t="shared" si="248"/>
        <v>0</v>
      </c>
      <c r="CE36" s="151">
        <f>CD36/CD2</f>
        <v>0</v>
      </c>
      <c r="CF36" s="96">
        <f t="shared" si="249"/>
        <v>0</v>
      </c>
      <c r="CG36" s="267">
        <f t="shared" si="250"/>
        <v>0</v>
      </c>
      <c r="CH36" s="96">
        <f t="shared" si="251"/>
        <v>0</v>
      </c>
      <c r="CI36" s="118"/>
      <c r="CJ36" s="151">
        <v>1534000</v>
      </c>
      <c r="CK36" s="151">
        <f t="shared" si="252"/>
        <v>1300000</v>
      </c>
      <c r="CL36" s="151">
        <f>CK36/CK2</f>
        <v>702.42932480331979</v>
      </c>
      <c r="CM36" s="96">
        <f>+CL36*0</f>
        <v>0</v>
      </c>
      <c r="CN36" s="267">
        <f t="shared" si="253"/>
        <v>0</v>
      </c>
      <c r="CO36" s="96">
        <f t="shared" si="254"/>
        <v>0</v>
      </c>
      <c r="CP36" s="118"/>
      <c r="CQ36" s="151">
        <v>1534000</v>
      </c>
      <c r="CR36" s="151">
        <f t="shared" si="255"/>
        <v>1300000</v>
      </c>
      <c r="CS36" s="151">
        <f>CR36/CR2</f>
        <v>702.42932480331979</v>
      </c>
      <c r="CT36" s="96">
        <f>+CS36*0</f>
        <v>0</v>
      </c>
      <c r="CU36" s="267">
        <f t="shared" si="256"/>
        <v>0</v>
      </c>
      <c r="CV36" s="96">
        <f t="shared" si="257"/>
        <v>0</v>
      </c>
      <c r="CW36" s="118"/>
      <c r="CX36" s="151"/>
      <c r="CY36" s="151">
        <f t="shared" si="258"/>
        <v>0</v>
      </c>
      <c r="CZ36" s="151">
        <f>CY36/CY2</f>
        <v>0</v>
      </c>
      <c r="DA36" s="210"/>
      <c r="DB36" s="210">
        <f>DA36*DB2</f>
        <v>0</v>
      </c>
      <c r="DC36" s="210">
        <f t="shared" si="259"/>
        <v>0</v>
      </c>
      <c r="DD36" s="118"/>
      <c r="DE36" s="151"/>
      <c r="DF36" s="151">
        <f t="shared" si="260"/>
        <v>0</v>
      </c>
      <c r="DG36" s="151">
        <f>DF36/DF2</f>
        <v>0</v>
      </c>
      <c r="DH36" s="159">
        <f t="shared" si="327"/>
        <v>0</v>
      </c>
      <c r="DI36" s="266">
        <f t="shared" si="261"/>
        <v>0</v>
      </c>
      <c r="DJ36" s="159">
        <f t="shared" si="262"/>
        <v>0</v>
      </c>
      <c r="DK36" s="118"/>
      <c r="DL36" s="151"/>
      <c r="DM36" s="151">
        <f t="shared" si="263"/>
        <v>0</v>
      </c>
      <c r="DN36" s="151">
        <f>DM36/DM2</f>
        <v>0</v>
      </c>
      <c r="DO36" s="96">
        <f t="shared" si="264"/>
        <v>0</v>
      </c>
      <c r="DP36" s="267">
        <f t="shared" si="265"/>
        <v>0</v>
      </c>
      <c r="DQ36" s="96">
        <f t="shared" si="266"/>
        <v>0</v>
      </c>
      <c r="DR36" s="118"/>
      <c r="DS36" s="151">
        <v>1956763.2000000002</v>
      </c>
      <c r="DT36" s="151">
        <f t="shared" si="267"/>
        <v>1747110</v>
      </c>
      <c r="DU36" s="133">
        <f t="shared" si="268"/>
        <v>662.73803201578039</v>
      </c>
      <c r="DV36" s="159">
        <f t="shared" si="269"/>
        <v>662.73803201578039</v>
      </c>
      <c r="DW36" s="266">
        <f t="shared" si="270"/>
        <v>508990.36380168423</v>
      </c>
      <c r="DX36" s="159">
        <f t="shared" si="271"/>
        <v>600608.62928598735</v>
      </c>
      <c r="DY36" s="118"/>
      <c r="DZ36" s="151">
        <v>1534000</v>
      </c>
      <c r="EA36" s="151">
        <f t="shared" si="272"/>
        <v>1300000</v>
      </c>
      <c r="EB36" s="151">
        <f>EA36/EA2</f>
        <v>702.42932480331979</v>
      </c>
      <c r="EC36" s="96">
        <f>+EB36*0</f>
        <v>0</v>
      </c>
      <c r="ED36" s="267">
        <f t="shared" si="273"/>
        <v>0</v>
      </c>
      <c r="EE36" s="96">
        <f t="shared" si="274"/>
        <v>0</v>
      </c>
      <c r="EF36" s="118"/>
      <c r="EG36" s="151"/>
      <c r="EH36" s="151">
        <f t="shared" si="275"/>
        <v>0</v>
      </c>
      <c r="EI36" s="151">
        <f>EH36/EH2</f>
        <v>0</v>
      </c>
      <c r="EJ36" s="210"/>
      <c r="EK36" s="210">
        <f>EJ36*EK2</f>
        <v>0</v>
      </c>
      <c r="EL36" s="210">
        <f t="shared" si="276"/>
        <v>0</v>
      </c>
      <c r="EM36" s="118"/>
      <c r="EN36" s="151"/>
      <c r="EO36" s="151">
        <f t="shared" si="277"/>
        <v>0</v>
      </c>
      <c r="EP36" s="151">
        <f>EO36/EO2</f>
        <v>0</v>
      </c>
      <c r="EQ36" s="159">
        <f t="shared" si="329"/>
        <v>0</v>
      </c>
      <c r="ER36" s="266">
        <f t="shared" si="278"/>
        <v>0</v>
      </c>
      <c r="ES36" s="159">
        <f t="shared" si="279"/>
        <v>0</v>
      </c>
      <c r="ET36" s="118"/>
      <c r="EU36" s="151">
        <v>1534000</v>
      </c>
      <c r="EV36" s="151">
        <f t="shared" si="280"/>
        <v>1300000</v>
      </c>
      <c r="EW36" s="151">
        <f>EV36/EV2</f>
        <v>702.42932480331979</v>
      </c>
      <c r="EX36" s="96">
        <f t="shared" si="281"/>
        <v>702.42932480331979</v>
      </c>
      <c r="EY36" s="267">
        <f t="shared" si="282"/>
        <v>1702574.5526065531</v>
      </c>
      <c r="EZ36" s="96">
        <f t="shared" si="283"/>
        <v>2009037.9720757324</v>
      </c>
      <c r="FA36" s="118"/>
      <c r="FB36" s="151">
        <v>1894472</v>
      </c>
      <c r="FC36" s="151">
        <f t="shared" si="284"/>
        <v>1605484.7457627119</v>
      </c>
      <c r="FD36" s="151">
        <f>FC36/FC2</f>
        <v>356.7743879472693</v>
      </c>
      <c r="FE36" s="96">
        <f t="shared" si="285"/>
        <v>356.7743879472693</v>
      </c>
      <c r="FF36" s="267">
        <f t="shared" si="286"/>
        <v>1857408.9351083392</v>
      </c>
      <c r="FG36" s="96">
        <f t="shared" si="287"/>
        <v>2191742.5434278403</v>
      </c>
      <c r="FH36" s="118"/>
      <c r="FI36" s="287"/>
      <c r="FJ36" s="287">
        <f t="shared" si="288"/>
        <v>0</v>
      </c>
      <c r="FK36" s="288">
        <f t="shared" si="289"/>
        <v>0</v>
      </c>
      <c r="FL36" s="96">
        <v>1000</v>
      </c>
      <c r="FM36" s="267">
        <f t="shared" si="291"/>
        <v>1454916.0599999998</v>
      </c>
      <c r="FN36" s="139">
        <f t="shared" si="292"/>
        <v>1716800.9507999998</v>
      </c>
      <c r="FO36" s="118"/>
      <c r="FP36" s="151"/>
      <c r="FQ36" s="151">
        <f t="shared" si="293"/>
        <v>0</v>
      </c>
      <c r="FR36" s="151">
        <f>FQ36/FQ2</f>
        <v>0</v>
      </c>
      <c r="FS36" s="96">
        <v>1000</v>
      </c>
      <c r="FT36" s="267">
        <f t="shared" si="294"/>
        <v>1454916.0599999998</v>
      </c>
      <c r="FU36" s="96">
        <f t="shared" si="295"/>
        <v>1716800.9507999998</v>
      </c>
      <c r="FV36" s="118"/>
      <c r="FW36" s="151"/>
      <c r="FX36" s="151">
        <f t="shared" si="296"/>
        <v>0</v>
      </c>
      <c r="FY36" s="151">
        <f>FX36/FX2</f>
        <v>0</v>
      </c>
      <c r="FZ36" s="96">
        <f t="shared" si="297"/>
        <v>0</v>
      </c>
      <c r="GA36" s="267">
        <f t="shared" si="298"/>
        <v>0</v>
      </c>
      <c r="GB36" s="96">
        <f t="shared" si="299"/>
        <v>0</v>
      </c>
      <c r="GC36" s="118"/>
      <c r="GD36" s="151"/>
      <c r="GE36" s="151">
        <f t="shared" si="300"/>
        <v>0</v>
      </c>
      <c r="GF36" s="151">
        <f>GE36/GE2</f>
        <v>0</v>
      </c>
      <c r="GG36" s="159">
        <f t="shared" si="301"/>
        <v>0</v>
      </c>
      <c r="GH36" s="266">
        <f t="shared" si="302"/>
        <v>0</v>
      </c>
      <c r="GI36" s="159">
        <f t="shared" si="303"/>
        <v>0</v>
      </c>
      <c r="GJ36" s="118"/>
      <c r="GK36" s="151"/>
      <c r="GL36" s="151">
        <f t="shared" si="320"/>
        <v>0</v>
      </c>
      <c r="GM36" s="270">
        <f t="shared" si="321"/>
        <v>0</v>
      </c>
      <c r="GN36" s="159">
        <f t="shared" si="322"/>
        <v>0</v>
      </c>
      <c r="GO36" s="266">
        <f t="shared" si="323"/>
        <v>0</v>
      </c>
      <c r="GP36" s="159">
        <f t="shared" si="324"/>
        <v>0</v>
      </c>
      <c r="GQ36" s="118"/>
      <c r="GR36" s="151"/>
      <c r="GS36" s="151">
        <f t="shared" si="304"/>
        <v>0</v>
      </c>
      <c r="GT36" s="151">
        <f>GS36/GS2</f>
        <v>0</v>
      </c>
      <c r="GU36" s="96">
        <f t="shared" si="305"/>
        <v>0</v>
      </c>
      <c r="GV36" s="267">
        <f t="shared" si="306"/>
        <v>0</v>
      </c>
      <c r="GW36" s="96">
        <f t="shared" si="307"/>
        <v>0</v>
      </c>
      <c r="GX36" s="118"/>
      <c r="GY36" s="151"/>
      <c r="GZ36" s="151">
        <f t="shared" si="308"/>
        <v>0</v>
      </c>
      <c r="HA36" s="151">
        <f>GZ36/GZ2</f>
        <v>0</v>
      </c>
      <c r="HB36" s="159">
        <f t="shared" si="328"/>
        <v>0</v>
      </c>
      <c r="HC36" s="266">
        <f t="shared" si="325"/>
        <v>0</v>
      </c>
      <c r="HD36" s="159">
        <f t="shared" si="326"/>
        <v>0</v>
      </c>
      <c r="HE36" s="118"/>
      <c r="HF36" s="151"/>
      <c r="HG36" s="151">
        <f t="shared" si="309"/>
        <v>0</v>
      </c>
      <c r="HH36" s="151">
        <f>HG36/HG2</f>
        <v>0</v>
      </c>
      <c r="HI36" s="210"/>
      <c r="HJ36" s="210">
        <f>HI36*HJ2</f>
        <v>0</v>
      </c>
      <c r="HK36" s="210">
        <f t="shared" si="310"/>
        <v>0</v>
      </c>
      <c r="HL36" s="118"/>
      <c r="HM36" s="151"/>
      <c r="HN36" s="151">
        <f t="shared" si="311"/>
        <v>0</v>
      </c>
      <c r="HO36" s="151">
        <f>HN36/HN2</f>
        <v>0</v>
      </c>
      <c r="HP36" s="96">
        <f t="shared" si="312"/>
        <v>0</v>
      </c>
      <c r="HQ36" s="267">
        <f t="shared" si="313"/>
        <v>0</v>
      </c>
      <c r="HR36" s="96">
        <f t="shared" si="314"/>
        <v>0</v>
      </c>
      <c r="HS36" s="118"/>
      <c r="HT36" s="318">
        <f t="shared" si="315"/>
        <v>9131844.3629698027</v>
      </c>
      <c r="HU36" s="151">
        <f t="shared" si="316"/>
        <v>10775576.348304367</v>
      </c>
      <c r="HV36" s="319"/>
    </row>
    <row r="37" spans="1:230">
      <c r="A37" s="18">
        <v>8</v>
      </c>
      <c r="B37" s="19" t="s">
        <v>37</v>
      </c>
      <c r="C37" s="118"/>
      <c r="D37" s="151">
        <v>0</v>
      </c>
      <c r="E37" s="151">
        <f t="shared" si="213"/>
        <v>0</v>
      </c>
      <c r="F37" s="151">
        <f>E37/E2</f>
        <v>0</v>
      </c>
      <c r="G37" s="159"/>
      <c r="H37" s="266">
        <f t="shared" si="214"/>
        <v>0</v>
      </c>
      <c r="I37" s="159">
        <f t="shared" si="215"/>
        <v>0</v>
      </c>
      <c r="J37" s="118"/>
      <c r="K37" s="151">
        <v>0</v>
      </c>
      <c r="L37" s="151">
        <f t="shared" si="216"/>
        <v>0</v>
      </c>
      <c r="M37" s="151">
        <f>L37/L2</f>
        <v>0</v>
      </c>
      <c r="N37" s="159"/>
      <c r="O37" s="266">
        <f t="shared" si="217"/>
        <v>0</v>
      </c>
      <c r="P37" s="159">
        <f t="shared" si="218"/>
        <v>0</v>
      </c>
      <c r="Q37" s="118"/>
      <c r="R37" s="151"/>
      <c r="S37" s="151">
        <f t="shared" si="219"/>
        <v>0</v>
      </c>
      <c r="T37" s="151">
        <f>S37/S2</f>
        <v>0</v>
      </c>
      <c r="U37" s="159"/>
      <c r="V37" s="266">
        <f t="shared" si="220"/>
        <v>0</v>
      </c>
      <c r="W37" s="159">
        <f t="shared" si="221"/>
        <v>0</v>
      </c>
      <c r="X37" s="118"/>
      <c r="Y37" s="151"/>
      <c r="Z37" s="151">
        <f t="shared" si="222"/>
        <v>0</v>
      </c>
      <c r="AA37" s="151">
        <f>Z37/Z2</f>
        <v>0</v>
      </c>
      <c r="AB37" s="159"/>
      <c r="AC37" s="266">
        <f t="shared" si="223"/>
        <v>0</v>
      </c>
      <c r="AD37" s="159">
        <f t="shared" si="224"/>
        <v>0</v>
      </c>
      <c r="AE37" s="118"/>
      <c r="AF37" s="151"/>
      <c r="AG37" s="151">
        <f t="shared" si="225"/>
        <v>0</v>
      </c>
      <c r="AH37" s="151">
        <f>AG37/AG2</f>
        <v>0</v>
      </c>
      <c r="AI37" s="96">
        <f t="shared" si="226"/>
        <v>0</v>
      </c>
      <c r="AJ37" s="267">
        <f t="shared" si="227"/>
        <v>0</v>
      </c>
      <c r="AK37" s="96">
        <f t="shared" si="228"/>
        <v>0</v>
      </c>
      <c r="AL37" s="118"/>
      <c r="AM37" s="151">
        <v>1770000</v>
      </c>
      <c r="AN37" s="151">
        <f t="shared" si="229"/>
        <v>1500000</v>
      </c>
      <c r="AO37" s="151">
        <f>AN37/AN2</f>
        <v>810.49537477306126</v>
      </c>
      <c r="AP37" s="96">
        <f t="shared" si="230"/>
        <v>810.49537477306126</v>
      </c>
      <c r="AQ37" s="267">
        <f t="shared" si="231"/>
        <v>607464.11126480496</v>
      </c>
      <c r="AR37" s="96">
        <f t="shared" si="232"/>
        <v>716807.65129246982</v>
      </c>
      <c r="AS37" s="118"/>
      <c r="AT37" s="287">
        <v>3205942</v>
      </c>
      <c r="AU37" s="287">
        <f t="shared" si="233"/>
        <v>2716900</v>
      </c>
      <c r="AV37" s="288">
        <f t="shared" si="234"/>
        <v>2500</v>
      </c>
      <c r="AW37" s="96">
        <f t="shared" si="235"/>
        <v>2500</v>
      </c>
      <c r="AX37" s="267">
        <f t="shared" si="236"/>
        <v>4472441.9999999991</v>
      </c>
      <c r="AY37" s="96">
        <f t="shared" si="237"/>
        <v>5277481.5599999987</v>
      </c>
      <c r="AZ37" s="118"/>
      <c r="BA37" s="287"/>
      <c r="BB37" s="287"/>
      <c r="BC37" s="288"/>
      <c r="BD37" s="96">
        <v>1000</v>
      </c>
      <c r="BE37" s="267">
        <f t="shared" si="238"/>
        <v>971989.19999999984</v>
      </c>
      <c r="BF37" s="96">
        <f t="shared" si="239"/>
        <v>1146947.2559999998</v>
      </c>
      <c r="BG37" s="118"/>
      <c r="BH37" s="151"/>
      <c r="BI37" s="151">
        <f t="shared" si="240"/>
        <v>0</v>
      </c>
      <c r="BJ37" s="151">
        <f>BI37/BI2</f>
        <v>0</v>
      </c>
      <c r="BK37" s="210"/>
      <c r="BL37" s="210">
        <f>BK37*BL2</f>
        <v>0</v>
      </c>
      <c r="BM37" s="210">
        <f t="shared" si="241"/>
        <v>0</v>
      </c>
      <c r="BN37" s="118"/>
      <c r="BO37" s="151"/>
      <c r="BP37" s="151">
        <f t="shared" si="242"/>
        <v>0</v>
      </c>
      <c r="BQ37" s="151">
        <f>BP37/BP2</f>
        <v>0</v>
      </c>
      <c r="BR37" s="210"/>
      <c r="BS37" s="210">
        <f>BR37*BS2</f>
        <v>0</v>
      </c>
      <c r="BT37" s="210">
        <f t="shared" si="243"/>
        <v>0</v>
      </c>
      <c r="BU37" s="118"/>
      <c r="BV37" s="151">
        <v>1494930</v>
      </c>
      <c r="BW37" s="151">
        <f t="shared" si="244"/>
        <v>1266889.8305084747</v>
      </c>
      <c r="BX37" s="151">
        <f>BW37/BW2</f>
        <v>281.5310734463277</v>
      </c>
      <c r="BY37" s="96">
        <f t="shared" si="245"/>
        <v>281.5310734463277</v>
      </c>
      <c r="BZ37" s="96">
        <f t="shared" si="246"/>
        <v>900028.94094915257</v>
      </c>
      <c r="CA37" s="96">
        <f t="shared" si="247"/>
        <v>1062034.15032</v>
      </c>
      <c r="CB37" s="118"/>
      <c r="CC37" s="151"/>
      <c r="CD37" s="151">
        <f t="shared" si="248"/>
        <v>0</v>
      </c>
      <c r="CE37" s="151">
        <f>CD37/CD2</f>
        <v>0</v>
      </c>
      <c r="CF37" s="96">
        <f t="shared" si="249"/>
        <v>0</v>
      </c>
      <c r="CG37" s="267">
        <f t="shared" si="250"/>
        <v>0</v>
      </c>
      <c r="CH37" s="96">
        <f t="shared" si="251"/>
        <v>0</v>
      </c>
      <c r="CI37" s="118"/>
      <c r="CJ37" s="151">
        <v>1770000</v>
      </c>
      <c r="CK37" s="151">
        <f t="shared" si="252"/>
        <v>1500000</v>
      </c>
      <c r="CL37" s="151">
        <f>CK37/CK2</f>
        <v>810.49537477306126</v>
      </c>
      <c r="CM37" s="96">
        <f t="shared" si="317"/>
        <v>810.49537477306126</v>
      </c>
      <c r="CN37" s="267">
        <f t="shared" si="253"/>
        <v>266087.25252874551</v>
      </c>
      <c r="CO37" s="96">
        <f t="shared" si="254"/>
        <v>313982.95798391965</v>
      </c>
      <c r="CP37" s="118"/>
      <c r="CQ37" s="151">
        <v>1770000</v>
      </c>
      <c r="CR37" s="151">
        <f t="shared" si="255"/>
        <v>1500000</v>
      </c>
      <c r="CS37" s="151">
        <f>CR37/CR2</f>
        <v>810.49537477306126</v>
      </c>
      <c r="CT37" s="96">
        <f>+CS37*0</f>
        <v>0</v>
      </c>
      <c r="CU37" s="267">
        <f t="shared" si="256"/>
        <v>0</v>
      </c>
      <c r="CV37" s="96">
        <f t="shared" si="257"/>
        <v>0</v>
      </c>
      <c r="CW37" s="118"/>
      <c r="CX37" s="151"/>
      <c r="CY37" s="151">
        <f t="shared" si="258"/>
        <v>0</v>
      </c>
      <c r="CZ37" s="151">
        <f>CY37/CY2</f>
        <v>0</v>
      </c>
      <c r="DA37" s="210"/>
      <c r="DB37" s="210">
        <f>DA37*DB2</f>
        <v>0</v>
      </c>
      <c r="DC37" s="210">
        <f t="shared" si="259"/>
        <v>0</v>
      </c>
      <c r="DD37" s="118"/>
      <c r="DE37" s="151">
        <v>404393.07999999996</v>
      </c>
      <c r="DF37" s="151">
        <f t="shared" si="260"/>
        <v>342706</v>
      </c>
      <c r="DG37" s="151">
        <f>DF37/DF2</f>
        <v>350.05720122574053</v>
      </c>
      <c r="DH37" s="159"/>
      <c r="DI37" s="266">
        <f t="shared" si="261"/>
        <v>0</v>
      </c>
      <c r="DJ37" s="159">
        <f t="shared" si="262"/>
        <v>0</v>
      </c>
      <c r="DK37" s="118"/>
      <c r="DL37" s="151"/>
      <c r="DM37" s="151">
        <f t="shared" si="263"/>
        <v>0</v>
      </c>
      <c r="DN37" s="151">
        <f>DM37/DM2</f>
        <v>0</v>
      </c>
      <c r="DO37" s="96">
        <f t="shared" si="264"/>
        <v>0</v>
      </c>
      <c r="DP37" s="267">
        <f t="shared" si="265"/>
        <v>0</v>
      </c>
      <c r="DQ37" s="96">
        <f t="shared" si="266"/>
        <v>0</v>
      </c>
      <c r="DR37" s="118"/>
      <c r="DS37" s="151">
        <v>1946196.0000000002</v>
      </c>
      <c r="DT37" s="151">
        <f t="shared" si="267"/>
        <v>1737675</v>
      </c>
      <c r="DU37" s="133">
        <f t="shared" si="268"/>
        <v>659.15901676655801</v>
      </c>
      <c r="DV37" s="159">
        <f t="shared" si="269"/>
        <v>659.15901676655801</v>
      </c>
      <c r="DW37" s="266">
        <f t="shared" si="270"/>
        <v>506241.63928950758</v>
      </c>
      <c r="DX37" s="159">
        <f t="shared" si="271"/>
        <v>597365.1343616189</v>
      </c>
      <c r="DY37" s="118"/>
      <c r="DZ37" s="151">
        <v>1770000</v>
      </c>
      <c r="EA37" s="151">
        <f t="shared" si="272"/>
        <v>1500000</v>
      </c>
      <c r="EB37" s="151">
        <f>EA37/EA2</f>
        <v>810.49537477306126</v>
      </c>
      <c r="EC37" s="96">
        <f>+EB37*0</f>
        <v>0</v>
      </c>
      <c r="ED37" s="267">
        <f t="shared" si="273"/>
        <v>0</v>
      </c>
      <c r="EE37" s="96">
        <f t="shared" si="274"/>
        <v>0</v>
      </c>
      <c r="EF37" s="118"/>
      <c r="EG37" s="151"/>
      <c r="EH37" s="151">
        <f t="shared" si="275"/>
        <v>0</v>
      </c>
      <c r="EI37" s="151">
        <f>EH37/EH2</f>
        <v>0</v>
      </c>
      <c r="EJ37" s="210"/>
      <c r="EK37" s="210">
        <f>EJ37*EK2</f>
        <v>0</v>
      </c>
      <c r="EL37" s="210">
        <f t="shared" si="276"/>
        <v>0</v>
      </c>
      <c r="EM37" s="118"/>
      <c r="EN37" s="151">
        <v>3608430.5599999996</v>
      </c>
      <c r="EO37" s="151">
        <f t="shared" si="277"/>
        <v>3057992</v>
      </c>
      <c r="EP37" s="151">
        <f>EO37/EO2</f>
        <v>4900</v>
      </c>
      <c r="EQ37" s="159">
        <f>+EP37*0</f>
        <v>0</v>
      </c>
      <c r="ER37" s="266">
        <f t="shared" si="278"/>
        <v>0</v>
      </c>
      <c r="ES37" s="159">
        <f t="shared" si="279"/>
        <v>0</v>
      </c>
      <c r="ET37" s="118"/>
      <c r="EU37" s="151">
        <v>1770000</v>
      </c>
      <c r="EV37" s="151">
        <f t="shared" si="280"/>
        <v>1500000</v>
      </c>
      <c r="EW37" s="151">
        <f>EV37/EV2</f>
        <v>810.49537477306126</v>
      </c>
      <c r="EX37" s="96">
        <f t="shared" si="281"/>
        <v>810.49537477306126</v>
      </c>
      <c r="EY37" s="267">
        <f t="shared" si="282"/>
        <v>1964509.0991614074</v>
      </c>
      <c r="EZ37" s="96">
        <f t="shared" si="283"/>
        <v>2318120.7370104608</v>
      </c>
      <c r="FA37" s="118"/>
      <c r="FB37" s="151">
        <v>1494930</v>
      </c>
      <c r="FC37" s="151">
        <f t="shared" si="284"/>
        <v>1266889.8305084747</v>
      </c>
      <c r="FD37" s="151">
        <f>FC37/FC2</f>
        <v>281.5310734463277</v>
      </c>
      <c r="FE37" s="96">
        <f t="shared" si="285"/>
        <v>281.5310734463277</v>
      </c>
      <c r="FF37" s="267">
        <f t="shared" si="286"/>
        <v>1465683.4935335594</v>
      </c>
      <c r="FG37" s="96">
        <f t="shared" si="287"/>
        <v>1729506.5223695999</v>
      </c>
      <c r="FH37" s="118"/>
      <c r="FI37" s="287">
        <v>3205942</v>
      </c>
      <c r="FJ37" s="287">
        <f t="shared" si="288"/>
        <v>2716900</v>
      </c>
      <c r="FK37" s="288">
        <f t="shared" si="289"/>
        <v>2500</v>
      </c>
      <c r="FL37" s="96">
        <f t="shared" si="290"/>
        <v>2500</v>
      </c>
      <c r="FM37" s="267">
        <f t="shared" si="291"/>
        <v>3637290.1499999994</v>
      </c>
      <c r="FN37" s="139">
        <f t="shared" si="292"/>
        <v>4292002.3769999994</v>
      </c>
      <c r="FO37" s="118"/>
      <c r="FP37" s="151"/>
      <c r="FQ37" s="151">
        <f t="shared" si="293"/>
        <v>0</v>
      </c>
      <c r="FR37" s="151">
        <f>FQ37/FQ2</f>
        <v>0</v>
      </c>
      <c r="FS37" s="96">
        <v>2500</v>
      </c>
      <c r="FT37" s="267"/>
      <c r="FU37" s="96"/>
      <c r="FV37" s="118"/>
      <c r="FW37" s="151"/>
      <c r="FX37" s="151">
        <f t="shared" si="296"/>
        <v>0</v>
      </c>
      <c r="FY37" s="151">
        <f>FX37/FX2</f>
        <v>0</v>
      </c>
      <c r="FZ37" s="96">
        <f t="shared" si="297"/>
        <v>0</v>
      </c>
      <c r="GA37" s="267">
        <f t="shared" si="298"/>
        <v>0</v>
      </c>
      <c r="GB37" s="96">
        <f t="shared" si="299"/>
        <v>0</v>
      </c>
      <c r="GC37" s="118"/>
      <c r="GD37" s="151"/>
      <c r="GE37" s="151">
        <f t="shared" si="300"/>
        <v>0</v>
      </c>
      <c r="GF37" s="151">
        <f>GE37/GE2</f>
        <v>0</v>
      </c>
      <c r="GG37" s="159">
        <f t="shared" si="301"/>
        <v>0</v>
      </c>
      <c r="GH37" s="266">
        <f t="shared" si="302"/>
        <v>0</v>
      </c>
      <c r="GI37" s="159">
        <f t="shared" si="303"/>
        <v>0</v>
      </c>
      <c r="GJ37" s="118"/>
      <c r="GK37" s="151"/>
      <c r="GL37" s="151"/>
      <c r="GM37" s="270"/>
      <c r="GN37" s="159"/>
      <c r="GO37" s="266"/>
      <c r="GP37" s="159"/>
      <c r="GQ37" s="118"/>
      <c r="GR37" s="151"/>
      <c r="GS37" s="151">
        <f t="shared" si="304"/>
        <v>0</v>
      </c>
      <c r="GT37" s="151">
        <f>GS37/GS2</f>
        <v>0</v>
      </c>
      <c r="GU37" s="96">
        <f t="shared" si="305"/>
        <v>0</v>
      </c>
      <c r="GV37" s="267">
        <f t="shared" si="306"/>
        <v>0</v>
      </c>
      <c r="GW37" s="96">
        <f t="shared" si="307"/>
        <v>0</v>
      </c>
      <c r="GX37" s="118"/>
      <c r="GY37" s="151">
        <v>404393.07999999996</v>
      </c>
      <c r="GZ37" s="151">
        <f t="shared" si="308"/>
        <v>342706</v>
      </c>
      <c r="HA37" s="151">
        <f>GZ37/GZ2</f>
        <v>350.05720122574053</v>
      </c>
      <c r="HB37" s="159"/>
      <c r="HC37" s="266"/>
      <c r="HD37" s="159"/>
      <c r="HE37" s="118"/>
      <c r="HF37" s="151"/>
      <c r="HG37" s="151">
        <f t="shared" si="309"/>
        <v>0</v>
      </c>
      <c r="HH37" s="151">
        <f>HG37/HG2</f>
        <v>0</v>
      </c>
      <c r="HI37" s="210"/>
      <c r="HJ37" s="210">
        <f>HI37*HJ2</f>
        <v>0</v>
      </c>
      <c r="HK37" s="210">
        <f t="shared" si="310"/>
        <v>0</v>
      </c>
      <c r="HL37" s="118"/>
      <c r="HM37" s="151"/>
      <c r="HN37" s="151">
        <f t="shared" si="311"/>
        <v>0</v>
      </c>
      <c r="HO37" s="151">
        <f>HN37/HN2</f>
        <v>0</v>
      </c>
      <c r="HP37" s="96">
        <f t="shared" si="312"/>
        <v>0</v>
      </c>
      <c r="HQ37" s="267">
        <f t="shared" si="313"/>
        <v>0</v>
      </c>
      <c r="HR37" s="96">
        <f t="shared" si="314"/>
        <v>0</v>
      </c>
      <c r="HS37" s="118"/>
      <c r="HT37" s="318">
        <f t="shared" si="315"/>
        <v>14791735.886727177</v>
      </c>
      <c r="HU37" s="151">
        <f t="shared" si="316"/>
        <v>17454248.346338067</v>
      </c>
      <c r="HV37" s="319"/>
    </row>
    <row r="38" spans="1:230">
      <c r="A38" s="18">
        <v>9</v>
      </c>
      <c r="B38" s="19" t="s">
        <v>38</v>
      </c>
      <c r="C38" s="118"/>
      <c r="D38" s="151">
        <v>0</v>
      </c>
      <c r="E38" s="151">
        <f t="shared" si="213"/>
        <v>0</v>
      </c>
      <c r="F38" s="151">
        <f>E38/E2</f>
        <v>0</v>
      </c>
      <c r="G38" s="159">
        <v>0</v>
      </c>
      <c r="H38" s="266">
        <f t="shared" si="214"/>
        <v>0</v>
      </c>
      <c r="I38" s="159">
        <f t="shared" si="215"/>
        <v>0</v>
      </c>
      <c r="J38" s="118"/>
      <c r="K38" s="151">
        <v>0</v>
      </c>
      <c r="L38" s="151">
        <f t="shared" si="216"/>
        <v>0</v>
      </c>
      <c r="M38" s="151">
        <f>L38/L2</f>
        <v>0</v>
      </c>
      <c r="N38" s="159">
        <v>0</v>
      </c>
      <c r="O38" s="266">
        <f t="shared" si="217"/>
        <v>0</v>
      </c>
      <c r="P38" s="159">
        <f t="shared" si="218"/>
        <v>0</v>
      </c>
      <c r="Q38" s="118"/>
      <c r="R38" s="151"/>
      <c r="S38" s="151">
        <f t="shared" si="219"/>
        <v>0</v>
      </c>
      <c r="T38" s="151">
        <f>S38/S2</f>
        <v>0</v>
      </c>
      <c r="U38" s="159">
        <v>0</v>
      </c>
      <c r="V38" s="266">
        <f t="shared" si="220"/>
        <v>0</v>
      </c>
      <c r="W38" s="159">
        <f t="shared" si="221"/>
        <v>0</v>
      </c>
      <c r="X38" s="118"/>
      <c r="Y38" s="151"/>
      <c r="Z38" s="151">
        <f t="shared" si="222"/>
        <v>0</v>
      </c>
      <c r="AA38" s="151">
        <f>Z38/Z2</f>
        <v>0</v>
      </c>
      <c r="AB38" s="159">
        <v>0</v>
      </c>
      <c r="AC38" s="266">
        <f t="shared" si="223"/>
        <v>0</v>
      </c>
      <c r="AD38" s="159">
        <f t="shared" si="224"/>
        <v>0</v>
      </c>
      <c r="AE38" s="118"/>
      <c r="AF38" s="151"/>
      <c r="AG38" s="151">
        <f t="shared" si="225"/>
        <v>0</v>
      </c>
      <c r="AH38" s="151">
        <f>AG38/AG2</f>
        <v>0</v>
      </c>
      <c r="AI38" s="96">
        <f t="shared" si="226"/>
        <v>0</v>
      </c>
      <c r="AJ38" s="267">
        <f t="shared" si="227"/>
        <v>0</v>
      </c>
      <c r="AK38" s="96">
        <f t="shared" si="228"/>
        <v>0</v>
      </c>
      <c r="AL38" s="118"/>
      <c r="AM38" s="151"/>
      <c r="AN38" s="151">
        <f t="shared" si="229"/>
        <v>0</v>
      </c>
      <c r="AO38" s="151">
        <f>AN38/AN2</f>
        <v>0</v>
      </c>
      <c r="AP38" s="96">
        <f t="shared" si="230"/>
        <v>0</v>
      </c>
      <c r="AQ38" s="267">
        <f t="shared" si="231"/>
        <v>0</v>
      </c>
      <c r="AR38" s="96">
        <f t="shared" si="232"/>
        <v>0</v>
      </c>
      <c r="AS38" s="118"/>
      <c r="AT38" s="287"/>
      <c r="AU38" s="287">
        <f t="shared" si="233"/>
        <v>0</v>
      </c>
      <c r="AV38" s="288">
        <f t="shared" si="234"/>
        <v>0</v>
      </c>
      <c r="AW38" s="96">
        <f t="shared" si="235"/>
        <v>0</v>
      </c>
      <c r="AX38" s="267">
        <f t="shared" si="236"/>
        <v>0</v>
      </c>
      <c r="AY38" s="96">
        <f t="shared" si="237"/>
        <v>0</v>
      </c>
      <c r="AZ38" s="118"/>
      <c r="BA38" s="287"/>
      <c r="BB38" s="287"/>
      <c r="BC38" s="288"/>
      <c r="BD38" s="96">
        <v>200</v>
      </c>
      <c r="BE38" s="267">
        <f t="shared" si="238"/>
        <v>194397.83999999997</v>
      </c>
      <c r="BF38" s="96">
        <f t="shared" si="239"/>
        <v>229389.45119999995</v>
      </c>
      <c r="BG38" s="118"/>
      <c r="BH38" s="151"/>
      <c r="BI38" s="151">
        <f t="shared" si="240"/>
        <v>0</v>
      </c>
      <c r="BJ38" s="151">
        <f>BI38/BI2</f>
        <v>0</v>
      </c>
      <c r="BK38" s="210"/>
      <c r="BL38" s="210">
        <f>BK38*BL2</f>
        <v>0</v>
      </c>
      <c r="BM38" s="210">
        <f t="shared" si="241"/>
        <v>0</v>
      </c>
      <c r="BN38" s="118"/>
      <c r="BO38" s="151"/>
      <c r="BP38" s="151">
        <f t="shared" si="242"/>
        <v>0</v>
      </c>
      <c r="BQ38" s="151">
        <f>BP38/BP2</f>
        <v>0</v>
      </c>
      <c r="BR38" s="210"/>
      <c r="BS38" s="210">
        <f>BR38*BS2</f>
        <v>0</v>
      </c>
      <c r="BT38" s="210">
        <f t="shared" si="243"/>
        <v>0</v>
      </c>
      <c r="BU38" s="118"/>
      <c r="BV38" s="151"/>
      <c r="BW38" s="151">
        <f t="shared" si="244"/>
        <v>0</v>
      </c>
      <c r="BX38" s="151">
        <f>BW38/BW2</f>
        <v>0</v>
      </c>
      <c r="BY38" s="96">
        <f t="shared" si="245"/>
        <v>0</v>
      </c>
      <c r="BZ38" s="96">
        <f t="shared" si="246"/>
        <v>0</v>
      </c>
      <c r="CA38" s="96">
        <f t="shared" si="247"/>
        <v>0</v>
      </c>
      <c r="CB38" s="118"/>
      <c r="CC38" s="151"/>
      <c r="CD38" s="151">
        <f t="shared" si="248"/>
        <v>0</v>
      </c>
      <c r="CE38" s="151">
        <f>CD38/CD2</f>
        <v>0</v>
      </c>
      <c r="CF38" s="96">
        <f t="shared" si="249"/>
        <v>0</v>
      </c>
      <c r="CG38" s="267">
        <f t="shared" si="250"/>
        <v>0</v>
      </c>
      <c r="CH38" s="96">
        <f t="shared" si="251"/>
        <v>0</v>
      </c>
      <c r="CI38" s="118"/>
      <c r="CJ38" s="151"/>
      <c r="CK38" s="151">
        <f t="shared" si="252"/>
        <v>0</v>
      </c>
      <c r="CL38" s="151">
        <f>CK38/CK2</f>
        <v>0</v>
      </c>
      <c r="CM38" s="96">
        <f t="shared" si="317"/>
        <v>0</v>
      </c>
      <c r="CN38" s="267">
        <f t="shared" si="253"/>
        <v>0</v>
      </c>
      <c r="CO38" s="96">
        <f t="shared" si="254"/>
        <v>0</v>
      </c>
      <c r="CP38" s="118"/>
      <c r="CQ38" s="151"/>
      <c r="CR38" s="151">
        <f t="shared" si="255"/>
        <v>0</v>
      </c>
      <c r="CS38" s="151">
        <f>CR38/CR2</f>
        <v>0</v>
      </c>
      <c r="CT38" s="96">
        <f t="shared" si="318"/>
        <v>0</v>
      </c>
      <c r="CU38" s="267">
        <f t="shared" si="256"/>
        <v>0</v>
      </c>
      <c r="CV38" s="96">
        <f t="shared" si="257"/>
        <v>0</v>
      </c>
      <c r="CW38" s="118"/>
      <c r="CX38" s="151"/>
      <c r="CY38" s="151">
        <f t="shared" si="258"/>
        <v>0</v>
      </c>
      <c r="CZ38" s="151">
        <f>CY38/CY2</f>
        <v>0</v>
      </c>
      <c r="DA38" s="210"/>
      <c r="DB38" s="210">
        <f>DA38*DB2</f>
        <v>0</v>
      </c>
      <c r="DC38" s="210">
        <f t="shared" si="259"/>
        <v>0</v>
      </c>
      <c r="DD38" s="118"/>
      <c r="DE38" s="151"/>
      <c r="DF38" s="151">
        <f t="shared" si="260"/>
        <v>0</v>
      </c>
      <c r="DG38" s="151">
        <f>DF38/DF2</f>
        <v>0</v>
      </c>
      <c r="DH38" s="159">
        <f t="shared" si="327"/>
        <v>0</v>
      </c>
      <c r="DI38" s="266">
        <f t="shared" si="261"/>
        <v>0</v>
      </c>
      <c r="DJ38" s="159">
        <f t="shared" si="262"/>
        <v>0</v>
      </c>
      <c r="DK38" s="118"/>
      <c r="DL38" s="151"/>
      <c r="DM38" s="151">
        <f t="shared" si="263"/>
        <v>0</v>
      </c>
      <c r="DN38" s="151">
        <f>DM38/DM2</f>
        <v>0</v>
      </c>
      <c r="DO38" s="96">
        <f t="shared" si="264"/>
        <v>0</v>
      </c>
      <c r="DP38" s="267">
        <f t="shared" si="265"/>
        <v>0</v>
      </c>
      <c r="DQ38" s="96">
        <f t="shared" si="266"/>
        <v>0</v>
      </c>
      <c r="DR38" s="118"/>
      <c r="DS38" s="151"/>
      <c r="DT38" s="151">
        <f t="shared" si="267"/>
        <v>0</v>
      </c>
      <c r="DU38" s="133">
        <f t="shared" si="268"/>
        <v>0</v>
      </c>
      <c r="DV38" s="159">
        <f t="shared" si="269"/>
        <v>0</v>
      </c>
      <c r="DW38" s="266">
        <f t="shared" si="270"/>
        <v>0</v>
      </c>
      <c r="DX38" s="159">
        <f t="shared" si="271"/>
        <v>0</v>
      </c>
      <c r="DY38" s="118"/>
      <c r="DZ38" s="151"/>
      <c r="EA38" s="151">
        <f t="shared" si="272"/>
        <v>0</v>
      </c>
      <c r="EB38" s="151">
        <f>EA38/EA2</f>
        <v>0</v>
      </c>
      <c r="EC38" s="96">
        <f t="shared" si="319"/>
        <v>0</v>
      </c>
      <c r="ED38" s="267">
        <f t="shared" si="273"/>
        <v>0</v>
      </c>
      <c r="EE38" s="96">
        <f t="shared" si="274"/>
        <v>0</v>
      </c>
      <c r="EF38" s="118"/>
      <c r="EG38" s="151"/>
      <c r="EH38" s="151">
        <f t="shared" si="275"/>
        <v>0</v>
      </c>
      <c r="EI38" s="151">
        <f>EH38/EH2</f>
        <v>0</v>
      </c>
      <c r="EJ38" s="210"/>
      <c r="EK38" s="210">
        <f>EJ38*EK2</f>
        <v>0</v>
      </c>
      <c r="EL38" s="210">
        <f t="shared" si="276"/>
        <v>0</v>
      </c>
      <c r="EM38" s="118"/>
      <c r="EN38" s="151"/>
      <c r="EO38" s="151">
        <f t="shared" si="277"/>
        <v>0</v>
      </c>
      <c r="EP38" s="151">
        <f>EO38/EO2</f>
        <v>0</v>
      </c>
      <c r="EQ38" s="159">
        <f t="shared" si="329"/>
        <v>0</v>
      </c>
      <c r="ER38" s="266">
        <f t="shared" si="278"/>
        <v>0</v>
      </c>
      <c r="ES38" s="159">
        <f t="shared" si="279"/>
        <v>0</v>
      </c>
      <c r="ET38" s="118"/>
      <c r="EU38" s="151"/>
      <c r="EV38" s="151">
        <f t="shared" si="280"/>
        <v>0</v>
      </c>
      <c r="EW38" s="151">
        <f>EV38/EV2</f>
        <v>0</v>
      </c>
      <c r="EX38" s="96">
        <f t="shared" si="281"/>
        <v>0</v>
      </c>
      <c r="EY38" s="267">
        <f t="shared" si="282"/>
        <v>0</v>
      </c>
      <c r="EZ38" s="96">
        <f t="shared" si="283"/>
        <v>0</v>
      </c>
      <c r="FA38" s="118"/>
      <c r="FB38" s="151"/>
      <c r="FC38" s="151">
        <f t="shared" si="284"/>
        <v>0</v>
      </c>
      <c r="FD38" s="151">
        <f>FC38/FC2</f>
        <v>0</v>
      </c>
      <c r="FE38" s="96">
        <f t="shared" si="285"/>
        <v>0</v>
      </c>
      <c r="FF38" s="267">
        <f t="shared" si="286"/>
        <v>0</v>
      </c>
      <c r="FG38" s="96">
        <f t="shared" si="287"/>
        <v>0</v>
      </c>
      <c r="FH38" s="118"/>
      <c r="FI38" s="287"/>
      <c r="FJ38" s="287">
        <f t="shared" si="288"/>
        <v>0</v>
      </c>
      <c r="FK38" s="288">
        <f t="shared" si="289"/>
        <v>0</v>
      </c>
      <c r="FL38" s="96">
        <f t="shared" si="290"/>
        <v>0</v>
      </c>
      <c r="FM38" s="267">
        <f t="shared" si="291"/>
        <v>0</v>
      </c>
      <c r="FN38" s="139">
        <f t="shared" si="292"/>
        <v>0</v>
      </c>
      <c r="FO38" s="118"/>
      <c r="FP38" s="151"/>
      <c r="FQ38" s="151">
        <f t="shared" si="293"/>
        <v>0</v>
      </c>
      <c r="FR38" s="151">
        <f>FQ38/FQ2</f>
        <v>0</v>
      </c>
      <c r="FS38" s="96">
        <v>0</v>
      </c>
      <c r="FT38" s="267">
        <f t="shared" si="294"/>
        <v>0</v>
      </c>
      <c r="FU38" s="96">
        <f t="shared" si="295"/>
        <v>0</v>
      </c>
      <c r="FV38" s="118"/>
      <c r="FW38" s="151"/>
      <c r="FX38" s="151">
        <f t="shared" si="296"/>
        <v>0</v>
      </c>
      <c r="FY38" s="151">
        <f>FX38/FX2</f>
        <v>0</v>
      </c>
      <c r="FZ38" s="96">
        <f t="shared" si="297"/>
        <v>0</v>
      </c>
      <c r="GA38" s="267">
        <f t="shared" si="298"/>
        <v>0</v>
      </c>
      <c r="GB38" s="96">
        <f t="shared" si="299"/>
        <v>0</v>
      </c>
      <c r="GC38" s="118"/>
      <c r="GD38" s="151"/>
      <c r="GE38" s="151">
        <f t="shared" si="300"/>
        <v>0</v>
      </c>
      <c r="GF38" s="151">
        <f>GE38/GE2</f>
        <v>0</v>
      </c>
      <c r="GG38" s="159">
        <f t="shared" si="301"/>
        <v>0</v>
      </c>
      <c r="GH38" s="266">
        <f t="shared" si="302"/>
        <v>0</v>
      </c>
      <c r="GI38" s="159">
        <f t="shared" si="303"/>
        <v>0</v>
      </c>
      <c r="GJ38" s="118"/>
      <c r="GK38" s="151"/>
      <c r="GL38" s="151">
        <f t="shared" si="320"/>
        <v>0</v>
      </c>
      <c r="GM38" s="270">
        <f t="shared" si="321"/>
        <v>0</v>
      </c>
      <c r="GN38" s="159">
        <f t="shared" si="322"/>
        <v>0</v>
      </c>
      <c r="GO38" s="266">
        <f t="shared" si="323"/>
        <v>0</v>
      </c>
      <c r="GP38" s="159">
        <f t="shared" si="324"/>
        <v>0</v>
      </c>
      <c r="GQ38" s="118"/>
      <c r="GR38" s="151"/>
      <c r="GS38" s="151">
        <f t="shared" si="304"/>
        <v>0</v>
      </c>
      <c r="GT38" s="151">
        <f>GS38/GS2</f>
        <v>0</v>
      </c>
      <c r="GU38" s="96">
        <f t="shared" si="305"/>
        <v>0</v>
      </c>
      <c r="GV38" s="267">
        <f t="shared" si="306"/>
        <v>0</v>
      </c>
      <c r="GW38" s="96">
        <f t="shared" si="307"/>
        <v>0</v>
      </c>
      <c r="GX38" s="118"/>
      <c r="GY38" s="151"/>
      <c r="GZ38" s="151">
        <f t="shared" si="308"/>
        <v>0</v>
      </c>
      <c r="HA38" s="151">
        <f>GZ38/GZ2</f>
        <v>0</v>
      </c>
      <c r="HB38" s="159">
        <f t="shared" si="328"/>
        <v>0</v>
      </c>
      <c r="HC38" s="266">
        <f t="shared" si="325"/>
        <v>0</v>
      </c>
      <c r="HD38" s="159">
        <f t="shared" si="326"/>
        <v>0</v>
      </c>
      <c r="HE38" s="118"/>
      <c r="HF38" s="151"/>
      <c r="HG38" s="151">
        <f t="shared" si="309"/>
        <v>0</v>
      </c>
      <c r="HH38" s="151">
        <f>HG38/HG2</f>
        <v>0</v>
      </c>
      <c r="HI38" s="210"/>
      <c r="HJ38" s="210">
        <f>HI38*HJ2</f>
        <v>0</v>
      </c>
      <c r="HK38" s="210">
        <f t="shared" si="310"/>
        <v>0</v>
      </c>
      <c r="HL38" s="118"/>
      <c r="HM38" s="151"/>
      <c r="HN38" s="151">
        <f t="shared" si="311"/>
        <v>0</v>
      </c>
      <c r="HO38" s="151">
        <f>HN38/HN2</f>
        <v>0</v>
      </c>
      <c r="HP38" s="96">
        <f t="shared" si="312"/>
        <v>0</v>
      </c>
      <c r="HQ38" s="267">
        <f t="shared" si="313"/>
        <v>0</v>
      </c>
      <c r="HR38" s="96">
        <f t="shared" si="314"/>
        <v>0</v>
      </c>
      <c r="HS38" s="118"/>
      <c r="HT38" s="318">
        <f t="shared" si="315"/>
        <v>194397.83999999997</v>
      </c>
      <c r="HU38" s="151">
        <f t="shared" si="316"/>
        <v>229389.45119999995</v>
      </c>
      <c r="HV38" s="319"/>
    </row>
    <row r="39" spans="1:230">
      <c r="A39" s="18">
        <v>10</v>
      </c>
      <c r="B39" s="19" t="s">
        <v>39</v>
      </c>
      <c r="C39" s="118"/>
      <c r="D39" s="151">
        <v>0</v>
      </c>
      <c r="E39" s="151">
        <f t="shared" si="213"/>
        <v>0</v>
      </c>
      <c r="F39" s="151">
        <f>E39/E2</f>
        <v>0</v>
      </c>
      <c r="G39" s="159">
        <f>200*0</f>
        <v>0</v>
      </c>
      <c r="H39" s="266">
        <f t="shared" si="214"/>
        <v>0</v>
      </c>
      <c r="I39" s="159">
        <f t="shared" si="215"/>
        <v>0</v>
      </c>
      <c r="J39" s="118"/>
      <c r="K39" s="151">
        <v>0</v>
      </c>
      <c r="L39" s="151">
        <f t="shared" si="216"/>
        <v>0</v>
      </c>
      <c r="M39" s="151">
        <f>L39/L2</f>
        <v>0</v>
      </c>
      <c r="N39" s="159">
        <f>200*0</f>
        <v>0</v>
      </c>
      <c r="O39" s="266">
        <f t="shared" si="217"/>
        <v>0</v>
      </c>
      <c r="P39" s="159">
        <f t="shared" si="218"/>
        <v>0</v>
      </c>
      <c r="Q39" s="118"/>
      <c r="R39" s="151"/>
      <c r="S39" s="151">
        <f t="shared" si="219"/>
        <v>0</v>
      </c>
      <c r="T39" s="151">
        <f>S39/S2</f>
        <v>0</v>
      </c>
      <c r="U39" s="159">
        <f>200*0</f>
        <v>0</v>
      </c>
      <c r="V39" s="266">
        <f t="shared" si="220"/>
        <v>0</v>
      </c>
      <c r="W39" s="159">
        <f t="shared" si="221"/>
        <v>0</v>
      </c>
      <c r="X39" s="118"/>
      <c r="Y39" s="151"/>
      <c r="Z39" s="151">
        <f t="shared" si="222"/>
        <v>0</v>
      </c>
      <c r="AA39" s="151">
        <f>Z39/Z2</f>
        <v>0</v>
      </c>
      <c r="AB39" s="159">
        <f>200*0</f>
        <v>0</v>
      </c>
      <c r="AC39" s="266">
        <f t="shared" si="223"/>
        <v>0</v>
      </c>
      <c r="AD39" s="159">
        <f t="shared" si="224"/>
        <v>0</v>
      </c>
      <c r="AE39" s="118"/>
      <c r="AF39" s="151"/>
      <c r="AG39" s="151">
        <f t="shared" si="225"/>
        <v>0</v>
      </c>
      <c r="AH39" s="151">
        <f>AG39/AG2</f>
        <v>0</v>
      </c>
      <c r="AI39" s="96">
        <f>50*0</f>
        <v>0</v>
      </c>
      <c r="AJ39" s="267">
        <f t="shared" si="227"/>
        <v>0</v>
      </c>
      <c r="AK39" s="96">
        <f t="shared" si="228"/>
        <v>0</v>
      </c>
      <c r="AL39" s="118"/>
      <c r="AM39" s="151">
        <v>708000</v>
      </c>
      <c r="AN39" s="151">
        <f t="shared" si="229"/>
        <v>600000</v>
      </c>
      <c r="AO39" s="151">
        <f>AN39/AN2</f>
        <v>324.19814990922453</v>
      </c>
      <c r="AP39" s="96">
        <f t="shared" si="230"/>
        <v>324.19814990922453</v>
      </c>
      <c r="AQ39" s="267">
        <f t="shared" si="231"/>
        <v>242985.64450592201</v>
      </c>
      <c r="AR39" s="96">
        <f t="shared" si="232"/>
        <v>286723.06051698799</v>
      </c>
      <c r="AS39" s="118"/>
      <c r="AT39" s="287">
        <v>354000</v>
      </c>
      <c r="AU39" s="287">
        <f t="shared" si="233"/>
        <v>300000</v>
      </c>
      <c r="AV39" s="288">
        <f t="shared" si="234"/>
        <v>276.04990982369611</v>
      </c>
      <c r="AW39" s="96">
        <f t="shared" si="235"/>
        <v>276.04990982369611</v>
      </c>
      <c r="AX39" s="267">
        <f t="shared" si="236"/>
        <v>493846.88431668433</v>
      </c>
      <c r="AY39" s="96">
        <f t="shared" si="237"/>
        <v>582739.32349368744</v>
      </c>
      <c r="AZ39" s="118"/>
      <c r="BA39" s="287"/>
      <c r="BB39" s="287"/>
      <c r="BC39" s="288"/>
      <c r="BD39" s="96">
        <v>600</v>
      </c>
      <c r="BE39" s="267">
        <f t="shared" si="238"/>
        <v>583193.5199999999</v>
      </c>
      <c r="BF39" s="96">
        <f t="shared" si="239"/>
        <v>688168.3535999998</v>
      </c>
      <c r="BG39" s="118"/>
      <c r="BH39" s="151"/>
      <c r="BI39" s="151">
        <f t="shared" si="240"/>
        <v>0</v>
      </c>
      <c r="BJ39" s="151">
        <f>BI39/BI2</f>
        <v>0</v>
      </c>
      <c r="BK39" s="210"/>
      <c r="BL39" s="210">
        <f>BK39*BL2</f>
        <v>0</v>
      </c>
      <c r="BM39" s="210">
        <f t="shared" si="241"/>
        <v>0</v>
      </c>
      <c r="BN39" s="118"/>
      <c r="BO39" s="151"/>
      <c r="BP39" s="151">
        <f t="shared" si="242"/>
        <v>0</v>
      </c>
      <c r="BQ39" s="151">
        <f>BP39/BP2</f>
        <v>0</v>
      </c>
      <c r="BR39" s="210"/>
      <c r="BS39" s="210">
        <f>BR39*BS2</f>
        <v>0</v>
      </c>
      <c r="BT39" s="210">
        <f t="shared" si="243"/>
        <v>0</v>
      </c>
      <c r="BU39" s="118"/>
      <c r="BV39" s="151"/>
      <c r="BW39" s="151">
        <f t="shared" si="244"/>
        <v>0</v>
      </c>
      <c r="BX39" s="151">
        <f>BW39/BW2</f>
        <v>0</v>
      </c>
      <c r="BY39" s="96">
        <v>120</v>
      </c>
      <c r="BZ39" s="96">
        <f t="shared" si="246"/>
        <v>383628.95999999996</v>
      </c>
      <c r="CA39" s="96">
        <f t="shared" si="247"/>
        <v>452682.17279999994</v>
      </c>
      <c r="CB39" s="118"/>
      <c r="CC39" s="151"/>
      <c r="CD39" s="151">
        <f t="shared" si="248"/>
        <v>0</v>
      </c>
      <c r="CE39" s="151">
        <f>CD39/CD2</f>
        <v>0</v>
      </c>
      <c r="CF39" s="96">
        <f t="shared" si="249"/>
        <v>0</v>
      </c>
      <c r="CG39" s="267">
        <f t="shared" si="250"/>
        <v>0</v>
      </c>
      <c r="CH39" s="96">
        <f t="shared" si="251"/>
        <v>0</v>
      </c>
      <c r="CI39" s="118"/>
      <c r="CJ39" s="151">
        <v>708000</v>
      </c>
      <c r="CK39" s="151">
        <f t="shared" si="252"/>
        <v>600000</v>
      </c>
      <c r="CL39" s="151">
        <f>CK39/CK2</f>
        <v>324.19814990922453</v>
      </c>
      <c r="CM39" s="96">
        <f>+CL39*0</f>
        <v>0</v>
      </c>
      <c r="CN39" s="267">
        <f t="shared" si="253"/>
        <v>0</v>
      </c>
      <c r="CO39" s="96">
        <f t="shared" si="254"/>
        <v>0</v>
      </c>
      <c r="CP39" s="118"/>
      <c r="CQ39" s="151">
        <v>708000</v>
      </c>
      <c r="CR39" s="151">
        <f t="shared" si="255"/>
        <v>600000</v>
      </c>
      <c r="CS39" s="151">
        <f>CR39/CR2</f>
        <v>324.19814990922453</v>
      </c>
      <c r="CT39" s="96">
        <f>+CS39*0</f>
        <v>0</v>
      </c>
      <c r="CU39" s="267">
        <f t="shared" si="256"/>
        <v>0</v>
      </c>
      <c r="CV39" s="96">
        <f t="shared" si="257"/>
        <v>0</v>
      </c>
      <c r="CW39" s="118"/>
      <c r="CX39" s="151"/>
      <c r="CY39" s="151">
        <f t="shared" si="258"/>
        <v>0</v>
      </c>
      <c r="CZ39" s="151">
        <f>CY39/CY2</f>
        <v>0</v>
      </c>
      <c r="DA39" s="210"/>
      <c r="DB39" s="210">
        <f>DA39*DB2</f>
        <v>0</v>
      </c>
      <c r="DC39" s="210">
        <f t="shared" si="259"/>
        <v>0</v>
      </c>
      <c r="DD39" s="118"/>
      <c r="DE39" s="151"/>
      <c r="DF39" s="151">
        <f t="shared" si="260"/>
        <v>0</v>
      </c>
      <c r="DG39" s="151">
        <f>DF39/DF2</f>
        <v>0</v>
      </c>
      <c r="DH39" s="159">
        <f t="shared" si="327"/>
        <v>0</v>
      </c>
      <c r="DI39" s="266">
        <f t="shared" si="261"/>
        <v>0</v>
      </c>
      <c r="DJ39" s="159">
        <f t="shared" si="262"/>
        <v>0</v>
      </c>
      <c r="DK39" s="118"/>
      <c r="DL39" s="151"/>
      <c r="DM39" s="151">
        <f t="shared" si="263"/>
        <v>0</v>
      </c>
      <c r="DN39" s="151">
        <f>DM39/DM2</f>
        <v>0</v>
      </c>
      <c r="DO39" s="96">
        <f t="shared" si="264"/>
        <v>0</v>
      </c>
      <c r="DP39" s="267">
        <f t="shared" si="265"/>
        <v>0</v>
      </c>
      <c r="DQ39" s="96">
        <f t="shared" si="266"/>
        <v>0</v>
      </c>
      <c r="DR39" s="118"/>
      <c r="DS39" s="151"/>
      <c r="DT39" s="151">
        <f t="shared" si="267"/>
        <v>0</v>
      </c>
      <c r="DU39" s="133">
        <f t="shared" si="268"/>
        <v>0</v>
      </c>
      <c r="DV39" s="159">
        <v>50</v>
      </c>
      <c r="DW39" s="266">
        <f t="shared" si="270"/>
        <v>38400.569999999992</v>
      </c>
      <c r="DX39" s="159">
        <f t="shared" si="271"/>
        <v>45312.672599999991</v>
      </c>
      <c r="DY39" s="118"/>
      <c r="DZ39" s="151">
        <v>708000</v>
      </c>
      <c r="EA39" s="151">
        <f t="shared" si="272"/>
        <v>600000</v>
      </c>
      <c r="EB39" s="151">
        <f>EA39/EA2</f>
        <v>324.19814990922453</v>
      </c>
      <c r="EC39" s="96">
        <f t="shared" si="319"/>
        <v>324.19814990922453</v>
      </c>
      <c r="ED39" s="267">
        <f t="shared" si="273"/>
        <v>115141.62488112734</v>
      </c>
      <c r="EE39" s="96">
        <f t="shared" si="274"/>
        <v>135867.11735973024</v>
      </c>
      <c r="EF39" s="118"/>
      <c r="EG39" s="151"/>
      <c r="EH39" s="151">
        <f t="shared" si="275"/>
        <v>0</v>
      </c>
      <c r="EI39" s="151">
        <f>EH39/EH2</f>
        <v>0</v>
      </c>
      <c r="EJ39" s="210"/>
      <c r="EK39" s="210">
        <f>EJ39*EK2</f>
        <v>0</v>
      </c>
      <c r="EL39" s="210">
        <f t="shared" si="276"/>
        <v>0</v>
      </c>
      <c r="EM39" s="118"/>
      <c r="EN39" s="151">
        <v>118000</v>
      </c>
      <c r="EO39" s="151">
        <f t="shared" si="277"/>
        <v>100000</v>
      </c>
      <c r="EP39" s="151">
        <f>EO39/EO2</f>
        <v>160.23586719651325</v>
      </c>
      <c r="EQ39" s="159">
        <f>250*0</f>
        <v>0</v>
      </c>
      <c r="ER39" s="266">
        <f t="shared" si="278"/>
        <v>0</v>
      </c>
      <c r="ES39" s="159">
        <f t="shared" si="279"/>
        <v>0</v>
      </c>
      <c r="ET39" s="118"/>
      <c r="EU39" s="151">
        <v>708000</v>
      </c>
      <c r="EV39" s="151">
        <f t="shared" si="280"/>
        <v>600000</v>
      </c>
      <c r="EW39" s="151">
        <f>EV39/EV2</f>
        <v>324.19814990922453</v>
      </c>
      <c r="EX39" s="96">
        <v>150</v>
      </c>
      <c r="EY39" s="267">
        <f t="shared" si="282"/>
        <v>363575.62800000003</v>
      </c>
      <c r="EZ39" s="96">
        <f t="shared" si="283"/>
        <v>429019.24103999999</v>
      </c>
      <c r="FA39" s="118"/>
      <c r="FB39" s="151"/>
      <c r="FC39" s="151">
        <f t="shared" si="284"/>
        <v>0</v>
      </c>
      <c r="FD39" s="151">
        <f>FC39/FC2</f>
        <v>0</v>
      </c>
      <c r="FE39" s="96">
        <v>70</v>
      </c>
      <c r="FF39" s="267">
        <f t="shared" si="286"/>
        <v>364428.13680000004</v>
      </c>
      <c r="FG39" s="96">
        <f t="shared" si="287"/>
        <v>430025.20142400003</v>
      </c>
      <c r="FH39" s="118"/>
      <c r="FI39" s="287">
        <v>354000</v>
      </c>
      <c r="FJ39" s="287">
        <f t="shared" si="288"/>
        <v>300000</v>
      </c>
      <c r="FK39" s="288">
        <f t="shared" si="289"/>
        <v>276.04990982369611</v>
      </c>
      <c r="FL39" s="96">
        <f t="shared" si="290"/>
        <v>276.04990982369611</v>
      </c>
      <c r="FM39" s="267">
        <f t="shared" si="291"/>
        <v>401629.44716404716</v>
      </c>
      <c r="FN39" s="139">
        <f t="shared" si="292"/>
        <v>473922.74765357561</v>
      </c>
      <c r="FO39" s="118"/>
      <c r="FP39" s="151"/>
      <c r="FQ39" s="151">
        <f t="shared" si="293"/>
        <v>0</v>
      </c>
      <c r="FR39" s="151">
        <f>FQ39/FQ2</f>
        <v>0</v>
      </c>
      <c r="FS39" s="96">
        <v>276.04990982369611</v>
      </c>
      <c r="FT39" s="267">
        <f t="shared" si="294"/>
        <v>401629.44716404716</v>
      </c>
      <c r="FU39" s="96">
        <f t="shared" si="295"/>
        <v>473922.74765357561</v>
      </c>
      <c r="FV39" s="118"/>
      <c r="FW39" s="151"/>
      <c r="FX39" s="151">
        <f t="shared" si="296"/>
        <v>0</v>
      </c>
      <c r="FY39" s="151">
        <f>FX39/FX2</f>
        <v>0</v>
      </c>
      <c r="FZ39" s="96">
        <f t="shared" si="297"/>
        <v>0</v>
      </c>
      <c r="GA39" s="267">
        <f t="shared" si="298"/>
        <v>0</v>
      </c>
      <c r="GB39" s="96">
        <f t="shared" si="299"/>
        <v>0</v>
      </c>
      <c r="GC39" s="118"/>
      <c r="GD39" s="151"/>
      <c r="GE39" s="151">
        <f t="shared" si="300"/>
        <v>0</v>
      </c>
      <c r="GF39" s="151">
        <f>GE39/GE2</f>
        <v>0</v>
      </c>
      <c r="GG39" s="159">
        <f t="shared" si="301"/>
        <v>0</v>
      </c>
      <c r="GH39" s="266">
        <f t="shared" si="302"/>
        <v>0</v>
      </c>
      <c r="GI39" s="159">
        <f t="shared" si="303"/>
        <v>0</v>
      </c>
      <c r="GJ39" s="118"/>
      <c r="GK39" s="151"/>
      <c r="GL39" s="151"/>
      <c r="GM39" s="270"/>
      <c r="GN39" s="159"/>
      <c r="GO39" s="266"/>
      <c r="GP39" s="159"/>
      <c r="GQ39" s="118"/>
      <c r="GR39" s="151"/>
      <c r="GS39" s="151">
        <f t="shared" si="304"/>
        <v>0</v>
      </c>
      <c r="GT39" s="151">
        <f>GS39/GS2</f>
        <v>0</v>
      </c>
      <c r="GU39" s="96">
        <f t="shared" si="305"/>
        <v>0</v>
      </c>
      <c r="GV39" s="267">
        <f t="shared" si="306"/>
        <v>0</v>
      </c>
      <c r="GW39" s="96">
        <f t="shared" si="307"/>
        <v>0</v>
      </c>
      <c r="GX39" s="118"/>
      <c r="GY39" s="151"/>
      <c r="GZ39" s="151">
        <f t="shared" si="308"/>
        <v>0</v>
      </c>
      <c r="HA39" s="151">
        <f>GZ39/GZ2</f>
        <v>0</v>
      </c>
      <c r="HB39" s="159">
        <f t="shared" si="328"/>
        <v>0</v>
      </c>
      <c r="HC39" s="266">
        <f t="shared" si="325"/>
        <v>0</v>
      </c>
      <c r="HD39" s="159">
        <f t="shared" si="326"/>
        <v>0</v>
      </c>
      <c r="HE39" s="118"/>
      <c r="HF39" s="151"/>
      <c r="HG39" s="151">
        <f t="shared" si="309"/>
        <v>0</v>
      </c>
      <c r="HH39" s="151">
        <f>HG39/HG2</f>
        <v>0</v>
      </c>
      <c r="HI39" s="210"/>
      <c r="HJ39" s="210">
        <f>HI39*HJ2</f>
        <v>0</v>
      </c>
      <c r="HK39" s="210">
        <f t="shared" si="310"/>
        <v>0</v>
      </c>
      <c r="HL39" s="118"/>
      <c r="HM39" s="151"/>
      <c r="HN39" s="151">
        <f t="shared" si="311"/>
        <v>0</v>
      </c>
      <c r="HO39" s="151">
        <f>HN39/HN2</f>
        <v>0</v>
      </c>
      <c r="HP39" s="96">
        <f t="shared" si="312"/>
        <v>0</v>
      </c>
      <c r="HQ39" s="267">
        <f t="shared" si="313"/>
        <v>0</v>
      </c>
      <c r="HR39" s="96">
        <f t="shared" si="314"/>
        <v>0</v>
      </c>
      <c r="HS39" s="118"/>
      <c r="HT39" s="318">
        <f t="shared" si="315"/>
        <v>3388459.8628318277</v>
      </c>
      <c r="HU39" s="151">
        <f t="shared" si="316"/>
        <v>3998382.6381415566</v>
      </c>
      <c r="HV39" s="319"/>
    </row>
    <row r="40" spans="1:230">
      <c r="A40" s="18">
        <v>11</v>
      </c>
      <c r="B40" s="19" t="s">
        <v>83</v>
      </c>
      <c r="C40" s="118"/>
      <c r="D40" s="151">
        <v>17521.583999999999</v>
      </c>
      <c r="E40" s="151">
        <f t="shared" si="213"/>
        <v>14848.8</v>
      </c>
      <c r="F40" s="151">
        <f>E40/E2</f>
        <v>60</v>
      </c>
      <c r="G40" s="159">
        <v>150</v>
      </c>
      <c r="H40" s="266">
        <f t="shared" si="214"/>
        <v>76209.119999999995</v>
      </c>
      <c r="I40" s="159">
        <f t="shared" si="215"/>
        <v>89926.761599999983</v>
      </c>
      <c r="J40" s="118"/>
      <c r="K40" s="151">
        <v>17521.583999999999</v>
      </c>
      <c r="L40" s="151">
        <f t="shared" si="216"/>
        <v>14848.8</v>
      </c>
      <c r="M40" s="151">
        <f>L40/L2</f>
        <v>212.12571428571428</v>
      </c>
      <c r="N40" s="159">
        <v>150</v>
      </c>
      <c r="O40" s="266">
        <f t="shared" si="217"/>
        <v>76209.119999999995</v>
      </c>
      <c r="P40" s="159">
        <f t="shared" si="218"/>
        <v>89926.761599999983</v>
      </c>
      <c r="Q40" s="118"/>
      <c r="R40" s="151"/>
      <c r="S40" s="151"/>
      <c r="T40" s="151">
        <f>S40/S2</f>
        <v>0</v>
      </c>
      <c r="U40" s="159">
        <v>150</v>
      </c>
      <c r="V40" s="266">
        <f t="shared" si="220"/>
        <v>57705.803999999996</v>
      </c>
      <c r="W40" s="159">
        <f t="shared" si="221"/>
        <v>68092.848719999995</v>
      </c>
      <c r="X40" s="118"/>
      <c r="Y40" s="151"/>
      <c r="Z40" s="151"/>
      <c r="AA40" s="151">
        <f>Z40/Z2</f>
        <v>0</v>
      </c>
      <c r="AB40" s="159">
        <v>150</v>
      </c>
      <c r="AC40" s="266">
        <f t="shared" si="223"/>
        <v>57705.803999999996</v>
      </c>
      <c r="AD40" s="159">
        <f t="shared" si="224"/>
        <v>68092.848719999995</v>
      </c>
      <c r="AE40" s="118"/>
      <c r="AF40" s="151"/>
      <c r="AG40" s="151"/>
      <c r="AH40" s="151">
        <f>AG40/AG2</f>
        <v>0</v>
      </c>
      <c r="AI40" s="96">
        <v>100</v>
      </c>
      <c r="AJ40" s="267">
        <f t="shared" si="227"/>
        <v>178897.67999999996</v>
      </c>
      <c r="AK40" s="96">
        <f t="shared" si="228"/>
        <v>211099.26239999995</v>
      </c>
      <c r="AL40" s="118"/>
      <c r="AM40" s="151"/>
      <c r="AN40" s="151">
        <f>AM40/118%</f>
        <v>0</v>
      </c>
      <c r="AO40" s="151">
        <f>AN40/AN2</f>
        <v>0</v>
      </c>
      <c r="AP40" s="96">
        <v>100</v>
      </c>
      <c r="AQ40" s="267">
        <f t="shared" si="231"/>
        <v>74949.731999999989</v>
      </c>
      <c r="AR40" s="96">
        <f t="shared" si="232"/>
        <v>88440.683759999985</v>
      </c>
      <c r="AS40" s="118"/>
      <c r="AT40" s="287">
        <v>59000</v>
      </c>
      <c r="AU40" s="287">
        <f t="shared" si="233"/>
        <v>50000</v>
      </c>
      <c r="AV40" s="288">
        <f t="shared" si="234"/>
        <v>46.008318303949352</v>
      </c>
      <c r="AW40" s="96">
        <f t="shared" si="235"/>
        <v>46.008318303949352</v>
      </c>
      <c r="AX40" s="267">
        <f t="shared" si="236"/>
        <v>82307.814052780726</v>
      </c>
      <c r="AY40" s="96">
        <f t="shared" si="237"/>
        <v>97123.220582281254</v>
      </c>
      <c r="AZ40" s="118"/>
      <c r="BA40" s="287"/>
      <c r="BB40" s="287"/>
      <c r="BC40" s="288"/>
      <c r="BD40" s="96">
        <v>300</v>
      </c>
      <c r="BE40" s="267">
        <f t="shared" si="238"/>
        <v>291596.75999999995</v>
      </c>
      <c r="BF40" s="96">
        <f t="shared" si="239"/>
        <v>344084.1767999999</v>
      </c>
      <c r="BG40" s="118"/>
      <c r="BH40" s="151"/>
      <c r="BI40" s="151"/>
      <c r="BJ40" s="151">
        <f>BI40/BI2</f>
        <v>0</v>
      </c>
      <c r="BK40" s="210"/>
      <c r="BL40" s="210">
        <f>BK40*BL2</f>
        <v>0</v>
      </c>
      <c r="BM40" s="210">
        <f t="shared" si="241"/>
        <v>0</v>
      </c>
      <c r="BN40" s="118"/>
      <c r="BO40" s="151"/>
      <c r="BP40" s="151"/>
      <c r="BQ40" s="151">
        <f>BP40/BP2</f>
        <v>0</v>
      </c>
      <c r="BR40" s="210"/>
      <c r="BS40" s="210">
        <f>BR40*BS2</f>
        <v>0</v>
      </c>
      <c r="BT40" s="210">
        <f t="shared" si="243"/>
        <v>0</v>
      </c>
      <c r="BU40" s="118"/>
      <c r="BV40" s="151"/>
      <c r="BW40" s="151">
        <f>BV40/118%</f>
        <v>0</v>
      </c>
      <c r="BX40" s="151">
        <f>BW40/BW2</f>
        <v>0</v>
      </c>
      <c r="BY40" s="96">
        <v>25</v>
      </c>
      <c r="BZ40" s="96">
        <f t="shared" si="246"/>
        <v>79922.7</v>
      </c>
      <c r="CA40" s="96">
        <f t="shared" si="247"/>
        <v>94308.785999999993</v>
      </c>
      <c r="CB40" s="118"/>
      <c r="CC40" s="151"/>
      <c r="CD40" s="151"/>
      <c r="CE40" s="151">
        <f>CD40/CD2</f>
        <v>0</v>
      </c>
      <c r="CF40" s="96">
        <v>150</v>
      </c>
      <c r="CG40" s="267">
        <f t="shared" si="250"/>
        <v>49245.299999999996</v>
      </c>
      <c r="CH40" s="96">
        <f t="shared" si="251"/>
        <v>58109.453999999991</v>
      </c>
      <c r="CI40" s="118"/>
      <c r="CJ40" s="151"/>
      <c r="CK40" s="151">
        <f>CJ40/118%</f>
        <v>0</v>
      </c>
      <c r="CL40" s="151">
        <f>CK40/CK2</f>
        <v>0</v>
      </c>
      <c r="CM40" s="96">
        <v>150</v>
      </c>
      <c r="CN40" s="267">
        <f t="shared" si="253"/>
        <v>49245.299999999996</v>
      </c>
      <c r="CO40" s="96">
        <f t="shared" si="254"/>
        <v>58109.453999999991</v>
      </c>
      <c r="CP40" s="118"/>
      <c r="CQ40" s="151"/>
      <c r="CR40" s="151">
        <f>CQ40/118%</f>
        <v>0</v>
      </c>
      <c r="CS40" s="151">
        <f>CR40/CR2</f>
        <v>0</v>
      </c>
      <c r="CT40" s="96">
        <v>150</v>
      </c>
      <c r="CU40" s="267">
        <f t="shared" si="256"/>
        <v>49245.299999999996</v>
      </c>
      <c r="CV40" s="96">
        <f t="shared" si="257"/>
        <v>58109.453999999991</v>
      </c>
      <c r="CW40" s="118"/>
      <c r="CX40" s="151"/>
      <c r="CY40" s="151"/>
      <c r="CZ40" s="151">
        <f>CY40/CY2</f>
        <v>0</v>
      </c>
      <c r="DA40" s="210"/>
      <c r="DB40" s="210">
        <f>DA40*DB2</f>
        <v>0</v>
      </c>
      <c r="DC40" s="210">
        <f t="shared" si="259"/>
        <v>0</v>
      </c>
      <c r="DD40" s="118"/>
      <c r="DE40" s="151">
        <v>30680</v>
      </c>
      <c r="DF40" s="151">
        <f t="shared" si="260"/>
        <v>26000</v>
      </c>
      <c r="DG40" s="151">
        <f>DF40/DF2</f>
        <v>26.557711950970379</v>
      </c>
      <c r="DH40" s="159">
        <v>150</v>
      </c>
      <c r="DI40" s="266">
        <f t="shared" si="261"/>
        <v>56979.233999999989</v>
      </c>
      <c r="DJ40" s="159">
        <f t="shared" si="262"/>
        <v>67235.496119999982</v>
      </c>
      <c r="DK40" s="118"/>
      <c r="DL40" s="151"/>
      <c r="DM40" s="151"/>
      <c r="DN40" s="151">
        <f>DM40/DM2</f>
        <v>0</v>
      </c>
      <c r="DO40" s="96">
        <v>200</v>
      </c>
      <c r="DP40" s="267">
        <f t="shared" si="265"/>
        <v>132074.28</v>
      </c>
      <c r="DQ40" s="96">
        <f t="shared" si="266"/>
        <v>155847.65039999998</v>
      </c>
      <c r="DR40" s="118"/>
      <c r="DS40" s="151">
        <v>33600</v>
      </c>
      <c r="DT40" s="151">
        <f t="shared" si="267"/>
        <v>29999.999999999996</v>
      </c>
      <c r="DU40" s="133">
        <f t="shared" si="268"/>
        <v>11.380016690691146</v>
      </c>
      <c r="DV40" s="159">
        <v>80</v>
      </c>
      <c r="DW40" s="266">
        <f t="shared" si="270"/>
        <v>61440.911999999989</v>
      </c>
      <c r="DX40" s="159">
        <f t="shared" si="271"/>
        <v>72500.276159999979</v>
      </c>
      <c r="DY40" s="118"/>
      <c r="DZ40" s="151"/>
      <c r="EA40" s="151">
        <f>DZ40/118%</f>
        <v>0</v>
      </c>
      <c r="EB40" s="151">
        <f>EA40/EA2</f>
        <v>0</v>
      </c>
      <c r="EC40" s="96">
        <f t="shared" si="319"/>
        <v>0</v>
      </c>
      <c r="ED40" s="267">
        <f t="shared" si="273"/>
        <v>0</v>
      </c>
      <c r="EE40" s="96">
        <f t="shared" si="274"/>
        <v>0</v>
      </c>
      <c r="EF40" s="118"/>
      <c r="EG40" s="151"/>
      <c r="EH40" s="151"/>
      <c r="EI40" s="151">
        <f>EH40/EH2</f>
        <v>0</v>
      </c>
      <c r="EJ40" s="210"/>
      <c r="EK40" s="210">
        <f>EJ40*EK2</f>
        <v>0</v>
      </c>
      <c r="EL40" s="210">
        <f t="shared" si="276"/>
        <v>0</v>
      </c>
      <c r="EM40" s="118"/>
      <c r="EN40" s="151">
        <v>44840</v>
      </c>
      <c r="EO40" s="151">
        <f t="shared" si="277"/>
        <v>38000</v>
      </c>
      <c r="EP40" s="151">
        <f>EO40/EO2</f>
        <v>60.889629534675038</v>
      </c>
      <c r="EQ40" s="159">
        <v>120</v>
      </c>
      <c r="ER40" s="266">
        <f t="shared" si="278"/>
        <v>42618.981599999992</v>
      </c>
      <c r="ES40" s="159">
        <f t="shared" si="279"/>
        <v>50290.398287999989</v>
      </c>
      <c r="ET40" s="118"/>
      <c r="EU40" s="151"/>
      <c r="EV40" s="151">
        <f>EU40/118%</f>
        <v>0</v>
      </c>
      <c r="EW40" s="151">
        <f>EV40/EV2</f>
        <v>0</v>
      </c>
      <c r="EX40" s="96">
        <v>200</v>
      </c>
      <c r="EY40" s="267">
        <f t="shared" si="282"/>
        <v>484767.50400000002</v>
      </c>
      <c r="EZ40" s="96">
        <f t="shared" si="283"/>
        <v>572025.65471999999</v>
      </c>
      <c r="FA40" s="118"/>
      <c r="FB40" s="151"/>
      <c r="FC40" s="151">
        <f>FB40/118%</f>
        <v>0</v>
      </c>
      <c r="FD40" s="151">
        <f>FC40/FC2</f>
        <v>0</v>
      </c>
      <c r="FE40" s="96">
        <v>100</v>
      </c>
      <c r="FF40" s="267">
        <f t="shared" si="286"/>
        <v>520611.62400000001</v>
      </c>
      <c r="FG40" s="96">
        <f t="shared" si="287"/>
        <v>614321.71632000001</v>
      </c>
      <c r="FH40" s="118"/>
      <c r="FI40" s="287">
        <v>59000</v>
      </c>
      <c r="FJ40" s="287">
        <f t="shared" si="288"/>
        <v>50000</v>
      </c>
      <c r="FK40" s="288">
        <f t="shared" si="289"/>
        <v>46.008318303949352</v>
      </c>
      <c r="FL40" s="96">
        <f t="shared" si="290"/>
        <v>46.008318303949352</v>
      </c>
      <c r="FM40" s="267">
        <f t="shared" si="291"/>
        <v>66938.24119400786</v>
      </c>
      <c r="FN40" s="139">
        <f t="shared" si="292"/>
        <v>78987.124608929269</v>
      </c>
      <c r="FO40" s="118"/>
      <c r="FP40" s="151"/>
      <c r="FQ40" s="151">
        <f t="shared" si="293"/>
        <v>0</v>
      </c>
      <c r="FR40" s="151">
        <f>FQ40/FQ2</f>
        <v>0</v>
      </c>
      <c r="FS40" s="96">
        <v>46.008318303949352</v>
      </c>
      <c r="FT40" s="267">
        <f t="shared" si="294"/>
        <v>66938.24119400786</v>
      </c>
      <c r="FU40" s="96">
        <f t="shared" si="295"/>
        <v>78987.124608929269</v>
      </c>
      <c r="FV40" s="118"/>
      <c r="FW40" s="151"/>
      <c r="FX40" s="151"/>
      <c r="FY40" s="151">
        <f>FX40/FX2</f>
        <v>0</v>
      </c>
      <c r="FZ40" s="96">
        <v>300</v>
      </c>
      <c r="GA40" s="267">
        <f t="shared" si="298"/>
        <v>56510.999999999993</v>
      </c>
      <c r="GB40" s="96">
        <f t="shared" si="299"/>
        <v>66682.979999999981</v>
      </c>
      <c r="GC40" s="118"/>
      <c r="GD40" s="151"/>
      <c r="GE40" s="151"/>
      <c r="GF40" s="151">
        <f>GE40/GE2</f>
        <v>0</v>
      </c>
      <c r="GG40" s="159">
        <v>300</v>
      </c>
      <c r="GH40" s="266">
        <f t="shared" si="302"/>
        <v>110761.55999999998</v>
      </c>
      <c r="GI40" s="159">
        <f t="shared" si="303"/>
        <v>130698.64079999998</v>
      </c>
      <c r="GJ40" s="118"/>
      <c r="GK40" s="151">
        <v>30680</v>
      </c>
      <c r="GL40" s="151">
        <f>GK40/118%</f>
        <v>26000</v>
      </c>
      <c r="GM40" s="270">
        <f t="shared" si="321"/>
        <v>103.26311441553078</v>
      </c>
      <c r="GN40" s="159">
        <v>300</v>
      </c>
      <c r="GO40" s="266">
        <f t="shared" si="323"/>
        <v>84475.871999999988</v>
      </c>
      <c r="GP40" s="159">
        <f t="shared" si="324"/>
        <v>99681.528959999981</v>
      </c>
      <c r="GQ40" s="118"/>
      <c r="GR40" s="151"/>
      <c r="GS40" s="151"/>
      <c r="GT40" s="151">
        <f>GS40/GS2</f>
        <v>0</v>
      </c>
      <c r="GU40" s="96">
        <f t="shared" si="305"/>
        <v>0</v>
      </c>
      <c r="GV40" s="267">
        <f t="shared" si="306"/>
        <v>0</v>
      </c>
      <c r="GW40" s="96">
        <f t="shared" si="307"/>
        <v>0</v>
      </c>
      <c r="GX40" s="118"/>
      <c r="GY40" s="151">
        <v>30680</v>
      </c>
      <c r="GZ40" s="151">
        <f t="shared" si="308"/>
        <v>26000</v>
      </c>
      <c r="HA40" s="151">
        <f>GZ40/GZ2</f>
        <v>26.557711950970379</v>
      </c>
      <c r="HB40" s="159">
        <v>100</v>
      </c>
      <c r="HC40" s="266">
        <f t="shared" si="325"/>
        <v>67544.099999999991</v>
      </c>
      <c r="HD40" s="159">
        <f t="shared" si="326"/>
        <v>79702.037999999986</v>
      </c>
      <c r="HE40" s="118"/>
      <c r="HF40" s="151"/>
      <c r="HG40" s="151"/>
      <c r="HH40" s="151">
        <f>HG40/HG2</f>
        <v>0</v>
      </c>
      <c r="HI40" s="210"/>
      <c r="HJ40" s="210">
        <f>HI40*HJ2</f>
        <v>0</v>
      </c>
      <c r="HK40" s="210">
        <f t="shared" si="310"/>
        <v>0</v>
      </c>
      <c r="HL40" s="118"/>
      <c r="HM40" s="151"/>
      <c r="HN40" s="151"/>
      <c r="HO40" s="151">
        <f>HN40/HN2</f>
        <v>0</v>
      </c>
      <c r="HP40" s="96">
        <v>150</v>
      </c>
      <c r="HQ40" s="267">
        <f t="shared" si="313"/>
        <v>120158.53199999999</v>
      </c>
      <c r="HR40" s="96">
        <f t="shared" si="314"/>
        <v>141787.06775999998</v>
      </c>
      <c r="HS40" s="118"/>
      <c r="HT40" s="318">
        <f t="shared" si="315"/>
        <v>2995060.5160407969</v>
      </c>
      <c r="HU40" s="151">
        <f t="shared" si="316"/>
        <v>3534171.4089281401</v>
      </c>
      <c r="HV40" s="319"/>
    </row>
    <row r="41" spans="1:230">
      <c r="A41" s="18">
        <v>12</v>
      </c>
      <c r="B41" s="19" t="s">
        <v>40</v>
      </c>
      <c r="C41" s="118"/>
      <c r="D41" s="151">
        <v>0</v>
      </c>
      <c r="E41" s="151">
        <f>D41/118%</f>
        <v>0</v>
      </c>
      <c r="F41" s="151">
        <f>E41/E2</f>
        <v>0</v>
      </c>
      <c r="G41" s="159">
        <v>0</v>
      </c>
      <c r="H41" s="266">
        <f t="shared" si="214"/>
        <v>0</v>
      </c>
      <c r="I41" s="159">
        <f t="shared" si="215"/>
        <v>0</v>
      </c>
      <c r="J41" s="118"/>
      <c r="K41" s="151">
        <v>0</v>
      </c>
      <c r="L41" s="151">
        <f>K41/118%</f>
        <v>0</v>
      </c>
      <c r="M41" s="151">
        <f>L41/L2</f>
        <v>0</v>
      </c>
      <c r="N41" s="159">
        <v>0</v>
      </c>
      <c r="O41" s="266">
        <f t="shared" si="217"/>
        <v>0</v>
      </c>
      <c r="P41" s="159">
        <f t="shared" si="218"/>
        <v>0</v>
      </c>
      <c r="Q41" s="118"/>
      <c r="R41" s="151"/>
      <c r="S41" s="151">
        <f>R41/118%</f>
        <v>0</v>
      </c>
      <c r="T41" s="151">
        <f>S41/S2</f>
        <v>0</v>
      </c>
      <c r="U41" s="159">
        <v>0</v>
      </c>
      <c r="V41" s="266">
        <f t="shared" si="220"/>
        <v>0</v>
      </c>
      <c r="W41" s="159">
        <f t="shared" si="221"/>
        <v>0</v>
      </c>
      <c r="X41" s="118"/>
      <c r="Y41" s="151"/>
      <c r="Z41" s="151">
        <f>Y41/118%</f>
        <v>0</v>
      </c>
      <c r="AA41" s="151">
        <f>Z41/Z2</f>
        <v>0</v>
      </c>
      <c r="AB41" s="159">
        <v>0</v>
      </c>
      <c r="AC41" s="266">
        <f t="shared" si="223"/>
        <v>0</v>
      </c>
      <c r="AD41" s="159">
        <f t="shared" si="224"/>
        <v>0</v>
      </c>
      <c r="AE41" s="118"/>
      <c r="AF41" s="151"/>
      <c r="AG41" s="151">
        <f>AF41/118%</f>
        <v>0</v>
      </c>
      <c r="AH41" s="151">
        <f>AG41/AG2</f>
        <v>0</v>
      </c>
      <c r="AI41" s="96">
        <f t="shared" si="226"/>
        <v>0</v>
      </c>
      <c r="AJ41" s="267">
        <f t="shared" si="227"/>
        <v>0</v>
      </c>
      <c r="AK41" s="96">
        <f t="shared" si="228"/>
        <v>0</v>
      </c>
      <c r="AL41" s="118"/>
      <c r="AM41" s="151"/>
      <c r="AN41" s="151">
        <f>AM41/118%</f>
        <v>0</v>
      </c>
      <c r="AO41" s="151">
        <f>AN41/AN2</f>
        <v>0</v>
      </c>
      <c r="AP41" s="96">
        <f t="shared" si="230"/>
        <v>0</v>
      </c>
      <c r="AQ41" s="267">
        <f t="shared" si="231"/>
        <v>0</v>
      </c>
      <c r="AR41" s="96">
        <f t="shared" si="232"/>
        <v>0</v>
      </c>
      <c r="AS41" s="118"/>
      <c r="AT41" s="287"/>
      <c r="AU41" s="287">
        <f t="shared" si="233"/>
        <v>0</v>
      </c>
      <c r="AV41" s="288">
        <f t="shared" si="234"/>
        <v>0</v>
      </c>
      <c r="AW41" s="96">
        <f t="shared" si="235"/>
        <v>0</v>
      </c>
      <c r="AX41" s="267">
        <f t="shared" si="236"/>
        <v>0</v>
      </c>
      <c r="AY41" s="96">
        <f t="shared" si="237"/>
        <v>0</v>
      </c>
      <c r="AZ41" s="118"/>
      <c r="BA41" s="287"/>
      <c r="BB41" s="287"/>
      <c r="BC41" s="288"/>
      <c r="BD41" s="96">
        <f>+BC41</f>
        <v>0</v>
      </c>
      <c r="BE41" s="267">
        <f t="shared" si="238"/>
        <v>0</v>
      </c>
      <c r="BF41" s="96">
        <f t="shared" si="239"/>
        <v>0</v>
      </c>
      <c r="BG41" s="118"/>
      <c r="BH41" s="151"/>
      <c r="BI41" s="151">
        <f>BH41/118%</f>
        <v>0</v>
      </c>
      <c r="BJ41" s="151">
        <f>BI41/BI2</f>
        <v>0</v>
      </c>
      <c r="BK41" s="210"/>
      <c r="BL41" s="210">
        <f>BK41*BL2</f>
        <v>0</v>
      </c>
      <c r="BM41" s="210">
        <f t="shared" si="241"/>
        <v>0</v>
      </c>
      <c r="BN41" s="118"/>
      <c r="BO41" s="151"/>
      <c r="BP41" s="151">
        <f>BO41/118%</f>
        <v>0</v>
      </c>
      <c r="BQ41" s="151">
        <f>BP41/BP2</f>
        <v>0</v>
      </c>
      <c r="BR41" s="210"/>
      <c r="BS41" s="210">
        <f>BR41*BS2</f>
        <v>0</v>
      </c>
      <c r="BT41" s="210">
        <f t="shared" si="243"/>
        <v>0</v>
      </c>
      <c r="BU41" s="118"/>
      <c r="BV41" s="151"/>
      <c r="BW41" s="151">
        <f>BV41/118%</f>
        <v>0</v>
      </c>
      <c r="BX41" s="151">
        <f>BW41/BW2</f>
        <v>0</v>
      </c>
      <c r="BY41" s="96">
        <f t="shared" si="245"/>
        <v>0</v>
      </c>
      <c r="BZ41" s="96">
        <f t="shared" si="246"/>
        <v>0</v>
      </c>
      <c r="CA41" s="96">
        <f t="shared" si="247"/>
        <v>0</v>
      </c>
      <c r="CB41" s="118"/>
      <c r="CC41" s="151"/>
      <c r="CD41" s="151">
        <f>CC41/118%</f>
        <v>0</v>
      </c>
      <c r="CE41" s="151">
        <f>CD41/CD2</f>
        <v>0</v>
      </c>
      <c r="CF41" s="96">
        <f t="shared" si="249"/>
        <v>0</v>
      </c>
      <c r="CG41" s="267">
        <f t="shared" si="250"/>
        <v>0</v>
      </c>
      <c r="CH41" s="96">
        <f t="shared" si="251"/>
        <v>0</v>
      </c>
      <c r="CI41" s="118"/>
      <c r="CJ41" s="151"/>
      <c r="CK41" s="151">
        <f>CJ41/118%</f>
        <v>0</v>
      </c>
      <c r="CL41" s="151">
        <f>CK41/CK2</f>
        <v>0</v>
      </c>
      <c r="CM41" s="96">
        <f t="shared" si="317"/>
        <v>0</v>
      </c>
      <c r="CN41" s="267">
        <f t="shared" si="253"/>
        <v>0</v>
      </c>
      <c r="CO41" s="96">
        <f t="shared" si="254"/>
        <v>0</v>
      </c>
      <c r="CP41" s="118"/>
      <c r="CQ41" s="151"/>
      <c r="CR41" s="151">
        <f>CQ41/118%</f>
        <v>0</v>
      </c>
      <c r="CS41" s="151">
        <f>CR41/CR2</f>
        <v>0</v>
      </c>
      <c r="CT41" s="96">
        <f t="shared" si="318"/>
        <v>0</v>
      </c>
      <c r="CU41" s="267">
        <f t="shared" si="256"/>
        <v>0</v>
      </c>
      <c r="CV41" s="96">
        <f t="shared" si="257"/>
        <v>0</v>
      </c>
      <c r="CW41" s="118"/>
      <c r="CX41" s="151"/>
      <c r="CY41" s="151">
        <f>CX41/118%</f>
        <v>0</v>
      </c>
      <c r="CZ41" s="151">
        <f>CY41/CY2</f>
        <v>0</v>
      </c>
      <c r="DA41" s="210"/>
      <c r="DB41" s="210">
        <f>DA41*DB2</f>
        <v>0</v>
      </c>
      <c r="DC41" s="210">
        <f t="shared" si="259"/>
        <v>0</v>
      </c>
      <c r="DD41" s="118"/>
      <c r="DE41" s="151"/>
      <c r="DF41" s="151">
        <f>DE41/118%</f>
        <v>0</v>
      </c>
      <c r="DG41" s="151">
        <f>DF41/DF2</f>
        <v>0</v>
      </c>
      <c r="DH41" s="159">
        <f t="shared" si="327"/>
        <v>0</v>
      </c>
      <c r="DI41" s="266">
        <f t="shared" si="261"/>
        <v>0</v>
      </c>
      <c r="DJ41" s="159">
        <f t="shared" si="262"/>
        <v>0</v>
      </c>
      <c r="DK41" s="118"/>
      <c r="DL41" s="151"/>
      <c r="DM41" s="151">
        <f>DL41/118%</f>
        <v>0</v>
      </c>
      <c r="DN41" s="151">
        <f>DM41/DM2</f>
        <v>0</v>
      </c>
      <c r="DO41" s="96">
        <f t="shared" si="264"/>
        <v>0</v>
      </c>
      <c r="DP41" s="267">
        <f t="shared" si="265"/>
        <v>0</v>
      </c>
      <c r="DQ41" s="96">
        <f t="shared" si="266"/>
        <v>0</v>
      </c>
      <c r="DR41" s="118"/>
      <c r="DS41" s="151"/>
      <c r="DT41" s="151">
        <f t="shared" si="267"/>
        <v>0</v>
      </c>
      <c r="DU41" s="133">
        <f t="shared" si="268"/>
        <v>0</v>
      </c>
      <c r="DV41" s="159">
        <f t="shared" si="269"/>
        <v>0</v>
      </c>
      <c r="DW41" s="266">
        <f t="shared" si="270"/>
        <v>0</v>
      </c>
      <c r="DX41" s="159">
        <f t="shared" si="271"/>
        <v>0</v>
      </c>
      <c r="DY41" s="118"/>
      <c r="DZ41" s="151"/>
      <c r="EA41" s="151">
        <f>DZ41/118%</f>
        <v>0</v>
      </c>
      <c r="EB41" s="151">
        <f>EA41/EA2</f>
        <v>0</v>
      </c>
      <c r="EC41" s="96">
        <f t="shared" si="319"/>
        <v>0</v>
      </c>
      <c r="ED41" s="267">
        <f t="shared" si="273"/>
        <v>0</v>
      </c>
      <c r="EE41" s="96">
        <f t="shared" si="274"/>
        <v>0</v>
      </c>
      <c r="EF41" s="118"/>
      <c r="EG41" s="151"/>
      <c r="EH41" s="151">
        <f>EG41/118%</f>
        <v>0</v>
      </c>
      <c r="EI41" s="151">
        <f>EH41/EH2</f>
        <v>0</v>
      </c>
      <c r="EJ41" s="210"/>
      <c r="EK41" s="210">
        <f>EJ41*EK2</f>
        <v>0</v>
      </c>
      <c r="EL41" s="210">
        <f t="shared" si="276"/>
        <v>0</v>
      </c>
      <c r="EM41" s="118"/>
      <c r="EN41" s="151"/>
      <c r="EO41" s="151">
        <f>EN41/118%</f>
        <v>0</v>
      </c>
      <c r="EP41" s="151">
        <f>EO41/EO2</f>
        <v>0</v>
      </c>
      <c r="EQ41" s="159">
        <f t="shared" si="329"/>
        <v>0</v>
      </c>
      <c r="ER41" s="266">
        <f t="shared" si="278"/>
        <v>0</v>
      </c>
      <c r="ES41" s="159">
        <f t="shared" si="279"/>
        <v>0</v>
      </c>
      <c r="ET41" s="118"/>
      <c r="EU41" s="151"/>
      <c r="EV41" s="151">
        <f>EU41/118%</f>
        <v>0</v>
      </c>
      <c r="EW41" s="151">
        <f>EV41/EV2</f>
        <v>0</v>
      </c>
      <c r="EX41" s="96">
        <f t="shared" si="281"/>
        <v>0</v>
      </c>
      <c r="EY41" s="267">
        <f t="shared" si="282"/>
        <v>0</v>
      </c>
      <c r="EZ41" s="96">
        <f t="shared" si="283"/>
        <v>0</v>
      </c>
      <c r="FA41" s="118"/>
      <c r="FB41" s="151"/>
      <c r="FC41" s="151">
        <f>FB41/118%</f>
        <v>0</v>
      </c>
      <c r="FD41" s="151">
        <f>FC41/FC2</f>
        <v>0</v>
      </c>
      <c r="FE41" s="96">
        <f t="shared" si="285"/>
        <v>0</v>
      </c>
      <c r="FF41" s="267">
        <f t="shared" si="286"/>
        <v>0</v>
      </c>
      <c r="FG41" s="96">
        <f t="shared" si="287"/>
        <v>0</v>
      </c>
      <c r="FH41" s="118"/>
      <c r="FI41" s="287"/>
      <c r="FJ41" s="287">
        <f t="shared" si="288"/>
        <v>0</v>
      </c>
      <c r="FK41" s="288">
        <f t="shared" si="289"/>
        <v>0</v>
      </c>
      <c r="FL41" s="96">
        <f t="shared" si="290"/>
        <v>0</v>
      </c>
      <c r="FM41" s="267">
        <f t="shared" si="291"/>
        <v>0</v>
      </c>
      <c r="FN41" s="139">
        <f t="shared" si="292"/>
        <v>0</v>
      </c>
      <c r="FO41" s="118"/>
      <c r="FP41" s="151"/>
      <c r="FQ41" s="151">
        <f t="shared" si="293"/>
        <v>0</v>
      </c>
      <c r="FR41" s="151">
        <f>FQ41/FQ2</f>
        <v>0</v>
      </c>
      <c r="FS41" s="96">
        <v>0</v>
      </c>
      <c r="FT41" s="267">
        <f t="shared" si="294"/>
        <v>0</v>
      </c>
      <c r="FU41" s="96">
        <f t="shared" si="295"/>
        <v>0</v>
      </c>
      <c r="FV41" s="118"/>
      <c r="FW41" s="151"/>
      <c r="FX41" s="151">
        <f>FW41/118%</f>
        <v>0</v>
      </c>
      <c r="FY41" s="151">
        <f>FX41/FX2</f>
        <v>0</v>
      </c>
      <c r="FZ41" s="96">
        <f t="shared" si="297"/>
        <v>0</v>
      </c>
      <c r="GA41" s="267">
        <f t="shared" si="298"/>
        <v>0</v>
      </c>
      <c r="GB41" s="96">
        <f t="shared" si="299"/>
        <v>0</v>
      </c>
      <c r="GC41" s="118"/>
      <c r="GD41" s="151"/>
      <c r="GE41" s="151">
        <f>GD41/118%</f>
        <v>0</v>
      </c>
      <c r="GF41" s="151">
        <f>GE41/GE2</f>
        <v>0</v>
      </c>
      <c r="GG41" s="159">
        <f t="shared" si="301"/>
        <v>0</v>
      </c>
      <c r="GH41" s="266">
        <f t="shared" si="302"/>
        <v>0</v>
      </c>
      <c r="GI41" s="159">
        <f t="shared" si="303"/>
        <v>0</v>
      </c>
      <c r="GJ41" s="118"/>
      <c r="GK41" s="151"/>
      <c r="GL41" s="151">
        <f t="shared" si="320"/>
        <v>0</v>
      </c>
      <c r="GM41" s="270">
        <f t="shared" si="321"/>
        <v>0</v>
      </c>
      <c r="GN41" s="159">
        <f t="shared" si="322"/>
        <v>0</v>
      </c>
      <c r="GO41" s="266">
        <f t="shared" si="323"/>
        <v>0</v>
      </c>
      <c r="GP41" s="159">
        <f t="shared" si="324"/>
        <v>0</v>
      </c>
      <c r="GQ41" s="118"/>
      <c r="GR41" s="151"/>
      <c r="GS41" s="151">
        <f>GR41/118%</f>
        <v>0</v>
      </c>
      <c r="GT41" s="151">
        <f>GS41/GS2</f>
        <v>0</v>
      </c>
      <c r="GU41" s="96">
        <f t="shared" si="305"/>
        <v>0</v>
      </c>
      <c r="GV41" s="267">
        <f t="shared" si="306"/>
        <v>0</v>
      </c>
      <c r="GW41" s="96">
        <f t="shared" si="307"/>
        <v>0</v>
      </c>
      <c r="GX41" s="118"/>
      <c r="GY41" s="151"/>
      <c r="GZ41" s="151">
        <f t="shared" si="308"/>
        <v>0</v>
      </c>
      <c r="HA41" s="151">
        <f>GZ41/GZ2</f>
        <v>0</v>
      </c>
      <c r="HB41" s="159">
        <f t="shared" si="328"/>
        <v>0</v>
      </c>
      <c r="HC41" s="266">
        <f t="shared" si="325"/>
        <v>0</v>
      </c>
      <c r="HD41" s="159">
        <f t="shared" si="326"/>
        <v>0</v>
      </c>
      <c r="HE41" s="118"/>
      <c r="HF41" s="151"/>
      <c r="HG41" s="151">
        <f>HF41/118%</f>
        <v>0</v>
      </c>
      <c r="HH41" s="151">
        <f>HG41/HG2</f>
        <v>0</v>
      </c>
      <c r="HI41" s="210"/>
      <c r="HJ41" s="210">
        <f>HI41*HJ2</f>
        <v>0</v>
      </c>
      <c r="HK41" s="210">
        <f t="shared" si="310"/>
        <v>0</v>
      </c>
      <c r="HL41" s="118"/>
      <c r="HM41" s="151"/>
      <c r="HN41" s="151">
        <f>HM41/118%</f>
        <v>0</v>
      </c>
      <c r="HO41" s="151">
        <f>HN41/HN2</f>
        <v>0</v>
      </c>
      <c r="HP41" s="96">
        <f t="shared" si="312"/>
        <v>0</v>
      </c>
      <c r="HQ41" s="267">
        <f t="shared" si="313"/>
        <v>0</v>
      </c>
      <c r="HR41" s="96">
        <f t="shared" si="314"/>
        <v>0</v>
      </c>
      <c r="HS41" s="118"/>
      <c r="HT41" s="318">
        <f t="shared" si="315"/>
        <v>0</v>
      </c>
      <c r="HU41" s="151">
        <f t="shared" si="316"/>
        <v>0</v>
      </c>
      <c r="HV41" s="319"/>
    </row>
    <row r="42" spans="1:230">
      <c r="A42" s="18">
        <v>13</v>
      </c>
      <c r="B42" s="19" t="s">
        <v>41</v>
      </c>
      <c r="C42" s="118"/>
      <c r="D42" s="151">
        <v>0</v>
      </c>
      <c r="E42" s="151">
        <f>D42/118%</f>
        <v>0</v>
      </c>
      <c r="F42" s="151">
        <f>E42/E2</f>
        <v>0</v>
      </c>
      <c r="G42" s="159">
        <v>100</v>
      </c>
      <c r="H42" s="266">
        <f t="shared" si="214"/>
        <v>50806.079999999994</v>
      </c>
      <c r="I42" s="159">
        <f t="shared" si="215"/>
        <v>59951.174399999989</v>
      </c>
      <c r="J42" s="118"/>
      <c r="K42" s="151">
        <v>0</v>
      </c>
      <c r="L42" s="151">
        <f>K42/118%</f>
        <v>0</v>
      </c>
      <c r="M42" s="151">
        <f>L42/L2</f>
        <v>0</v>
      </c>
      <c r="N42" s="159">
        <v>100</v>
      </c>
      <c r="O42" s="266">
        <f t="shared" si="217"/>
        <v>50806.079999999994</v>
      </c>
      <c r="P42" s="159">
        <f t="shared" si="218"/>
        <v>59951.174399999989</v>
      </c>
      <c r="Q42" s="118"/>
      <c r="R42" s="151"/>
      <c r="S42" s="151">
        <f>R42/118%</f>
        <v>0</v>
      </c>
      <c r="T42" s="151">
        <f>S42/S2</f>
        <v>0</v>
      </c>
      <c r="U42" s="159">
        <v>100</v>
      </c>
      <c r="V42" s="266">
        <f t="shared" si="220"/>
        <v>38470.536</v>
      </c>
      <c r="W42" s="159">
        <f t="shared" si="221"/>
        <v>45395.232479999999</v>
      </c>
      <c r="X42" s="118"/>
      <c r="Y42" s="151"/>
      <c r="Z42" s="151">
        <f>Y42/118%</f>
        <v>0</v>
      </c>
      <c r="AA42" s="151">
        <f>Z42/Z2</f>
        <v>0</v>
      </c>
      <c r="AB42" s="159">
        <v>100</v>
      </c>
      <c r="AC42" s="266">
        <f t="shared" si="223"/>
        <v>38470.536</v>
      </c>
      <c r="AD42" s="159">
        <f t="shared" si="224"/>
        <v>45395.232479999999</v>
      </c>
      <c r="AE42" s="118"/>
      <c r="AF42" s="151"/>
      <c r="AG42" s="151">
        <f>AF42/118%</f>
        <v>0</v>
      </c>
      <c r="AH42" s="151">
        <f>AG42/AG2</f>
        <v>0</v>
      </c>
      <c r="AI42" s="96">
        <v>100</v>
      </c>
      <c r="AJ42" s="267">
        <f t="shared" si="227"/>
        <v>178897.67999999996</v>
      </c>
      <c r="AK42" s="96">
        <f t="shared" si="228"/>
        <v>211099.26239999995</v>
      </c>
      <c r="AL42" s="118"/>
      <c r="AM42" s="151"/>
      <c r="AN42" s="151">
        <f>AM42/118%</f>
        <v>0</v>
      </c>
      <c r="AO42" s="151">
        <f>AN42/AN2</f>
        <v>0</v>
      </c>
      <c r="AP42" s="96">
        <v>100</v>
      </c>
      <c r="AQ42" s="267">
        <f t="shared" si="231"/>
        <v>74949.731999999989</v>
      </c>
      <c r="AR42" s="96">
        <f t="shared" si="232"/>
        <v>88440.683759999985</v>
      </c>
      <c r="AS42" s="118"/>
      <c r="AT42" s="287"/>
      <c r="AU42" s="287"/>
      <c r="AV42" s="288"/>
      <c r="AW42" s="96">
        <v>100</v>
      </c>
      <c r="AX42" s="267">
        <f t="shared" si="236"/>
        <v>178897.67999999996</v>
      </c>
      <c r="AY42" s="96">
        <f t="shared" si="237"/>
        <v>211099.26239999995</v>
      </c>
      <c r="AZ42" s="118"/>
      <c r="BA42" s="287"/>
      <c r="BB42" s="287"/>
      <c r="BC42" s="288"/>
      <c r="BD42" s="96">
        <v>100</v>
      </c>
      <c r="BE42" s="267">
        <f t="shared" si="238"/>
        <v>97198.919999999984</v>
      </c>
      <c r="BF42" s="96">
        <f t="shared" si="239"/>
        <v>114694.72559999998</v>
      </c>
      <c r="BG42" s="118"/>
      <c r="BH42" s="151"/>
      <c r="BI42" s="151">
        <f>BH42/118%</f>
        <v>0</v>
      </c>
      <c r="BJ42" s="151">
        <f>BI42/BI2</f>
        <v>0</v>
      </c>
      <c r="BK42" s="210"/>
      <c r="BL42" s="210">
        <f>BK42*BL2</f>
        <v>0</v>
      </c>
      <c r="BM42" s="210">
        <f t="shared" si="241"/>
        <v>0</v>
      </c>
      <c r="BN42" s="118"/>
      <c r="BO42" s="151"/>
      <c r="BP42" s="151">
        <f>BO42/118%</f>
        <v>0</v>
      </c>
      <c r="BQ42" s="151">
        <f>BP42/BP2</f>
        <v>0</v>
      </c>
      <c r="BR42" s="210"/>
      <c r="BS42" s="210">
        <f>BR42*BS2</f>
        <v>0</v>
      </c>
      <c r="BT42" s="210">
        <f t="shared" si="243"/>
        <v>0</v>
      </c>
      <c r="BU42" s="118"/>
      <c r="BV42" s="151"/>
      <c r="BW42" s="151">
        <f>BV42/118%</f>
        <v>0</v>
      </c>
      <c r="BX42" s="151">
        <f>BW42/BW2</f>
        <v>0</v>
      </c>
      <c r="BY42" s="96">
        <v>30</v>
      </c>
      <c r="BZ42" s="96">
        <f t="shared" si="246"/>
        <v>95907.239999999991</v>
      </c>
      <c r="CA42" s="96">
        <f t="shared" si="247"/>
        <v>113170.54319999999</v>
      </c>
      <c r="CB42" s="118"/>
      <c r="CC42" s="151"/>
      <c r="CD42" s="151">
        <f>CC42/118%</f>
        <v>0</v>
      </c>
      <c r="CE42" s="151">
        <f>CD42/CD2</f>
        <v>0</v>
      </c>
      <c r="CF42" s="96">
        <v>100</v>
      </c>
      <c r="CG42" s="267">
        <f t="shared" si="250"/>
        <v>32830.199999999997</v>
      </c>
      <c r="CH42" s="96">
        <f t="shared" si="251"/>
        <v>38739.635999999991</v>
      </c>
      <c r="CI42" s="118"/>
      <c r="CJ42" s="151"/>
      <c r="CK42" s="151">
        <f>CJ42/118%</f>
        <v>0</v>
      </c>
      <c r="CL42" s="151">
        <f>CK42/CK2</f>
        <v>0</v>
      </c>
      <c r="CM42" s="96">
        <v>100</v>
      </c>
      <c r="CN42" s="267">
        <f t="shared" si="253"/>
        <v>32830.199999999997</v>
      </c>
      <c r="CO42" s="96">
        <f t="shared" si="254"/>
        <v>38739.635999999991</v>
      </c>
      <c r="CP42" s="118"/>
      <c r="CQ42" s="151"/>
      <c r="CR42" s="151">
        <f>CQ42/118%</f>
        <v>0</v>
      </c>
      <c r="CS42" s="151">
        <f>CR42/CR2</f>
        <v>0</v>
      </c>
      <c r="CT42" s="96">
        <v>100</v>
      </c>
      <c r="CU42" s="267">
        <f t="shared" si="256"/>
        <v>32830.199999999997</v>
      </c>
      <c r="CV42" s="96">
        <f t="shared" si="257"/>
        <v>38739.635999999991</v>
      </c>
      <c r="CW42" s="118"/>
      <c r="CX42" s="151"/>
      <c r="CY42" s="151">
        <f>CX42/118%</f>
        <v>0</v>
      </c>
      <c r="CZ42" s="151">
        <f>CY42/CY2</f>
        <v>0</v>
      </c>
      <c r="DA42" s="210"/>
      <c r="DB42" s="210">
        <f>DA42*DB2</f>
        <v>0</v>
      </c>
      <c r="DC42" s="210">
        <f t="shared" si="259"/>
        <v>0</v>
      </c>
      <c r="DD42" s="118"/>
      <c r="DE42" s="151"/>
      <c r="DF42" s="151">
        <f>DE42/118%</f>
        <v>0</v>
      </c>
      <c r="DG42" s="151">
        <f>DF42/DF2</f>
        <v>0</v>
      </c>
      <c r="DH42" s="159">
        <v>100</v>
      </c>
      <c r="DI42" s="266">
        <f t="shared" si="261"/>
        <v>37986.155999999995</v>
      </c>
      <c r="DJ42" s="159">
        <f t="shared" si="262"/>
        <v>44823.664079999995</v>
      </c>
      <c r="DK42" s="118"/>
      <c r="DL42" s="151"/>
      <c r="DM42" s="151">
        <f>DL42/118%</f>
        <v>0</v>
      </c>
      <c r="DN42" s="151">
        <f>DM42/DM2</f>
        <v>0</v>
      </c>
      <c r="DO42" s="96">
        <v>100</v>
      </c>
      <c r="DP42" s="267">
        <f t="shared" si="265"/>
        <v>66037.14</v>
      </c>
      <c r="DQ42" s="96">
        <f t="shared" si="266"/>
        <v>77923.825199999992</v>
      </c>
      <c r="DR42" s="118"/>
      <c r="DS42" s="151"/>
      <c r="DT42" s="151">
        <f t="shared" si="267"/>
        <v>0</v>
      </c>
      <c r="DU42" s="133">
        <f t="shared" si="268"/>
        <v>0</v>
      </c>
      <c r="DV42" s="159">
        <v>50</v>
      </c>
      <c r="DW42" s="266">
        <f t="shared" si="270"/>
        <v>38400.569999999992</v>
      </c>
      <c r="DX42" s="159">
        <f t="shared" si="271"/>
        <v>45312.672599999991</v>
      </c>
      <c r="DY42" s="118"/>
      <c r="DZ42" s="151"/>
      <c r="EA42" s="151">
        <f>DZ42/118%</f>
        <v>0</v>
      </c>
      <c r="EB42" s="151">
        <f>EA42/EA2</f>
        <v>0</v>
      </c>
      <c r="EC42" s="96">
        <v>100</v>
      </c>
      <c r="ED42" s="267">
        <f t="shared" si="273"/>
        <v>35515.817999999999</v>
      </c>
      <c r="EE42" s="96">
        <f t="shared" si="274"/>
        <v>41908.665239999995</v>
      </c>
      <c r="EF42" s="118"/>
      <c r="EG42" s="151"/>
      <c r="EH42" s="151">
        <f>EG42/118%</f>
        <v>0</v>
      </c>
      <c r="EI42" s="151">
        <f>EH42/EH2</f>
        <v>0</v>
      </c>
      <c r="EJ42" s="210"/>
      <c r="EK42" s="210">
        <f>EJ42*EK2</f>
        <v>0</v>
      </c>
      <c r="EL42" s="210">
        <f t="shared" si="276"/>
        <v>0</v>
      </c>
      <c r="EM42" s="118"/>
      <c r="EN42" s="151"/>
      <c r="EO42" s="151">
        <f>EN42/118%</f>
        <v>0</v>
      </c>
      <c r="EP42" s="151">
        <f>EO42/EO2</f>
        <v>0</v>
      </c>
      <c r="EQ42" s="159">
        <v>100</v>
      </c>
      <c r="ER42" s="266">
        <f t="shared" si="278"/>
        <v>35515.817999999999</v>
      </c>
      <c r="ES42" s="159">
        <f t="shared" si="279"/>
        <v>41908.665239999995</v>
      </c>
      <c r="ET42" s="118"/>
      <c r="EU42" s="151"/>
      <c r="EV42" s="151">
        <f>EU42/118%</f>
        <v>0</v>
      </c>
      <c r="EW42" s="151">
        <f>EV42/EV2</f>
        <v>0</v>
      </c>
      <c r="EX42" s="96">
        <v>50</v>
      </c>
      <c r="EY42" s="267">
        <f t="shared" si="282"/>
        <v>121191.876</v>
      </c>
      <c r="EZ42" s="96">
        <f t="shared" si="283"/>
        <v>143006.41368</v>
      </c>
      <c r="FA42" s="118"/>
      <c r="FB42" s="151"/>
      <c r="FC42" s="151">
        <f>FB42/118%</f>
        <v>0</v>
      </c>
      <c r="FD42" s="151">
        <f>FC42/FC2</f>
        <v>0</v>
      </c>
      <c r="FE42" s="96">
        <v>50</v>
      </c>
      <c r="FF42" s="267">
        <f t="shared" si="286"/>
        <v>260305.81200000001</v>
      </c>
      <c r="FG42" s="96">
        <f t="shared" si="287"/>
        <v>307160.85816</v>
      </c>
      <c r="FH42" s="118"/>
      <c r="FI42" s="287"/>
      <c r="FJ42" s="287"/>
      <c r="FK42" s="288"/>
      <c r="FL42" s="96">
        <v>50</v>
      </c>
      <c r="FM42" s="267">
        <f t="shared" si="291"/>
        <v>72745.802999999985</v>
      </c>
      <c r="FN42" s="139">
        <f t="shared" si="292"/>
        <v>85840.047539999985</v>
      </c>
      <c r="FO42" s="118"/>
      <c r="FP42" s="151"/>
      <c r="FQ42" s="151">
        <f t="shared" si="293"/>
        <v>0</v>
      </c>
      <c r="FR42" s="151">
        <f>FQ42/FQ2</f>
        <v>0</v>
      </c>
      <c r="FS42" s="96">
        <v>50</v>
      </c>
      <c r="FT42" s="267">
        <f t="shared" si="294"/>
        <v>72745.802999999985</v>
      </c>
      <c r="FU42" s="96">
        <f t="shared" si="295"/>
        <v>85840.047539999985</v>
      </c>
      <c r="FV42" s="118"/>
      <c r="FW42" s="151"/>
      <c r="FX42" s="151">
        <f>FW42/118%</f>
        <v>0</v>
      </c>
      <c r="FY42" s="151">
        <f>FX42/FX2</f>
        <v>0</v>
      </c>
      <c r="FZ42" s="96">
        <v>200</v>
      </c>
      <c r="GA42" s="267">
        <f t="shared" si="298"/>
        <v>37673.999999999993</v>
      </c>
      <c r="GB42" s="96">
        <f t="shared" si="299"/>
        <v>44455.319999999992</v>
      </c>
      <c r="GC42" s="118"/>
      <c r="GD42" s="151"/>
      <c r="GE42" s="151">
        <f>GD42/118%</f>
        <v>0</v>
      </c>
      <c r="GF42" s="151">
        <f>GE42/GE2</f>
        <v>0</v>
      </c>
      <c r="GG42" s="159">
        <v>100</v>
      </c>
      <c r="GH42" s="266">
        <f t="shared" si="302"/>
        <v>36920.519999999997</v>
      </c>
      <c r="GI42" s="159">
        <f t="shared" si="303"/>
        <v>43566.213599999995</v>
      </c>
      <c r="GJ42" s="118"/>
      <c r="GK42" s="151"/>
      <c r="GL42" s="151">
        <f t="shared" si="320"/>
        <v>0</v>
      </c>
      <c r="GM42" s="270">
        <f t="shared" si="321"/>
        <v>0</v>
      </c>
      <c r="GN42" s="159">
        <v>150</v>
      </c>
      <c r="GO42" s="266">
        <f t="shared" si="323"/>
        <v>42237.935999999994</v>
      </c>
      <c r="GP42" s="159">
        <f t="shared" si="324"/>
        <v>49840.764479999991</v>
      </c>
      <c r="GQ42" s="118"/>
      <c r="GR42" s="151"/>
      <c r="GS42" s="151">
        <f>GR42/118%</f>
        <v>0</v>
      </c>
      <c r="GT42" s="151">
        <f>GS42/GS2</f>
        <v>0</v>
      </c>
      <c r="GU42" s="96">
        <v>100</v>
      </c>
      <c r="GV42" s="267">
        <f t="shared" si="306"/>
        <v>43884.828000000001</v>
      </c>
      <c r="GW42" s="96">
        <f t="shared" si="307"/>
        <v>51784.097040000001</v>
      </c>
      <c r="GX42" s="118"/>
      <c r="GY42" s="151"/>
      <c r="GZ42" s="151">
        <f t="shared" si="308"/>
        <v>0</v>
      </c>
      <c r="HA42" s="151">
        <f>GZ42/GZ2</f>
        <v>0</v>
      </c>
      <c r="HB42" s="159">
        <v>100</v>
      </c>
      <c r="HC42" s="266">
        <f t="shared" si="325"/>
        <v>67544.099999999991</v>
      </c>
      <c r="HD42" s="159">
        <f t="shared" si="326"/>
        <v>79702.037999999986</v>
      </c>
      <c r="HE42" s="118"/>
      <c r="HF42" s="151"/>
      <c r="HG42" s="151">
        <f>HF42/118%</f>
        <v>0</v>
      </c>
      <c r="HH42" s="151">
        <f>HG42/HG2</f>
        <v>0</v>
      </c>
      <c r="HI42" s="210"/>
      <c r="HJ42" s="210">
        <f>HI42*HJ2</f>
        <v>0</v>
      </c>
      <c r="HK42" s="210">
        <f t="shared" si="310"/>
        <v>0</v>
      </c>
      <c r="HL42" s="118"/>
      <c r="HM42" s="151"/>
      <c r="HN42" s="151">
        <f>HM42/118%</f>
        <v>0</v>
      </c>
      <c r="HO42" s="151">
        <f>HN42/HN2</f>
        <v>0</v>
      </c>
      <c r="HP42" s="96">
        <v>100</v>
      </c>
      <c r="HQ42" s="267">
        <f t="shared" si="313"/>
        <v>80105.687999999995</v>
      </c>
      <c r="HR42" s="96">
        <f t="shared" si="314"/>
        <v>94524.711839999989</v>
      </c>
      <c r="HS42" s="118"/>
      <c r="HT42" s="318">
        <f t="shared" si="315"/>
        <v>1951706.9519999998</v>
      </c>
      <c r="HU42" s="151">
        <f t="shared" si="316"/>
        <v>2303014.2033599997</v>
      </c>
      <c r="HV42" s="319"/>
    </row>
    <row r="43" spans="1:230" s="26" customFormat="1" ht="15">
      <c r="A43" s="262"/>
      <c r="B43" s="23" t="s">
        <v>42</v>
      </c>
      <c r="C43" s="121"/>
      <c r="D43" s="154">
        <f>SUM(D30:D42)</f>
        <v>528567.78399999999</v>
      </c>
      <c r="E43" s="154">
        <f>SUM(E30:E42)</f>
        <v>447938.8</v>
      </c>
      <c r="F43" s="152"/>
      <c r="G43" s="77"/>
      <c r="H43" s="78">
        <f>SUM(H30:H42)</f>
        <v>1486089.9189072363</v>
      </c>
      <c r="I43" s="78">
        <f>SUM(I30:I42)</f>
        <v>1753586.1043105384</v>
      </c>
      <c r="J43" s="121"/>
      <c r="K43" s="154">
        <f>SUM(K30:K42)</f>
        <v>528567.78399999999</v>
      </c>
      <c r="L43" s="154">
        <f>SUM(L30:L42)</f>
        <v>447938.8</v>
      </c>
      <c r="M43" s="152"/>
      <c r="N43" s="77"/>
      <c r="O43" s="78">
        <f>SUM(O30:O42)</f>
        <v>1486089.9189072363</v>
      </c>
      <c r="P43" s="78">
        <f>SUM(P30:P42)</f>
        <v>1753586.1043105384</v>
      </c>
      <c r="Q43" s="121"/>
      <c r="R43" s="154">
        <f>SUM(R30:R42)</f>
        <v>0</v>
      </c>
      <c r="S43" s="154">
        <f>SUM(S30:S42)</f>
        <v>0</v>
      </c>
      <c r="T43" s="152"/>
      <c r="U43" s="77"/>
      <c r="V43" s="78">
        <f>SUM(V30:V42)</f>
        <v>1125272.3241895046</v>
      </c>
      <c r="W43" s="78">
        <f>SUM(W30:W42)</f>
        <v>1327821.3425436153</v>
      </c>
      <c r="X43" s="121"/>
      <c r="Y43" s="154">
        <f>SUM(Y30:Y42)</f>
        <v>0</v>
      </c>
      <c r="Z43" s="154">
        <f>SUM(Z30:Z42)</f>
        <v>0</v>
      </c>
      <c r="AA43" s="152"/>
      <c r="AB43" s="77"/>
      <c r="AC43" s="78">
        <f>SUM(AC30:AC42)</f>
        <v>1125272.3241895046</v>
      </c>
      <c r="AD43" s="78">
        <f>SUM(AD30:AD42)</f>
        <v>1327821.3425436153</v>
      </c>
      <c r="AE43" s="121"/>
      <c r="AF43" s="154">
        <f>SUM(AF30:AF42)</f>
        <v>521759.94</v>
      </c>
      <c r="AG43" s="154">
        <f>SUM(AG30:AG42)</f>
        <v>442169.44067796611</v>
      </c>
      <c r="AH43" s="152"/>
      <c r="AI43" s="99"/>
      <c r="AJ43" s="100">
        <f>SUM(AJ30:AJ42)</f>
        <v>5739765.4945818372</v>
      </c>
      <c r="AK43" s="100">
        <f>SUM(AK30:AK42)</f>
        <v>6772923.2836065684</v>
      </c>
      <c r="AL43" s="121"/>
      <c r="AM43" s="154">
        <f>SUM(AM30:AM42)</f>
        <v>8319000</v>
      </c>
      <c r="AN43" s="154">
        <f>SUM(AN30:AN42)</f>
        <v>7050000</v>
      </c>
      <c r="AO43" s="152"/>
      <c r="AP43" s="99"/>
      <c r="AQ43" s="100">
        <f>SUM(AQ30:AQ42)</f>
        <v>3004980.7869445831</v>
      </c>
      <c r="AR43" s="100">
        <f>SUM(AR30:AR42)</f>
        <v>3545877.3285946082</v>
      </c>
      <c r="AS43" s="121"/>
      <c r="AT43" s="290">
        <f>SUM(AT30:AT42)</f>
        <v>7375939.7520000003</v>
      </c>
      <c r="AU43" s="290">
        <f>SUM(AU30:AU42)</f>
        <v>6250796.4000000004</v>
      </c>
      <c r="AV43" s="289"/>
      <c r="AW43" s="99"/>
      <c r="AX43" s="100">
        <f>SUM(AX30:AX42)</f>
        <v>10468685.435459824</v>
      </c>
      <c r="AY43" s="100">
        <f>SUM(AY30:AY42)</f>
        <v>12353048.813842593</v>
      </c>
      <c r="AZ43" s="121"/>
      <c r="BA43" s="290"/>
      <c r="BB43" s="290"/>
      <c r="BC43" s="289"/>
      <c r="BD43" s="99"/>
      <c r="BE43" s="100">
        <f>SUM(BE30:BE42)</f>
        <v>5248741.6799999988</v>
      </c>
      <c r="BF43" s="100">
        <f>SUM(BF30:BF42)</f>
        <v>6193515.1823999984</v>
      </c>
      <c r="BG43" s="121"/>
      <c r="BH43" s="154">
        <f>SUM(BH30:BH42)</f>
        <v>0</v>
      </c>
      <c r="BI43" s="154">
        <f>SUM(BI30:BI42)</f>
        <v>0</v>
      </c>
      <c r="BJ43" s="152"/>
      <c r="BK43" s="213"/>
      <c r="BL43" s="214">
        <f>SUM(BL30:BL42)</f>
        <v>0</v>
      </c>
      <c r="BM43" s="214">
        <f>SUM(BM30:BM42)</f>
        <v>0</v>
      </c>
      <c r="BN43" s="121"/>
      <c r="BO43" s="154">
        <f>SUM(BO30:BO42)</f>
        <v>0</v>
      </c>
      <c r="BP43" s="154">
        <f>SUM(BP30:BP42)</f>
        <v>0</v>
      </c>
      <c r="BQ43" s="152"/>
      <c r="BR43" s="213"/>
      <c r="BS43" s="214">
        <f>SUM(BS30:BS42)</f>
        <v>0</v>
      </c>
      <c r="BT43" s="214">
        <f>SUM(BT30:BT42)</f>
        <v>0</v>
      </c>
      <c r="BU43" s="121"/>
      <c r="BV43" s="154">
        <f>SUM(BV30:BV42)</f>
        <v>7386010.1600000001</v>
      </c>
      <c r="BW43" s="154">
        <f>SUM(BW30:BW42)</f>
        <v>6259330.6440677959</v>
      </c>
      <c r="BX43" s="152"/>
      <c r="BY43" s="99"/>
      <c r="BZ43" s="100">
        <f>SUM(BZ30:BZ42)</f>
        <v>5760882.4972100342</v>
      </c>
      <c r="CA43" s="100">
        <f>SUM(CA30:CA42)</f>
        <v>6797841.3467078405</v>
      </c>
      <c r="CB43" s="121"/>
      <c r="CC43" s="154">
        <f>SUM(CC30:CC42)</f>
        <v>521759.94</v>
      </c>
      <c r="CD43" s="154">
        <f>SUM(CD30:CD42)</f>
        <v>442169.44067796611</v>
      </c>
      <c r="CE43" s="152"/>
      <c r="CF43" s="99"/>
      <c r="CG43" s="100">
        <f>SUM(CG30:CG42)</f>
        <v>1362453.2999999998</v>
      </c>
      <c r="CH43" s="100">
        <f>SUM(CH30:CH42)</f>
        <v>1607694.8939999994</v>
      </c>
      <c r="CI43" s="121"/>
      <c r="CJ43" s="154">
        <f>SUM(CJ30:CJ42)</f>
        <v>8319000</v>
      </c>
      <c r="CK43" s="154">
        <f>SUM(CK30:CK42)</f>
        <v>7050000</v>
      </c>
      <c r="CL43" s="152"/>
      <c r="CM43" s="99"/>
      <c r="CN43" s="100">
        <f>SUM(CN30:CN42)</f>
        <v>898076.40775481961</v>
      </c>
      <c r="CO43" s="100">
        <f>SUM(CO30:CO42)</f>
        <v>1059730.1611506871</v>
      </c>
      <c r="CP43" s="121"/>
      <c r="CQ43" s="154">
        <f>SUM(CQ30:CQ42)</f>
        <v>8319000</v>
      </c>
      <c r="CR43" s="154">
        <f>SUM(CR30:CR42)</f>
        <v>7050000</v>
      </c>
      <c r="CS43" s="152"/>
      <c r="CT43" s="99"/>
      <c r="CU43" s="100">
        <f>SUM(CU30:CU42)</f>
        <v>631989.15522607416</v>
      </c>
      <c r="CV43" s="100">
        <f>SUM(CV30:CV42)</f>
        <v>745747.20316676737</v>
      </c>
      <c r="CW43" s="121"/>
      <c r="CX43" s="154">
        <f>SUM(CX30:CX42)</f>
        <v>0</v>
      </c>
      <c r="CY43" s="154">
        <f>SUM(CY30:CY42)</f>
        <v>0</v>
      </c>
      <c r="CZ43" s="152"/>
      <c r="DA43" s="213"/>
      <c r="DB43" s="214">
        <f>SUM(DB30:DB42)</f>
        <v>0</v>
      </c>
      <c r="DC43" s="214">
        <f>SUM(DC30:DC42)</f>
        <v>0</v>
      </c>
      <c r="DD43" s="121"/>
      <c r="DE43" s="154">
        <f>SUM(DE30:DE42)</f>
        <v>1501280.0159999998</v>
      </c>
      <c r="DF43" s="154">
        <f>SUM(DF30:DF42)</f>
        <v>1272271.2</v>
      </c>
      <c r="DG43" s="152"/>
      <c r="DH43" s="77"/>
      <c r="DI43" s="78">
        <f>SUM(DI30:DI42)</f>
        <v>1253543.1479999998</v>
      </c>
      <c r="DJ43" s="78">
        <f>SUM(DJ30:DJ42)</f>
        <v>1479180.9146399999</v>
      </c>
      <c r="DK43" s="121"/>
      <c r="DL43" s="154">
        <f>SUM(DL30:DL42)</f>
        <v>521759.94</v>
      </c>
      <c r="DM43" s="154">
        <f>SUM(DM30:DM42)</f>
        <v>442169.44067796611</v>
      </c>
      <c r="DN43" s="152"/>
      <c r="DO43" s="99"/>
      <c r="DP43" s="100">
        <f>SUM(DP30:DP42)</f>
        <v>2146207.0499999998</v>
      </c>
      <c r="DQ43" s="100">
        <f>SUM(DQ30:DQ42)</f>
        <v>2532524.3189999997</v>
      </c>
      <c r="DR43" s="121"/>
      <c r="DS43" s="154">
        <f>SUM(DS30:DS42)</f>
        <v>9010100.8144000005</v>
      </c>
      <c r="DT43" s="154">
        <f>SUM(DT30:DT42)</f>
        <v>8044732.8700000001</v>
      </c>
      <c r="DU43" s="152"/>
      <c r="DV43" s="77"/>
      <c r="DW43" s="78">
        <f>SUM(DW30:DW42)</f>
        <v>2613976.5886672628</v>
      </c>
      <c r="DX43" s="78">
        <f>SUM(DX30:DX42)</f>
        <v>3084492.3746273704</v>
      </c>
      <c r="DY43" s="121"/>
      <c r="DZ43" s="154">
        <f>SUM(DZ30:DZ42)</f>
        <v>8319000</v>
      </c>
      <c r="EA43" s="154">
        <f>SUM(EA30:EA42)</f>
        <v>7050000</v>
      </c>
      <c r="EB43" s="152"/>
      <c r="EC43" s="99"/>
      <c r="ED43" s="100">
        <f>SUM(ED30:ED42)</f>
        <v>824318.85040563671</v>
      </c>
      <c r="EE43" s="100">
        <f>SUM(EE30:EE42)</f>
        <v>972696.24347865116</v>
      </c>
      <c r="EF43" s="121"/>
      <c r="EG43" s="154">
        <f>SUM(EG30:EG42)</f>
        <v>0</v>
      </c>
      <c r="EH43" s="154">
        <f>SUM(EH30:EH42)</f>
        <v>0</v>
      </c>
      <c r="EI43" s="152"/>
      <c r="EJ43" s="213"/>
      <c r="EK43" s="214">
        <f>SUM(EK30:EK42)</f>
        <v>0</v>
      </c>
      <c r="EL43" s="214">
        <f>SUM(EL30:EL42)</f>
        <v>0</v>
      </c>
      <c r="EM43" s="121"/>
      <c r="EN43" s="154">
        <f>SUM(EN30:EN42)</f>
        <v>6927991.9199999999</v>
      </c>
      <c r="EO43" s="154">
        <f>SUM(EO30:EO42)</f>
        <v>5871179.5932203392</v>
      </c>
      <c r="EP43" s="152"/>
      <c r="EQ43" s="77"/>
      <c r="ER43" s="78">
        <f>SUM(ER30:ER42)</f>
        <v>1463251.7015999998</v>
      </c>
      <c r="ES43" s="78">
        <f>SUM(ES30:ES42)</f>
        <v>1726637.0078879998</v>
      </c>
      <c r="ET43" s="121"/>
      <c r="EU43" s="154">
        <f>SUM(EU30:EU42)</f>
        <v>8319000</v>
      </c>
      <c r="EV43" s="154">
        <f>SUM(EV30:EV42)</f>
        <v>7050000</v>
      </c>
      <c r="EW43" s="152"/>
      <c r="EX43" s="99"/>
      <c r="EY43" s="100">
        <f>SUM(EY30:EY42)</f>
        <v>9416924.1343940534</v>
      </c>
      <c r="EZ43" s="100">
        <f>SUM(EZ30:EZ42)</f>
        <v>11111970.478584981</v>
      </c>
      <c r="FA43" s="121"/>
      <c r="FB43" s="154">
        <f>SUM(FB30:FB42)</f>
        <v>7386010.1600000001</v>
      </c>
      <c r="FC43" s="154">
        <f>SUM(FC30:FC42)</f>
        <v>6259330.6440677959</v>
      </c>
      <c r="FD43" s="152"/>
      <c r="FE43" s="99"/>
      <c r="FF43" s="100">
        <f>SUM(FF30:FF42)</f>
        <v>9011591.2810691167</v>
      </c>
      <c r="FG43" s="100">
        <f>SUM(FG30:FG42)</f>
        <v>10633677.711661557</v>
      </c>
      <c r="FH43" s="121"/>
      <c r="FI43" s="290">
        <f>SUM(FI30:FI42)</f>
        <v>7375939.7520000003</v>
      </c>
      <c r="FJ43" s="290">
        <f>SUM(FJ30:FJ42)</f>
        <v>6250796.4000000004</v>
      </c>
      <c r="FK43" s="289"/>
      <c r="FL43" s="99"/>
      <c r="FM43" s="100">
        <f>SUM(FM30:FM42)</f>
        <v>10133665.736091927</v>
      </c>
      <c r="FN43" s="100">
        <f>SUM(FN30:FN42)</f>
        <v>11957725.568588471</v>
      </c>
      <c r="FO43" s="121"/>
      <c r="FP43" s="154">
        <f>SUM(FP30:FP42)</f>
        <v>0</v>
      </c>
      <c r="FQ43" s="154">
        <f>SUM(FQ30:FQ42)</f>
        <v>0</v>
      </c>
      <c r="FR43" s="152"/>
      <c r="FS43" s="99"/>
      <c r="FT43" s="100">
        <f>SUM(FT30:FT42)</f>
        <v>6496375.5860919282</v>
      </c>
      <c r="FU43" s="100">
        <f>SUM(FU30:FU42)</f>
        <v>7665723.1915884735</v>
      </c>
      <c r="FV43" s="121"/>
      <c r="FW43" s="154">
        <f>SUM(FW30:FW42)</f>
        <v>521759.94</v>
      </c>
      <c r="FX43" s="154">
        <f>SUM(FX30:FX42)</f>
        <v>442169.44067796611</v>
      </c>
      <c r="FY43" s="152"/>
      <c r="FZ43" s="99"/>
      <c r="GA43" s="100">
        <f>SUM(GA30:GA42)</f>
        <v>874822.01682455931</v>
      </c>
      <c r="GB43" s="100">
        <f>SUM(GB30:GB42)</f>
        <v>1032289.9798529799</v>
      </c>
      <c r="GC43" s="121"/>
      <c r="GD43" s="154">
        <f>SUM(GD30:GD42)</f>
        <v>0</v>
      </c>
      <c r="GE43" s="154">
        <f>SUM(GE30:GE42)</f>
        <v>0</v>
      </c>
      <c r="GF43" s="152"/>
      <c r="GG43" s="77"/>
      <c r="GH43" s="78">
        <f>SUM(GH30:GH42)</f>
        <v>1070695.0799999996</v>
      </c>
      <c r="GI43" s="78">
        <f>SUM(GI30:GI42)</f>
        <v>1263420.1943999997</v>
      </c>
      <c r="GJ43" s="121"/>
      <c r="GK43" s="154">
        <f>SUM(GK30:GK42)</f>
        <v>617660.14399999997</v>
      </c>
      <c r="GL43" s="154">
        <f>SUM(GL30:GL42)</f>
        <v>523440.80000000005</v>
      </c>
      <c r="GM43" s="152"/>
      <c r="GN43" s="77"/>
      <c r="GO43" s="78">
        <f>SUM(GO30:GO42)</f>
        <v>921970.14477323415</v>
      </c>
      <c r="GP43" s="78">
        <f>SUM(GP30:GP42)</f>
        <v>1087924.7708324161</v>
      </c>
      <c r="GQ43" s="121"/>
      <c r="GR43" s="154">
        <f>SUM(GR30:GR42)</f>
        <v>521759.94</v>
      </c>
      <c r="GS43" s="154">
        <f>SUM(GS30:GS42)</f>
        <v>442169.44067796611</v>
      </c>
      <c r="GT43" s="152"/>
      <c r="GU43" s="99"/>
      <c r="GV43" s="100">
        <f>SUM(GV30:GV42)</f>
        <v>1404314.496</v>
      </c>
      <c r="GW43" s="100">
        <f>SUM(GW30:GW42)</f>
        <v>1657091.1052799998</v>
      </c>
      <c r="GX43" s="121"/>
      <c r="GY43" s="154">
        <f>SUM(GY30:GY42)</f>
        <v>1501280.0159999998</v>
      </c>
      <c r="GZ43" s="154">
        <f>SUM(GZ30:GZ42)</f>
        <v>1272271.2</v>
      </c>
      <c r="HA43" s="152"/>
      <c r="HB43" s="77"/>
      <c r="HC43" s="78">
        <f>SUM(HC30:HC42)</f>
        <v>1452198.1500000001</v>
      </c>
      <c r="HD43" s="78">
        <f>SUM(HD30:HD42)</f>
        <v>1713593.8169999998</v>
      </c>
      <c r="HE43" s="121"/>
      <c r="HF43" s="154">
        <f>SUM(HF30:HF42)</f>
        <v>0</v>
      </c>
      <c r="HG43" s="154">
        <f>SUM(HG30:HG42)</f>
        <v>0</v>
      </c>
      <c r="HH43" s="152"/>
      <c r="HI43" s="213"/>
      <c r="HJ43" s="214">
        <f>SUM(HJ30:HJ42)</f>
        <v>0</v>
      </c>
      <c r="HK43" s="214">
        <f>SUM(HK30:HK42)</f>
        <v>0</v>
      </c>
      <c r="HL43" s="121"/>
      <c r="HM43" s="154">
        <f>SUM(HM30:HM42)</f>
        <v>521759.94</v>
      </c>
      <c r="HN43" s="154">
        <f>SUM(HN30:HN42)</f>
        <v>442169.44067796611</v>
      </c>
      <c r="HO43" s="152"/>
      <c r="HP43" s="99"/>
      <c r="HQ43" s="100">
        <f>SUM(HQ30:HQ42)</f>
        <v>2563382.0160000003</v>
      </c>
      <c r="HR43" s="100">
        <f>SUM(HR30:HR42)</f>
        <v>3024790.7788799996</v>
      </c>
      <c r="HS43" s="122"/>
      <c r="HT43" s="321">
        <f t="shared" si="315"/>
        <v>89985535.223288357</v>
      </c>
      <c r="HU43" s="161">
        <f t="shared" si="316"/>
        <v>106182931.56348026</v>
      </c>
      <c r="HV43" s="320"/>
    </row>
    <row r="44" spans="1:230" ht="15">
      <c r="A44" s="262"/>
      <c r="B44" s="23"/>
      <c r="C44" s="118"/>
      <c r="D44" s="161"/>
      <c r="E44" s="161"/>
      <c r="F44" s="161"/>
      <c r="G44" s="159"/>
      <c r="H44" s="159"/>
      <c r="I44" s="159"/>
      <c r="J44" s="118"/>
      <c r="K44" s="161"/>
      <c r="L44" s="161"/>
      <c r="M44" s="161"/>
      <c r="N44" s="159"/>
      <c r="O44" s="159"/>
      <c r="P44" s="159"/>
      <c r="Q44" s="118"/>
      <c r="R44" s="161"/>
      <c r="S44" s="161"/>
      <c r="T44" s="161"/>
      <c r="U44" s="159"/>
      <c r="V44" s="159"/>
      <c r="W44" s="159"/>
      <c r="X44" s="118"/>
      <c r="Y44" s="161"/>
      <c r="Z44" s="161"/>
      <c r="AA44" s="161"/>
      <c r="AB44" s="159"/>
      <c r="AC44" s="159"/>
      <c r="AD44" s="159"/>
      <c r="AE44" s="118"/>
      <c r="AF44" s="161"/>
      <c r="AG44" s="149"/>
      <c r="AH44" s="161"/>
      <c r="AI44" s="96"/>
      <c r="AJ44" s="96"/>
      <c r="AK44" s="96"/>
      <c r="AL44" s="118"/>
      <c r="AM44" s="149"/>
      <c r="AN44" s="161"/>
      <c r="AO44" s="161"/>
      <c r="AP44" s="96"/>
      <c r="AQ44" s="96"/>
      <c r="AR44" s="96"/>
      <c r="AS44" s="118"/>
      <c r="AT44" s="291"/>
      <c r="AU44" s="291"/>
      <c r="AV44" s="291"/>
      <c r="AW44" s="96"/>
      <c r="AX44" s="96"/>
      <c r="AY44" s="96"/>
      <c r="AZ44" s="118"/>
      <c r="BA44" s="291"/>
      <c r="BB44" s="291"/>
      <c r="BC44" s="291"/>
      <c r="BD44" s="96"/>
      <c r="BE44" s="96"/>
      <c r="BF44" s="96"/>
      <c r="BG44" s="118"/>
      <c r="BH44" s="161"/>
      <c r="BI44" s="161"/>
      <c r="BJ44" s="161"/>
      <c r="BK44" s="210"/>
      <c r="BL44" s="210"/>
      <c r="BM44" s="210"/>
      <c r="BN44" s="118"/>
      <c r="BO44" s="161"/>
      <c r="BP44" s="161"/>
      <c r="BQ44" s="161"/>
      <c r="BR44" s="210"/>
      <c r="BS44" s="210"/>
      <c r="BT44" s="210"/>
      <c r="BU44" s="118"/>
      <c r="BV44" s="149"/>
      <c r="BW44" s="161"/>
      <c r="BX44" s="161"/>
      <c r="BY44" s="96"/>
      <c r="BZ44" s="96"/>
      <c r="CA44" s="96"/>
      <c r="CB44" s="118"/>
      <c r="CC44" s="161"/>
      <c r="CD44" s="149"/>
      <c r="CE44" s="161"/>
      <c r="CF44" s="96"/>
      <c r="CG44" s="96"/>
      <c r="CH44" s="96"/>
      <c r="CI44" s="118"/>
      <c r="CJ44" s="149"/>
      <c r="CK44" s="161"/>
      <c r="CL44" s="161"/>
      <c r="CM44" s="96"/>
      <c r="CN44" s="96"/>
      <c r="CO44" s="96"/>
      <c r="CP44" s="118"/>
      <c r="CQ44" s="149"/>
      <c r="CR44" s="161"/>
      <c r="CS44" s="161"/>
      <c r="CT44" s="96"/>
      <c r="CU44" s="96"/>
      <c r="CV44" s="96"/>
      <c r="CW44" s="118"/>
      <c r="CX44" s="161"/>
      <c r="CY44" s="161"/>
      <c r="CZ44" s="161"/>
      <c r="DA44" s="210"/>
      <c r="DB44" s="210"/>
      <c r="DC44" s="210"/>
      <c r="DD44" s="118"/>
      <c r="DE44" s="161"/>
      <c r="DF44" s="161"/>
      <c r="DG44" s="161"/>
      <c r="DH44" s="159"/>
      <c r="DI44" s="159"/>
      <c r="DJ44" s="159"/>
      <c r="DK44" s="118"/>
      <c r="DL44" s="161"/>
      <c r="DM44" s="149"/>
      <c r="DN44" s="161"/>
      <c r="DO44" s="96"/>
      <c r="DP44" s="96"/>
      <c r="DQ44" s="96"/>
      <c r="DR44" s="118"/>
      <c r="DS44" s="161"/>
      <c r="DT44" s="161"/>
      <c r="DU44" s="161"/>
      <c r="DV44" s="159"/>
      <c r="DW44" s="159"/>
      <c r="DX44" s="159"/>
      <c r="DY44" s="118"/>
      <c r="DZ44" s="149"/>
      <c r="EA44" s="161"/>
      <c r="EB44" s="161"/>
      <c r="EC44" s="96"/>
      <c r="ED44" s="96"/>
      <c r="EE44" s="96"/>
      <c r="EF44" s="118"/>
      <c r="EG44" s="161"/>
      <c r="EH44" s="161"/>
      <c r="EI44" s="161"/>
      <c r="EJ44" s="210"/>
      <c r="EK44" s="210"/>
      <c r="EL44" s="210"/>
      <c r="EM44" s="118"/>
      <c r="EN44" s="161"/>
      <c r="EO44" s="161"/>
      <c r="EP44" s="161"/>
      <c r="EQ44" s="159"/>
      <c r="ER44" s="159"/>
      <c r="ES44" s="159"/>
      <c r="ET44" s="118"/>
      <c r="EU44" s="149"/>
      <c r="EV44" s="161"/>
      <c r="EW44" s="161"/>
      <c r="EX44" s="96"/>
      <c r="EY44" s="96"/>
      <c r="EZ44" s="96"/>
      <c r="FA44" s="118"/>
      <c r="FB44" s="149"/>
      <c r="FC44" s="161"/>
      <c r="FD44" s="161"/>
      <c r="FE44" s="96"/>
      <c r="FF44" s="96"/>
      <c r="FG44" s="96"/>
      <c r="FH44" s="118"/>
      <c r="FI44" s="291"/>
      <c r="FJ44" s="291"/>
      <c r="FK44" s="291"/>
      <c r="FL44" s="96"/>
      <c r="FM44" s="96"/>
      <c r="FN44" s="96"/>
      <c r="FO44" s="118"/>
      <c r="FP44" s="161"/>
      <c r="FQ44" s="161"/>
      <c r="FR44" s="161"/>
      <c r="FS44" s="96"/>
      <c r="FT44" s="96"/>
      <c r="FU44" s="96"/>
      <c r="FV44" s="118"/>
      <c r="FW44" s="161"/>
      <c r="FX44" s="149"/>
      <c r="FY44" s="161"/>
      <c r="FZ44" s="96"/>
      <c r="GA44" s="96"/>
      <c r="GB44" s="96"/>
      <c r="GC44" s="118"/>
      <c r="GD44" s="161"/>
      <c r="GE44" s="161"/>
      <c r="GF44" s="161"/>
      <c r="GG44" s="159"/>
      <c r="GH44" s="159"/>
      <c r="GI44" s="159"/>
      <c r="GJ44" s="118"/>
      <c r="GK44" s="161"/>
      <c r="GL44" s="161"/>
      <c r="GM44" s="161"/>
      <c r="GN44" s="159"/>
      <c r="GO44" s="159"/>
      <c r="GP44" s="159"/>
      <c r="GQ44" s="118"/>
      <c r="GR44" s="161"/>
      <c r="GS44" s="149"/>
      <c r="GT44" s="161"/>
      <c r="GU44" s="96"/>
      <c r="GV44" s="96"/>
      <c r="GW44" s="96"/>
      <c r="GX44" s="118"/>
      <c r="GY44" s="161"/>
      <c r="GZ44" s="161"/>
      <c r="HA44" s="161"/>
      <c r="HB44" s="159"/>
      <c r="HC44" s="159"/>
      <c r="HD44" s="159"/>
      <c r="HE44" s="118"/>
      <c r="HF44" s="161"/>
      <c r="HG44" s="161"/>
      <c r="HH44" s="161"/>
      <c r="HI44" s="210"/>
      <c r="HJ44" s="210"/>
      <c r="HK44" s="210"/>
      <c r="HL44" s="118"/>
      <c r="HM44" s="161"/>
      <c r="HN44" s="149"/>
      <c r="HO44" s="161"/>
      <c r="HP44" s="96"/>
      <c r="HQ44" s="96"/>
      <c r="HR44" s="96"/>
      <c r="HS44" s="118"/>
      <c r="HT44" s="321"/>
      <c r="HU44" s="161"/>
      <c r="HV44" s="320"/>
    </row>
    <row r="45" spans="1:230" ht="15">
      <c r="A45" s="13" t="s">
        <v>43</v>
      </c>
      <c r="B45" s="14" t="s">
        <v>44</v>
      </c>
      <c r="C45" s="120"/>
      <c r="D45" s="150"/>
      <c r="E45" s="150"/>
      <c r="F45" s="153"/>
      <c r="G45" s="27"/>
      <c r="H45" s="153"/>
      <c r="I45" s="27"/>
      <c r="J45" s="120"/>
      <c r="K45" s="150"/>
      <c r="L45" s="150"/>
      <c r="M45" s="153"/>
      <c r="N45" s="27"/>
      <c r="O45" s="153"/>
      <c r="P45" s="27"/>
      <c r="Q45" s="120"/>
      <c r="R45" s="150"/>
      <c r="S45" s="150"/>
      <c r="T45" s="153"/>
      <c r="U45" s="27"/>
      <c r="V45" s="153"/>
      <c r="W45" s="27"/>
      <c r="X45" s="120"/>
      <c r="Y45" s="150"/>
      <c r="Z45" s="150"/>
      <c r="AA45" s="153"/>
      <c r="AB45" s="27"/>
      <c r="AC45" s="153"/>
      <c r="AD45" s="27"/>
      <c r="AE45" s="120"/>
      <c r="AF45" s="150"/>
      <c r="AG45" s="150"/>
      <c r="AH45" s="153"/>
      <c r="AI45" s="27"/>
      <c r="AJ45" s="153"/>
      <c r="AK45" s="27"/>
      <c r="AL45" s="120"/>
      <c r="AM45" s="150"/>
      <c r="AN45" s="150"/>
      <c r="AO45" s="153"/>
      <c r="AP45" s="27"/>
      <c r="AQ45" s="153"/>
      <c r="AR45" s="27"/>
      <c r="AS45" s="120"/>
      <c r="AT45" s="286"/>
      <c r="AU45" s="286"/>
      <c r="AV45" s="286"/>
      <c r="AW45" s="27"/>
      <c r="AX45" s="153"/>
      <c r="AY45" s="27"/>
      <c r="AZ45" s="120"/>
      <c r="BA45" s="286"/>
      <c r="BB45" s="286"/>
      <c r="BC45" s="286"/>
      <c r="BD45" s="27"/>
      <c r="BE45" s="153"/>
      <c r="BF45" s="27"/>
      <c r="BG45" s="120"/>
      <c r="BH45" s="150"/>
      <c r="BI45" s="150"/>
      <c r="BJ45" s="153"/>
      <c r="BK45" s="27"/>
      <c r="BL45" s="153"/>
      <c r="BM45" s="27"/>
      <c r="BN45" s="120"/>
      <c r="BO45" s="150"/>
      <c r="BP45" s="150"/>
      <c r="BQ45" s="153"/>
      <c r="BR45" s="27"/>
      <c r="BS45" s="153"/>
      <c r="BT45" s="27"/>
      <c r="BU45" s="120"/>
      <c r="BV45" s="150"/>
      <c r="BW45" s="150"/>
      <c r="BX45" s="153"/>
      <c r="BY45" s="27"/>
      <c r="BZ45" s="153"/>
      <c r="CA45" s="27"/>
      <c r="CB45" s="120"/>
      <c r="CC45" s="150"/>
      <c r="CD45" s="150"/>
      <c r="CE45" s="153"/>
      <c r="CF45" s="27"/>
      <c r="CG45" s="153"/>
      <c r="CH45" s="27"/>
      <c r="CI45" s="120"/>
      <c r="CJ45" s="150"/>
      <c r="CK45" s="150"/>
      <c r="CL45" s="153"/>
      <c r="CM45" s="27"/>
      <c r="CN45" s="153"/>
      <c r="CO45" s="27"/>
      <c r="CP45" s="120"/>
      <c r="CQ45" s="150"/>
      <c r="CR45" s="150"/>
      <c r="CS45" s="153"/>
      <c r="CT45" s="27"/>
      <c r="CU45" s="153"/>
      <c r="CV45" s="27"/>
      <c r="CW45" s="120"/>
      <c r="CX45" s="150"/>
      <c r="CY45" s="150"/>
      <c r="CZ45" s="153"/>
      <c r="DA45" s="27"/>
      <c r="DB45" s="153"/>
      <c r="DC45" s="27"/>
      <c r="DD45" s="120"/>
      <c r="DE45" s="150"/>
      <c r="DF45" s="150"/>
      <c r="DG45" s="153"/>
      <c r="DH45" s="27"/>
      <c r="DI45" s="153"/>
      <c r="DJ45" s="27"/>
      <c r="DK45" s="120"/>
      <c r="DL45" s="150"/>
      <c r="DM45" s="150"/>
      <c r="DN45" s="153"/>
      <c r="DO45" s="27"/>
      <c r="DP45" s="153"/>
      <c r="DQ45" s="27"/>
      <c r="DR45" s="120"/>
      <c r="DS45" s="150"/>
      <c r="DT45" s="150"/>
      <c r="DU45" s="150"/>
      <c r="DV45" s="27"/>
      <c r="DW45" s="153"/>
      <c r="DX45" s="27"/>
      <c r="DY45" s="120"/>
      <c r="DZ45" s="150"/>
      <c r="EA45" s="150"/>
      <c r="EB45" s="153"/>
      <c r="EC45" s="27"/>
      <c r="ED45" s="153"/>
      <c r="EE45" s="27"/>
      <c r="EF45" s="120"/>
      <c r="EG45" s="150"/>
      <c r="EH45" s="150"/>
      <c r="EI45" s="153"/>
      <c r="EJ45" s="27"/>
      <c r="EK45" s="153"/>
      <c r="EL45" s="27"/>
      <c r="EM45" s="120"/>
      <c r="EN45" s="150"/>
      <c r="EO45" s="150"/>
      <c r="EP45" s="153"/>
      <c r="EQ45" s="27"/>
      <c r="ER45" s="153"/>
      <c r="ES45" s="27"/>
      <c r="ET45" s="120"/>
      <c r="EU45" s="150"/>
      <c r="EV45" s="150"/>
      <c r="EW45" s="153"/>
      <c r="EX45" s="27"/>
      <c r="EY45" s="153"/>
      <c r="EZ45" s="27"/>
      <c r="FA45" s="120"/>
      <c r="FB45" s="150"/>
      <c r="FC45" s="150"/>
      <c r="FD45" s="153"/>
      <c r="FE45" s="27"/>
      <c r="FF45" s="153"/>
      <c r="FG45" s="27"/>
      <c r="FH45" s="120"/>
      <c r="FI45" s="286"/>
      <c r="FJ45" s="286"/>
      <c r="FK45" s="286"/>
      <c r="FL45" s="27"/>
      <c r="FM45" s="153"/>
      <c r="FN45" s="27"/>
      <c r="FO45" s="120"/>
      <c r="FP45" s="150"/>
      <c r="FQ45" s="150"/>
      <c r="FR45" s="153"/>
      <c r="FS45" s="27"/>
      <c r="FT45" s="153"/>
      <c r="FU45" s="27"/>
      <c r="FV45" s="120"/>
      <c r="FW45" s="150"/>
      <c r="FX45" s="150"/>
      <c r="FY45" s="153"/>
      <c r="FZ45" s="27"/>
      <c r="GA45" s="153"/>
      <c r="GB45" s="27"/>
      <c r="GC45" s="120"/>
      <c r="GD45" s="150"/>
      <c r="GE45" s="150"/>
      <c r="GF45" s="153"/>
      <c r="GG45" s="27"/>
      <c r="GH45" s="153"/>
      <c r="GI45" s="27"/>
      <c r="GJ45" s="120"/>
      <c r="GK45" s="150"/>
      <c r="GL45" s="150"/>
      <c r="GM45" s="150"/>
      <c r="GN45" s="27"/>
      <c r="GO45" s="153"/>
      <c r="GP45" s="27"/>
      <c r="GQ45" s="120"/>
      <c r="GR45" s="150"/>
      <c r="GS45" s="150"/>
      <c r="GT45" s="153"/>
      <c r="GU45" s="27"/>
      <c r="GV45" s="153"/>
      <c r="GW45" s="27"/>
      <c r="GX45" s="120"/>
      <c r="GY45" s="150"/>
      <c r="GZ45" s="150"/>
      <c r="HA45" s="153"/>
      <c r="HB45" s="27"/>
      <c r="HC45" s="153"/>
      <c r="HD45" s="27"/>
      <c r="HE45" s="120"/>
      <c r="HF45" s="150"/>
      <c r="HG45" s="150"/>
      <c r="HH45" s="153"/>
      <c r="HI45" s="27"/>
      <c r="HJ45" s="153"/>
      <c r="HK45" s="27"/>
      <c r="HL45" s="120"/>
      <c r="HM45" s="150"/>
      <c r="HN45" s="150"/>
      <c r="HO45" s="153"/>
      <c r="HP45" s="27"/>
      <c r="HQ45" s="153"/>
      <c r="HR45" s="27"/>
      <c r="HS45" s="120"/>
      <c r="HT45" s="323"/>
      <c r="HU45" s="153"/>
      <c r="HV45" s="41"/>
    </row>
    <row r="46" spans="1:230">
      <c r="A46" s="18">
        <v>1</v>
      </c>
      <c r="B46" s="19" t="s">
        <v>45</v>
      </c>
      <c r="C46" s="118"/>
      <c r="D46" s="151">
        <v>0</v>
      </c>
      <c r="E46" s="151">
        <f t="shared" ref="E46:E53" si="330">D46/118%</f>
        <v>0</v>
      </c>
      <c r="F46" s="151">
        <f>E46/E2</f>
        <v>0</v>
      </c>
      <c r="G46" s="159">
        <f t="shared" ref="G46:G52" si="331">+F46</f>
        <v>0</v>
      </c>
      <c r="H46" s="266">
        <f t="shared" ref="H46:H53" si="332">G46*$H$2</f>
        <v>0</v>
      </c>
      <c r="I46" s="159">
        <f t="shared" ref="I46:I53" si="333">H46*118%</f>
        <v>0</v>
      </c>
      <c r="J46" s="118"/>
      <c r="K46" s="151"/>
      <c r="L46" s="151">
        <f t="shared" ref="L46:L53" si="334">K46/118%</f>
        <v>0</v>
      </c>
      <c r="M46" s="151">
        <f>L46/L2</f>
        <v>0</v>
      </c>
      <c r="N46" s="159">
        <f t="shared" ref="N46:N52" si="335">+M46</f>
        <v>0</v>
      </c>
      <c r="O46" s="266">
        <f t="shared" ref="O46:O53" si="336">N46*$O$2</f>
        <v>0</v>
      </c>
      <c r="P46" s="159">
        <f t="shared" ref="P46:P53" si="337">O46*118%</f>
        <v>0</v>
      </c>
      <c r="Q46" s="118"/>
      <c r="R46" s="151"/>
      <c r="S46" s="151">
        <f t="shared" ref="S46:S53" si="338">R46/118%</f>
        <v>0</v>
      </c>
      <c r="T46" s="151">
        <f>S46/S2</f>
        <v>0</v>
      </c>
      <c r="U46" s="159">
        <f t="shared" ref="U46:U52" si="339">+T46</f>
        <v>0</v>
      </c>
      <c r="V46" s="266">
        <f t="shared" ref="V46:V53" si="340">U46*$V$2</f>
        <v>0</v>
      </c>
      <c r="W46" s="159">
        <f t="shared" ref="W46:W53" si="341">V46*118%</f>
        <v>0</v>
      </c>
      <c r="X46" s="118"/>
      <c r="Y46" s="151"/>
      <c r="Z46" s="151">
        <f t="shared" ref="Z46:Z53" si="342">Y46/118%</f>
        <v>0</v>
      </c>
      <c r="AA46" s="151">
        <f>Z46/Z2</f>
        <v>0</v>
      </c>
      <c r="AB46" s="159">
        <f t="shared" ref="AB46:AB52" si="343">+AA46</f>
        <v>0</v>
      </c>
      <c r="AC46" s="266">
        <f t="shared" ref="AC46:AC53" si="344">AB46*$AC$2</f>
        <v>0</v>
      </c>
      <c r="AD46" s="159">
        <f t="shared" ref="AD46:AD53" si="345">AC46*118%</f>
        <v>0</v>
      </c>
      <c r="AE46" s="118"/>
      <c r="AF46" s="151"/>
      <c r="AG46" s="151">
        <f t="shared" ref="AG46:AG53" si="346">AF46/118%</f>
        <v>0</v>
      </c>
      <c r="AH46" s="151">
        <f>AG46/AG2</f>
        <v>0</v>
      </c>
      <c r="AI46" s="96">
        <f t="shared" ref="AI46:AI53" si="347">+AH46</f>
        <v>0</v>
      </c>
      <c r="AJ46" s="267">
        <f t="shared" ref="AJ46:AJ53" si="348">AI46*$AJ$2</f>
        <v>0</v>
      </c>
      <c r="AK46" s="96">
        <f t="shared" ref="AK46:AK53" si="349">AJ46*118%</f>
        <v>0</v>
      </c>
      <c r="AL46" s="118"/>
      <c r="AM46" s="151">
        <v>413000</v>
      </c>
      <c r="AN46" s="151">
        <f t="shared" ref="AN46:AN53" si="350">AM46/118%</f>
        <v>350000</v>
      </c>
      <c r="AO46" s="151">
        <f>AN46/AN2</f>
        <v>189.11558744704763</v>
      </c>
      <c r="AP46" s="96">
        <f t="shared" ref="AP46:AP52" si="351">+AO46</f>
        <v>189.11558744704763</v>
      </c>
      <c r="AQ46" s="267">
        <f t="shared" ref="AQ46:AQ53" si="352">AP46*$AQ$2</f>
        <v>141741.62596178782</v>
      </c>
      <c r="AR46" s="96">
        <f t="shared" ref="AR46:AR53" si="353">AQ46*118%</f>
        <v>167255.11863490962</v>
      </c>
      <c r="AS46" s="118"/>
      <c r="AT46" s="287"/>
      <c r="AU46" s="287">
        <f t="shared" ref="AU46:AU53" si="354">AT46/118%</f>
        <v>0</v>
      </c>
      <c r="AV46" s="288">
        <f t="shared" ref="AV46:AV53" si="355">AU46/AU$2</f>
        <v>0</v>
      </c>
      <c r="AW46" s="96">
        <f t="shared" ref="AW46:AW53" si="356">+AV46</f>
        <v>0</v>
      </c>
      <c r="AX46" s="267">
        <f t="shared" ref="AX46:AX53" si="357">AW46*$AX$2</f>
        <v>0</v>
      </c>
      <c r="AY46" s="96">
        <f t="shared" ref="AY46:AY53" si="358">AX46*118%</f>
        <v>0</v>
      </c>
      <c r="AZ46" s="118"/>
      <c r="BA46" s="287"/>
      <c r="BB46" s="287"/>
      <c r="BC46" s="288"/>
      <c r="BD46" s="96">
        <v>600</v>
      </c>
      <c r="BE46" s="267">
        <f t="shared" ref="BE46:BE53" si="359">BD46*$BE$2</f>
        <v>583193.5199999999</v>
      </c>
      <c r="BF46" s="96">
        <f t="shared" ref="BF46:BF53" si="360">BE46*118%</f>
        <v>688168.3535999998</v>
      </c>
      <c r="BG46" s="118"/>
      <c r="BH46" s="151"/>
      <c r="BI46" s="151">
        <f t="shared" ref="BI46:BI53" si="361">BH46/118%</f>
        <v>0</v>
      </c>
      <c r="BJ46" s="151">
        <f>BI46/BI2</f>
        <v>0</v>
      </c>
      <c r="BK46" s="210"/>
      <c r="BL46" s="210">
        <f>BK46*BL2</f>
        <v>0</v>
      </c>
      <c r="BM46" s="210">
        <f t="shared" ref="BM46:BM53" si="362">BL46*118%</f>
        <v>0</v>
      </c>
      <c r="BN46" s="118"/>
      <c r="BO46" s="151"/>
      <c r="BP46" s="151">
        <f t="shared" ref="BP46:BP53" si="363">BO46/118%</f>
        <v>0</v>
      </c>
      <c r="BQ46" s="151">
        <f>BP46/BP2</f>
        <v>0</v>
      </c>
      <c r="BR46" s="210"/>
      <c r="BS46" s="210">
        <f>BR46*BS2</f>
        <v>0</v>
      </c>
      <c r="BT46" s="210">
        <f t="shared" ref="BT46:BT53" si="364">BS46*118%</f>
        <v>0</v>
      </c>
      <c r="BU46" s="118"/>
      <c r="BV46" s="151">
        <v>172903</v>
      </c>
      <c r="BW46" s="151">
        <f t="shared" ref="BW46:BW53" si="365">BV46/118%</f>
        <v>146527.96610169491</v>
      </c>
      <c r="BX46" s="151">
        <f>BW46/BW2</f>
        <v>32.561770244821091</v>
      </c>
      <c r="BY46" s="96">
        <f t="shared" ref="BY46:BY53" si="366">+BX46</f>
        <v>32.561770244821091</v>
      </c>
      <c r="BZ46" s="96">
        <f t="shared" ref="BZ46:BZ53" si="367">BY46*$BZ$2</f>
        <v>104096.9837898305</v>
      </c>
      <c r="CA46" s="96">
        <f t="shared" ref="CA46:CA53" si="368">BZ46*118%</f>
        <v>122834.44087199998</v>
      </c>
      <c r="CB46" s="118"/>
      <c r="CC46" s="151"/>
      <c r="CD46" s="151">
        <f t="shared" ref="CD46:CD53" si="369">CC46/118%</f>
        <v>0</v>
      </c>
      <c r="CE46" s="151">
        <f>CD46/CD2</f>
        <v>0</v>
      </c>
      <c r="CF46" s="96">
        <f t="shared" ref="CF46:CF53" si="370">+CE46</f>
        <v>0</v>
      </c>
      <c r="CG46" s="267">
        <f t="shared" ref="CG46:CG53" si="371">CF46*$CG$2</f>
        <v>0</v>
      </c>
      <c r="CH46" s="96">
        <f t="shared" ref="CH46:CH53" si="372">CG46*118%</f>
        <v>0</v>
      </c>
      <c r="CI46" s="118"/>
      <c r="CJ46" s="151">
        <v>413000</v>
      </c>
      <c r="CK46" s="151">
        <f t="shared" ref="CK46:CK53" si="373">CJ46/118%</f>
        <v>350000</v>
      </c>
      <c r="CL46" s="151">
        <f>CK46/CK2</f>
        <v>189.11558744704763</v>
      </c>
      <c r="CM46" s="96">
        <f t="shared" ref="CM46:CM53" si="374">+CL46</f>
        <v>189.11558744704763</v>
      </c>
      <c r="CN46" s="267">
        <f t="shared" ref="CN46:CN53" si="375">CM46*CN$2</f>
        <v>62087.025590040626</v>
      </c>
      <c r="CO46" s="96">
        <f t="shared" ref="CO46:CO53" si="376">CN46*118%</f>
        <v>73262.690196247931</v>
      </c>
      <c r="CP46" s="118"/>
      <c r="CQ46" s="151">
        <v>413000</v>
      </c>
      <c r="CR46" s="151">
        <f t="shared" ref="CR46:CR53" si="377">CQ46/118%</f>
        <v>350000</v>
      </c>
      <c r="CS46" s="151">
        <f>CR46/CR2</f>
        <v>189.11558744704763</v>
      </c>
      <c r="CT46" s="96">
        <f t="shared" ref="CT46:CT53" si="378">+CS46</f>
        <v>189.11558744704763</v>
      </c>
      <c r="CU46" s="267">
        <f t="shared" ref="CU46:CU53" si="379">CT46*CU$2</f>
        <v>62087.025590040626</v>
      </c>
      <c r="CV46" s="96">
        <f t="shared" ref="CV46:CV53" si="380">CU46*118%</f>
        <v>73262.690196247931</v>
      </c>
      <c r="CW46" s="118"/>
      <c r="CX46" s="151"/>
      <c r="CY46" s="151">
        <f t="shared" ref="CY46:CY53" si="381">CX46/118%</f>
        <v>0</v>
      </c>
      <c r="CZ46" s="151">
        <f>CY46/CY2</f>
        <v>0</v>
      </c>
      <c r="DA46" s="210"/>
      <c r="DB46" s="210">
        <f>DA46*DB2</f>
        <v>0</v>
      </c>
      <c r="DC46" s="210">
        <f t="shared" ref="DC46:DC53" si="382">DB46*118%</f>
        <v>0</v>
      </c>
      <c r="DD46" s="118"/>
      <c r="DE46" s="151"/>
      <c r="DF46" s="151">
        <f t="shared" ref="DF46:DF53" si="383">DE46/118%</f>
        <v>0</v>
      </c>
      <c r="DG46" s="151">
        <f>DF46/DF2</f>
        <v>0</v>
      </c>
      <c r="DH46" s="159">
        <f t="shared" ref="DH46:DH53" si="384">+DG46</f>
        <v>0</v>
      </c>
      <c r="DI46" s="266">
        <f t="shared" ref="DI46:DI53" si="385">DH46*$DI$2</f>
        <v>0</v>
      </c>
      <c r="DJ46" s="159">
        <f t="shared" ref="DJ46:DJ53" si="386">DI46*118%</f>
        <v>0</v>
      </c>
      <c r="DK46" s="118"/>
      <c r="DL46" s="151"/>
      <c r="DM46" s="151">
        <f t="shared" ref="DM46:DM53" si="387">DL46/118%</f>
        <v>0</v>
      </c>
      <c r="DN46" s="151">
        <f>DM46/DM2</f>
        <v>0</v>
      </c>
      <c r="DO46" s="96">
        <f t="shared" ref="DO46:DO53" si="388">+DN46</f>
        <v>0</v>
      </c>
      <c r="DP46" s="267">
        <f t="shared" ref="DP46:DP53" si="389">DO46*$DP$2</f>
        <v>0</v>
      </c>
      <c r="DQ46" s="96">
        <f t="shared" ref="DQ46:DQ53" si="390">DP46*118%</f>
        <v>0</v>
      </c>
      <c r="DR46" s="118"/>
      <c r="DS46" s="151">
        <v>1568000.0000000002</v>
      </c>
      <c r="DT46" s="151">
        <f t="shared" ref="DT46:DT54" si="391">DS46/112%</f>
        <v>1400000</v>
      </c>
      <c r="DU46" s="133">
        <f t="shared" ref="DU46:DU54" si="392">DT46/$DS$2</f>
        <v>531.06744556558692</v>
      </c>
      <c r="DV46" s="159">
        <f t="shared" ref="DV46:DV53" si="393">+DU46</f>
        <v>531.06744556558692</v>
      </c>
      <c r="DW46" s="266">
        <f t="shared" ref="DW46:DW53" si="394">DV46*$DW$2</f>
        <v>407865.85236325016</v>
      </c>
      <c r="DX46" s="159">
        <f t="shared" ref="DX46:DX53" si="395">DW46*118%</f>
        <v>481281.70578863518</v>
      </c>
      <c r="DY46" s="118"/>
      <c r="DZ46" s="151">
        <v>413000</v>
      </c>
      <c r="EA46" s="151">
        <f t="shared" ref="EA46:EA53" si="396">DZ46/118%</f>
        <v>350000</v>
      </c>
      <c r="EB46" s="151">
        <f>EA46/EA2</f>
        <v>189.11558744704763</v>
      </c>
      <c r="EC46" s="96">
        <f t="shared" ref="EC46:EC53" si="397">+EB46</f>
        <v>189.11558744704763</v>
      </c>
      <c r="ED46" s="267">
        <f t="shared" ref="ED46:ED53" si="398">EC46*$ED$2</f>
        <v>67165.947847324278</v>
      </c>
      <c r="EE46" s="96">
        <f t="shared" ref="EE46:EE53" si="399">ED46*118%</f>
        <v>79255.818459842645</v>
      </c>
      <c r="EF46" s="118"/>
      <c r="EG46" s="151"/>
      <c r="EH46" s="151">
        <f t="shared" ref="EH46:EH53" si="400">EG46/118%</f>
        <v>0</v>
      </c>
      <c r="EI46" s="151">
        <f>EH46/EH2</f>
        <v>0</v>
      </c>
      <c r="EJ46" s="210"/>
      <c r="EK46" s="210">
        <f>EJ46*EK2</f>
        <v>0</v>
      </c>
      <c r="EL46" s="210">
        <f t="shared" ref="EL46:EL53" si="401">EK46*118%</f>
        <v>0</v>
      </c>
      <c r="EM46" s="118"/>
      <c r="EN46" s="151"/>
      <c r="EO46" s="151">
        <f t="shared" ref="EO46:EO53" si="402">EN46/118%</f>
        <v>0</v>
      </c>
      <c r="EP46" s="151">
        <f>EO46/EO2</f>
        <v>0</v>
      </c>
      <c r="EQ46" s="159">
        <f t="shared" ref="EQ46:EQ53" si="403">+EP46</f>
        <v>0</v>
      </c>
      <c r="ER46" s="266">
        <f t="shared" ref="ER46:ER53" si="404">EQ46*$ER$2</f>
        <v>0</v>
      </c>
      <c r="ES46" s="159">
        <f t="shared" ref="ES46:ES53" si="405">ER46*118%</f>
        <v>0</v>
      </c>
      <c r="ET46" s="118"/>
      <c r="EU46" s="151">
        <v>413000</v>
      </c>
      <c r="EV46" s="151">
        <f t="shared" ref="EV46:EV53" si="406">EU46/118%</f>
        <v>350000</v>
      </c>
      <c r="EW46" s="151">
        <f>EV46/EV2</f>
        <v>189.11558744704763</v>
      </c>
      <c r="EX46" s="96">
        <f t="shared" ref="EX46:EX53" si="407">+EW46</f>
        <v>189.11558744704763</v>
      </c>
      <c r="EY46" s="267">
        <f t="shared" ref="EY46:EY53" si="408">EX46*$EY$2</f>
        <v>458385.45647099509</v>
      </c>
      <c r="EZ46" s="96">
        <f t="shared" ref="EZ46:EZ53" si="409">EY46*118%</f>
        <v>540894.83863577421</v>
      </c>
      <c r="FA46" s="118"/>
      <c r="FB46" s="151">
        <v>172903</v>
      </c>
      <c r="FC46" s="151">
        <f t="shared" ref="FC46:FC53" si="410">FB46/118%</f>
        <v>146527.96610169491</v>
      </c>
      <c r="FD46" s="151">
        <f>FC46/FC2</f>
        <v>32.561770244821091</v>
      </c>
      <c r="FE46" s="96">
        <f t="shared" ref="FE46:FE53" si="411">+FD46</f>
        <v>32.561770244821091</v>
      </c>
      <c r="FF46" s="267">
        <f t="shared" ref="FF46:FF53" si="412">FE46*$FF$2</f>
        <v>169520.36087471186</v>
      </c>
      <c r="FG46" s="96">
        <f t="shared" ref="FG46:FG53" si="413">FF46*118%</f>
        <v>200034.02583215997</v>
      </c>
      <c r="FH46" s="118"/>
      <c r="FI46" s="287"/>
      <c r="FJ46" s="287">
        <f t="shared" ref="FJ46:FJ53" si="414">FI46/118%</f>
        <v>0</v>
      </c>
      <c r="FK46" s="288">
        <f t="shared" ref="FK46:FK53" si="415">FJ46/FJ$2</f>
        <v>0</v>
      </c>
      <c r="FL46" s="96">
        <f t="shared" ref="FL46:FL53" si="416">+FK46</f>
        <v>0</v>
      </c>
      <c r="FM46" s="267">
        <f t="shared" ref="FM46:FM53" si="417">FL46*$FM$2</f>
        <v>0</v>
      </c>
      <c r="FN46" s="139">
        <f t="shared" ref="FN46:FN53" si="418">FM46*118%</f>
        <v>0</v>
      </c>
      <c r="FO46" s="118"/>
      <c r="FP46" s="151"/>
      <c r="FQ46" s="151">
        <f t="shared" ref="FQ46:FQ53" si="419">FP46/118%</f>
        <v>0</v>
      </c>
      <c r="FR46" s="151">
        <f>FQ46/FQ2</f>
        <v>0</v>
      </c>
      <c r="FS46" s="96">
        <f t="shared" ref="FS46:FS53" si="420">+FR46</f>
        <v>0</v>
      </c>
      <c r="FT46" s="267">
        <f t="shared" ref="FT46:FT53" si="421">FS46*$FT$2</f>
        <v>0</v>
      </c>
      <c r="FU46" s="96">
        <f t="shared" ref="FU46:FU53" si="422">FT46*118%</f>
        <v>0</v>
      </c>
      <c r="FV46" s="118"/>
      <c r="FW46" s="151"/>
      <c r="FX46" s="151">
        <f t="shared" ref="FX46:FX53" si="423">FW46/118%</f>
        <v>0</v>
      </c>
      <c r="FY46" s="151">
        <f>FX46/FX2</f>
        <v>0</v>
      </c>
      <c r="FZ46" s="96">
        <f t="shared" ref="FZ46:FZ53" si="424">+FY46</f>
        <v>0</v>
      </c>
      <c r="GA46" s="267">
        <f t="shared" ref="GA46:GA53" si="425">FZ46*$GA$2</f>
        <v>0</v>
      </c>
      <c r="GB46" s="96">
        <f t="shared" ref="GB46:GB53" si="426">GA46*118%</f>
        <v>0</v>
      </c>
      <c r="GC46" s="118"/>
      <c r="GD46" s="151"/>
      <c r="GE46" s="151">
        <f t="shared" ref="GE46:GE53" si="427">GD46/118%</f>
        <v>0</v>
      </c>
      <c r="GF46" s="151">
        <f>GE46/GE2</f>
        <v>0</v>
      </c>
      <c r="GG46" s="159">
        <f t="shared" ref="GG46:GG53" si="428">+GF46</f>
        <v>0</v>
      </c>
      <c r="GH46" s="266">
        <f t="shared" ref="GH46:GH53" si="429">GG46*$GH$2</f>
        <v>0</v>
      </c>
      <c r="GI46" s="159">
        <f t="shared" ref="GI46:GI53" si="430">GH46*118%</f>
        <v>0</v>
      </c>
      <c r="GJ46" s="118"/>
      <c r="GK46" s="151"/>
      <c r="GL46" s="151">
        <f t="shared" ref="GL46:GL53" si="431">GK46/118%</f>
        <v>0</v>
      </c>
      <c r="GM46" s="270">
        <f t="shared" ref="GM46:GM53" si="432">GL46/$GL$2</f>
        <v>0</v>
      </c>
      <c r="GN46" s="159">
        <f t="shared" ref="GN46:GN53" si="433">+GM46</f>
        <v>0</v>
      </c>
      <c r="GO46" s="266">
        <f t="shared" ref="GO46:GO53" si="434">GN46*$GO$2</f>
        <v>0</v>
      </c>
      <c r="GP46" s="159">
        <f t="shared" ref="GP46:GP53" si="435">GO46*118%</f>
        <v>0</v>
      </c>
      <c r="GQ46" s="118"/>
      <c r="GR46" s="151"/>
      <c r="GS46" s="151">
        <f t="shared" ref="GS46:GS53" si="436">GR46/118%</f>
        <v>0</v>
      </c>
      <c r="GT46" s="151">
        <f>GS46/GS2</f>
        <v>0</v>
      </c>
      <c r="GU46" s="96">
        <f t="shared" ref="GU46:GU53" si="437">+GT46</f>
        <v>0</v>
      </c>
      <c r="GV46" s="267">
        <f t="shared" ref="GV46:GV53" si="438">GU46*$GV$2</f>
        <v>0</v>
      </c>
      <c r="GW46" s="96">
        <f t="shared" ref="GW46:GW53" si="439">GV46*118%</f>
        <v>0</v>
      </c>
      <c r="GX46" s="118"/>
      <c r="GY46" s="151"/>
      <c r="GZ46" s="151">
        <f t="shared" ref="GZ46:GZ53" si="440">GY46/118%</f>
        <v>0</v>
      </c>
      <c r="HA46" s="151">
        <f>GZ46/GZ2</f>
        <v>0</v>
      </c>
      <c r="HB46" s="159">
        <f t="shared" ref="HB46:HB53" si="441">+HA46</f>
        <v>0</v>
      </c>
      <c r="HC46" s="266">
        <f t="shared" ref="HC46:HC53" si="442">HB46*$HC$2</f>
        <v>0</v>
      </c>
      <c r="HD46" s="159">
        <f t="shared" ref="HD46:HD53" si="443">HC46*118%</f>
        <v>0</v>
      </c>
      <c r="HE46" s="118"/>
      <c r="HF46" s="151"/>
      <c r="HG46" s="151">
        <f t="shared" ref="HG46:HG53" si="444">HF46/118%</f>
        <v>0</v>
      </c>
      <c r="HH46" s="151">
        <f>HG46/HG2</f>
        <v>0</v>
      </c>
      <c r="HI46" s="210"/>
      <c r="HJ46" s="210">
        <f>HI46*HJ2</f>
        <v>0</v>
      </c>
      <c r="HK46" s="210">
        <f t="shared" ref="HK46:HK53" si="445">HJ46*118%</f>
        <v>0</v>
      </c>
      <c r="HL46" s="118"/>
      <c r="HM46" s="151"/>
      <c r="HN46" s="151">
        <f t="shared" ref="HN46:HN53" si="446">HM46/118%</f>
        <v>0</v>
      </c>
      <c r="HO46" s="151">
        <f>HN46/HN2</f>
        <v>0</v>
      </c>
      <c r="HP46" s="96">
        <f t="shared" ref="HP46:HP53" si="447">+HO46</f>
        <v>0</v>
      </c>
      <c r="HQ46" s="267">
        <f t="shared" ref="HQ46:HQ53" si="448">HP46*$HQ$2</f>
        <v>0</v>
      </c>
      <c r="HR46" s="96">
        <f t="shared" ref="HR46:HR53" si="449">HQ46*118%</f>
        <v>0</v>
      </c>
      <c r="HS46" s="118"/>
      <c r="HT46" s="318">
        <f t="shared" ref="HT46:HT54" si="450">SUM(H46,O46,V46,AC46,AJ46,AQ46,AX46,BE46,BL46,BS46,BZ46,CG46,CN46,CU46,DB46,DI46,DP46,DW46,ED46,EK46,ER46,EY46,FF46,FM46,FT46,GA46,GH46,GO46,GV46,HC46,HJ46,HQ46)</f>
        <v>2056143.7984879806</v>
      </c>
      <c r="HU46" s="151">
        <f t="shared" ref="HU46:HU54" si="451">HT46*118%</f>
        <v>2426249.6822158168</v>
      </c>
      <c r="HV46" s="319"/>
    </row>
    <row r="47" spans="1:230">
      <c r="A47" s="18">
        <v>2</v>
      </c>
      <c r="B47" s="19" t="s">
        <v>46</v>
      </c>
      <c r="C47" s="118"/>
      <c r="D47" s="151">
        <v>0</v>
      </c>
      <c r="E47" s="151">
        <f t="shared" si="330"/>
        <v>0</v>
      </c>
      <c r="F47" s="151">
        <f>E47/E2</f>
        <v>0</v>
      </c>
      <c r="G47" s="159">
        <f t="shared" si="331"/>
        <v>0</v>
      </c>
      <c r="H47" s="266">
        <f t="shared" si="332"/>
        <v>0</v>
      </c>
      <c r="I47" s="159">
        <f t="shared" si="333"/>
        <v>0</v>
      </c>
      <c r="J47" s="118"/>
      <c r="K47" s="151"/>
      <c r="L47" s="151">
        <f t="shared" si="334"/>
        <v>0</v>
      </c>
      <c r="M47" s="151">
        <f>L47/L2</f>
        <v>0</v>
      </c>
      <c r="N47" s="159">
        <f t="shared" si="335"/>
        <v>0</v>
      </c>
      <c r="O47" s="266">
        <f t="shared" si="336"/>
        <v>0</v>
      </c>
      <c r="P47" s="159">
        <f t="shared" si="337"/>
        <v>0</v>
      </c>
      <c r="Q47" s="118"/>
      <c r="R47" s="151"/>
      <c r="S47" s="151">
        <f t="shared" si="338"/>
        <v>0</v>
      </c>
      <c r="T47" s="151">
        <f>S47/S2</f>
        <v>0</v>
      </c>
      <c r="U47" s="159">
        <f t="shared" si="339"/>
        <v>0</v>
      </c>
      <c r="V47" s="266">
        <f t="shared" si="340"/>
        <v>0</v>
      </c>
      <c r="W47" s="159">
        <f t="shared" si="341"/>
        <v>0</v>
      </c>
      <c r="X47" s="118"/>
      <c r="Y47" s="151"/>
      <c r="Z47" s="151">
        <f t="shared" si="342"/>
        <v>0</v>
      </c>
      <c r="AA47" s="151">
        <f>Z47/Z2</f>
        <v>0</v>
      </c>
      <c r="AB47" s="159">
        <f t="shared" si="343"/>
        <v>0</v>
      </c>
      <c r="AC47" s="266">
        <f t="shared" si="344"/>
        <v>0</v>
      </c>
      <c r="AD47" s="159">
        <f t="shared" si="345"/>
        <v>0</v>
      </c>
      <c r="AE47" s="118"/>
      <c r="AF47" s="151">
        <v>133104</v>
      </c>
      <c r="AG47" s="151">
        <f t="shared" si="346"/>
        <v>112800</v>
      </c>
      <c r="AH47" s="151">
        <f>AG47/AG2</f>
        <v>747.0198675496689</v>
      </c>
      <c r="AI47" s="96">
        <f t="shared" si="347"/>
        <v>747.0198675496689</v>
      </c>
      <c r="AJ47" s="267">
        <f t="shared" si="348"/>
        <v>1336401.2121854303</v>
      </c>
      <c r="AK47" s="96">
        <f t="shared" si="349"/>
        <v>1576953.4303788077</v>
      </c>
      <c r="AL47" s="118"/>
      <c r="AM47" s="151">
        <v>413000</v>
      </c>
      <c r="AN47" s="151">
        <f t="shared" si="350"/>
        <v>350000</v>
      </c>
      <c r="AO47" s="151">
        <f>AN47/AN2</f>
        <v>189.11558744704763</v>
      </c>
      <c r="AP47" s="96">
        <f t="shared" si="351"/>
        <v>189.11558744704763</v>
      </c>
      <c r="AQ47" s="267">
        <f t="shared" si="352"/>
        <v>141741.62596178782</v>
      </c>
      <c r="AR47" s="96">
        <f t="shared" si="353"/>
        <v>167255.11863490962</v>
      </c>
      <c r="AS47" s="118"/>
      <c r="AT47" s="287"/>
      <c r="AU47" s="287">
        <f t="shared" si="354"/>
        <v>0</v>
      </c>
      <c r="AV47" s="288">
        <f t="shared" si="355"/>
        <v>0</v>
      </c>
      <c r="AW47" s="96">
        <f t="shared" si="356"/>
        <v>0</v>
      </c>
      <c r="AX47" s="267">
        <f t="shared" si="357"/>
        <v>0</v>
      </c>
      <c r="AY47" s="96">
        <f t="shared" si="358"/>
        <v>0</v>
      </c>
      <c r="AZ47" s="118"/>
      <c r="BA47" s="287"/>
      <c r="BB47" s="287"/>
      <c r="BC47" s="288"/>
      <c r="BD47" s="96">
        <v>600</v>
      </c>
      <c r="BE47" s="267">
        <f t="shared" si="359"/>
        <v>583193.5199999999</v>
      </c>
      <c r="BF47" s="96">
        <f t="shared" si="360"/>
        <v>688168.3535999998</v>
      </c>
      <c r="BG47" s="118"/>
      <c r="BH47" s="151"/>
      <c r="BI47" s="151">
        <f t="shared" si="361"/>
        <v>0</v>
      </c>
      <c r="BJ47" s="151">
        <f>BI47/BI2</f>
        <v>0</v>
      </c>
      <c r="BK47" s="210"/>
      <c r="BL47" s="210">
        <f>BK47*BL2</f>
        <v>0</v>
      </c>
      <c r="BM47" s="210">
        <f t="shared" si="362"/>
        <v>0</v>
      </c>
      <c r="BN47" s="118"/>
      <c r="BO47" s="151"/>
      <c r="BP47" s="151">
        <f t="shared" si="363"/>
        <v>0</v>
      </c>
      <c r="BQ47" s="151">
        <f>BP47/BP2</f>
        <v>0</v>
      </c>
      <c r="BR47" s="210"/>
      <c r="BS47" s="210">
        <f>BR47*BS2</f>
        <v>0</v>
      </c>
      <c r="BT47" s="210">
        <f t="shared" si="364"/>
        <v>0</v>
      </c>
      <c r="BU47" s="118"/>
      <c r="BV47" s="151">
        <v>488172</v>
      </c>
      <c r="BW47" s="151">
        <f t="shared" si="365"/>
        <v>413705.08474576275</v>
      </c>
      <c r="BX47" s="151">
        <f>BW47/BW2</f>
        <v>91.934463276836169</v>
      </c>
      <c r="BY47" s="96">
        <f t="shared" si="366"/>
        <v>91.934463276836169</v>
      </c>
      <c r="BZ47" s="96">
        <f t="shared" si="367"/>
        <v>293906.02112542378</v>
      </c>
      <c r="CA47" s="96">
        <f t="shared" si="368"/>
        <v>346809.10492800002</v>
      </c>
      <c r="CB47" s="118"/>
      <c r="CC47" s="151">
        <v>133104</v>
      </c>
      <c r="CD47" s="151">
        <f t="shared" si="369"/>
        <v>112800</v>
      </c>
      <c r="CE47" s="151">
        <f>CD47/CD2</f>
        <v>747.0198675496689</v>
      </c>
      <c r="CF47" s="96">
        <f t="shared" si="370"/>
        <v>747.0198675496689</v>
      </c>
      <c r="CG47" s="267">
        <f t="shared" si="371"/>
        <v>245248.11655629138</v>
      </c>
      <c r="CH47" s="96">
        <f t="shared" si="372"/>
        <v>289392.77753642382</v>
      </c>
      <c r="CI47" s="118"/>
      <c r="CJ47" s="151">
        <v>413000</v>
      </c>
      <c r="CK47" s="151">
        <f t="shared" si="373"/>
        <v>350000</v>
      </c>
      <c r="CL47" s="151">
        <f>CK47/CK2</f>
        <v>189.11558744704763</v>
      </c>
      <c r="CM47" s="96">
        <f t="shared" si="374"/>
        <v>189.11558744704763</v>
      </c>
      <c r="CN47" s="267">
        <f t="shared" si="375"/>
        <v>62087.025590040626</v>
      </c>
      <c r="CO47" s="96">
        <f t="shared" si="376"/>
        <v>73262.690196247931</v>
      </c>
      <c r="CP47" s="118"/>
      <c r="CQ47" s="151">
        <v>413000</v>
      </c>
      <c r="CR47" s="151">
        <f t="shared" si="377"/>
        <v>350000</v>
      </c>
      <c r="CS47" s="151">
        <f>CR47/CR2</f>
        <v>189.11558744704763</v>
      </c>
      <c r="CT47" s="96">
        <f t="shared" si="378"/>
        <v>189.11558744704763</v>
      </c>
      <c r="CU47" s="267">
        <f t="shared" si="379"/>
        <v>62087.025590040626</v>
      </c>
      <c r="CV47" s="96">
        <f t="shared" si="380"/>
        <v>73262.690196247931</v>
      </c>
      <c r="CW47" s="118"/>
      <c r="CX47" s="151"/>
      <c r="CY47" s="151">
        <f t="shared" si="381"/>
        <v>0</v>
      </c>
      <c r="CZ47" s="151">
        <f>CY47/CY2</f>
        <v>0</v>
      </c>
      <c r="DA47" s="210"/>
      <c r="DB47" s="210">
        <f>DA47*DB2</f>
        <v>0</v>
      </c>
      <c r="DC47" s="210">
        <f t="shared" si="382"/>
        <v>0</v>
      </c>
      <c r="DD47" s="118"/>
      <c r="DE47" s="151"/>
      <c r="DF47" s="151">
        <f t="shared" si="383"/>
        <v>0</v>
      </c>
      <c r="DG47" s="151">
        <f>DF47/DF2</f>
        <v>0</v>
      </c>
      <c r="DH47" s="159">
        <f t="shared" si="384"/>
        <v>0</v>
      </c>
      <c r="DI47" s="266">
        <f t="shared" si="385"/>
        <v>0</v>
      </c>
      <c r="DJ47" s="159">
        <f t="shared" si="386"/>
        <v>0</v>
      </c>
      <c r="DK47" s="118"/>
      <c r="DL47" s="151">
        <v>133104</v>
      </c>
      <c r="DM47" s="151">
        <f t="shared" si="387"/>
        <v>112800</v>
      </c>
      <c r="DN47" s="151">
        <f>DM47/DM2</f>
        <v>747.0198675496689</v>
      </c>
      <c r="DO47" s="96">
        <f t="shared" si="388"/>
        <v>747.0198675496689</v>
      </c>
      <c r="DP47" s="267">
        <f t="shared" si="389"/>
        <v>493310.55576158944</v>
      </c>
      <c r="DQ47" s="96">
        <f t="shared" si="390"/>
        <v>582106.45579867554</v>
      </c>
      <c r="DR47" s="118"/>
      <c r="DS47" s="151">
        <v>1120000</v>
      </c>
      <c r="DT47" s="151">
        <f t="shared" si="391"/>
        <v>999999.99999999988</v>
      </c>
      <c r="DU47" s="133">
        <f t="shared" si="392"/>
        <v>379.33388968970485</v>
      </c>
      <c r="DV47" s="159">
        <f t="shared" si="393"/>
        <v>379.33388968970485</v>
      </c>
      <c r="DW47" s="266">
        <f t="shared" si="394"/>
        <v>291332.75168803573</v>
      </c>
      <c r="DX47" s="159">
        <f t="shared" si="395"/>
        <v>343772.64699188212</v>
      </c>
      <c r="DY47" s="118"/>
      <c r="DZ47" s="151">
        <v>413000</v>
      </c>
      <c r="EA47" s="151">
        <f t="shared" si="396"/>
        <v>350000</v>
      </c>
      <c r="EB47" s="151">
        <f>EA47/EA2</f>
        <v>189.11558744704763</v>
      </c>
      <c r="EC47" s="96">
        <f t="shared" si="397"/>
        <v>189.11558744704763</v>
      </c>
      <c r="ED47" s="267">
        <f t="shared" si="398"/>
        <v>67165.947847324278</v>
      </c>
      <c r="EE47" s="96">
        <f t="shared" si="399"/>
        <v>79255.818459842645</v>
      </c>
      <c r="EF47" s="118"/>
      <c r="EG47" s="151"/>
      <c r="EH47" s="151">
        <f t="shared" si="400"/>
        <v>0</v>
      </c>
      <c r="EI47" s="151">
        <f>EH47/EH2</f>
        <v>0</v>
      </c>
      <c r="EJ47" s="210"/>
      <c r="EK47" s="210">
        <f>EJ47*EK2</f>
        <v>0</v>
      </c>
      <c r="EL47" s="210">
        <f t="shared" si="401"/>
        <v>0</v>
      </c>
      <c r="EM47" s="118"/>
      <c r="EN47" s="151">
        <v>150000.41999999998</v>
      </c>
      <c r="EO47" s="151">
        <f t="shared" si="402"/>
        <v>127119</v>
      </c>
      <c r="EP47" s="151">
        <f>EO47/EO2</f>
        <v>203.69023202153568</v>
      </c>
      <c r="EQ47" s="159">
        <f t="shared" si="403"/>
        <v>203.69023202153568</v>
      </c>
      <c r="ER47" s="266">
        <f t="shared" si="404"/>
        <v>72342.252088546331</v>
      </c>
      <c r="ES47" s="159">
        <f t="shared" si="405"/>
        <v>85363.857464484667</v>
      </c>
      <c r="ET47" s="118"/>
      <c r="EU47" s="151">
        <v>413000</v>
      </c>
      <c r="EV47" s="151">
        <f t="shared" si="406"/>
        <v>350000</v>
      </c>
      <c r="EW47" s="151">
        <f>EV47/EV2</f>
        <v>189.11558744704763</v>
      </c>
      <c r="EX47" s="96">
        <f t="shared" si="407"/>
        <v>189.11558744704763</v>
      </c>
      <c r="EY47" s="267">
        <f t="shared" si="408"/>
        <v>458385.45647099509</v>
      </c>
      <c r="EZ47" s="96">
        <f t="shared" si="409"/>
        <v>540894.83863577421</v>
      </c>
      <c r="FA47" s="118"/>
      <c r="FB47" s="151">
        <v>488172</v>
      </c>
      <c r="FC47" s="151">
        <f t="shared" si="410"/>
        <v>413705.08474576275</v>
      </c>
      <c r="FD47" s="151">
        <f>FC47/FC2</f>
        <v>91.934463276836169</v>
      </c>
      <c r="FE47" s="96">
        <f t="shared" si="411"/>
        <v>91.934463276836169</v>
      </c>
      <c r="FF47" s="267">
        <f t="shared" si="412"/>
        <v>478621.5022812204</v>
      </c>
      <c r="FG47" s="96">
        <f t="shared" si="413"/>
        <v>564773.37269184005</v>
      </c>
      <c r="FH47" s="118"/>
      <c r="FI47" s="287"/>
      <c r="FJ47" s="287">
        <f t="shared" si="414"/>
        <v>0</v>
      </c>
      <c r="FK47" s="288">
        <f t="shared" si="415"/>
        <v>0</v>
      </c>
      <c r="FL47" s="96">
        <f t="shared" si="416"/>
        <v>0</v>
      </c>
      <c r="FM47" s="267">
        <f t="shared" si="417"/>
        <v>0</v>
      </c>
      <c r="FN47" s="139">
        <f t="shared" si="418"/>
        <v>0</v>
      </c>
      <c r="FO47" s="118"/>
      <c r="FP47" s="151"/>
      <c r="FQ47" s="151">
        <f t="shared" si="419"/>
        <v>0</v>
      </c>
      <c r="FR47" s="151">
        <f>FQ47/FQ2</f>
        <v>0</v>
      </c>
      <c r="FS47" s="96">
        <f t="shared" si="420"/>
        <v>0</v>
      </c>
      <c r="FT47" s="267">
        <f t="shared" si="421"/>
        <v>0</v>
      </c>
      <c r="FU47" s="96">
        <f t="shared" si="422"/>
        <v>0</v>
      </c>
      <c r="FV47" s="118"/>
      <c r="FW47" s="151">
        <v>133104</v>
      </c>
      <c r="FX47" s="151">
        <f t="shared" si="423"/>
        <v>112800</v>
      </c>
      <c r="FY47" s="151">
        <f>FX47/FX2</f>
        <v>747.0198675496689</v>
      </c>
      <c r="FZ47" s="96">
        <f t="shared" si="424"/>
        <v>747.0198675496689</v>
      </c>
      <c r="GA47" s="267">
        <f t="shared" si="425"/>
        <v>140716.13245033112</v>
      </c>
      <c r="GB47" s="96">
        <f t="shared" si="426"/>
        <v>166045.03629139072</v>
      </c>
      <c r="GC47" s="118"/>
      <c r="GD47" s="151"/>
      <c r="GE47" s="151">
        <f t="shared" si="427"/>
        <v>0</v>
      </c>
      <c r="GF47" s="151">
        <f>GE47/GE2</f>
        <v>0</v>
      </c>
      <c r="GG47" s="159">
        <f t="shared" si="428"/>
        <v>0</v>
      </c>
      <c r="GH47" s="266">
        <f t="shared" si="429"/>
        <v>0</v>
      </c>
      <c r="GI47" s="159">
        <f t="shared" si="430"/>
        <v>0</v>
      </c>
      <c r="GJ47" s="118"/>
      <c r="GK47" s="151"/>
      <c r="GL47" s="151">
        <f t="shared" si="431"/>
        <v>0</v>
      </c>
      <c r="GM47" s="270">
        <f t="shared" si="432"/>
        <v>0</v>
      </c>
      <c r="GN47" s="159">
        <f t="shared" si="433"/>
        <v>0</v>
      </c>
      <c r="GO47" s="266">
        <f t="shared" si="434"/>
        <v>0</v>
      </c>
      <c r="GP47" s="159">
        <f t="shared" si="435"/>
        <v>0</v>
      </c>
      <c r="GQ47" s="118"/>
      <c r="GR47" s="151">
        <v>133104</v>
      </c>
      <c r="GS47" s="151">
        <f t="shared" si="436"/>
        <v>112800</v>
      </c>
      <c r="GT47" s="151">
        <f>GS47/GS2</f>
        <v>747.0198675496689</v>
      </c>
      <c r="GU47" s="96">
        <f t="shared" si="437"/>
        <v>747.0198675496689</v>
      </c>
      <c r="GV47" s="267">
        <f t="shared" si="438"/>
        <v>327828.38400000002</v>
      </c>
      <c r="GW47" s="96">
        <f t="shared" si="439"/>
        <v>386837.49312</v>
      </c>
      <c r="GX47" s="118"/>
      <c r="GY47" s="151"/>
      <c r="GZ47" s="151">
        <f t="shared" si="440"/>
        <v>0</v>
      </c>
      <c r="HA47" s="151">
        <f>GZ47/GZ2</f>
        <v>0</v>
      </c>
      <c r="HB47" s="159">
        <f t="shared" si="441"/>
        <v>0</v>
      </c>
      <c r="HC47" s="266">
        <f t="shared" si="442"/>
        <v>0</v>
      </c>
      <c r="HD47" s="159">
        <f t="shared" si="443"/>
        <v>0</v>
      </c>
      <c r="HE47" s="118"/>
      <c r="HF47" s="151"/>
      <c r="HG47" s="151">
        <f t="shared" si="444"/>
        <v>0</v>
      </c>
      <c r="HH47" s="151">
        <f>HG47/HG2</f>
        <v>0</v>
      </c>
      <c r="HI47" s="210"/>
      <c r="HJ47" s="210">
        <f>HI47*HJ2</f>
        <v>0</v>
      </c>
      <c r="HK47" s="210">
        <f t="shared" si="445"/>
        <v>0</v>
      </c>
      <c r="HL47" s="118"/>
      <c r="HM47" s="151">
        <v>133104</v>
      </c>
      <c r="HN47" s="151">
        <f t="shared" si="446"/>
        <v>112800</v>
      </c>
      <c r="HO47" s="151">
        <f>HN47/HN2</f>
        <v>747.0198675496689</v>
      </c>
      <c r="HP47" s="96">
        <f t="shared" si="447"/>
        <v>747.0198675496689</v>
      </c>
      <c r="HQ47" s="267">
        <f t="shared" si="448"/>
        <v>598405.40439735097</v>
      </c>
      <c r="HR47" s="96">
        <f t="shared" si="449"/>
        <v>706118.37718887406</v>
      </c>
      <c r="HS47" s="118"/>
      <c r="HT47" s="318">
        <f t="shared" si="450"/>
        <v>5652772.9339944078</v>
      </c>
      <c r="HU47" s="151">
        <f t="shared" si="451"/>
        <v>6670272.0621134005</v>
      </c>
      <c r="HV47" s="319"/>
    </row>
    <row r="48" spans="1:230">
      <c r="A48" s="18">
        <v>3</v>
      </c>
      <c r="B48" s="19" t="s">
        <v>47</v>
      </c>
      <c r="C48" s="118"/>
      <c r="D48" s="151">
        <v>116810.56</v>
      </c>
      <c r="E48" s="151">
        <f t="shared" si="330"/>
        <v>98992</v>
      </c>
      <c r="F48" s="151">
        <f>E48/E2</f>
        <v>400</v>
      </c>
      <c r="G48" s="159">
        <f t="shared" si="331"/>
        <v>400</v>
      </c>
      <c r="H48" s="266">
        <f t="shared" si="332"/>
        <v>203224.31999999998</v>
      </c>
      <c r="I48" s="159">
        <f t="shared" si="333"/>
        <v>239804.69759999996</v>
      </c>
      <c r="J48" s="118"/>
      <c r="K48" s="151"/>
      <c r="L48" s="151">
        <f t="shared" si="334"/>
        <v>0</v>
      </c>
      <c r="M48" s="151">
        <f>L48/L2</f>
        <v>0</v>
      </c>
      <c r="N48" s="159">
        <f t="shared" si="335"/>
        <v>0</v>
      </c>
      <c r="O48" s="266">
        <f t="shared" si="336"/>
        <v>0</v>
      </c>
      <c r="P48" s="159">
        <f t="shared" si="337"/>
        <v>0</v>
      </c>
      <c r="Q48" s="118"/>
      <c r="R48" s="151"/>
      <c r="S48" s="151">
        <f t="shared" si="338"/>
        <v>0</v>
      </c>
      <c r="T48" s="151">
        <f>S48/S2</f>
        <v>0</v>
      </c>
      <c r="U48" s="159">
        <f t="shared" si="339"/>
        <v>0</v>
      </c>
      <c r="V48" s="266">
        <f t="shared" si="340"/>
        <v>0</v>
      </c>
      <c r="W48" s="159">
        <f t="shared" si="341"/>
        <v>0</v>
      </c>
      <c r="X48" s="118"/>
      <c r="Y48" s="151"/>
      <c r="Z48" s="151">
        <f t="shared" si="342"/>
        <v>0</v>
      </c>
      <c r="AA48" s="151">
        <f>Z48/Z2</f>
        <v>0</v>
      </c>
      <c r="AB48" s="159">
        <f t="shared" si="343"/>
        <v>0</v>
      </c>
      <c r="AC48" s="266">
        <f t="shared" si="344"/>
        <v>0</v>
      </c>
      <c r="AD48" s="159">
        <f t="shared" si="345"/>
        <v>0</v>
      </c>
      <c r="AE48" s="118"/>
      <c r="AF48" s="151"/>
      <c r="AG48" s="151">
        <f t="shared" si="346"/>
        <v>0</v>
      </c>
      <c r="AH48" s="151">
        <f>AG48/AG2</f>
        <v>0</v>
      </c>
      <c r="AI48" s="96">
        <f t="shared" si="347"/>
        <v>0</v>
      </c>
      <c r="AJ48" s="267">
        <f t="shared" si="348"/>
        <v>0</v>
      </c>
      <c r="AK48" s="96">
        <f t="shared" si="349"/>
        <v>0</v>
      </c>
      <c r="AL48" s="118"/>
      <c r="AM48" s="151">
        <v>1475000</v>
      </c>
      <c r="AN48" s="151">
        <f t="shared" si="350"/>
        <v>1250000</v>
      </c>
      <c r="AO48" s="151">
        <f>AN48/AN2</f>
        <v>675.41281231088442</v>
      </c>
      <c r="AP48" s="96">
        <f t="shared" si="351"/>
        <v>675.41281231088442</v>
      </c>
      <c r="AQ48" s="267">
        <f t="shared" si="352"/>
        <v>506220.09272067086</v>
      </c>
      <c r="AR48" s="96">
        <f t="shared" si="353"/>
        <v>597339.70941039163</v>
      </c>
      <c r="AS48" s="118"/>
      <c r="AT48" s="287"/>
      <c r="AU48" s="287">
        <f t="shared" si="354"/>
        <v>0</v>
      </c>
      <c r="AV48" s="288">
        <f t="shared" si="355"/>
        <v>0</v>
      </c>
      <c r="AW48" s="96">
        <f t="shared" si="356"/>
        <v>0</v>
      </c>
      <c r="AX48" s="267">
        <f t="shared" si="357"/>
        <v>0</v>
      </c>
      <c r="AY48" s="96">
        <f t="shared" si="358"/>
        <v>0</v>
      </c>
      <c r="AZ48" s="118"/>
      <c r="BA48" s="287"/>
      <c r="BB48" s="287"/>
      <c r="BC48" s="288"/>
      <c r="BD48" s="96">
        <v>3000</v>
      </c>
      <c r="BE48" s="267">
        <f t="shared" si="359"/>
        <v>2915967.5999999996</v>
      </c>
      <c r="BF48" s="96">
        <f t="shared" si="360"/>
        <v>3440841.7679999992</v>
      </c>
      <c r="BG48" s="118"/>
      <c r="BH48" s="151">
        <v>3878992.4</v>
      </c>
      <c r="BI48" s="151">
        <f t="shared" si="361"/>
        <v>3287281.6949152541</v>
      </c>
      <c r="BJ48" s="151">
        <f>BI48/BI2</f>
        <v>505.73564537157756</v>
      </c>
      <c r="BK48" s="210">
        <v>3000</v>
      </c>
      <c r="BL48" s="210">
        <f>BK48*BL2</f>
        <v>2874633.84</v>
      </c>
      <c r="BM48" s="210">
        <f t="shared" si="362"/>
        <v>3392067.9311999995</v>
      </c>
      <c r="BN48" s="118"/>
      <c r="BO48" s="151">
        <v>3878992.4</v>
      </c>
      <c r="BP48" s="151">
        <f t="shared" si="363"/>
        <v>3287281.6949152541</v>
      </c>
      <c r="BQ48" s="151">
        <f>BP48/BP2</f>
        <v>505.73564537157756</v>
      </c>
      <c r="BR48" s="210">
        <v>3000</v>
      </c>
      <c r="BS48" s="210">
        <f>BR48*BS2</f>
        <v>3255679.4399999995</v>
      </c>
      <c r="BT48" s="210">
        <f t="shared" si="364"/>
        <v>3841701.7391999993</v>
      </c>
      <c r="BU48" s="118"/>
      <c r="BV48" s="151">
        <v>2227151.15</v>
      </c>
      <c r="BW48" s="151">
        <f t="shared" si="365"/>
        <v>1887416.2288135593</v>
      </c>
      <c r="BX48" s="151">
        <f>BW48/BW2</f>
        <v>419.4258286252354</v>
      </c>
      <c r="BY48" s="96">
        <f t="shared" si="366"/>
        <v>419.4258286252354</v>
      </c>
      <c r="BZ48" s="96">
        <f t="shared" si="367"/>
        <v>1340865.786938644</v>
      </c>
      <c r="CA48" s="96">
        <f t="shared" si="368"/>
        <v>1582221.6285875998</v>
      </c>
      <c r="CB48" s="118"/>
      <c r="CC48" s="151"/>
      <c r="CD48" s="151">
        <f t="shared" si="369"/>
        <v>0</v>
      </c>
      <c r="CE48" s="151">
        <f>CD48/CD2</f>
        <v>0</v>
      </c>
      <c r="CF48" s="96">
        <f t="shared" si="370"/>
        <v>0</v>
      </c>
      <c r="CG48" s="267">
        <f t="shared" si="371"/>
        <v>0</v>
      </c>
      <c r="CH48" s="96">
        <f t="shared" si="372"/>
        <v>0</v>
      </c>
      <c r="CI48" s="118"/>
      <c r="CJ48" s="151">
        <v>1475000</v>
      </c>
      <c r="CK48" s="151">
        <f t="shared" si="373"/>
        <v>1250000</v>
      </c>
      <c r="CL48" s="151">
        <f>CK48/CK2</f>
        <v>675.41281231088442</v>
      </c>
      <c r="CM48" s="96">
        <f t="shared" si="374"/>
        <v>675.41281231088442</v>
      </c>
      <c r="CN48" s="267">
        <f t="shared" si="375"/>
        <v>221739.37710728796</v>
      </c>
      <c r="CO48" s="96">
        <f t="shared" si="376"/>
        <v>261652.46498659978</v>
      </c>
      <c r="CP48" s="118"/>
      <c r="CQ48" s="151">
        <v>1475000</v>
      </c>
      <c r="CR48" s="151">
        <f t="shared" si="377"/>
        <v>1250000</v>
      </c>
      <c r="CS48" s="151">
        <f>CR48/CR2</f>
        <v>675.41281231088442</v>
      </c>
      <c r="CT48" s="96">
        <f t="shared" si="378"/>
        <v>675.41281231088442</v>
      </c>
      <c r="CU48" s="267">
        <f t="shared" si="379"/>
        <v>221739.37710728796</v>
      </c>
      <c r="CV48" s="96">
        <f t="shared" si="380"/>
        <v>261652.46498659978</v>
      </c>
      <c r="CW48" s="118"/>
      <c r="CX48" s="151">
        <v>3878992.4</v>
      </c>
      <c r="CY48" s="151">
        <f t="shared" si="381"/>
        <v>3287281.6949152541</v>
      </c>
      <c r="CZ48" s="151">
        <f>CY48/CY2</f>
        <v>505.73564537157756</v>
      </c>
      <c r="DA48" s="210">
        <v>3000</v>
      </c>
      <c r="DB48" s="210">
        <f>DA48*DB2</f>
        <v>1922342.7599999998</v>
      </c>
      <c r="DC48" s="210">
        <f t="shared" si="382"/>
        <v>2268364.4567999998</v>
      </c>
      <c r="DD48" s="118"/>
      <c r="DE48" s="151"/>
      <c r="DF48" s="151">
        <f t="shared" si="383"/>
        <v>0</v>
      </c>
      <c r="DG48" s="151">
        <f>DF48/DF2</f>
        <v>0</v>
      </c>
      <c r="DH48" s="159">
        <f t="shared" si="384"/>
        <v>0</v>
      </c>
      <c r="DI48" s="266">
        <f t="shared" si="385"/>
        <v>0</v>
      </c>
      <c r="DJ48" s="159">
        <f t="shared" si="386"/>
        <v>0</v>
      </c>
      <c r="DK48" s="118"/>
      <c r="DL48" s="151"/>
      <c r="DM48" s="151">
        <f t="shared" si="387"/>
        <v>0</v>
      </c>
      <c r="DN48" s="151">
        <f>DM48/DM2</f>
        <v>0</v>
      </c>
      <c r="DO48" s="96">
        <f t="shared" si="388"/>
        <v>0</v>
      </c>
      <c r="DP48" s="267">
        <f t="shared" si="389"/>
        <v>0</v>
      </c>
      <c r="DQ48" s="96">
        <f t="shared" si="390"/>
        <v>0</v>
      </c>
      <c r="DR48" s="118"/>
      <c r="DS48" s="151">
        <v>1456000.0000000002</v>
      </c>
      <c r="DT48" s="151">
        <f t="shared" si="391"/>
        <v>1300000</v>
      </c>
      <c r="DU48" s="133">
        <f t="shared" si="392"/>
        <v>493.1340565966164</v>
      </c>
      <c r="DV48" s="159">
        <f t="shared" si="393"/>
        <v>493.1340565966164</v>
      </c>
      <c r="DW48" s="266">
        <f t="shared" si="394"/>
        <v>378732.57719444652</v>
      </c>
      <c r="DX48" s="159">
        <f t="shared" si="395"/>
        <v>446904.44108944689</v>
      </c>
      <c r="DY48" s="118"/>
      <c r="DZ48" s="151">
        <v>1475000</v>
      </c>
      <c r="EA48" s="151">
        <f t="shared" si="396"/>
        <v>1250000</v>
      </c>
      <c r="EB48" s="151">
        <f>EA48/EA2</f>
        <v>675.41281231088442</v>
      </c>
      <c r="EC48" s="96">
        <f t="shared" si="397"/>
        <v>675.41281231088442</v>
      </c>
      <c r="ED48" s="267">
        <f t="shared" si="398"/>
        <v>239878.38516901527</v>
      </c>
      <c r="EE48" s="96">
        <f t="shared" si="399"/>
        <v>283056.49449943798</v>
      </c>
      <c r="EF48" s="118"/>
      <c r="EG48" s="151">
        <v>3878992.4</v>
      </c>
      <c r="EH48" s="151">
        <f t="shared" si="400"/>
        <v>3287281.6949152541</v>
      </c>
      <c r="EI48" s="151">
        <f>EH48/EH2</f>
        <v>505.73564537157756</v>
      </c>
      <c r="EJ48" s="210">
        <v>3000</v>
      </c>
      <c r="EK48" s="210">
        <f>EJ48*EK2</f>
        <v>2205866.52</v>
      </c>
      <c r="EL48" s="210">
        <f t="shared" si="401"/>
        <v>2602922.4935999997</v>
      </c>
      <c r="EM48" s="118"/>
      <c r="EN48" s="151"/>
      <c r="EO48" s="151">
        <f t="shared" si="402"/>
        <v>0</v>
      </c>
      <c r="EP48" s="151">
        <f>EO48/EO2</f>
        <v>0</v>
      </c>
      <c r="EQ48" s="159">
        <f t="shared" si="403"/>
        <v>0</v>
      </c>
      <c r="ER48" s="266">
        <f t="shared" si="404"/>
        <v>0</v>
      </c>
      <c r="ES48" s="159">
        <f t="shared" si="405"/>
        <v>0</v>
      </c>
      <c r="ET48" s="118"/>
      <c r="EU48" s="151">
        <v>1475000</v>
      </c>
      <c r="EV48" s="151">
        <f t="shared" si="406"/>
        <v>1250000</v>
      </c>
      <c r="EW48" s="151">
        <f>EV48/EV2</f>
        <v>675.41281231088442</v>
      </c>
      <c r="EX48" s="96">
        <f t="shared" si="407"/>
        <v>675.41281231088442</v>
      </c>
      <c r="EY48" s="267">
        <f t="shared" si="408"/>
        <v>1637090.9159678395</v>
      </c>
      <c r="EZ48" s="96">
        <f t="shared" si="409"/>
        <v>1931767.2808420504</v>
      </c>
      <c r="FA48" s="118"/>
      <c r="FB48" s="151">
        <v>2227151.15</v>
      </c>
      <c r="FC48" s="151">
        <f t="shared" si="410"/>
        <v>1887416.2288135593</v>
      </c>
      <c r="FD48" s="151">
        <f>FC48/FC2</f>
        <v>419.4258286252354</v>
      </c>
      <c r="FE48" s="96">
        <f t="shared" si="411"/>
        <v>419.4258286252354</v>
      </c>
      <c r="FF48" s="267">
        <f t="shared" si="412"/>
        <v>2183579.6178812948</v>
      </c>
      <c r="FG48" s="96">
        <f t="shared" si="413"/>
        <v>2576623.9490999277</v>
      </c>
      <c r="FH48" s="118"/>
      <c r="FI48" s="287"/>
      <c r="FJ48" s="287">
        <f t="shared" si="414"/>
        <v>0</v>
      </c>
      <c r="FK48" s="288">
        <f t="shared" si="415"/>
        <v>0</v>
      </c>
      <c r="FL48" s="96">
        <f t="shared" si="416"/>
        <v>0</v>
      </c>
      <c r="FM48" s="267">
        <f t="shared" si="417"/>
        <v>0</v>
      </c>
      <c r="FN48" s="139">
        <f t="shared" si="418"/>
        <v>0</v>
      </c>
      <c r="FO48" s="118"/>
      <c r="FP48" s="151"/>
      <c r="FQ48" s="151">
        <f t="shared" si="419"/>
        <v>0</v>
      </c>
      <c r="FR48" s="151">
        <f>FQ48/FQ2</f>
        <v>0</v>
      </c>
      <c r="FS48" s="96">
        <f t="shared" si="420"/>
        <v>0</v>
      </c>
      <c r="FT48" s="267">
        <f t="shared" si="421"/>
        <v>0</v>
      </c>
      <c r="FU48" s="96">
        <f t="shared" si="422"/>
        <v>0</v>
      </c>
      <c r="FV48" s="118"/>
      <c r="FW48" s="151"/>
      <c r="FX48" s="151">
        <f t="shared" si="423"/>
        <v>0</v>
      </c>
      <c r="FY48" s="151">
        <f>FX48/FX2</f>
        <v>0</v>
      </c>
      <c r="FZ48" s="96">
        <f t="shared" si="424"/>
        <v>0</v>
      </c>
      <c r="GA48" s="267">
        <f t="shared" si="425"/>
        <v>0</v>
      </c>
      <c r="GB48" s="96">
        <f t="shared" si="426"/>
        <v>0</v>
      </c>
      <c r="GC48" s="118"/>
      <c r="GD48" s="151"/>
      <c r="GE48" s="151">
        <f t="shared" si="427"/>
        <v>0</v>
      </c>
      <c r="GF48" s="151">
        <f>GE48/GE2</f>
        <v>0</v>
      </c>
      <c r="GG48" s="159">
        <f t="shared" si="428"/>
        <v>0</v>
      </c>
      <c r="GH48" s="266">
        <f t="shared" si="429"/>
        <v>0</v>
      </c>
      <c r="GI48" s="159">
        <f t="shared" si="430"/>
        <v>0</v>
      </c>
      <c r="GJ48" s="118"/>
      <c r="GK48" s="151"/>
      <c r="GL48" s="151">
        <f t="shared" si="431"/>
        <v>0</v>
      </c>
      <c r="GM48" s="270">
        <f t="shared" si="432"/>
        <v>0</v>
      </c>
      <c r="GN48" s="159">
        <f t="shared" si="433"/>
        <v>0</v>
      </c>
      <c r="GO48" s="266">
        <f t="shared" si="434"/>
        <v>0</v>
      </c>
      <c r="GP48" s="159">
        <f t="shared" si="435"/>
        <v>0</v>
      </c>
      <c r="GQ48" s="118"/>
      <c r="GR48" s="151"/>
      <c r="GS48" s="151">
        <f t="shared" si="436"/>
        <v>0</v>
      </c>
      <c r="GT48" s="151">
        <f>GS48/GS2</f>
        <v>0</v>
      </c>
      <c r="GU48" s="96">
        <f t="shared" si="437"/>
        <v>0</v>
      </c>
      <c r="GV48" s="267">
        <f t="shared" si="438"/>
        <v>0</v>
      </c>
      <c r="GW48" s="96">
        <f t="shared" si="439"/>
        <v>0</v>
      </c>
      <c r="GX48" s="118"/>
      <c r="GY48" s="151"/>
      <c r="GZ48" s="151">
        <f t="shared" si="440"/>
        <v>0</v>
      </c>
      <c r="HA48" s="151">
        <f>GZ48/GZ2</f>
        <v>0</v>
      </c>
      <c r="HB48" s="159">
        <f t="shared" si="441"/>
        <v>0</v>
      </c>
      <c r="HC48" s="266">
        <f t="shared" si="442"/>
        <v>0</v>
      </c>
      <c r="HD48" s="159">
        <f t="shared" si="443"/>
        <v>0</v>
      </c>
      <c r="HE48" s="118"/>
      <c r="HF48" s="151">
        <v>3878992.4</v>
      </c>
      <c r="HG48" s="151">
        <f t="shared" si="444"/>
        <v>3287281.6949152541</v>
      </c>
      <c r="HH48" s="151">
        <f>HG48/HG2</f>
        <v>505.73564537157756</v>
      </c>
      <c r="HI48" s="210">
        <v>3000</v>
      </c>
      <c r="HJ48" s="210">
        <f>HI48*HJ2</f>
        <v>2953103.4</v>
      </c>
      <c r="HK48" s="210">
        <f t="shared" si="445"/>
        <v>3484662.0119999996</v>
      </c>
      <c r="HL48" s="118"/>
      <c r="HM48" s="151"/>
      <c r="HN48" s="151">
        <f t="shared" si="446"/>
        <v>0</v>
      </c>
      <c r="HO48" s="151">
        <f>HN48/HN2</f>
        <v>0</v>
      </c>
      <c r="HP48" s="96">
        <f t="shared" si="447"/>
        <v>0</v>
      </c>
      <c r="HQ48" s="267">
        <f t="shared" si="448"/>
        <v>0</v>
      </c>
      <c r="HR48" s="96">
        <f t="shared" si="449"/>
        <v>0</v>
      </c>
      <c r="HS48" s="118"/>
      <c r="HT48" s="318">
        <f t="shared" si="450"/>
        <v>23060664.010086484</v>
      </c>
      <c r="HU48" s="151">
        <f t="shared" si="451"/>
        <v>27211583.531902049</v>
      </c>
      <c r="HV48" s="319"/>
    </row>
    <row r="49" spans="1:230">
      <c r="A49" s="18">
        <v>4</v>
      </c>
      <c r="B49" s="19" t="s">
        <v>48</v>
      </c>
      <c r="C49" s="118"/>
      <c r="D49" s="151">
        <v>87607.92</v>
      </c>
      <c r="E49" s="151">
        <f t="shared" si="330"/>
        <v>74244</v>
      </c>
      <c r="F49" s="151">
        <f>E49/E2</f>
        <v>300</v>
      </c>
      <c r="G49" s="159">
        <f t="shared" si="331"/>
        <v>300</v>
      </c>
      <c r="H49" s="266">
        <f t="shared" si="332"/>
        <v>152418.23999999999</v>
      </c>
      <c r="I49" s="159">
        <f t="shared" si="333"/>
        <v>179853.52319999997</v>
      </c>
      <c r="J49" s="118"/>
      <c r="K49" s="151">
        <v>8196.7999999999993</v>
      </c>
      <c r="L49" s="151">
        <f t="shared" si="334"/>
        <v>6946.4406779661012</v>
      </c>
      <c r="M49" s="151">
        <f>L49/L2</f>
        <v>99.234866828087164</v>
      </c>
      <c r="N49" s="159">
        <f t="shared" si="335"/>
        <v>99.234866828087164</v>
      </c>
      <c r="O49" s="266">
        <f t="shared" si="336"/>
        <v>50417.345828571422</v>
      </c>
      <c r="P49" s="159">
        <f t="shared" si="337"/>
        <v>59492.468077714278</v>
      </c>
      <c r="Q49" s="118"/>
      <c r="R49" s="151">
        <v>8196.7999999999993</v>
      </c>
      <c r="S49" s="151">
        <f t="shared" si="338"/>
        <v>6946.4406779661012</v>
      </c>
      <c r="T49" s="151">
        <f>S49/S2</f>
        <v>99.234866828087164</v>
      </c>
      <c r="U49" s="159">
        <f t="shared" si="339"/>
        <v>99.234866828087164</v>
      </c>
      <c r="V49" s="266">
        <f t="shared" si="340"/>
        <v>38176.185167651332</v>
      </c>
      <c r="W49" s="159">
        <f t="shared" si="341"/>
        <v>45047.898497828573</v>
      </c>
      <c r="X49" s="118"/>
      <c r="Y49" s="151">
        <v>8196.7999999999993</v>
      </c>
      <c r="Z49" s="151">
        <f t="shared" si="342"/>
        <v>6946.4406779661012</v>
      </c>
      <c r="AA49" s="151">
        <f>Z49/Z2</f>
        <v>99.234866828087164</v>
      </c>
      <c r="AB49" s="159">
        <f t="shared" si="343"/>
        <v>99.234866828087164</v>
      </c>
      <c r="AC49" s="266">
        <f t="shared" si="344"/>
        <v>38176.185167651332</v>
      </c>
      <c r="AD49" s="159">
        <f t="shared" si="345"/>
        <v>45047.898497828573</v>
      </c>
      <c r="AE49" s="118"/>
      <c r="AF49" s="151">
        <v>189914</v>
      </c>
      <c r="AG49" s="151">
        <f t="shared" si="346"/>
        <v>160944.06779661018</v>
      </c>
      <c r="AH49" s="151">
        <f>AG49/AG2</f>
        <v>1065.8547536199349</v>
      </c>
      <c r="AI49" s="96">
        <f t="shared" si="347"/>
        <v>1065.8547536199349</v>
      </c>
      <c r="AJ49" s="267">
        <f t="shared" si="348"/>
        <v>1906789.4263957792</v>
      </c>
      <c r="AK49" s="96">
        <f t="shared" si="349"/>
        <v>2250011.5231470196</v>
      </c>
      <c r="AL49" s="118"/>
      <c r="AM49" s="151">
        <v>708000</v>
      </c>
      <c r="AN49" s="151">
        <f t="shared" si="350"/>
        <v>600000</v>
      </c>
      <c r="AO49" s="151">
        <f>AN49/AN2</f>
        <v>324.19814990922453</v>
      </c>
      <c r="AP49" s="96">
        <f t="shared" si="351"/>
        <v>324.19814990922453</v>
      </c>
      <c r="AQ49" s="267">
        <f t="shared" si="352"/>
        <v>242985.64450592201</v>
      </c>
      <c r="AR49" s="96">
        <f t="shared" si="353"/>
        <v>286723.06051698799</v>
      </c>
      <c r="AS49" s="118"/>
      <c r="AT49" s="287">
        <v>141600</v>
      </c>
      <c r="AU49" s="287">
        <f t="shared" si="354"/>
        <v>120000</v>
      </c>
      <c r="AV49" s="288">
        <f t="shared" si="355"/>
        <v>110.41996392947846</v>
      </c>
      <c r="AW49" s="96">
        <f t="shared" si="356"/>
        <v>110.41996392947846</v>
      </c>
      <c r="AX49" s="267">
        <f t="shared" si="357"/>
        <v>197538.75372667375</v>
      </c>
      <c r="AY49" s="96">
        <f t="shared" si="358"/>
        <v>233095.72939747502</v>
      </c>
      <c r="AZ49" s="118"/>
      <c r="BA49" s="287"/>
      <c r="BB49" s="287"/>
      <c r="BC49" s="288"/>
      <c r="BD49" s="96">
        <v>800</v>
      </c>
      <c r="BE49" s="267">
        <f t="shared" si="359"/>
        <v>777591.35999999987</v>
      </c>
      <c r="BF49" s="96">
        <f t="shared" si="360"/>
        <v>917557.80479999981</v>
      </c>
      <c r="BG49" s="118"/>
      <c r="BH49" s="151">
        <v>31360</v>
      </c>
      <c r="BI49" s="151">
        <f t="shared" si="361"/>
        <v>26576.271186440681</v>
      </c>
      <c r="BJ49" s="151">
        <f>BI49/BI2</f>
        <v>4.0886571056062584</v>
      </c>
      <c r="BK49" s="210"/>
      <c r="BL49" s="210">
        <f>BK49*BL2</f>
        <v>0</v>
      </c>
      <c r="BM49" s="210">
        <f t="shared" si="362"/>
        <v>0</v>
      </c>
      <c r="BN49" s="118"/>
      <c r="BO49" s="151">
        <v>31360</v>
      </c>
      <c r="BP49" s="151">
        <f t="shared" si="363"/>
        <v>26576.271186440681</v>
      </c>
      <c r="BQ49" s="151">
        <f>BP49/BP2</f>
        <v>4.0886571056062584</v>
      </c>
      <c r="BR49" s="210"/>
      <c r="BS49" s="210">
        <f>BR49*BS2</f>
        <v>0</v>
      </c>
      <c r="BT49" s="210">
        <f t="shared" si="364"/>
        <v>0</v>
      </c>
      <c r="BU49" s="118"/>
      <c r="BV49" s="151">
        <v>1814461</v>
      </c>
      <c r="BW49" s="151">
        <f t="shared" si="365"/>
        <v>1537678.8135593222</v>
      </c>
      <c r="BX49" s="151">
        <f>BW49/BW2</f>
        <v>341.70640301318269</v>
      </c>
      <c r="BY49" s="96">
        <f t="shared" si="366"/>
        <v>341.70640301318269</v>
      </c>
      <c r="BZ49" s="96">
        <f t="shared" si="367"/>
        <v>1092403.9334440678</v>
      </c>
      <c r="CA49" s="96">
        <f t="shared" si="368"/>
        <v>1289036.6414639999</v>
      </c>
      <c r="CB49" s="118"/>
      <c r="CC49" s="151">
        <v>189914</v>
      </c>
      <c r="CD49" s="151">
        <f t="shared" si="369"/>
        <v>160944.06779661018</v>
      </c>
      <c r="CE49" s="151">
        <f>CD49/CD2</f>
        <v>1065.8547536199349</v>
      </c>
      <c r="CF49" s="96">
        <f t="shared" si="370"/>
        <v>1065.8547536199349</v>
      </c>
      <c r="CG49" s="267">
        <f t="shared" si="371"/>
        <v>349922.24732293183</v>
      </c>
      <c r="CH49" s="96">
        <f t="shared" si="372"/>
        <v>412908.25184105954</v>
      </c>
      <c r="CI49" s="118"/>
      <c r="CJ49" s="151">
        <v>708000</v>
      </c>
      <c r="CK49" s="151">
        <f t="shared" si="373"/>
        <v>600000</v>
      </c>
      <c r="CL49" s="151">
        <f>CK49/CK2</f>
        <v>324.19814990922453</v>
      </c>
      <c r="CM49" s="96">
        <f t="shared" si="374"/>
        <v>324.19814990922453</v>
      </c>
      <c r="CN49" s="267">
        <f t="shared" si="375"/>
        <v>106434.90101149822</v>
      </c>
      <c r="CO49" s="96">
        <f t="shared" si="376"/>
        <v>125593.18319356789</v>
      </c>
      <c r="CP49" s="118"/>
      <c r="CQ49" s="151">
        <v>708000</v>
      </c>
      <c r="CR49" s="151">
        <f t="shared" si="377"/>
        <v>600000</v>
      </c>
      <c r="CS49" s="151">
        <f>CR49/CR2</f>
        <v>324.19814990922453</v>
      </c>
      <c r="CT49" s="96">
        <f t="shared" si="378"/>
        <v>324.19814990922453</v>
      </c>
      <c r="CU49" s="267">
        <f t="shared" si="379"/>
        <v>106434.90101149822</v>
      </c>
      <c r="CV49" s="96">
        <f t="shared" si="380"/>
        <v>125593.18319356789</v>
      </c>
      <c r="CW49" s="118"/>
      <c r="CX49" s="151">
        <v>31360</v>
      </c>
      <c r="CY49" s="151">
        <f t="shared" si="381"/>
        <v>26576.271186440681</v>
      </c>
      <c r="CZ49" s="151">
        <f>CY49/CY2</f>
        <v>4.0886571056062584</v>
      </c>
      <c r="DA49" s="210"/>
      <c r="DB49" s="210">
        <f>DA49*DB2</f>
        <v>0</v>
      </c>
      <c r="DC49" s="210">
        <f t="shared" si="382"/>
        <v>0</v>
      </c>
      <c r="DD49" s="118"/>
      <c r="DE49" s="151">
        <v>59000</v>
      </c>
      <c r="DF49" s="151">
        <f t="shared" si="383"/>
        <v>50000</v>
      </c>
      <c r="DG49" s="151">
        <f>DF49/DF2</f>
        <v>51.072522982635341</v>
      </c>
      <c r="DH49" s="159">
        <f t="shared" si="384"/>
        <v>51.072522982635341</v>
      </c>
      <c r="DI49" s="266">
        <f t="shared" si="385"/>
        <v>19400.488253319712</v>
      </c>
      <c r="DJ49" s="159">
        <f t="shared" si="386"/>
        <v>22892.576138917259</v>
      </c>
      <c r="DK49" s="118"/>
      <c r="DL49" s="151">
        <v>189914</v>
      </c>
      <c r="DM49" s="151">
        <f t="shared" si="387"/>
        <v>160944.06779661018</v>
      </c>
      <c r="DN49" s="151">
        <f>DM49/DM2</f>
        <v>1065.8547536199349</v>
      </c>
      <c r="DO49" s="96">
        <f t="shared" si="388"/>
        <v>1065.8547536199349</v>
      </c>
      <c r="DP49" s="267">
        <f t="shared" si="389"/>
        <v>703859.99584465148</v>
      </c>
      <c r="DQ49" s="96">
        <f t="shared" si="390"/>
        <v>830554.79509668867</v>
      </c>
      <c r="DR49" s="118"/>
      <c r="DS49" s="151">
        <v>1680000.0000000002</v>
      </c>
      <c r="DT49" s="151">
        <f t="shared" si="391"/>
        <v>1500000</v>
      </c>
      <c r="DU49" s="133">
        <f t="shared" si="392"/>
        <v>569.00083453455738</v>
      </c>
      <c r="DV49" s="159">
        <f t="shared" si="393"/>
        <v>569.00083453455738</v>
      </c>
      <c r="DW49" s="266">
        <f t="shared" si="394"/>
        <v>436999.12753205368</v>
      </c>
      <c r="DX49" s="159">
        <f t="shared" si="395"/>
        <v>515658.9704878233</v>
      </c>
      <c r="DY49" s="118"/>
      <c r="DZ49" s="151">
        <v>708000</v>
      </c>
      <c r="EA49" s="151">
        <f t="shared" si="396"/>
        <v>600000</v>
      </c>
      <c r="EB49" s="151">
        <f>EA49/EA2</f>
        <v>324.19814990922453</v>
      </c>
      <c r="EC49" s="96">
        <f t="shared" si="397"/>
        <v>324.19814990922453</v>
      </c>
      <c r="ED49" s="267">
        <f t="shared" si="398"/>
        <v>115141.62488112734</v>
      </c>
      <c r="EE49" s="96">
        <f t="shared" si="399"/>
        <v>135867.11735973024</v>
      </c>
      <c r="EF49" s="118"/>
      <c r="EG49" s="151">
        <v>31360</v>
      </c>
      <c r="EH49" s="151">
        <f t="shared" si="400"/>
        <v>26576.271186440681</v>
      </c>
      <c r="EI49" s="151">
        <f>EH49/EH2</f>
        <v>4.0886571056062584</v>
      </c>
      <c r="EJ49" s="210"/>
      <c r="EK49" s="210">
        <f>EJ49*EK2</f>
        <v>0</v>
      </c>
      <c r="EL49" s="210">
        <f t="shared" si="401"/>
        <v>0</v>
      </c>
      <c r="EM49" s="118"/>
      <c r="EN49" s="151">
        <v>88500</v>
      </c>
      <c r="EO49" s="151">
        <f t="shared" si="402"/>
        <v>75000</v>
      </c>
      <c r="EP49" s="151">
        <f>EO49/EO2</f>
        <v>120.17690039738494</v>
      </c>
      <c r="EQ49" s="159">
        <f t="shared" si="403"/>
        <v>120.17690039738494</v>
      </c>
      <c r="ER49" s="266">
        <f t="shared" si="404"/>
        <v>42681.809223176504</v>
      </c>
      <c r="ES49" s="159">
        <f t="shared" si="405"/>
        <v>50364.534883348271</v>
      </c>
      <c r="ET49" s="118"/>
      <c r="EU49" s="151">
        <v>708000</v>
      </c>
      <c r="EV49" s="151">
        <f t="shared" si="406"/>
        <v>600000</v>
      </c>
      <c r="EW49" s="151">
        <f>EV49/EV2</f>
        <v>324.19814990922453</v>
      </c>
      <c r="EX49" s="96">
        <f t="shared" si="407"/>
        <v>324.19814990922453</v>
      </c>
      <c r="EY49" s="267">
        <f t="shared" si="408"/>
        <v>785803.639664563</v>
      </c>
      <c r="EZ49" s="96">
        <f t="shared" si="409"/>
        <v>927248.29480418435</v>
      </c>
      <c r="FA49" s="118"/>
      <c r="FB49" s="151">
        <v>1814461</v>
      </c>
      <c r="FC49" s="151">
        <f t="shared" si="410"/>
        <v>1537678.8135593222</v>
      </c>
      <c r="FD49" s="151">
        <f>FC49/FC2</f>
        <v>341.70640301318269</v>
      </c>
      <c r="FE49" s="96">
        <f t="shared" si="411"/>
        <v>341.70640301318269</v>
      </c>
      <c r="FF49" s="267">
        <f t="shared" si="412"/>
        <v>1778963.2540389155</v>
      </c>
      <c r="FG49" s="96">
        <f t="shared" si="413"/>
        <v>2099176.6397659201</v>
      </c>
      <c r="FH49" s="118"/>
      <c r="FI49" s="287">
        <v>141600</v>
      </c>
      <c r="FJ49" s="287">
        <f t="shared" si="414"/>
        <v>120000</v>
      </c>
      <c r="FK49" s="288">
        <f t="shared" si="415"/>
        <v>110.41996392947846</v>
      </c>
      <c r="FL49" s="96">
        <f t="shared" si="416"/>
        <v>110.41996392947846</v>
      </c>
      <c r="FM49" s="267">
        <f t="shared" si="417"/>
        <v>160651.77886561889</v>
      </c>
      <c r="FN49" s="139">
        <f t="shared" si="418"/>
        <v>189569.09906143029</v>
      </c>
      <c r="FO49" s="118"/>
      <c r="FP49" s="151">
        <v>23856</v>
      </c>
      <c r="FQ49" s="151">
        <f t="shared" si="419"/>
        <v>20216.949152542373</v>
      </c>
      <c r="FR49" s="151">
        <f>FQ49/FQ2</f>
        <v>134.77966101694915</v>
      </c>
      <c r="FS49" s="96">
        <f t="shared" si="420"/>
        <v>134.77966101694915</v>
      </c>
      <c r="FT49" s="267">
        <f t="shared" si="421"/>
        <v>196093.09337491522</v>
      </c>
      <c r="FU49" s="96">
        <f t="shared" si="422"/>
        <v>231389.85018239994</v>
      </c>
      <c r="FV49" s="118"/>
      <c r="FW49" s="151">
        <v>189914</v>
      </c>
      <c r="FX49" s="151">
        <f t="shared" si="423"/>
        <v>160944.06779661018</v>
      </c>
      <c r="FY49" s="151">
        <f>FX49/FX2</f>
        <v>1065.8547536199349</v>
      </c>
      <c r="FZ49" s="96">
        <f t="shared" si="424"/>
        <v>1065.8547536199349</v>
      </c>
      <c r="GA49" s="267">
        <f t="shared" si="425"/>
        <v>200775.05993938711</v>
      </c>
      <c r="GB49" s="96">
        <f t="shared" si="426"/>
        <v>236914.57072847677</v>
      </c>
      <c r="GC49" s="118"/>
      <c r="GD49" s="151">
        <v>49986</v>
      </c>
      <c r="GE49" s="151">
        <f t="shared" si="427"/>
        <v>42361.016949152545</v>
      </c>
      <c r="GF49" s="151">
        <f>GE49/GE2</f>
        <v>605.15738498789347</v>
      </c>
      <c r="GG49" s="159">
        <f t="shared" si="428"/>
        <v>605.15738498789347</v>
      </c>
      <c r="GH49" s="266">
        <f t="shared" si="429"/>
        <v>223427.25335593216</v>
      </c>
      <c r="GI49" s="159">
        <f t="shared" si="430"/>
        <v>263644.15895999991</v>
      </c>
      <c r="GJ49" s="118"/>
      <c r="GK49" s="151">
        <v>59000</v>
      </c>
      <c r="GL49" s="151">
        <f t="shared" si="431"/>
        <v>50000</v>
      </c>
      <c r="GM49" s="270">
        <f t="shared" si="432"/>
        <v>198.58291233755918</v>
      </c>
      <c r="GN49" s="159">
        <f t="shared" si="433"/>
        <v>198.58291233755918</v>
      </c>
      <c r="GO49" s="266">
        <f t="shared" si="434"/>
        <v>55918.215613382898</v>
      </c>
      <c r="GP49" s="159">
        <f t="shared" si="435"/>
        <v>65983.49442379181</v>
      </c>
      <c r="GQ49" s="118"/>
      <c r="GR49" s="151">
        <v>189914</v>
      </c>
      <c r="GS49" s="151">
        <f t="shared" si="436"/>
        <v>160944.06779661018</v>
      </c>
      <c r="GT49" s="151">
        <f>GS49/GS2</f>
        <v>1065.8547536199349</v>
      </c>
      <c r="GU49" s="96">
        <f t="shared" si="437"/>
        <v>1065.8547536199349</v>
      </c>
      <c r="GV49" s="267">
        <f t="shared" si="438"/>
        <v>467748.52535593219</v>
      </c>
      <c r="GW49" s="96">
        <f t="shared" si="439"/>
        <v>551943.25991999998</v>
      </c>
      <c r="GX49" s="118"/>
      <c r="GY49" s="151">
        <v>59000</v>
      </c>
      <c r="GZ49" s="151">
        <f t="shared" si="440"/>
        <v>50000</v>
      </c>
      <c r="HA49" s="151">
        <f>GZ49/GZ2</f>
        <v>51.072522982635341</v>
      </c>
      <c r="HB49" s="159">
        <f t="shared" si="441"/>
        <v>51.072522982635341</v>
      </c>
      <c r="HC49" s="266">
        <f t="shared" si="442"/>
        <v>34496.475995914196</v>
      </c>
      <c r="HD49" s="159">
        <f t="shared" si="443"/>
        <v>40705.841675178752</v>
      </c>
      <c r="HE49" s="118"/>
      <c r="HF49" s="151">
        <v>31360</v>
      </c>
      <c r="HG49" s="151">
        <f t="shared" si="444"/>
        <v>26576.271186440681</v>
      </c>
      <c r="HH49" s="151">
        <f>HG49/HG2</f>
        <v>4.0886571056062584</v>
      </c>
      <c r="HI49" s="210"/>
      <c r="HJ49" s="210">
        <f>HI49*HJ2</f>
        <v>0</v>
      </c>
      <c r="HK49" s="210">
        <f t="shared" si="445"/>
        <v>0</v>
      </c>
      <c r="HL49" s="118"/>
      <c r="HM49" s="151">
        <v>189914</v>
      </c>
      <c r="HN49" s="151">
        <f t="shared" si="446"/>
        <v>160944.06779661018</v>
      </c>
      <c r="HO49" s="151">
        <f>HN49/HN2</f>
        <v>1065.8547536199349</v>
      </c>
      <c r="HP49" s="96">
        <f t="shared" si="447"/>
        <v>1065.8547536199349</v>
      </c>
      <c r="HQ49" s="267">
        <f t="shared" si="448"/>
        <v>853810.28346795368</v>
      </c>
      <c r="HR49" s="96">
        <f t="shared" si="449"/>
        <v>1007496.1344921853</v>
      </c>
      <c r="HS49" s="118"/>
      <c r="HT49" s="318">
        <f t="shared" si="450"/>
        <v>11135059.748989088</v>
      </c>
      <c r="HU49" s="151">
        <f t="shared" si="451"/>
        <v>13139370.503807124</v>
      </c>
      <c r="HV49" s="319"/>
    </row>
    <row r="50" spans="1:230">
      <c r="A50" s="18">
        <v>5</v>
      </c>
      <c r="B50" s="19" t="s">
        <v>49</v>
      </c>
      <c r="C50" s="118"/>
      <c r="D50" s="151">
        <v>0</v>
      </c>
      <c r="E50" s="151">
        <f t="shared" si="330"/>
        <v>0</v>
      </c>
      <c r="F50" s="151">
        <f>E50/E2</f>
        <v>0</v>
      </c>
      <c r="G50" s="159">
        <f t="shared" si="331"/>
        <v>0</v>
      </c>
      <c r="H50" s="266">
        <f t="shared" si="332"/>
        <v>0</v>
      </c>
      <c r="I50" s="159">
        <f t="shared" si="333"/>
        <v>0</v>
      </c>
      <c r="J50" s="118"/>
      <c r="K50" s="151"/>
      <c r="L50" s="151">
        <f t="shared" si="334"/>
        <v>0</v>
      </c>
      <c r="M50" s="151">
        <f>L50/L2</f>
        <v>0</v>
      </c>
      <c r="N50" s="159">
        <f t="shared" si="335"/>
        <v>0</v>
      </c>
      <c r="O50" s="266">
        <f t="shared" si="336"/>
        <v>0</v>
      </c>
      <c r="P50" s="159">
        <f t="shared" si="337"/>
        <v>0</v>
      </c>
      <c r="Q50" s="118"/>
      <c r="R50" s="151"/>
      <c r="S50" s="151">
        <f t="shared" si="338"/>
        <v>0</v>
      </c>
      <c r="T50" s="151">
        <f>S50/S2</f>
        <v>0</v>
      </c>
      <c r="U50" s="159">
        <f t="shared" si="339"/>
        <v>0</v>
      </c>
      <c r="V50" s="266">
        <f t="shared" si="340"/>
        <v>0</v>
      </c>
      <c r="W50" s="159">
        <f t="shared" si="341"/>
        <v>0</v>
      </c>
      <c r="X50" s="118"/>
      <c r="Y50" s="151"/>
      <c r="Z50" s="151">
        <f t="shared" si="342"/>
        <v>0</v>
      </c>
      <c r="AA50" s="151">
        <f>Z50/Z2</f>
        <v>0</v>
      </c>
      <c r="AB50" s="159">
        <f t="shared" si="343"/>
        <v>0</v>
      </c>
      <c r="AC50" s="266">
        <f t="shared" si="344"/>
        <v>0</v>
      </c>
      <c r="AD50" s="159">
        <f t="shared" si="345"/>
        <v>0</v>
      </c>
      <c r="AE50" s="118"/>
      <c r="AF50" s="151"/>
      <c r="AG50" s="151">
        <f t="shared" si="346"/>
        <v>0</v>
      </c>
      <c r="AH50" s="151">
        <f>AG50/AG2</f>
        <v>0</v>
      </c>
      <c r="AI50" s="96">
        <f t="shared" si="347"/>
        <v>0</v>
      </c>
      <c r="AJ50" s="267">
        <f t="shared" si="348"/>
        <v>0</v>
      </c>
      <c r="AK50" s="96">
        <f t="shared" si="349"/>
        <v>0</v>
      </c>
      <c r="AL50" s="118"/>
      <c r="AM50" s="151"/>
      <c r="AN50" s="151">
        <f t="shared" si="350"/>
        <v>0</v>
      </c>
      <c r="AO50" s="151">
        <f>AN50/AN2</f>
        <v>0</v>
      </c>
      <c r="AP50" s="96">
        <f t="shared" si="351"/>
        <v>0</v>
      </c>
      <c r="AQ50" s="267">
        <f t="shared" si="352"/>
        <v>0</v>
      </c>
      <c r="AR50" s="96">
        <f t="shared" si="353"/>
        <v>0</v>
      </c>
      <c r="AS50" s="118"/>
      <c r="AT50" s="287"/>
      <c r="AU50" s="287">
        <f t="shared" si="354"/>
        <v>0</v>
      </c>
      <c r="AV50" s="288">
        <f t="shared" si="355"/>
        <v>0</v>
      </c>
      <c r="AW50" s="96">
        <f t="shared" si="356"/>
        <v>0</v>
      </c>
      <c r="AX50" s="267">
        <f t="shared" si="357"/>
        <v>0</v>
      </c>
      <c r="AY50" s="96">
        <f t="shared" si="358"/>
        <v>0</v>
      </c>
      <c r="AZ50" s="118"/>
      <c r="BA50" s="287"/>
      <c r="BB50" s="287"/>
      <c r="BC50" s="288"/>
      <c r="BD50" s="96">
        <f>+BC50</f>
        <v>0</v>
      </c>
      <c r="BE50" s="267">
        <f t="shared" si="359"/>
        <v>0</v>
      </c>
      <c r="BF50" s="96">
        <f t="shared" si="360"/>
        <v>0</v>
      </c>
      <c r="BG50" s="118"/>
      <c r="BH50" s="151"/>
      <c r="BI50" s="151">
        <f t="shared" si="361"/>
        <v>0</v>
      </c>
      <c r="BJ50" s="151">
        <f>BI50/BI2</f>
        <v>0</v>
      </c>
      <c r="BK50" s="210"/>
      <c r="BL50" s="210">
        <f>BK50*BL2</f>
        <v>0</v>
      </c>
      <c r="BM50" s="210">
        <f t="shared" si="362"/>
        <v>0</v>
      </c>
      <c r="BN50" s="118"/>
      <c r="BO50" s="151"/>
      <c r="BP50" s="151">
        <f t="shared" si="363"/>
        <v>0</v>
      </c>
      <c r="BQ50" s="151">
        <f>BP50/BP2</f>
        <v>0</v>
      </c>
      <c r="BR50" s="210"/>
      <c r="BS50" s="210">
        <f>BR50*BS2</f>
        <v>0</v>
      </c>
      <c r="BT50" s="210">
        <f t="shared" si="364"/>
        <v>0</v>
      </c>
      <c r="BU50" s="118"/>
      <c r="BV50" s="151"/>
      <c r="BW50" s="151">
        <f t="shared" si="365"/>
        <v>0</v>
      </c>
      <c r="BX50" s="151">
        <f>BW50/BW2</f>
        <v>0</v>
      </c>
      <c r="BY50" s="96">
        <f t="shared" si="366"/>
        <v>0</v>
      </c>
      <c r="BZ50" s="96">
        <f t="shared" si="367"/>
        <v>0</v>
      </c>
      <c r="CA50" s="96">
        <f t="shared" si="368"/>
        <v>0</v>
      </c>
      <c r="CB50" s="118"/>
      <c r="CC50" s="151"/>
      <c r="CD50" s="151">
        <f t="shared" si="369"/>
        <v>0</v>
      </c>
      <c r="CE50" s="151">
        <f>CD50/CD2</f>
        <v>0</v>
      </c>
      <c r="CF50" s="96">
        <f t="shared" si="370"/>
        <v>0</v>
      </c>
      <c r="CG50" s="267">
        <f t="shared" si="371"/>
        <v>0</v>
      </c>
      <c r="CH50" s="96">
        <f t="shared" si="372"/>
        <v>0</v>
      </c>
      <c r="CI50" s="118"/>
      <c r="CJ50" s="151"/>
      <c r="CK50" s="151">
        <f t="shared" si="373"/>
        <v>0</v>
      </c>
      <c r="CL50" s="151">
        <f>CK50/CK2</f>
        <v>0</v>
      </c>
      <c r="CM50" s="96">
        <f t="shared" si="374"/>
        <v>0</v>
      </c>
      <c r="CN50" s="267">
        <f t="shared" si="375"/>
        <v>0</v>
      </c>
      <c r="CO50" s="96">
        <f t="shared" si="376"/>
        <v>0</v>
      </c>
      <c r="CP50" s="118"/>
      <c r="CQ50" s="151"/>
      <c r="CR50" s="151">
        <f t="shared" si="377"/>
        <v>0</v>
      </c>
      <c r="CS50" s="151">
        <f>CR50/CR2</f>
        <v>0</v>
      </c>
      <c r="CT50" s="96">
        <f t="shared" si="378"/>
        <v>0</v>
      </c>
      <c r="CU50" s="267">
        <f t="shared" si="379"/>
        <v>0</v>
      </c>
      <c r="CV50" s="96">
        <f t="shared" si="380"/>
        <v>0</v>
      </c>
      <c r="CW50" s="118"/>
      <c r="CX50" s="151"/>
      <c r="CY50" s="151">
        <f t="shared" si="381"/>
        <v>0</v>
      </c>
      <c r="CZ50" s="151">
        <f>CY50/CY2</f>
        <v>0</v>
      </c>
      <c r="DA50" s="210"/>
      <c r="DB50" s="210">
        <f>DA50*DB2</f>
        <v>0</v>
      </c>
      <c r="DC50" s="210">
        <f t="shared" si="382"/>
        <v>0</v>
      </c>
      <c r="DD50" s="118"/>
      <c r="DE50" s="151"/>
      <c r="DF50" s="151">
        <f t="shared" si="383"/>
        <v>0</v>
      </c>
      <c r="DG50" s="151">
        <f>DF50/DF2</f>
        <v>0</v>
      </c>
      <c r="DH50" s="159">
        <f t="shared" si="384"/>
        <v>0</v>
      </c>
      <c r="DI50" s="266">
        <f t="shared" si="385"/>
        <v>0</v>
      </c>
      <c r="DJ50" s="159">
        <f t="shared" si="386"/>
        <v>0</v>
      </c>
      <c r="DK50" s="118"/>
      <c r="DL50" s="151"/>
      <c r="DM50" s="151">
        <f t="shared" si="387"/>
        <v>0</v>
      </c>
      <c r="DN50" s="151">
        <f>DM50/DM2</f>
        <v>0</v>
      </c>
      <c r="DO50" s="96">
        <f t="shared" si="388"/>
        <v>0</v>
      </c>
      <c r="DP50" s="267">
        <f t="shared" si="389"/>
        <v>0</v>
      </c>
      <c r="DQ50" s="96">
        <f t="shared" si="390"/>
        <v>0</v>
      </c>
      <c r="DR50" s="118"/>
      <c r="DS50" s="151"/>
      <c r="DT50" s="151">
        <f t="shared" si="391"/>
        <v>0</v>
      </c>
      <c r="DU50" s="133">
        <f t="shared" si="392"/>
        <v>0</v>
      </c>
      <c r="DV50" s="159">
        <f t="shared" si="393"/>
        <v>0</v>
      </c>
      <c r="DW50" s="266">
        <f t="shared" si="394"/>
        <v>0</v>
      </c>
      <c r="DX50" s="159">
        <f t="shared" si="395"/>
        <v>0</v>
      </c>
      <c r="DY50" s="118"/>
      <c r="DZ50" s="151"/>
      <c r="EA50" s="151">
        <f t="shared" si="396"/>
        <v>0</v>
      </c>
      <c r="EB50" s="151">
        <f>EA50/EA2</f>
        <v>0</v>
      </c>
      <c r="EC50" s="96">
        <f t="shared" si="397"/>
        <v>0</v>
      </c>
      <c r="ED50" s="267">
        <f t="shared" si="398"/>
        <v>0</v>
      </c>
      <c r="EE50" s="96">
        <f t="shared" si="399"/>
        <v>0</v>
      </c>
      <c r="EF50" s="118"/>
      <c r="EG50" s="151"/>
      <c r="EH50" s="151">
        <f t="shared" si="400"/>
        <v>0</v>
      </c>
      <c r="EI50" s="151">
        <f>EH50/EH2</f>
        <v>0</v>
      </c>
      <c r="EJ50" s="210"/>
      <c r="EK50" s="210">
        <f>EJ50*EK2</f>
        <v>0</v>
      </c>
      <c r="EL50" s="210">
        <f t="shared" si="401"/>
        <v>0</v>
      </c>
      <c r="EM50" s="118"/>
      <c r="EN50" s="151"/>
      <c r="EO50" s="151">
        <f t="shared" si="402"/>
        <v>0</v>
      </c>
      <c r="EP50" s="151">
        <f>EO50/EO2</f>
        <v>0</v>
      </c>
      <c r="EQ50" s="159">
        <f t="shared" si="403"/>
        <v>0</v>
      </c>
      <c r="ER50" s="266">
        <f t="shared" si="404"/>
        <v>0</v>
      </c>
      <c r="ES50" s="159">
        <f t="shared" si="405"/>
        <v>0</v>
      </c>
      <c r="ET50" s="118"/>
      <c r="EU50" s="151"/>
      <c r="EV50" s="151">
        <f t="shared" si="406"/>
        <v>0</v>
      </c>
      <c r="EW50" s="151">
        <f>EV50/EV2</f>
        <v>0</v>
      </c>
      <c r="EX50" s="96">
        <f t="shared" si="407"/>
        <v>0</v>
      </c>
      <c r="EY50" s="267">
        <f t="shared" si="408"/>
        <v>0</v>
      </c>
      <c r="EZ50" s="96">
        <f t="shared" si="409"/>
        <v>0</v>
      </c>
      <c r="FA50" s="118"/>
      <c r="FB50" s="151"/>
      <c r="FC50" s="151">
        <f t="shared" si="410"/>
        <v>0</v>
      </c>
      <c r="FD50" s="151">
        <f>FC50/FC2</f>
        <v>0</v>
      </c>
      <c r="FE50" s="96">
        <f t="shared" si="411"/>
        <v>0</v>
      </c>
      <c r="FF50" s="267">
        <f t="shared" si="412"/>
        <v>0</v>
      </c>
      <c r="FG50" s="96">
        <f t="shared" si="413"/>
        <v>0</v>
      </c>
      <c r="FH50" s="118"/>
      <c r="FI50" s="287"/>
      <c r="FJ50" s="287">
        <f t="shared" si="414"/>
        <v>0</v>
      </c>
      <c r="FK50" s="288">
        <f t="shared" si="415"/>
        <v>0</v>
      </c>
      <c r="FL50" s="96">
        <f t="shared" si="416"/>
        <v>0</v>
      </c>
      <c r="FM50" s="267">
        <f t="shared" si="417"/>
        <v>0</v>
      </c>
      <c r="FN50" s="139">
        <f t="shared" si="418"/>
        <v>0</v>
      </c>
      <c r="FO50" s="118"/>
      <c r="FP50" s="151"/>
      <c r="FQ50" s="151">
        <f t="shared" si="419"/>
        <v>0</v>
      </c>
      <c r="FR50" s="151">
        <f>FQ50/FQ2</f>
        <v>0</v>
      </c>
      <c r="FS50" s="96">
        <f t="shared" si="420"/>
        <v>0</v>
      </c>
      <c r="FT50" s="267">
        <f t="shared" si="421"/>
        <v>0</v>
      </c>
      <c r="FU50" s="96">
        <f t="shared" si="422"/>
        <v>0</v>
      </c>
      <c r="FV50" s="118"/>
      <c r="FW50" s="151"/>
      <c r="FX50" s="151">
        <f t="shared" si="423"/>
        <v>0</v>
      </c>
      <c r="FY50" s="151">
        <f>FX50/FX2</f>
        <v>0</v>
      </c>
      <c r="FZ50" s="96">
        <f t="shared" si="424"/>
        <v>0</v>
      </c>
      <c r="GA50" s="267">
        <f t="shared" si="425"/>
        <v>0</v>
      </c>
      <c r="GB50" s="96">
        <f t="shared" si="426"/>
        <v>0</v>
      </c>
      <c r="GC50" s="118"/>
      <c r="GD50" s="151"/>
      <c r="GE50" s="151">
        <f t="shared" si="427"/>
        <v>0</v>
      </c>
      <c r="GF50" s="151">
        <f>GE50/GE2</f>
        <v>0</v>
      </c>
      <c r="GG50" s="159">
        <f t="shared" si="428"/>
        <v>0</v>
      </c>
      <c r="GH50" s="266">
        <f t="shared" si="429"/>
        <v>0</v>
      </c>
      <c r="GI50" s="159">
        <f t="shared" si="430"/>
        <v>0</v>
      </c>
      <c r="GJ50" s="118"/>
      <c r="GK50" s="151"/>
      <c r="GL50" s="151">
        <f t="shared" si="431"/>
        <v>0</v>
      </c>
      <c r="GM50" s="270">
        <f t="shared" si="432"/>
        <v>0</v>
      </c>
      <c r="GN50" s="159">
        <f t="shared" si="433"/>
        <v>0</v>
      </c>
      <c r="GO50" s="266">
        <f t="shared" si="434"/>
        <v>0</v>
      </c>
      <c r="GP50" s="159">
        <f t="shared" si="435"/>
        <v>0</v>
      </c>
      <c r="GQ50" s="118"/>
      <c r="GR50" s="151"/>
      <c r="GS50" s="151">
        <f t="shared" si="436"/>
        <v>0</v>
      </c>
      <c r="GT50" s="151">
        <f>GS50/GS2</f>
        <v>0</v>
      </c>
      <c r="GU50" s="96">
        <f t="shared" si="437"/>
        <v>0</v>
      </c>
      <c r="GV50" s="267">
        <f t="shared" si="438"/>
        <v>0</v>
      </c>
      <c r="GW50" s="96">
        <f t="shared" si="439"/>
        <v>0</v>
      </c>
      <c r="GX50" s="118"/>
      <c r="GY50" s="151"/>
      <c r="GZ50" s="151">
        <f t="shared" si="440"/>
        <v>0</v>
      </c>
      <c r="HA50" s="151">
        <f>GZ50/GZ2</f>
        <v>0</v>
      </c>
      <c r="HB50" s="159">
        <f t="shared" si="441"/>
        <v>0</v>
      </c>
      <c r="HC50" s="266">
        <f t="shared" si="442"/>
        <v>0</v>
      </c>
      <c r="HD50" s="159">
        <f t="shared" si="443"/>
        <v>0</v>
      </c>
      <c r="HE50" s="118"/>
      <c r="HF50" s="151"/>
      <c r="HG50" s="151">
        <f t="shared" si="444"/>
        <v>0</v>
      </c>
      <c r="HH50" s="151">
        <f>HG50/HG2</f>
        <v>0</v>
      </c>
      <c r="HI50" s="210"/>
      <c r="HJ50" s="210">
        <f>HI50*HJ2</f>
        <v>0</v>
      </c>
      <c r="HK50" s="210">
        <f t="shared" si="445"/>
        <v>0</v>
      </c>
      <c r="HL50" s="118"/>
      <c r="HM50" s="151"/>
      <c r="HN50" s="151">
        <f t="shared" si="446"/>
        <v>0</v>
      </c>
      <c r="HO50" s="151">
        <f>HN50/HN2</f>
        <v>0</v>
      </c>
      <c r="HP50" s="96">
        <f t="shared" si="447"/>
        <v>0</v>
      </c>
      <c r="HQ50" s="267">
        <f t="shared" si="448"/>
        <v>0</v>
      </c>
      <c r="HR50" s="96">
        <f t="shared" si="449"/>
        <v>0</v>
      </c>
      <c r="HS50" s="118"/>
      <c r="HT50" s="318">
        <f t="shared" si="450"/>
        <v>0</v>
      </c>
      <c r="HU50" s="151">
        <f t="shared" si="451"/>
        <v>0</v>
      </c>
      <c r="HV50" s="319"/>
    </row>
    <row r="51" spans="1:230">
      <c r="A51" s="18">
        <v>6</v>
      </c>
      <c r="B51" s="19" t="s">
        <v>50</v>
      </c>
      <c r="C51" s="118"/>
      <c r="D51" s="151">
        <v>0</v>
      </c>
      <c r="E51" s="151">
        <f t="shared" si="330"/>
        <v>0</v>
      </c>
      <c r="F51" s="151">
        <f>E51/E2</f>
        <v>0</v>
      </c>
      <c r="G51" s="159">
        <f t="shared" si="331"/>
        <v>0</v>
      </c>
      <c r="H51" s="266">
        <f t="shared" si="332"/>
        <v>0</v>
      </c>
      <c r="I51" s="159">
        <f t="shared" si="333"/>
        <v>0</v>
      </c>
      <c r="J51" s="118"/>
      <c r="K51" s="151"/>
      <c r="L51" s="151">
        <f t="shared" si="334"/>
        <v>0</v>
      </c>
      <c r="M51" s="151">
        <f>L51/L2</f>
        <v>0</v>
      </c>
      <c r="N51" s="159">
        <f t="shared" si="335"/>
        <v>0</v>
      </c>
      <c r="O51" s="266">
        <f t="shared" si="336"/>
        <v>0</v>
      </c>
      <c r="P51" s="159">
        <f t="shared" si="337"/>
        <v>0</v>
      </c>
      <c r="Q51" s="118"/>
      <c r="R51" s="151"/>
      <c r="S51" s="151">
        <f t="shared" si="338"/>
        <v>0</v>
      </c>
      <c r="T51" s="151">
        <f>S51/S2</f>
        <v>0</v>
      </c>
      <c r="U51" s="159">
        <f t="shared" si="339"/>
        <v>0</v>
      </c>
      <c r="V51" s="266">
        <f t="shared" si="340"/>
        <v>0</v>
      </c>
      <c r="W51" s="159">
        <f t="shared" si="341"/>
        <v>0</v>
      </c>
      <c r="X51" s="118"/>
      <c r="Y51" s="151"/>
      <c r="Z51" s="151">
        <f t="shared" si="342"/>
        <v>0</v>
      </c>
      <c r="AA51" s="151">
        <f>Z51/Z2</f>
        <v>0</v>
      </c>
      <c r="AB51" s="159">
        <f t="shared" si="343"/>
        <v>0</v>
      </c>
      <c r="AC51" s="266">
        <f t="shared" si="344"/>
        <v>0</v>
      </c>
      <c r="AD51" s="159">
        <f t="shared" si="345"/>
        <v>0</v>
      </c>
      <c r="AE51" s="118"/>
      <c r="AF51" s="151"/>
      <c r="AG51" s="151">
        <f t="shared" si="346"/>
        <v>0</v>
      </c>
      <c r="AH51" s="151">
        <f>AG51/AG2</f>
        <v>0</v>
      </c>
      <c r="AI51" s="96">
        <f t="shared" si="347"/>
        <v>0</v>
      </c>
      <c r="AJ51" s="267">
        <f t="shared" si="348"/>
        <v>0</v>
      </c>
      <c r="AK51" s="96">
        <f t="shared" si="349"/>
        <v>0</v>
      </c>
      <c r="AL51" s="118"/>
      <c r="AM51" s="151"/>
      <c r="AN51" s="151">
        <f t="shared" si="350"/>
        <v>0</v>
      </c>
      <c r="AO51" s="151">
        <f>AN51/AN2</f>
        <v>0</v>
      </c>
      <c r="AP51" s="96">
        <f t="shared" si="351"/>
        <v>0</v>
      </c>
      <c r="AQ51" s="267">
        <f t="shared" si="352"/>
        <v>0</v>
      </c>
      <c r="AR51" s="96">
        <f t="shared" si="353"/>
        <v>0</v>
      </c>
      <c r="AS51" s="118"/>
      <c r="AT51" s="287"/>
      <c r="AU51" s="287">
        <f t="shared" si="354"/>
        <v>0</v>
      </c>
      <c r="AV51" s="288">
        <f t="shared" si="355"/>
        <v>0</v>
      </c>
      <c r="AW51" s="96">
        <f t="shared" si="356"/>
        <v>0</v>
      </c>
      <c r="AX51" s="267">
        <f t="shared" si="357"/>
        <v>0</v>
      </c>
      <c r="AY51" s="96">
        <f t="shared" si="358"/>
        <v>0</v>
      </c>
      <c r="AZ51" s="118"/>
      <c r="BA51" s="287"/>
      <c r="BB51" s="287"/>
      <c r="BC51" s="288"/>
      <c r="BD51" s="96">
        <v>350</v>
      </c>
      <c r="BE51" s="267">
        <f t="shared" si="359"/>
        <v>340196.22</v>
      </c>
      <c r="BF51" s="96">
        <f t="shared" si="360"/>
        <v>401431.53959999996</v>
      </c>
      <c r="BG51" s="118"/>
      <c r="BH51" s="151"/>
      <c r="BI51" s="151">
        <f t="shared" si="361"/>
        <v>0</v>
      </c>
      <c r="BJ51" s="151">
        <f>BI51/BI2</f>
        <v>0</v>
      </c>
      <c r="BK51" s="210"/>
      <c r="BL51" s="210">
        <f>BK51*BL2</f>
        <v>0</v>
      </c>
      <c r="BM51" s="210">
        <f t="shared" si="362"/>
        <v>0</v>
      </c>
      <c r="BN51" s="118"/>
      <c r="BO51" s="151"/>
      <c r="BP51" s="151">
        <f t="shared" si="363"/>
        <v>0</v>
      </c>
      <c r="BQ51" s="151">
        <f>BP51/BP2</f>
        <v>0</v>
      </c>
      <c r="BR51" s="210"/>
      <c r="BS51" s="210">
        <f>BR51*BS2</f>
        <v>0</v>
      </c>
      <c r="BT51" s="210">
        <f t="shared" si="364"/>
        <v>0</v>
      </c>
      <c r="BU51" s="118"/>
      <c r="BV51" s="151"/>
      <c r="BW51" s="151">
        <f t="shared" si="365"/>
        <v>0</v>
      </c>
      <c r="BX51" s="151">
        <f>BW51/BW2</f>
        <v>0</v>
      </c>
      <c r="BY51" s="96">
        <f t="shared" si="366"/>
        <v>0</v>
      </c>
      <c r="BZ51" s="96">
        <f t="shared" si="367"/>
        <v>0</v>
      </c>
      <c r="CA51" s="96">
        <f t="shared" si="368"/>
        <v>0</v>
      </c>
      <c r="CB51" s="118"/>
      <c r="CC51" s="151"/>
      <c r="CD51" s="151">
        <f t="shared" si="369"/>
        <v>0</v>
      </c>
      <c r="CE51" s="151">
        <f>CD51/CD2</f>
        <v>0</v>
      </c>
      <c r="CF51" s="96">
        <f t="shared" si="370"/>
        <v>0</v>
      </c>
      <c r="CG51" s="267">
        <f t="shared" si="371"/>
        <v>0</v>
      </c>
      <c r="CH51" s="96">
        <f t="shared" si="372"/>
        <v>0</v>
      </c>
      <c r="CI51" s="118"/>
      <c r="CJ51" s="151"/>
      <c r="CK51" s="151">
        <f t="shared" si="373"/>
        <v>0</v>
      </c>
      <c r="CL51" s="151">
        <f>CK51/CK2</f>
        <v>0</v>
      </c>
      <c r="CM51" s="96">
        <f t="shared" si="374"/>
        <v>0</v>
      </c>
      <c r="CN51" s="267">
        <f t="shared" si="375"/>
        <v>0</v>
      </c>
      <c r="CO51" s="96">
        <f t="shared" si="376"/>
        <v>0</v>
      </c>
      <c r="CP51" s="118"/>
      <c r="CQ51" s="151"/>
      <c r="CR51" s="151">
        <f t="shared" si="377"/>
        <v>0</v>
      </c>
      <c r="CS51" s="151">
        <f>CR51/CR2</f>
        <v>0</v>
      </c>
      <c r="CT51" s="96">
        <f t="shared" si="378"/>
        <v>0</v>
      </c>
      <c r="CU51" s="267">
        <f t="shared" si="379"/>
        <v>0</v>
      </c>
      <c r="CV51" s="96">
        <f t="shared" si="380"/>
        <v>0</v>
      </c>
      <c r="CW51" s="118"/>
      <c r="CX51" s="151"/>
      <c r="CY51" s="151">
        <f t="shared" si="381"/>
        <v>0</v>
      </c>
      <c r="CZ51" s="151">
        <f>CY51/CY2</f>
        <v>0</v>
      </c>
      <c r="DA51" s="210"/>
      <c r="DB51" s="210">
        <f>DA51*DB2</f>
        <v>0</v>
      </c>
      <c r="DC51" s="210">
        <f t="shared" si="382"/>
        <v>0</v>
      </c>
      <c r="DD51" s="118"/>
      <c r="DE51" s="151"/>
      <c r="DF51" s="151">
        <f t="shared" si="383"/>
        <v>0</v>
      </c>
      <c r="DG51" s="151">
        <f>DF51/DF2</f>
        <v>0</v>
      </c>
      <c r="DH51" s="159">
        <f t="shared" si="384"/>
        <v>0</v>
      </c>
      <c r="DI51" s="266">
        <f t="shared" si="385"/>
        <v>0</v>
      </c>
      <c r="DJ51" s="159">
        <f t="shared" si="386"/>
        <v>0</v>
      </c>
      <c r="DK51" s="118"/>
      <c r="DL51" s="151"/>
      <c r="DM51" s="151">
        <f t="shared" si="387"/>
        <v>0</v>
      </c>
      <c r="DN51" s="151">
        <f>DM51/DM2</f>
        <v>0</v>
      </c>
      <c r="DO51" s="96">
        <f t="shared" si="388"/>
        <v>0</v>
      </c>
      <c r="DP51" s="267">
        <f t="shared" si="389"/>
        <v>0</v>
      </c>
      <c r="DQ51" s="96">
        <f t="shared" si="390"/>
        <v>0</v>
      </c>
      <c r="DR51" s="118"/>
      <c r="DS51" s="151"/>
      <c r="DT51" s="151">
        <f t="shared" si="391"/>
        <v>0</v>
      </c>
      <c r="DU51" s="133">
        <f t="shared" si="392"/>
        <v>0</v>
      </c>
      <c r="DV51" s="159">
        <f t="shared" si="393"/>
        <v>0</v>
      </c>
      <c r="DW51" s="266">
        <f t="shared" si="394"/>
        <v>0</v>
      </c>
      <c r="DX51" s="159">
        <f t="shared" si="395"/>
        <v>0</v>
      </c>
      <c r="DY51" s="118"/>
      <c r="DZ51" s="151"/>
      <c r="EA51" s="151">
        <f t="shared" si="396"/>
        <v>0</v>
      </c>
      <c r="EB51" s="151">
        <f>EA51/EA2</f>
        <v>0</v>
      </c>
      <c r="EC51" s="96">
        <f t="shared" si="397"/>
        <v>0</v>
      </c>
      <c r="ED51" s="267">
        <f t="shared" si="398"/>
        <v>0</v>
      </c>
      <c r="EE51" s="96">
        <f t="shared" si="399"/>
        <v>0</v>
      </c>
      <c r="EF51" s="118"/>
      <c r="EG51" s="151"/>
      <c r="EH51" s="151">
        <f t="shared" si="400"/>
        <v>0</v>
      </c>
      <c r="EI51" s="151">
        <f>EH51/EH2</f>
        <v>0</v>
      </c>
      <c r="EJ51" s="210"/>
      <c r="EK51" s="210">
        <f>EJ51*EK2</f>
        <v>0</v>
      </c>
      <c r="EL51" s="210">
        <f t="shared" si="401"/>
        <v>0</v>
      </c>
      <c r="EM51" s="118"/>
      <c r="EN51" s="151"/>
      <c r="EO51" s="151">
        <f t="shared" si="402"/>
        <v>0</v>
      </c>
      <c r="EP51" s="151">
        <f>EO51/EO2</f>
        <v>0</v>
      </c>
      <c r="EQ51" s="159">
        <f t="shared" si="403"/>
        <v>0</v>
      </c>
      <c r="ER51" s="266">
        <f t="shared" si="404"/>
        <v>0</v>
      </c>
      <c r="ES51" s="159">
        <f t="shared" si="405"/>
        <v>0</v>
      </c>
      <c r="ET51" s="118"/>
      <c r="EU51" s="151"/>
      <c r="EV51" s="151">
        <f t="shared" si="406"/>
        <v>0</v>
      </c>
      <c r="EW51" s="151">
        <f>EV51/EV2</f>
        <v>0</v>
      </c>
      <c r="EX51" s="96">
        <f t="shared" si="407"/>
        <v>0</v>
      </c>
      <c r="EY51" s="267">
        <f t="shared" si="408"/>
        <v>0</v>
      </c>
      <c r="EZ51" s="96">
        <f t="shared" si="409"/>
        <v>0</v>
      </c>
      <c r="FA51" s="118"/>
      <c r="FB51" s="151"/>
      <c r="FC51" s="151">
        <f t="shared" si="410"/>
        <v>0</v>
      </c>
      <c r="FD51" s="151">
        <f>FC51/FC2</f>
        <v>0</v>
      </c>
      <c r="FE51" s="96">
        <f t="shared" si="411"/>
        <v>0</v>
      </c>
      <c r="FF51" s="267">
        <f t="shared" si="412"/>
        <v>0</v>
      </c>
      <c r="FG51" s="96">
        <f t="shared" si="413"/>
        <v>0</v>
      </c>
      <c r="FH51" s="118"/>
      <c r="FI51" s="287"/>
      <c r="FJ51" s="287">
        <f t="shared" si="414"/>
        <v>0</v>
      </c>
      <c r="FK51" s="288">
        <f t="shared" si="415"/>
        <v>0</v>
      </c>
      <c r="FL51" s="96">
        <f t="shared" si="416"/>
        <v>0</v>
      </c>
      <c r="FM51" s="267">
        <f t="shared" si="417"/>
        <v>0</v>
      </c>
      <c r="FN51" s="139">
        <f t="shared" si="418"/>
        <v>0</v>
      </c>
      <c r="FO51" s="118"/>
      <c r="FP51" s="151"/>
      <c r="FQ51" s="151">
        <f t="shared" si="419"/>
        <v>0</v>
      </c>
      <c r="FR51" s="151">
        <f>FQ51/FQ2</f>
        <v>0</v>
      </c>
      <c r="FS51" s="96">
        <f t="shared" si="420"/>
        <v>0</v>
      </c>
      <c r="FT51" s="267">
        <f t="shared" si="421"/>
        <v>0</v>
      </c>
      <c r="FU51" s="96">
        <f t="shared" si="422"/>
        <v>0</v>
      </c>
      <c r="FV51" s="118"/>
      <c r="FW51" s="151"/>
      <c r="FX51" s="151">
        <f t="shared" si="423"/>
        <v>0</v>
      </c>
      <c r="FY51" s="151">
        <f>FX51/FX2</f>
        <v>0</v>
      </c>
      <c r="FZ51" s="96">
        <f t="shared" si="424"/>
        <v>0</v>
      </c>
      <c r="GA51" s="267">
        <f t="shared" si="425"/>
        <v>0</v>
      </c>
      <c r="GB51" s="96">
        <f t="shared" si="426"/>
        <v>0</v>
      </c>
      <c r="GC51" s="118"/>
      <c r="GD51" s="151"/>
      <c r="GE51" s="151">
        <f t="shared" si="427"/>
        <v>0</v>
      </c>
      <c r="GF51" s="151">
        <f>GE51/GE2</f>
        <v>0</v>
      </c>
      <c r="GG51" s="159">
        <f t="shared" si="428"/>
        <v>0</v>
      </c>
      <c r="GH51" s="266">
        <f t="shared" si="429"/>
        <v>0</v>
      </c>
      <c r="GI51" s="159">
        <f t="shared" si="430"/>
        <v>0</v>
      </c>
      <c r="GJ51" s="118"/>
      <c r="GK51" s="151"/>
      <c r="GL51" s="151">
        <f t="shared" si="431"/>
        <v>0</v>
      </c>
      <c r="GM51" s="270">
        <f t="shared" si="432"/>
        <v>0</v>
      </c>
      <c r="GN51" s="159">
        <f t="shared" si="433"/>
        <v>0</v>
      </c>
      <c r="GO51" s="266">
        <f t="shared" si="434"/>
        <v>0</v>
      </c>
      <c r="GP51" s="159">
        <f t="shared" si="435"/>
        <v>0</v>
      </c>
      <c r="GQ51" s="118"/>
      <c r="GR51" s="151"/>
      <c r="GS51" s="151">
        <f t="shared" si="436"/>
        <v>0</v>
      </c>
      <c r="GT51" s="151">
        <f>GS51/GS2</f>
        <v>0</v>
      </c>
      <c r="GU51" s="96">
        <f t="shared" si="437"/>
        <v>0</v>
      </c>
      <c r="GV51" s="267">
        <f t="shared" si="438"/>
        <v>0</v>
      </c>
      <c r="GW51" s="96">
        <f t="shared" si="439"/>
        <v>0</v>
      </c>
      <c r="GX51" s="118"/>
      <c r="GY51" s="151"/>
      <c r="GZ51" s="151">
        <f t="shared" si="440"/>
        <v>0</v>
      </c>
      <c r="HA51" s="151">
        <f>GZ51/GZ2</f>
        <v>0</v>
      </c>
      <c r="HB51" s="159">
        <f t="shared" si="441"/>
        <v>0</v>
      </c>
      <c r="HC51" s="266">
        <f t="shared" si="442"/>
        <v>0</v>
      </c>
      <c r="HD51" s="159">
        <f t="shared" si="443"/>
        <v>0</v>
      </c>
      <c r="HE51" s="118"/>
      <c r="HF51" s="151"/>
      <c r="HG51" s="151">
        <f t="shared" si="444"/>
        <v>0</v>
      </c>
      <c r="HH51" s="151">
        <f>HG51/HG2</f>
        <v>0</v>
      </c>
      <c r="HI51" s="210"/>
      <c r="HJ51" s="210">
        <f>HI51*HJ2</f>
        <v>0</v>
      </c>
      <c r="HK51" s="210">
        <f t="shared" si="445"/>
        <v>0</v>
      </c>
      <c r="HL51" s="118"/>
      <c r="HM51" s="151"/>
      <c r="HN51" s="151">
        <f t="shared" si="446"/>
        <v>0</v>
      </c>
      <c r="HO51" s="151">
        <f>HN51/HN2</f>
        <v>0</v>
      </c>
      <c r="HP51" s="96">
        <f t="shared" si="447"/>
        <v>0</v>
      </c>
      <c r="HQ51" s="267">
        <f t="shared" si="448"/>
        <v>0</v>
      </c>
      <c r="HR51" s="96">
        <f t="shared" si="449"/>
        <v>0</v>
      </c>
      <c r="HS51" s="118"/>
      <c r="HT51" s="318">
        <f t="shared" si="450"/>
        <v>340196.22</v>
      </c>
      <c r="HU51" s="151">
        <f t="shared" si="451"/>
        <v>401431.53959999996</v>
      </c>
      <c r="HV51" s="319"/>
    </row>
    <row r="52" spans="1:230">
      <c r="A52" s="18">
        <v>7</v>
      </c>
      <c r="B52" s="19" t="s">
        <v>51</v>
      </c>
      <c r="C52" s="118"/>
      <c r="D52" s="151">
        <v>0</v>
      </c>
      <c r="E52" s="151">
        <f t="shared" si="330"/>
        <v>0</v>
      </c>
      <c r="F52" s="151">
        <f>E52/E2</f>
        <v>0</v>
      </c>
      <c r="G52" s="159">
        <f t="shared" si="331"/>
        <v>0</v>
      </c>
      <c r="H52" s="266">
        <f t="shared" si="332"/>
        <v>0</v>
      </c>
      <c r="I52" s="159">
        <f t="shared" si="333"/>
        <v>0</v>
      </c>
      <c r="J52" s="118"/>
      <c r="K52" s="151"/>
      <c r="L52" s="151">
        <f t="shared" si="334"/>
        <v>0</v>
      </c>
      <c r="M52" s="151">
        <f>L52/L2</f>
        <v>0</v>
      </c>
      <c r="N52" s="159">
        <f t="shared" si="335"/>
        <v>0</v>
      </c>
      <c r="O52" s="266">
        <f t="shared" si="336"/>
        <v>0</v>
      </c>
      <c r="P52" s="159">
        <f t="shared" si="337"/>
        <v>0</v>
      </c>
      <c r="Q52" s="118"/>
      <c r="R52" s="151"/>
      <c r="S52" s="151">
        <f t="shared" si="338"/>
        <v>0</v>
      </c>
      <c r="T52" s="151">
        <f>S52/S2</f>
        <v>0</v>
      </c>
      <c r="U52" s="159">
        <f t="shared" si="339"/>
        <v>0</v>
      </c>
      <c r="V52" s="266">
        <f t="shared" si="340"/>
        <v>0</v>
      </c>
      <c r="W52" s="159">
        <f t="shared" si="341"/>
        <v>0</v>
      </c>
      <c r="X52" s="118"/>
      <c r="Y52" s="151"/>
      <c r="Z52" s="151">
        <f t="shared" si="342"/>
        <v>0</v>
      </c>
      <c r="AA52" s="151">
        <f>Z52/Z2</f>
        <v>0</v>
      </c>
      <c r="AB52" s="159">
        <f t="shared" si="343"/>
        <v>0</v>
      </c>
      <c r="AC52" s="266">
        <f t="shared" si="344"/>
        <v>0</v>
      </c>
      <c r="AD52" s="159">
        <f t="shared" si="345"/>
        <v>0</v>
      </c>
      <c r="AE52" s="118"/>
      <c r="AF52" s="151"/>
      <c r="AG52" s="151">
        <f t="shared" si="346"/>
        <v>0</v>
      </c>
      <c r="AH52" s="151">
        <f>AG52/AG2</f>
        <v>0</v>
      </c>
      <c r="AI52" s="96">
        <f t="shared" si="347"/>
        <v>0</v>
      </c>
      <c r="AJ52" s="267">
        <f t="shared" si="348"/>
        <v>0</v>
      </c>
      <c r="AK52" s="96">
        <f t="shared" si="349"/>
        <v>0</v>
      </c>
      <c r="AL52" s="118"/>
      <c r="AM52" s="151"/>
      <c r="AN52" s="151">
        <f t="shared" si="350"/>
        <v>0</v>
      </c>
      <c r="AO52" s="151">
        <f>AN52/AN2</f>
        <v>0</v>
      </c>
      <c r="AP52" s="96">
        <f t="shared" si="351"/>
        <v>0</v>
      </c>
      <c r="AQ52" s="267">
        <f t="shared" si="352"/>
        <v>0</v>
      </c>
      <c r="AR52" s="96">
        <f t="shared" si="353"/>
        <v>0</v>
      </c>
      <c r="AS52" s="118"/>
      <c r="AT52" s="287"/>
      <c r="AU52" s="287">
        <f t="shared" si="354"/>
        <v>0</v>
      </c>
      <c r="AV52" s="288">
        <f t="shared" si="355"/>
        <v>0</v>
      </c>
      <c r="AW52" s="96">
        <f t="shared" si="356"/>
        <v>0</v>
      </c>
      <c r="AX52" s="267">
        <f t="shared" si="357"/>
        <v>0</v>
      </c>
      <c r="AY52" s="96">
        <f t="shared" si="358"/>
        <v>0</v>
      </c>
      <c r="AZ52" s="118"/>
      <c r="BA52" s="287"/>
      <c r="BB52" s="287"/>
      <c r="BC52" s="288"/>
      <c r="BD52" s="96">
        <f>+BC52</f>
        <v>0</v>
      </c>
      <c r="BE52" s="267">
        <f t="shared" si="359"/>
        <v>0</v>
      </c>
      <c r="BF52" s="96">
        <f t="shared" si="360"/>
        <v>0</v>
      </c>
      <c r="BG52" s="118"/>
      <c r="BH52" s="151"/>
      <c r="BI52" s="151">
        <f t="shared" si="361"/>
        <v>0</v>
      </c>
      <c r="BJ52" s="151">
        <f>BI52/BI2</f>
        <v>0</v>
      </c>
      <c r="BK52" s="210"/>
      <c r="BL52" s="210">
        <f>BK52*BL2</f>
        <v>0</v>
      </c>
      <c r="BM52" s="210">
        <f t="shared" si="362"/>
        <v>0</v>
      </c>
      <c r="BN52" s="118"/>
      <c r="BO52" s="151"/>
      <c r="BP52" s="151">
        <f t="shared" si="363"/>
        <v>0</v>
      </c>
      <c r="BQ52" s="151">
        <f>BP52/BP2</f>
        <v>0</v>
      </c>
      <c r="BR52" s="210"/>
      <c r="BS52" s="210">
        <f>BR52*BS2</f>
        <v>0</v>
      </c>
      <c r="BT52" s="210">
        <f t="shared" si="364"/>
        <v>0</v>
      </c>
      <c r="BU52" s="118"/>
      <c r="BV52" s="151"/>
      <c r="BW52" s="151">
        <f t="shared" si="365"/>
        <v>0</v>
      </c>
      <c r="BX52" s="151">
        <f>BW52/BW2</f>
        <v>0</v>
      </c>
      <c r="BY52" s="96">
        <f t="shared" si="366"/>
        <v>0</v>
      </c>
      <c r="BZ52" s="96">
        <f t="shared" si="367"/>
        <v>0</v>
      </c>
      <c r="CA52" s="96">
        <f t="shared" si="368"/>
        <v>0</v>
      </c>
      <c r="CB52" s="118"/>
      <c r="CC52" s="151"/>
      <c r="CD52" s="151">
        <f t="shared" si="369"/>
        <v>0</v>
      </c>
      <c r="CE52" s="151">
        <f>CD52/CD2</f>
        <v>0</v>
      </c>
      <c r="CF52" s="96">
        <f t="shared" si="370"/>
        <v>0</v>
      </c>
      <c r="CG52" s="267">
        <f t="shared" si="371"/>
        <v>0</v>
      </c>
      <c r="CH52" s="96">
        <f t="shared" si="372"/>
        <v>0</v>
      </c>
      <c r="CI52" s="118"/>
      <c r="CJ52" s="151"/>
      <c r="CK52" s="151">
        <f t="shared" si="373"/>
        <v>0</v>
      </c>
      <c r="CL52" s="151">
        <f>CK52/CK2</f>
        <v>0</v>
      </c>
      <c r="CM52" s="96">
        <f t="shared" si="374"/>
        <v>0</v>
      </c>
      <c r="CN52" s="267">
        <f t="shared" si="375"/>
        <v>0</v>
      </c>
      <c r="CO52" s="96">
        <f t="shared" si="376"/>
        <v>0</v>
      </c>
      <c r="CP52" s="118"/>
      <c r="CQ52" s="151"/>
      <c r="CR52" s="151">
        <f t="shared" si="377"/>
        <v>0</v>
      </c>
      <c r="CS52" s="151">
        <f>CR52/CR2</f>
        <v>0</v>
      </c>
      <c r="CT52" s="96">
        <f t="shared" si="378"/>
        <v>0</v>
      </c>
      <c r="CU52" s="267">
        <f t="shared" si="379"/>
        <v>0</v>
      </c>
      <c r="CV52" s="96">
        <f t="shared" si="380"/>
        <v>0</v>
      </c>
      <c r="CW52" s="118"/>
      <c r="CX52" s="151"/>
      <c r="CY52" s="151">
        <f t="shared" si="381"/>
        <v>0</v>
      </c>
      <c r="CZ52" s="151">
        <f>CY52/CY2</f>
        <v>0</v>
      </c>
      <c r="DA52" s="210"/>
      <c r="DB52" s="210">
        <f>DA52*DB2</f>
        <v>0</v>
      </c>
      <c r="DC52" s="210">
        <f t="shared" si="382"/>
        <v>0</v>
      </c>
      <c r="DD52" s="118"/>
      <c r="DE52" s="151"/>
      <c r="DF52" s="151">
        <f t="shared" si="383"/>
        <v>0</v>
      </c>
      <c r="DG52" s="151">
        <f>DF52/DF2</f>
        <v>0</v>
      </c>
      <c r="DH52" s="159">
        <f t="shared" si="384"/>
        <v>0</v>
      </c>
      <c r="DI52" s="266">
        <f t="shared" si="385"/>
        <v>0</v>
      </c>
      <c r="DJ52" s="159">
        <f t="shared" si="386"/>
        <v>0</v>
      </c>
      <c r="DK52" s="118"/>
      <c r="DL52" s="151"/>
      <c r="DM52" s="151">
        <f t="shared" si="387"/>
        <v>0</v>
      </c>
      <c r="DN52" s="151">
        <f>DM52/DM2</f>
        <v>0</v>
      </c>
      <c r="DO52" s="96">
        <f t="shared" si="388"/>
        <v>0</v>
      </c>
      <c r="DP52" s="267">
        <f t="shared" si="389"/>
        <v>0</v>
      </c>
      <c r="DQ52" s="96">
        <f t="shared" si="390"/>
        <v>0</v>
      </c>
      <c r="DR52" s="118"/>
      <c r="DS52" s="151"/>
      <c r="DT52" s="151">
        <f t="shared" si="391"/>
        <v>0</v>
      </c>
      <c r="DU52" s="133">
        <f t="shared" si="392"/>
        <v>0</v>
      </c>
      <c r="DV52" s="159">
        <f t="shared" si="393"/>
        <v>0</v>
      </c>
      <c r="DW52" s="266">
        <f t="shared" si="394"/>
        <v>0</v>
      </c>
      <c r="DX52" s="159">
        <f t="shared" si="395"/>
        <v>0</v>
      </c>
      <c r="DY52" s="118"/>
      <c r="DZ52" s="151"/>
      <c r="EA52" s="151">
        <f t="shared" si="396"/>
        <v>0</v>
      </c>
      <c r="EB52" s="151">
        <f>EA52/EA2</f>
        <v>0</v>
      </c>
      <c r="EC52" s="96">
        <f t="shared" si="397"/>
        <v>0</v>
      </c>
      <c r="ED52" s="267">
        <f t="shared" si="398"/>
        <v>0</v>
      </c>
      <c r="EE52" s="96">
        <f t="shared" si="399"/>
        <v>0</v>
      </c>
      <c r="EF52" s="118"/>
      <c r="EG52" s="151"/>
      <c r="EH52" s="151">
        <f t="shared" si="400"/>
        <v>0</v>
      </c>
      <c r="EI52" s="151">
        <f>EH52/EH2</f>
        <v>0</v>
      </c>
      <c r="EJ52" s="210"/>
      <c r="EK52" s="210">
        <f>EJ52*EK2</f>
        <v>0</v>
      </c>
      <c r="EL52" s="210">
        <f t="shared" si="401"/>
        <v>0</v>
      </c>
      <c r="EM52" s="118"/>
      <c r="EN52" s="151"/>
      <c r="EO52" s="151">
        <f t="shared" si="402"/>
        <v>0</v>
      </c>
      <c r="EP52" s="151">
        <f>EO52/EO2</f>
        <v>0</v>
      </c>
      <c r="EQ52" s="159">
        <f t="shared" si="403"/>
        <v>0</v>
      </c>
      <c r="ER52" s="266">
        <f t="shared" si="404"/>
        <v>0</v>
      </c>
      <c r="ES52" s="159">
        <f t="shared" si="405"/>
        <v>0</v>
      </c>
      <c r="ET52" s="118"/>
      <c r="EU52" s="151"/>
      <c r="EV52" s="151">
        <f t="shared" si="406"/>
        <v>0</v>
      </c>
      <c r="EW52" s="151">
        <f>EV52/EV2</f>
        <v>0</v>
      </c>
      <c r="EX52" s="96">
        <f t="shared" si="407"/>
        <v>0</v>
      </c>
      <c r="EY52" s="267">
        <f t="shared" si="408"/>
        <v>0</v>
      </c>
      <c r="EZ52" s="96">
        <f t="shared" si="409"/>
        <v>0</v>
      </c>
      <c r="FA52" s="118"/>
      <c r="FB52" s="151"/>
      <c r="FC52" s="151">
        <f t="shared" si="410"/>
        <v>0</v>
      </c>
      <c r="FD52" s="151">
        <f>FC52/FC2</f>
        <v>0</v>
      </c>
      <c r="FE52" s="96">
        <f t="shared" si="411"/>
        <v>0</v>
      </c>
      <c r="FF52" s="267">
        <f t="shared" si="412"/>
        <v>0</v>
      </c>
      <c r="FG52" s="96">
        <f t="shared" si="413"/>
        <v>0</v>
      </c>
      <c r="FH52" s="118"/>
      <c r="FI52" s="287"/>
      <c r="FJ52" s="287">
        <f t="shared" si="414"/>
        <v>0</v>
      </c>
      <c r="FK52" s="288">
        <f t="shared" si="415"/>
        <v>0</v>
      </c>
      <c r="FL52" s="96">
        <f t="shared" si="416"/>
        <v>0</v>
      </c>
      <c r="FM52" s="267">
        <f t="shared" si="417"/>
        <v>0</v>
      </c>
      <c r="FN52" s="139">
        <f t="shared" si="418"/>
        <v>0</v>
      </c>
      <c r="FO52" s="118"/>
      <c r="FP52" s="151"/>
      <c r="FQ52" s="151">
        <f t="shared" si="419"/>
        <v>0</v>
      </c>
      <c r="FR52" s="151">
        <f>FQ52/FQ2</f>
        <v>0</v>
      </c>
      <c r="FS52" s="96">
        <f t="shared" si="420"/>
        <v>0</v>
      </c>
      <c r="FT52" s="267">
        <f t="shared" si="421"/>
        <v>0</v>
      </c>
      <c r="FU52" s="96">
        <f t="shared" si="422"/>
        <v>0</v>
      </c>
      <c r="FV52" s="118"/>
      <c r="FW52" s="151"/>
      <c r="FX52" s="151">
        <f t="shared" si="423"/>
        <v>0</v>
      </c>
      <c r="FY52" s="151">
        <f>FX52/FX2</f>
        <v>0</v>
      </c>
      <c r="FZ52" s="96">
        <f t="shared" si="424"/>
        <v>0</v>
      </c>
      <c r="GA52" s="267">
        <f t="shared" si="425"/>
        <v>0</v>
      </c>
      <c r="GB52" s="96">
        <f t="shared" si="426"/>
        <v>0</v>
      </c>
      <c r="GC52" s="118"/>
      <c r="GD52" s="151"/>
      <c r="GE52" s="151">
        <f t="shared" si="427"/>
        <v>0</v>
      </c>
      <c r="GF52" s="151">
        <f>GE52/GE2</f>
        <v>0</v>
      </c>
      <c r="GG52" s="159">
        <f t="shared" si="428"/>
        <v>0</v>
      </c>
      <c r="GH52" s="266">
        <f t="shared" si="429"/>
        <v>0</v>
      </c>
      <c r="GI52" s="159">
        <f t="shared" si="430"/>
        <v>0</v>
      </c>
      <c r="GJ52" s="118"/>
      <c r="GK52" s="151"/>
      <c r="GL52" s="151">
        <f t="shared" si="431"/>
        <v>0</v>
      </c>
      <c r="GM52" s="270">
        <f t="shared" si="432"/>
        <v>0</v>
      </c>
      <c r="GN52" s="159">
        <f t="shared" si="433"/>
        <v>0</v>
      </c>
      <c r="GO52" s="266">
        <f t="shared" si="434"/>
        <v>0</v>
      </c>
      <c r="GP52" s="159">
        <f t="shared" si="435"/>
        <v>0</v>
      </c>
      <c r="GQ52" s="118"/>
      <c r="GR52" s="151"/>
      <c r="GS52" s="151">
        <f t="shared" si="436"/>
        <v>0</v>
      </c>
      <c r="GT52" s="151">
        <f>GS52/GS2</f>
        <v>0</v>
      </c>
      <c r="GU52" s="96">
        <f t="shared" si="437"/>
        <v>0</v>
      </c>
      <c r="GV52" s="267">
        <f t="shared" si="438"/>
        <v>0</v>
      </c>
      <c r="GW52" s="96">
        <f t="shared" si="439"/>
        <v>0</v>
      </c>
      <c r="GX52" s="118"/>
      <c r="GY52" s="151"/>
      <c r="GZ52" s="151">
        <f t="shared" si="440"/>
        <v>0</v>
      </c>
      <c r="HA52" s="151">
        <f>GZ52/GZ2</f>
        <v>0</v>
      </c>
      <c r="HB52" s="159">
        <f t="shared" si="441"/>
        <v>0</v>
      </c>
      <c r="HC52" s="266">
        <f t="shared" si="442"/>
        <v>0</v>
      </c>
      <c r="HD52" s="159">
        <f t="shared" si="443"/>
        <v>0</v>
      </c>
      <c r="HE52" s="118"/>
      <c r="HF52" s="151"/>
      <c r="HG52" s="151">
        <f t="shared" si="444"/>
        <v>0</v>
      </c>
      <c r="HH52" s="151">
        <f>HG52/HG2</f>
        <v>0</v>
      </c>
      <c r="HI52" s="210"/>
      <c r="HJ52" s="210">
        <f>HI52*HJ2</f>
        <v>0</v>
      </c>
      <c r="HK52" s="210">
        <f t="shared" si="445"/>
        <v>0</v>
      </c>
      <c r="HL52" s="118"/>
      <c r="HM52" s="151"/>
      <c r="HN52" s="151">
        <f t="shared" si="446"/>
        <v>0</v>
      </c>
      <c r="HO52" s="151">
        <f>HN52/HN2</f>
        <v>0</v>
      </c>
      <c r="HP52" s="96">
        <f t="shared" si="447"/>
        <v>0</v>
      </c>
      <c r="HQ52" s="267">
        <f t="shared" si="448"/>
        <v>0</v>
      </c>
      <c r="HR52" s="96">
        <f t="shared" si="449"/>
        <v>0</v>
      </c>
      <c r="HS52" s="118"/>
      <c r="HT52" s="318">
        <f t="shared" si="450"/>
        <v>0</v>
      </c>
      <c r="HU52" s="151">
        <f t="shared" si="451"/>
        <v>0</v>
      </c>
      <c r="HV52" s="319"/>
    </row>
    <row r="53" spans="1:230">
      <c r="A53" s="18">
        <v>8</v>
      </c>
      <c r="B53" s="19" t="s">
        <v>52</v>
      </c>
      <c r="C53" s="118"/>
      <c r="D53" s="151">
        <v>0</v>
      </c>
      <c r="E53" s="151">
        <f t="shared" si="330"/>
        <v>0</v>
      </c>
      <c r="F53" s="151">
        <f>E53/E2</f>
        <v>0</v>
      </c>
      <c r="G53" s="159">
        <v>200</v>
      </c>
      <c r="H53" s="266">
        <f t="shared" si="332"/>
        <v>101612.15999999999</v>
      </c>
      <c r="I53" s="159">
        <f t="shared" si="333"/>
        <v>119902.34879999998</v>
      </c>
      <c r="J53" s="118"/>
      <c r="K53" s="151"/>
      <c r="L53" s="151">
        <f t="shared" si="334"/>
        <v>0</v>
      </c>
      <c r="M53" s="151">
        <f>L53/L2</f>
        <v>0</v>
      </c>
      <c r="N53" s="159">
        <v>200</v>
      </c>
      <c r="O53" s="266">
        <f t="shared" si="336"/>
        <v>101612.15999999999</v>
      </c>
      <c r="P53" s="159">
        <f t="shared" si="337"/>
        <v>119902.34879999998</v>
      </c>
      <c r="Q53" s="118"/>
      <c r="R53" s="151"/>
      <c r="S53" s="151">
        <f t="shared" si="338"/>
        <v>0</v>
      </c>
      <c r="T53" s="151">
        <f>S53/S2</f>
        <v>0</v>
      </c>
      <c r="U53" s="159">
        <v>200</v>
      </c>
      <c r="V53" s="266">
        <f t="shared" si="340"/>
        <v>76941.072</v>
      </c>
      <c r="W53" s="159">
        <f t="shared" si="341"/>
        <v>90790.464959999998</v>
      </c>
      <c r="X53" s="118"/>
      <c r="Y53" s="151"/>
      <c r="Z53" s="151">
        <f t="shared" si="342"/>
        <v>0</v>
      </c>
      <c r="AA53" s="151">
        <f>Z53/Z2</f>
        <v>0</v>
      </c>
      <c r="AB53" s="159">
        <v>200</v>
      </c>
      <c r="AC53" s="266">
        <f t="shared" si="344"/>
        <v>76941.072</v>
      </c>
      <c r="AD53" s="159">
        <f t="shared" si="345"/>
        <v>90790.464959999998</v>
      </c>
      <c r="AE53" s="118"/>
      <c r="AF53" s="151">
        <v>128940</v>
      </c>
      <c r="AG53" s="151">
        <f t="shared" si="346"/>
        <v>109271.18644067798</v>
      </c>
      <c r="AH53" s="151">
        <f>AG53/AG2</f>
        <v>723.65024132899327</v>
      </c>
      <c r="AI53" s="96">
        <f t="shared" si="347"/>
        <v>723.65024132899327</v>
      </c>
      <c r="AJ53" s="267">
        <f t="shared" si="348"/>
        <v>1294593.4930519699</v>
      </c>
      <c r="AK53" s="96">
        <f t="shared" si="349"/>
        <v>1527620.3218013244</v>
      </c>
      <c r="AL53" s="118"/>
      <c r="AM53" s="151"/>
      <c r="AN53" s="151">
        <f t="shared" si="350"/>
        <v>0</v>
      </c>
      <c r="AO53" s="151">
        <f>AN53/AN2</f>
        <v>0</v>
      </c>
      <c r="AP53" s="96">
        <v>200</v>
      </c>
      <c r="AQ53" s="267">
        <f t="shared" si="352"/>
        <v>149899.46399999998</v>
      </c>
      <c r="AR53" s="96">
        <f t="shared" si="353"/>
        <v>176881.36751999997</v>
      </c>
      <c r="AS53" s="118"/>
      <c r="AT53" s="287"/>
      <c r="AU53" s="287">
        <f t="shared" si="354"/>
        <v>0</v>
      </c>
      <c r="AV53" s="288">
        <f t="shared" si="355"/>
        <v>0</v>
      </c>
      <c r="AW53" s="96">
        <f t="shared" si="356"/>
        <v>0</v>
      </c>
      <c r="AX53" s="267">
        <f t="shared" si="357"/>
        <v>0</v>
      </c>
      <c r="AY53" s="96">
        <f t="shared" si="358"/>
        <v>0</v>
      </c>
      <c r="AZ53" s="118"/>
      <c r="BA53" s="287"/>
      <c r="BB53" s="287"/>
      <c r="BC53" s="288"/>
      <c r="BD53" s="96">
        <v>250</v>
      </c>
      <c r="BE53" s="267">
        <f t="shared" si="359"/>
        <v>242997.29999999996</v>
      </c>
      <c r="BF53" s="96">
        <f t="shared" si="360"/>
        <v>286736.81399999995</v>
      </c>
      <c r="BG53" s="118"/>
      <c r="BH53" s="151"/>
      <c r="BI53" s="151">
        <f t="shared" si="361"/>
        <v>0</v>
      </c>
      <c r="BJ53" s="151">
        <f>BI53/BI2</f>
        <v>0</v>
      </c>
      <c r="BK53" s="210"/>
      <c r="BL53" s="210">
        <f>BK53*BL2</f>
        <v>0</v>
      </c>
      <c r="BM53" s="210">
        <f t="shared" si="362"/>
        <v>0</v>
      </c>
      <c r="BN53" s="118"/>
      <c r="BO53" s="151"/>
      <c r="BP53" s="151">
        <f t="shared" si="363"/>
        <v>0</v>
      </c>
      <c r="BQ53" s="151">
        <f>BP53/BP2</f>
        <v>0</v>
      </c>
      <c r="BR53" s="210"/>
      <c r="BS53" s="210">
        <f>BR53*BS2</f>
        <v>0</v>
      </c>
      <c r="BT53" s="210">
        <f t="shared" si="364"/>
        <v>0</v>
      </c>
      <c r="BU53" s="118"/>
      <c r="BV53" s="151">
        <v>129600</v>
      </c>
      <c r="BW53" s="151">
        <f t="shared" si="365"/>
        <v>109830.50847457627</v>
      </c>
      <c r="BX53" s="151">
        <f>BW53/BW2</f>
        <v>24.406779661016948</v>
      </c>
      <c r="BY53" s="96">
        <f t="shared" si="366"/>
        <v>24.406779661016948</v>
      </c>
      <c r="BZ53" s="96">
        <f t="shared" si="367"/>
        <v>78026.229152542364</v>
      </c>
      <c r="CA53" s="96">
        <f t="shared" si="368"/>
        <v>92070.950399999987</v>
      </c>
      <c r="CB53" s="118"/>
      <c r="CC53" s="151">
        <v>128940</v>
      </c>
      <c r="CD53" s="151">
        <f t="shared" si="369"/>
        <v>109271.18644067798</v>
      </c>
      <c r="CE53" s="151">
        <f>CD53/CD2</f>
        <v>723.65024132899327</v>
      </c>
      <c r="CF53" s="96">
        <f t="shared" si="370"/>
        <v>723.65024132899327</v>
      </c>
      <c r="CG53" s="267">
        <f t="shared" si="371"/>
        <v>237575.82152879113</v>
      </c>
      <c r="CH53" s="96">
        <f t="shared" si="372"/>
        <v>280339.46940397349</v>
      </c>
      <c r="CI53" s="118"/>
      <c r="CJ53" s="151"/>
      <c r="CK53" s="151">
        <f t="shared" si="373"/>
        <v>0</v>
      </c>
      <c r="CL53" s="151">
        <f>CK53/CK2</f>
        <v>0</v>
      </c>
      <c r="CM53" s="96">
        <f t="shared" si="374"/>
        <v>0</v>
      </c>
      <c r="CN53" s="267">
        <f t="shared" si="375"/>
        <v>0</v>
      </c>
      <c r="CO53" s="96">
        <f t="shared" si="376"/>
        <v>0</v>
      </c>
      <c r="CP53" s="118"/>
      <c r="CQ53" s="151"/>
      <c r="CR53" s="151">
        <f t="shared" si="377"/>
        <v>0</v>
      </c>
      <c r="CS53" s="151">
        <f>CR53/CR2</f>
        <v>0</v>
      </c>
      <c r="CT53" s="96">
        <f t="shared" si="378"/>
        <v>0</v>
      </c>
      <c r="CU53" s="267">
        <f t="shared" si="379"/>
        <v>0</v>
      </c>
      <c r="CV53" s="96">
        <f t="shared" si="380"/>
        <v>0</v>
      </c>
      <c r="CW53" s="118"/>
      <c r="CX53" s="151"/>
      <c r="CY53" s="151">
        <f t="shared" si="381"/>
        <v>0</v>
      </c>
      <c r="CZ53" s="151">
        <f>CY53/CY2</f>
        <v>0</v>
      </c>
      <c r="DA53" s="210"/>
      <c r="DB53" s="210">
        <f>DA53*DB2</f>
        <v>0</v>
      </c>
      <c r="DC53" s="210">
        <f t="shared" si="382"/>
        <v>0</v>
      </c>
      <c r="DD53" s="118"/>
      <c r="DE53" s="151"/>
      <c r="DF53" s="151">
        <f t="shared" si="383"/>
        <v>0</v>
      </c>
      <c r="DG53" s="151">
        <f>DF53/DF2</f>
        <v>0</v>
      </c>
      <c r="DH53" s="159">
        <f t="shared" si="384"/>
        <v>0</v>
      </c>
      <c r="DI53" s="266">
        <f t="shared" si="385"/>
        <v>0</v>
      </c>
      <c r="DJ53" s="159">
        <f t="shared" si="386"/>
        <v>0</v>
      </c>
      <c r="DK53" s="118"/>
      <c r="DL53" s="151">
        <v>128940</v>
      </c>
      <c r="DM53" s="151">
        <f t="shared" si="387"/>
        <v>109271.18644067798</v>
      </c>
      <c r="DN53" s="151">
        <f>DM53/DM2</f>
        <v>723.65024132899327</v>
      </c>
      <c r="DO53" s="96">
        <f t="shared" si="388"/>
        <v>723.65024132899327</v>
      </c>
      <c r="DP53" s="267">
        <f t="shared" si="389"/>
        <v>477877.92297676514</v>
      </c>
      <c r="DQ53" s="96">
        <f t="shared" si="390"/>
        <v>563895.94911258284</v>
      </c>
      <c r="DR53" s="118"/>
      <c r="DS53" s="151"/>
      <c r="DT53" s="151">
        <f t="shared" si="391"/>
        <v>0</v>
      </c>
      <c r="DU53" s="133">
        <f t="shared" si="392"/>
        <v>0</v>
      </c>
      <c r="DV53" s="159">
        <f t="shared" si="393"/>
        <v>0</v>
      </c>
      <c r="DW53" s="266">
        <f t="shared" si="394"/>
        <v>0</v>
      </c>
      <c r="DX53" s="159">
        <f t="shared" si="395"/>
        <v>0</v>
      </c>
      <c r="DY53" s="118"/>
      <c r="DZ53" s="151"/>
      <c r="EA53" s="151">
        <f t="shared" si="396"/>
        <v>0</v>
      </c>
      <c r="EB53" s="151">
        <f>EA53/EA2</f>
        <v>0</v>
      </c>
      <c r="EC53" s="96">
        <f t="shared" si="397"/>
        <v>0</v>
      </c>
      <c r="ED53" s="267">
        <f t="shared" si="398"/>
        <v>0</v>
      </c>
      <c r="EE53" s="96">
        <f t="shared" si="399"/>
        <v>0</v>
      </c>
      <c r="EF53" s="118"/>
      <c r="EG53" s="151"/>
      <c r="EH53" s="151">
        <f t="shared" si="400"/>
        <v>0</v>
      </c>
      <c r="EI53" s="151">
        <f>EH53/EH2</f>
        <v>0</v>
      </c>
      <c r="EJ53" s="210"/>
      <c r="EK53" s="210">
        <f>EJ53*EK2</f>
        <v>0</v>
      </c>
      <c r="EL53" s="210">
        <f t="shared" si="401"/>
        <v>0</v>
      </c>
      <c r="EM53" s="118"/>
      <c r="EN53" s="151">
        <v>179360</v>
      </c>
      <c r="EO53" s="151">
        <f t="shared" si="402"/>
        <v>152000</v>
      </c>
      <c r="EP53" s="151">
        <f>EO53/EO2</f>
        <v>243.55851813870015</v>
      </c>
      <c r="EQ53" s="159">
        <f t="shared" si="403"/>
        <v>243.55851813870015</v>
      </c>
      <c r="ER53" s="266">
        <f t="shared" si="404"/>
        <v>86501.800025637727</v>
      </c>
      <c r="ES53" s="159">
        <f t="shared" si="405"/>
        <v>102072.12403025251</v>
      </c>
      <c r="ET53" s="118"/>
      <c r="EU53" s="151"/>
      <c r="EV53" s="151">
        <f t="shared" si="406"/>
        <v>0</v>
      </c>
      <c r="EW53" s="151">
        <f>EV53/EV2</f>
        <v>0</v>
      </c>
      <c r="EX53" s="96">
        <f t="shared" si="407"/>
        <v>0</v>
      </c>
      <c r="EY53" s="267">
        <f t="shared" si="408"/>
        <v>0</v>
      </c>
      <c r="EZ53" s="96">
        <f t="shared" si="409"/>
        <v>0</v>
      </c>
      <c r="FA53" s="118"/>
      <c r="FB53" s="151">
        <v>129600</v>
      </c>
      <c r="FC53" s="151">
        <f t="shared" si="410"/>
        <v>109830.50847457627</v>
      </c>
      <c r="FD53" s="151">
        <f>FC53/FC2</f>
        <v>24.406779661016948</v>
      </c>
      <c r="FE53" s="96">
        <f t="shared" si="411"/>
        <v>24.406779661016948</v>
      </c>
      <c r="FF53" s="267">
        <f t="shared" si="412"/>
        <v>127064.53195932203</v>
      </c>
      <c r="FG53" s="96">
        <f t="shared" si="413"/>
        <v>149936.14771200001</v>
      </c>
      <c r="FH53" s="118"/>
      <c r="FI53" s="287"/>
      <c r="FJ53" s="287">
        <f t="shared" si="414"/>
        <v>0</v>
      </c>
      <c r="FK53" s="288">
        <f t="shared" si="415"/>
        <v>0</v>
      </c>
      <c r="FL53" s="96">
        <f t="shared" si="416"/>
        <v>0</v>
      </c>
      <c r="FM53" s="267">
        <f t="shared" si="417"/>
        <v>0</v>
      </c>
      <c r="FN53" s="139">
        <f t="shared" si="418"/>
        <v>0</v>
      </c>
      <c r="FO53" s="118"/>
      <c r="FP53" s="151"/>
      <c r="FQ53" s="151">
        <f t="shared" si="419"/>
        <v>0</v>
      </c>
      <c r="FR53" s="151">
        <f>FQ53/FQ2</f>
        <v>0</v>
      </c>
      <c r="FS53" s="96">
        <f t="shared" si="420"/>
        <v>0</v>
      </c>
      <c r="FT53" s="267">
        <f t="shared" si="421"/>
        <v>0</v>
      </c>
      <c r="FU53" s="96">
        <f t="shared" si="422"/>
        <v>0</v>
      </c>
      <c r="FV53" s="118"/>
      <c r="FW53" s="151">
        <v>128940</v>
      </c>
      <c r="FX53" s="151">
        <f t="shared" si="423"/>
        <v>109271.18644067798</v>
      </c>
      <c r="FY53" s="151">
        <f>FX53/FX2</f>
        <v>723.65024132899327</v>
      </c>
      <c r="FZ53" s="96">
        <f t="shared" si="424"/>
        <v>723.65024132899327</v>
      </c>
      <c r="GA53" s="267">
        <f t="shared" si="425"/>
        <v>136313.99595914246</v>
      </c>
      <c r="GB53" s="96">
        <f t="shared" si="426"/>
        <v>160850.5152317881</v>
      </c>
      <c r="GC53" s="118"/>
      <c r="GD53" s="151"/>
      <c r="GE53" s="151">
        <f t="shared" si="427"/>
        <v>0</v>
      </c>
      <c r="GF53" s="151">
        <f>GE53/GE2</f>
        <v>0</v>
      </c>
      <c r="GG53" s="159">
        <f t="shared" si="428"/>
        <v>0</v>
      </c>
      <c r="GH53" s="266">
        <f t="shared" si="429"/>
        <v>0</v>
      </c>
      <c r="GI53" s="159">
        <f t="shared" si="430"/>
        <v>0</v>
      </c>
      <c r="GJ53" s="118"/>
      <c r="GK53" s="151"/>
      <c r="GL53" s="151">
        <f t="shared" si="431"/>
        <v>0</v>
      </c>
      <c r="GM53" s="270">
        <f t="shared" si="432"/>
        <v>0</v>
      </c>
      <c r="GN53" s="159">
        <f t="shared" si="433"/>
        <v>0</v>
      </c>
      <c r="GO53" s="266">
        <f t="shared" si="434"/>
        <v>0</v>
      </c>
      <c r="GP53" s="159">
        <f t="shared" si="435"/>
        <v>0</v>
      </c>
      <c r="GQ53" s="118"/>
      <c r="GR53" s="151">
        <v>128940</v>
      </c>
      <c r="GS53" s="151">
        <f t="shared" si="436"/>
        <v>109271.18644067798</v>
      </c>
      <c r="GT53" s="151">
        <f>GS53/GS2</f>
        <v>723.65024132899327</v>
      </c>
      <c r="GU53" s="96">
        <f t="shared" si="437"/>
        <v>723.65024132899327</v>
      </c>
      <c r="GV53" s="267">
        <f t="shared" si="438"/>
        <v>317572.66372881358</v>
      </c>
      <c r="GW53" s="96">
        <f t="shared" si="439"/>
        <v>374735.74320000003</v>
      </c>
      <c r="GX53" s="118"/>
      <c r="GY53" s="151"/>
      <c r="GZ53" s="151">
        <f t="shared" si="440"/>
        <v>0</v>
      </c>
      <c r="HA53" s="151">
        <f>GZ53/GZ2</f>
        <v>0</v>
      </c>
      <c r="HB53" s="159">
        <f t="shared" si="441"/>
        <v>0</v>
      </c>
      <c r="HC53" s="266">
        <f t="shared" si="442"/>
        <v>0</v>
      </c>
      <c r="HD53" s="159">
        <f t="shared" si="443"/>
        <v>0</v>
      </c>
      <c r="HE53" s="118"/>
      <c r="HF53" s="151"/>
      <c r="HG53" s="151">
        <f t="shared" si="444"/>
        <v>0</v>
      </c>
      <c r="HH53" s="151">
        <f>HG53/HG2</f>
        <v>0</v>
      </c>
      <c r="HI53" s="210"/>
      <c r="HJ53" s="210">
        <f>HI53*HJ2</f>
        <v>0</v>
      </c>
      <c r="HK53" s="210">
        <f t="shared" si="445"/>
        <v>0</v>
      </c>
      <c r="HL53" s="118"/>
      <c r="HM53" s="151">
        <v>128940</v>
      </c>
      <c r="HN53" s="151">
        <f t="shared" si="446"/>
        <v>109271.18644067798</v>
      </c>
      <c r="HO53" s="151">
        <f>HN53/HN2</f>
        <v>723.65024132899327</v>
      </c>
      <c r="HP53" s="96">
        <f t="shared" si="447"/>
        <v>723.65024132899327</v>
      </c>
      <c r="HQ53" s="267">
        <f t="shared" si="448"/>
        <v>579685.00453025044</v>
      </c>
      <c r="HR53" s="96">
        <f t="shared" si="449"/>
        <v>684028.30534569547</v>
      </c>
      <c r="HS53" s="118"/>
      <c r="HT53" s="318">
        <f t="shared" si="450"/>
        <v>4085214.6909132344</v>
      </c>
      <c r="HU53" s="151">
        <f t="shared" si="451"/>
        <v>4820553.335277616</v>
      </c>
      <c r="HV53" s="319"/>
    </row>
    <row r="54" spans="1:230" s="26" customFormat="1" ht="15">
      <c r="A54" s="262"/>
      <c r="B54" s="23" t="s">
        <v>60</v>
      </c>
      <c r="C54" s="121"/>
      <c r="D54" s="154">
        <f>SUM(D46:D53)</f>
        <v>204418.47999999998</v>
      </c>
      <c r="E54" s="154">
        <f>SUM(E46:E53)</f>
        <v>173236</v>
      </c>
      <c r="F54" s="152"/>
      <c r="G54" s="77"/>
      <c r="H54" s="78">
        <f>SUM(H46:H53)</f>
        <v>457254.71999999991</v>
      </c>
      <c r="I54" s="78">
        <f>SUM(I46:I53)</f>
        <v>539560.56959999981</v>
      </c>
      <c r="J54" s="121"/>
      <c r="K54" s="154">
        <f>SUM(K46:K53)</f>
        <v>8196.7999999999993</v>
      </c>
      <c r="L54" s="154">
        <f>SUM(L46:L53)</f>
        <v>6946.4406779661012</v>
      </c>
      <c r="M54" s="152"/>
      <c r="N54" s="77"/>
      <c r="O54" s="78">
        <f>SUM(O46:O53)</f>
        <v>152029.50582857142</v>
      </c>
      <c r="P54" s="78">
        <f>SUM(P46:P53)</f>
        <v>179394.81687771424</v>
      </c>
      <c r="Q54" s="121"/>
      <c r="R54" s="154">
        <f>SUM(R46:R53)</f>
        <v>8196.7999999999993</v>
      </c>
      <c r="S54" s="154">
        <f>SUM(S46:S53)</f>
        <v>6946.4406779661012</v>
      </c>
      <c r="T54" s="152"/>
      <c r="U54" s="77"/>
      <c r="V54" s="78">
        <f>SUM(V46:V53)</f>
        <v>115117.25716765133</v>
      </c>
      <c r="W54" s="78">
        <f>SUM(W46:W53)</f>
        <v>135838.36345782859</v>
      </c>
      <c r="X54" s="121"/>
      <c r="Y54" s="154">
        <f>SUM(Y46:Y53)</f>
        <v>8196.7999999999993</v>
      </c>
      <c r="Z54" s="154">
        <f>SUM(Z46:Z53)</f>
        <v>6946.4406779661012</v>
      </c>
      <c r="AA54" s="152"/>
      <c r="AB54" s="77"/>
      <c r="AC54" s="78">
        <f>SUM(AC46:AC53)</f>
        <v>115117.25716765133</v>
      </c>
      <c r="AD54" s="78">
        <f>SUM(AD46:AD53)</f>
        <v>135838.36345782859</v>
      </c>
      <c r="AE54" s="121"/>
      <c r="AF54" s="154">
        <f>SUM(AF46:AF53)</f>
        <v>451958</v>
      </c>
      <c r="AG54" s="154">
        <f>SUM(AG46:AG53)</f>
        <v>383015.25423728814</v>
      </c>
      <c r="AH54" s="152"/>
      <c r="AI54" s="99"/>
      <c r="AJ54" s="100">
        <f>SUM(AJ46:AJ53)</f>
        <v>4537784.1316331793</v>
      </c>
      <c r="AK54" s="100">
        <f>SUM(AK46:AK53)</f>
        <v>5354585.2753271516</v>
      </c>
      <c r="AL54" s="121"/>
      <c r="AM54" s="154">
        <f>SUM(AM46:AM53)</f>
        <v>3009000</v>
      </c>
      <c r="AN54" s="154">
        <f>SUM(AN46:AN53)</f>
        <v>2550000</v>
      </c>
      <c r="AO54" s="152"/>
      <c r="AP54" s="99"/>
      <c r="AQ54" s="100">
        <f>SUM(AQ46:AQ53)</f>
        <v>1182588.4531501685</v>
      </c>
      <c r="AR54" s="100">
        <f>SUM(AR46:AR53)</f>
        <v>1395454.3747171988</v>
      </c>
      <c r="AS54" s="121"/>
      <c r="AT54" s="290">
        <f>SUM(AT46:AT53)</f>
        <v>141600</v>
      </c>
      <c r="AU54" s="290">
        <f>SUM(AU46:AU53)</f>
        <v>120000</v>
      </c>
      <c r="AV54" s="289"/>
      <c r="AW54" s="99"/>
      <c r="AX54" s="100">
        <f>SUM(AX46:AX53)</f>
        <v>197538.75372667375</v>
      </c>
      <c r="AY54" s="100">
        <f>SUM(AY46:AY53)</f>
        <v>233095.72939747502</v>
      </c>
      <c r="AZ54" s="121"/>
      <c r="BA54" s="290"/>
      <c r="BB54" s="290"/>
      <c r="BC54" s="289"/>
      <c r="BD54" s="99"/>
      <c r="BE54" s="100">
        <f>SUM(BE46:BE53)</f>
        <v>5443139.5199999996</v>
      </c>
      <c r="BF54" s="100">
        <f>SUM(BF46:BF53)</f>
        <v>6422904.6335999994</v>
      </c>
      <c r="BG54" s="121"/>
      <c r="BH54" s="154">
        <f>SUM(BH46:BH53)</f>
        <v>3910352.4</v>
      </c>
      <c r="BI54" s="154">
        <f>SUM(BI46:BI53)</f>
        <v>3313857.9661016949</v>
      </c>
      <c r="BJ54" s="152"/>
      <c r="BK54" s="213"/>
      <c r="BL54" s="214">
        <f>SUM(BL46:BL53)</f>
        <v>2874633.84</v>
      </c>
      <c r="BM54" s="214">
        <f>SUM(BM46:BM53)</f>
        <v>3392067.9311999995</v>
      </c>
      <c r="BN54" s="121"/>
      <c r="BO54" s="154">
        <f>SUM(BO46:BO53)</f>
        <v>3910352.4</v>
      </c>
      <c r="BP54" s="154">
        <f>SUM(BP46:BP53)</f>
        <v>3313857.9661016949</v>
      </c>
      <c r="BQ54" s="152"/>
      <c r="BR54" s="213"/>
      <c r="BS54" s="214">
        <f>SUM(BS46:BS53)</f>
        <v>3255679.4399999995</v>
      </c>
      <c r="BT54" s="214">
        <f>SUM(BT46:BT53)</f>
        <v>3841701.7391999993</v>
      </c>
      <c r="BU54" s="121"/>
      <c r="BV54" s="154">
        <f>SUM(BV46:BV53)</f>
        <v>4832287.1500000004</v>
      </c>
      <c r="BW54" s="154">
        <f>SUM(BW46:BW53)</f>
        <v>4095158.6016949154</v>
      </c>
      <c r="BX54" s="152"/>
      <c r="BY54" s="99"/>
      <c r="BZ54" s="100">
        <f>SUM(BZ46:BZ53)</f>
        <v>2909298.9544505086</v>
      </c>
      <c r="CA54" s="100">
        <f>SUM(CA46:CA53)</f>
        <v>3432972.7662515999</v>
      </c>
      <c r="CB54" s="121"/>
      <c r="CC54" s="154">
        <f>SUM(CC46:CC53)</f>
        <v>451958</v>
      </c>
      <c r="CD54" s="154">
        <f>SUM(CD46:CD53)</f>
        <v>383015.25423728814</v>
      </c>
      <c r="CE54" s="152"/>
      <c r="CF54" s="99"/>
      <c r="CG54" s="100">
        <f>SUM(CG46:CG53)</f>
        <v>832746.18540801434</v>
      </c>
      <c r="CH54" s="100">
        <f>SUM(CH46:CH53)</f>
        <v>982640.49878145684</v>
      </c>
      <c r="CI54" s="121"/>
      <c r="CJ54" s="154">
        <f>SUM(CJ46:CJ53)</f>
        <v>3009000</v>
      </c>
      <c r="CK54" s="154">
        <f>SUM(CK46:CK53)</f>
        <v>2550000</v>
      </c>
      <c r="CL54" s="152"/>
      <c r="CM54" s="99"/>
      <c r="CN54" s="100">
        <f>SUM(CN46:CN53)</f>
        <v>452348.32929886744</v>
      </c>
      <c r="CO54" s="100">
        <f>SUM(CO46:CO53)</f>
        <v>533771.02857266355</v>
      </c>
      <c r="CP54" s="121"/>
      <c r="CQ54" s="154">
        <f>SUM(CQ46:CQ53)</f>
        <v>3009000</v>
      </c>
      <c r="CR54" s="154">
        <f>SUM(CR46:CR53)</f>
        <v>2550000</v>
      </c>
      <c r="CS54" s="152"/>
      <c r="CT54" s="99"/>
      <c r="CU54" s="100">
        <f>SUM(CU46:CU53)</f>
        <v>452348.32929886744</v>
      </c>
      <c r="CV54" s="100">
        <f>SUM(CV46:CV53)</f>
        <v>533771.02857266355</v>
      </c>
      <c r="CW54" s="121"/>
      <c r="CX54" s="154">
        <f>SUM(CX46:CX53)</f>
        <v>3910352.4</v>
      </c>
      <c r="CY54" s="154">
        <f>SUM(CY46:CY53)</f>
        <v>3313857.9661016949</v>
      </c>
      <c r="CZ54" s="152"/>
      <c r="DA54" s="213"/>
      <c r="DB54" s="214">
        <f>SUM(DB46:DB53)</f>
        <v>1922342.7599999998</v>
      </c>
      <c r="DC54" s="214">
        <f>SUM(DC46:DC53)</f>
        <v>2268364.4567999998</v>
      </c>
      <c r="DD54" s="121"/>
      <c r="DE54" s="154">
        <f>SUM(DE46:DE53)</f>
        <v>59000</v>
      </c>
      <c r="DF54" s="154">
        <f>SUM(DF46:DF53)</f>
        <v>50000</v>
      </c>
      <c r="DG54" s="152"/>
      <c r="DH54" s="77"/>
      <c r="DI54" s="78">
        <f>SUM(DI46:DI53)</f>
        <v>19400.488253319712</v>
      </c>
      <c r="DJ54" s="78">
        <f>SUM(DJ46:DJ53)</f>
        <v>22892.576138917259</v>
      </c>
      <c r="DK54" s="121"/>
      <c r="DL54" s="154">
        <f>SUM(DL46:DL53)</f>
        <v>451958</v>
      </c>
      <c r="DM54" s="154">
        <f>SUM(DM46:DM53)</f>
        <v>383015.25423728814</v>
      </c>
      <c r="DN54" s="152"/>
      <c r="DO54" s="99"/>
      <c r="DP54" s="100">
        <f>SUM(DP46:DP53)</f>
        <v>1675048.474583006</v>
      </c>
      <c r="DQ54" s="100">
        <f>SUM(DQ46:DQ53)</f>
        <v>1976557.2000079472</v>
      </c>
      <c r="DR54" s="121"/>
      <c r="DS54" s="151">
        <v>224000.00000000003</v>
      </c>
      <c r="DT54" s="151">
        <f t="shared" si="391"/>
        <v>200000</v>
      </c>
      <c r="DU54" s="133">
        <f t="shared" si="392"/>
        <v>75.866777937940981</v>
      </c>
      <c r="DV54" s="77"/>
      <c r="DW54" s="78">
        <f>SUM(DW46:DW53)</f>
        <v>1514930.3087777861</v>
      </c>
      <c r="DX54" s="78">
        <f>SUM(DX46:DX53)</f>
        <v>1787617.7643577876</v>
      </c>
      <c r="DY54" s="121"/>
      <c r="DZ54" s="154">
        <f>SUM(DZ46:DZ53)</f>
        <v>3009000</v>
      </c>
      <c r="EA54" s="154">
        <f>SUM(EA46:EA53)</f>
        <v>2550000</v>
      </c>
      <c r="EB54" s="152"/>
      <c r="EC54" s="99"/>
      <c r="ED54" s="100">
        <f>SUM(ED46:ED53)</f>
        <v>489351.90574479115</v>
      </c>
      <c r="EE54" s="100">
        <f>SUM(EE46:EE53)</f>
        <v>577435.24877885357</v>
      </c>
      <c r="EF54" s="121"/>
      <c r="EG54" s="154">
        <f>SUM(EG46:EG53)</f>
        <v>3910352.4</v>
      </c>
      <c r="EH54" s="154">
        <f>SUM(EH46:EH53)</f>
        <v>3313857.9661016949</v>
      </c>
      <c r="EI54" s="152"/>
      <c r="EJ54" s="213"/>
      <c r="EK54" s="214">
        <f>SUM(EK46:EK53)</f>
        <v>2205866.52</v>
      </c>
      <c r="EL54" s="214">
        <f>SUM(EL46:EL53)</f>
        <v>2602922.4935999997</v>
      </c>
      <c r="EM54" s="121"/>
      <c r="EN54" s="154">
        <f>SUM(EN46:EN53)</f>
        <v>417860.42</v>
      </c>
      <c r="EO54" s="154">
        <f>SUM(EO46:EO53)</f>
        <v>354119</v>
      </c>
      <c r="EP54" s="152"/>
      <c r="EQ54" s="77"/>
      <c r="ER54" s="78">
        <f>SUM(ER46:ER53)</f>
        <v>201525.86133736058</v>
      </c>
      <c r="ES54" s="78">
        <f>SUM(ES46:ES53)</f>
        <v>237800.51637808545</v>
      </c>
      <c r="ET54" s="121"/>
      <c r="EU54" s="154">
        <f>SUM(EU46:EU53)</f>
        <v>3009000</v>
      </c>
      <c r="EV54" s="154">
        <f>SUM(EV46:EV53)</f>
        <v>2550000</v>
      </c>
      <c r="EW54" s="152"/>
      <c r="EX54" s="99"/>
      <c r="EY54" s="100">
        <f>SUM(EY46:EY53)</f>
        <v>3339665.4685743926</v>
      </c>
      <c r="EZ54" s="100">
        <f>SUM(EZ46:EZ53)</f>
        <v>3940805.2529177829</v>
      </c>
      <c r="FA54" s="121"/>
      <c r="FB54" s="154">
        <f>SUM(FB46:FB53)</f>
        <v>4832287.1500000004</v>
      </c>
      <c r="FC54" s="154">
        <f>SUM(FC46:FC53)</f>
        <v>4095158.6016949154</v>
      </c>
      <c r="FD54" s="152"/>
      <c r="FE54" s="99"/>
      <c r="FF54" s="100">
        <f>SUM(FF46:FF53)</f>
        <v>4737749.2670354648</v>
      </c>
      <c r="FG54" s="100">
        <f>SUM(FG46:FG53)</f>
        <v>5590544.1351018474</v>
      </c>
      <c r="FH54" s="121"/>
      <c r="FI54" s="290">
        <f>SUM(FI46:FI53)</f>
        <v>141600</v>
      </c>
      <c r="FJ54" s="290">
        <f>SUM(FJ46:FJ53)</f>
        <v>120000</v>
      </c>
      <c r="FK54" s="289"/>
      <c r="FL54" s="99"/>
      <c r="FM54" s="100">
        <f>SUM(FM46:FM53)</f>
        <v>160651.77886561889</v>
      </c>
      <c r="FN54" s="100">
        <f>SUM(FN46:FN53)</f>
        <v>189569.09906143029</v>
      </c>
      <c r="FO54" s="121"/>
      <c r="FP54" s="154">
        <f>SUM(FP46:FP53)</f>
        <v>23856</v>
      </c>
      <c r="FQ54" s="154">
        <f>SUM(FQ46:FQ53)</f>
        <v>20216.949152542373</v>
      </c>
      <c r="FR54" s="152"/>
      <c r="FS54" s="99"/>
      <c r="FT54" s="100">
        <f>SUM(FT46:FT53)</f>
        <v>196093.09337491522</v>
      </c>
      <c r="FU54" s="100">
        <f>SUM(FU46:FU53)</f>
        <v>231389.85018239994</v>
      </c>
      <c r="FV54" s="121"/>
      <c r="FW54" s="154">
        <f>SUM(FW46:FW53)</f>
        <v>451958</v>
      </c>
      <c r="FX54" s="154">
        <f>SUM(FX46:FX53)</f>
        <v>383015.25423728814</v>
      </c>
      <c r="FY54" s="152"/>
      <c r="FZ54" s="99"/>
      <c r="GA54" s="100">
        <f>SUM(GA46:GA53)</f>
        <v>477805.18834886071</v>
      </c>
      <c r="GB54" s="100">
        <f>SUM(GB46:GB53)</f>
        <v>563810.12225165567</v>
      </c>
      <c r="GC54" s="121"/>
      <c r="GD54" s="154">
        <f>SUM(GD46:GD53)</f>
        <v>49986</v>
      </c>
      <c r="GE54" s="154">
        <f>SUM(GE46:GE53)</f>
        <v>42361.016949152545</v>
      </c>
      <c r="GF54" s="152"/>
      <c r="GG54" s="77"/>
      <c r="GH54" s="78">
        <f>SUM(GH46:GH53)</f>
        <v>223427.25335593216</v>
      </c>
      <c r="GI54" s="78">
        <f>SUM(GI46:GI53)</f>
        <v>263644.15895999991</v>
      </c>
      <c r="GJ54" s="121"/>
      <c r="GK54" s="154">
        <f>SUM(GK46:GK53)</f>
        <v>59000</v>
      </c>
      <c r="GL54" s="154">
        <f>SUM(GL46:GL53)</f>
        <v>50000</v>
      </c>
      <c r="GM54" s="152"/>
      <c r="GN54" s="77"/>
      <c r="GO54" s="78">
        <f>SUM(GO46:GO53)</f>
        <v>55918.215613382898</v>
      </c>
      <c r="GP54" s="78">
        <f>SUM(GP46:GP53)</f>
        <v>65983.49442379181</v>
      </c>
      <c r="GQ54" s="121"/>
      <c r="GR54" s="154">
        <f>SUM(GR46:GR53)</f>
        <v>451958</v>
      </c>
      <c r="GS54" s="154">
        <f>SUM(GS46:GS53)</f>
        <v>383015.25423728814</v>
      </c>
      <c r="GT54" s="152"/>
      <c r="GU54" s="99"/>
      <c r="GV54" s="100">
        <f>SUM(GV46:GV53)</f>
        <v>1113149.5730847458</v>
      </c>
      <c r="GW54" s="100">
        <f>SUM(GW46:GW53)</f>
        <v>1313516.49624</v>
      </c>
      <c r="GX54" s="121"/>
      <c r="GY54" s="154">
        <f>SUM(GY46:GY53)</f>
        <v>59000</v>
      </c>
      <c r="GZ54" s="154">
        <f>SUM(GZ46:GZ53)</f>
        <v>50000</v>
      </c>
      <c r="HA54" s="152"/>
      <c r="HB54" s="77"/>
      <c r="HC54" s="78">
        <f>SUM(HC46:HC53)</f>
        <v>34496.475995914196</v>
      </c>
      <c r="HD54" s="78">
        <f>SUM(HD46:HD53)</f>
        <v>40705.841675178752</v>
      </c>
      <c r="HE54" s="121"/>
      <c r="HF54" s="154">
        <f>SUM(HF46:HF53)</f>
        <v>3910352.4</v>
      </c>
      <c r="HG54" s="154">
        <f>SUM(HG46:HG53)</f>
        <v>3313857.9661016949</v>
      </c>
      <c r="HH54" s="152"/>
      <c r="HI54" s="213"/>
      <c r="HJ54" s="214">
        <f>SUM(HJ46:HJ53)</f>
        <v>2953103.4</v>
      </c>
      <c r="HK54" s="214">
        <f>SUM(HK46:HK53)</f>
        <v>3484662.0119999996</v>
      </c>
      <c r="HL54" s="121"/>
      <c r="HM54" s="154">
        <f>SUM(HM46:HM53)</f>
        <v>451958</v>
      </c>
      <c r="HN54" s="154">
        <f>SUM(HN46:HN53)</f>
        <v>383015.25423728814</v>
      </c>
      <c r="HO54" s="152"/>
      <c r="HP54" s="99"/>
      <c r="HQ54" s="100">
        <f>SUM(HQ46:HQ53)</f>
        <v>2031900.6923955553</v>
      </c>
      <c r="HR54" s="100">
        <f>SUM(HR46:HR53)</f>
        <v>2397642.8170267548</v>
      </c>
      <c r="HS54" s="122"/>
      <c r="HT54" s="321">
        <f t="shared" si="450"/>
        <v>46330051.402471207</v>
      </c>
      <c r="HU54" s="161">
        <f t="shared" si="451"/>
        <v>54669460.654916018</v>
      </c>
      <c r="HV54" s="320"/>
    </row>
    <row r="55" spans="1:230" ht="15">
      <c r="A55" s="18"/>
      <c r="B55" s="19"/>
      <c r="C55" s="118"/>
      <c r="D55" s="148"/>
      <c r="E55" s="148"/>
      <c r="F55" s="151"/>
      <c r="G55" s="159"/>
      <c r="H55" s="159"/>
      <c r="I55" s="159"/>
      <c r="J55" s="118"/>
      <c r="K55" s="148"/>
      <c r="L55" s="148"/>
      <c r="M55" s="151"/>
      <c r="N55" s="159"/>
      <c r="O55" s="159"/>
      <c r="P55" s="159"/>
      <c r="Q55" s="118"/>
      <c r="R55" s="148"/>
      <c r="S55" s="148"/>
      <c r="T55" s="151"/>
      <c r="U55" s="159"/>
      <c r="V55" s="159"/>
      <c r="W55" s="159"/>
      <c r="X55" s="118"/>
      <c r="Y55" s="148"/>
      <c r="Z55" s="148"/>
      <c r="AA55" s="151"/>
      <c r="AB55" s="159"/>
      <c r="AC55" s="159"/>
      <c r="AD55" s="159"/>
      <c r="AE55" s="118"/>
      <c r="AF55" s="148"/>
      <c r="AG55" s="148"/>
      <c r="AH55" s="151"/>
      <c r="AI55" s="96"/>
      <c r="AJ55" s="96"/>
      <c r="AK55" s="96"/>
      <c r="AL55" s="118"/>
      <c r="AM55" s="148"/>
      <c r="AN55" s="148"/>
      <c r="AO55" s="151"/>
      <c r="AP55" s="96"/>
      <c r="AQ55" s="96"/>
      <c r="AR55" s="96"/>
      <c r="AS55" s="118"/>
      <c r="AT55" s="292"/>
      <c r="AU55" s="292"/>
      <c r="AV55" s="287"/>
      <c r="AW55" s="96"/>
      <c r="AX55" s="96"/>
      <c r="AY55" s="96"/>
      <c r="AZ55" s="118"/>
      <c r="BA55" s="292"/>
      <c r="BB55" s="292"/>
      <c r="BC55" s="287"/>
      <c r="BD55" s="96"/>
      <c r="BE55" s="96"/>
      <c r="BF55" s="96"/>
      <c r="BG55" s="118"/>
      <c r="BH55" s="148"/>
      <c r="BI55" s="148"/>
      <c r="BJ55" s="151"/>
      <c r="BK55" s="210"/>
      <c r="BL55" s="210"/>
      <c r="BM55" s="210"/>
      <c r="BN55" s="118"/>
      <c r="BO55" s="148"/>
      <c r="BP55" s="148"/>
      <c r="BQ55" s="151"/>
      <c r="BR55" s="210"/>
      <c r="BS55" s="210"/>
      <c r="BT55" s="210"/>
      <c r="BU55" s="118"/>
      <c r="BV55" s="148"/>
      <c r="BW55" s="148"/>
      <c r="BX55" s="151"/>
      <c r="BY55" s="96"/>
      <c r="BZ55" s="96"/>
      <c r="CA55" s="96"/>
      <c r="CB55" s="118"/>
      <c r="CC55" s="148"/>
      <c r="CD55" s="148"/>
      <c r="CE55" s="151"/>
      <c r="CF55" s="96"/>
      <c r="CG55" s="96"/>
      <c r="CH55" s="96"/>
      <c r="CI55" s="118"/>
      <c r="CJ55" s="148"/>
      <c r="CK55" s="148"/>
      <c r="CL55" s="151"/>
      <c r="CM55" s="96"/>
      <c r="CN55" s="96"/>
      <c r="CO55" s="96"/>
      <c r="CP55" s="118"/>
      <c r="CQ55" s="148"/>
      <c r="CR55" s="148"/>
      <c r="CS55" s="151"/>
      <c r="CT55" s="96"/>
      <c r="CU55" s="96"/>
      <c r="CV55" s="96"/>
      <c r="CW55" s="118"/>
      <c r="CX55" s="148"/>
      <c r="CY55" s="148"/>
      <c r="CZ55" s="151"/>
      <c r="DA55" s="210"/>
      <c r="DB55" s="210"/>
      <c r="DC55" s="210"/>
      <c r="DD55" s="118"/>
      <c r="DE55" s="148"/>
      <c r="DF55" s="148"/>
      <c r="DG55" s="151"/>
      <c r="DH55" s="159"/>
      <c r="DI55" s="159"/>
      <c r="DJ55" s="159"/>
      <c r="DK55" s="118"/>
      <c r="DL55" s="148"/>
      <c r="DM55" s="148"/>
      <c r="DN55" s="151"/>
      <c r="DO55" s="96"/>
      <c r="DP55" s="96"/>
      <c r="DQ55" s="96"/>
      <c r="DR55" s="118"/>
      <c r="DS55" s="154">
        <f>SUM(DS46:DS54)</f>
        <v>6048000</v>
      </c>
      <c r="DT55" s="154">
        <f>SUM(DT46:DT54)</f>
        <v>5400000</v>
      </c>
      <c r="DU55" s="152"/>
      <c r="DV55" s="159"/>
      <c r="DW55" s="159"/>
      <c r="DX55" s="159"/>
      <c r="DY55" s="118"/>
      <c r="DZ55" s="148"/>
      <c r="EA55" s="148"/>
      <c r="EB55" s="151"/>
      <c r="EC55" s="96"/>
      <c r="ED55" s="96"/>
      <c r="EE55" s="96"/>
      <c r="EF55" s="118"/>
      <c r="EG55" s="148"/>
      <c r="EH55" s="148"/>
      <c r="EI55" s="151"/>
      <c r="EJ55" s="210"/>
      <c r="EK55" s="210"/>
      <c r="EL55" s="210"/>
      <c r="EM55" s="118"/>
      <c r="EN55" s="148"/>
      <c r="EO55" s="148"/>
      <c r="EP55" s="151"/>
      <c r="EQ55" s="159"/>
      <c r="ER55" s="159"/>
      <c r="ES55" s="159"/>
      <c r="ET55" s="118"/>
      <c r="EU55" s="148"/>
      <c r="EV55" s="148"/>
      <c r="EW55" s="151"/>
      <c r="EX55" s="96"/>
      <c r="EY55" s="96"/>
      <c r="EZ55" s="96"/>
      <c r="FA55" s="118"/>
      <c r="FB55" s="148"/>
      <c r="FC55" s="148"/>
      <c r="FD55" s="151"/>
      <c r="FE55" s="96"/>
      <c r="FF55" s="96"/>
      <c r="FG55" s="96"/>
      <c r="FH55" s="118"/>
      <c r="FI55" s="292"/>
      <c r="FJ55" s="292"/>
      <c r="FK55" s="287"/>
      <c r="FL55" s="96"/>
      <c r="FM55" s="96"/>
      <c r="FN55" s="96"/>
      <c r="FO55" s="118"/>
      <c r="FP55" s="148"/>
      <c r="FQ55" s="148"/>
      <c r="FR55" s="151"/>
      <c r="FS55" s="96"/>
      <c r="FT55" s="96"/>
      <c r="FU55" s="96"/>
      <c r="FV55" s="118"/>
      <c r="FW55" s="148"/>
      <c r="FX55" s="148"/>
      <c r="FY55" s="151"/>
      <c r="FZ55" s="96"/>
      <c r="GA55" s="96"/>
      <c r="GB55" s="96"/>
      <c r="GC55" s="118"/>
      <c r="GD55" s="148"/>
      <c r="GE55" s="148"/>
      <c r="GF55" s="151"/>
      <c r="GG55" s="159"/>
      <c r="GH55" s="159"/>
      <c r="GI55" s="159"/>
      <c r="GJ55" s="118"/>
      <c r="GN55" s="159"/>
      <c r="GO55" s="159"/>
      <c r="GP55" s="159"/>
      <c r="GQ55" s="118"/>
      <c r="GR55" s="148"/>
      <c r="GS55" s="148"/>
      <c r="GT55" s="151"/>
      <c r="GU55" s="96"/>
      <c r="GV55" s="96"/>
      <c r="GW55" s="96"/>
      <c r="GX55" s="118"/>
      <c r="GY55" s="148"/>
      <c r="GZ55" s="148"/>
      <c r="HA55" s="151"/>
      <c r="HB55" s="159"/>
      <c r="HC55" s="159"/>
      <c r="HD55" s="159"/>
      <c r="HE55" s="118"/>
      <c r="HF55" s="148"/>
      <c r="HG55" s="148"/>
      <c r="HH55" s="151"/>
      <c r="HI55" s="210"/>
      <c r="HJ55" s="210"/>
      <c r="HK55" s="210"/>
      <c r="HL55" s="118"/>
      <c r="HM55" s="148"/>
      <c r="HN55" s="148"/>
      <c r="HO55" s="151"/>
      <c r="HP55" s="96"/>
      <c r="HQ55" s="96"/>
      <c r="HR55" s="96"/>
      <c r="HS55" s="118"/>
      <c r="HT55" s="322"/>
      <c r="HU55" s="148"/>
      <c r="HV55" s="319"/>
    </row>
    <row r="56" spans="1:230" ht="15">
      <c r="A56" s="13" t="s">
        <v>56</v>
      </c>
      <c r="B56" s="14" t="s">
        <v>68</v>
      </c>
      <c r="C56" s="123"/>
      <c r="D56" s="153"/>
      <c r="E56" s="153"/>
      <c r="F56" s="153"/>
      <c r="G56" s="153"/>
      <c r="H56" s="153"/>
      <c r="I56" s="153"/>
      <c r="J56" s="123"/>
      <c r="K56" s="153"/>
      <c r="L56" s="153"/>
      <c r="M56" s="153"/>
      <c r="N56" s="153"/>
      <c r="O56" s="153"/>
      <c r="P56" s="153"/>
      <c r="Q56" s="123"/>
      <c r="R56" s="153"/>
      <c r="S56" s="153"/>
      <c r="T56" s="153"/>
      <c r="U56" s="153"/>
      <c r="V56" s="153"/>
      <c r="W56" s="153"/>
      <c r="X56" s="123"/>
      <c r="Y56" s="153"/>
      <c r="Z56" s="153"/>
      <c r="AA56" s="153"/>
      <c r="AB56" s="153"/>
      <c r="AC56" s="153"/>
      <c r="AD56" s="153"/>
      <c r="AE56" s="123"/>
      <c r="AF56" s="153"/>
      <c r="AG56" s="153"/>
      <c r="AH56" s="153"/>
      <c r="AI56" s="153"/>
      <c r="AJ56" s="153"/>
      <c r="AK56" s="153"/>
      <c r="AL56" s="123"/>
      <c r="AM56" s="153"/>
      <c r="AN56" s="153"/>
      <c r="AO56" s="153"/>
      <c r="AP56" s="153"/>
      <c r="AQ56" s="153"/>
      <c r="AR56" s="153"/>
      <c r="AS56" s="123"/>
      <c r="AT56" s="293"/>
      <c r="AU56" s="293"/>
      <c r="AV56" s="293"/>
      <c r="AW56" s="153"/>
      <c r="AX56" s="153"/>
      <c r="AY56" s="153"/>
      <c r="AZ56" s="123"/>
      <c r="BA56" s="293"/>
      <c r="BB56" s="293"/>
      <c r="BC56" s="293"/>
      <c r="BD56" s="153"/>
      <c r="BE56" s="153"/>
      <c r="BF56" s="153"/>
      <c r="BG56" s="123"/>
      <c r="BH56" s="153"/>
      <c r="BI56" s="153"/>
      <c r="BJ56" s="153"/>
      <c r="BK56" s="153"/>
      <c r="BL56" s="153"/>
      <c r="BM56" s="153"/>
      <c r="BN56" s="123"/>
      <c r="BO56" s="153"/>
      <c r="BP56" s="153"/>
      <c r="BQ56" s="153"/>
      <c r="BR56" s="153"/>
      <c r="BS56" s="153"/>
      <c r="BT56" s="153"/>
      <c r="BU56" s="123"/>
      <c r="BV56" s="153"/>
      <c r="BW56" s="153"/>
      <c r="BX56" s="153"/>
      <c r="BY56" s="153"/>
      <c r="BZ56" s="153"/>
      <c r="CA56" s="153"/>
      <c r="CB56" s="123"/>
      <c r="CC56" s="153"/>
      <c r="CD56" s="153"/>
      <c r="CE56" s="153"/>
      <c r="CF56" s="153"/>
      <c r="CG56" s="153"/>
      <c r="CH56" s="153"/>
      <c r="CI56" s="123"/>
      <c r="CJ56" s="153"/>
      <c r="CK56" s="153"/>
      <c r="CL56" s="153"/>
      <c r="CM56" s="153"/>
      <c r="CN56" s="153"/>
      <c r="CO56" s="153"/>
      <c r="CP56" s="123"/>
      <c r="CQ56" s="153"/>
      <c r="CR56" s="153"/>
      <c r="CS56" s="153"/>
      <c r="CT56" s="153"/>
      <c r="CU56" s="153"/>
      <c r="CV56" s="153"/>
      <c r="CW56" s="123"/>
      <c r="CX56" s="153"/>
      <c r="CY56" s="153"/>
      <c r="CZ56" s="153"/>
      <c r="DA56" s="153"/>
      <c r="DB56" s="153"/>
      <c r="DC56" s="153"/>
      <c r="DD56" s="123"/>
      <c r="DE56" s="153"/>
      <c r="DF56" s="153"/>
      <c r="DG56" s="153"/>
      <c r="DH56" s="153"/>
      <c r="DI56" s="153"/>
      <c r="DJ56" s="153"/>
      <c r="DK56" s="123"/>
      <c r="DL56" s="153"/>
      <c r="DM56" s="153"/>
      <c r="DN56" s="153"/>
      <c r="DO56" s="153"/>
      <c r="DP56" s="153"/>
      <c r="DQ56" s="153"/>
      <c r="DR56" s="123"/>
      <c r="DS56" s="153"/>
      <c r="DT56" s="153"/>
      <c r="DU56" s="153"/>
      <c r="DV56" s="153"/>
      <c r="DW56" s="153"/>
      <c r="DX56" s="153"/>
      <c r="DY56" s="123"/>
      <c r="DZ56" s="153"/>
      <c r="EA56" s="153"/>
      <c r="EB56" s="153"/>
      <c r="EC56" s="153"/>
      <c r="ED56" s="153"/>
      <c r="EE56" s="153"/>
      <c r="EF56" s="123"/>
      <c r="EG56" s="153"/>
      <c r="EH56" s="153"/>
      <c r="EI56" s="153"/>
      <c r="EJ56" s="153"/>
      <c r="EK56" s="153"/>
      <c r="EL56" s="153"/>
      <c r="EM56" s="123"/>
      <c r="EN56" s="153"/>
      <c r="EO56" s="153"/>
      <c r="EP56" s="153"/>
      <c r="EQ56" s="153"/>
      <c r="ER56" s="153"/>
      <c r="ES56" s="153"/>
      <c r="ET56" s="123"/>
      <c r="EU56" s="153"/>
      <c r="EV56" s="153"/>
      <c r="EW56" s="153"/>
      <c r="EX56" s="153"/>
      <c r="EY56" s="153"/>
      <c r="EZ56" s="153"/>
      <c r="FA56" s="123"/>
      <c r="FB56" s="153"/>
      <c r="FC56" s="153"/>
      <c r="FD56" s="153"/>
      <c r="FE56" s="153"/>
      <c r="FF56" s="153"/>
      <c r="FG56" s="153"/>
      <c r="FH56" s="123"/>
      <c r="FI56" s="293"/>
      <c r="FJ56" s="293"/>
      <c r="FK56" s="293"/>
      <c r="FL56" s="153"/>
      <c r="FM56" s="153"/>
      <c r="FN56" s="153"/>
      <c r="FO56" s="123"/>
      <c r="FP56" s="153"/>
      <c r="FQ56" s="153"/>
      <c r="FR56" s="153"/>
      <c r="FS56" s="153"/>
      <c r="FT56" s="153"/>
      <c r="FU56" s="153"/>
      <c r="FV56" s="123"/>
      <c r="FW56" s="153"/>
      <c r="FX56" s="153"/>
      <c r="FY56" s="153"/>
      <c r="FZ56" s="153"/>
      <c r="GA56" s="153"/>
      <c r="GB56" s="153"/>
      <c r="GC56" s="123"/>
      <c r="GD56" s="153"/>
      <c r="GE56" s="153"/>
      <c r="GF56" s="153"/>
      <c r="GG56" s="153"/>
      <c r="GH56" s="153"/>
      <c r="GI56" s="153"/>
      <c r="GJ56" s="123"/>
      <c r="GK56" s="153"/>
      <c r="GL56" s="153"/>
      <c r="GM56" s="153"/>
      <c r="GN56" s="153"/>
      <c r="GO56" s="153"/>
      <c r="GP56" s="153"/>
      <c r="GQ56" s="123"/>
      <c r="GR56" s="153"/>
      <c r="GS56" s="153"/>
      <c r="GT56" s="153"/>
      <c r="GU56" s="153"/>
      <c r="GV56" s="153"/>
      <c r="GW56" s="153"/>
      <c r="GX56" s="123"/>
      <c r="GY56" s="153"/>
      <c r="GZ56" s="153"/>
      <c r="HA56" s="153"/>
      <c r="HB56" s="153"/>
      <c r="HC56" s="153"/>
      <c r="HD56" s="153"/>
      <c r="HE56" s="123"/>
      <c r="HF56" s="153"/>
      <c r="HG56" s="153"/>
      <c r="HH56" s="153"/>
      <c r="HI56" s="153"/>
      <c r="HJ56" s="153"/>
      <c r="HK56" s="153"/>
      <c r="HL56" s="123"/>
      <c r="HM56" s="153"/>
      <c r="HN56" s="153"/>
      <c r="HO56" s="153"/>
      <c r="HP56" s="153"/>
      <c r="HQ56" s="153"/>
      <c r="HR56" s="153"/>
      <c r="HS56" s="123"/>
      <c r="HT56" s="323"/>
      <c r="HU56" s="153"/>
      <c r="HV56" s="41"/>
    </row>
    <row r="57" spans="1:230">
      <c r="A57" s="18">
        <v>1</v>
      </c>
      <c r="B57" s="19" t="s">
        <v>53</v>
      </c>
      <c r="C57" s="118"/>
      <c r="D57" s="151">
        <v>236000</v>
      </c>
      <c r="E57" s="151">
        <f>D57/118%</f>
        <v>200000</v>
      </c>
      <c r="F57" s="151">
        <f>E57/E2</f>
        <v>808.14611281719738</v>
      </c>
      <c r="G57" s="159">
        <v>400</v>
      </c>
      <c r="H57" s="266">
        <f>G57*$H$2</f>
        <v>203224.31999999998</v>
      </c>
      <c r="I57" s="159">
        <f>H57*118%</f>
        <v>239804.69759999996</v>
      </c>
      <c r="J57" s="118"/>
      <c r="K57" s="151"/>
      <c r="L57" s="151">
        <f>K57/118%</f>
        <v>0</v>
      </c>
      <c r="M57" s="151">
        <f>L57/L2</f>
        <v>0</v>
      </c>
      <c r="N57" s="159">
        <v>400</v>
      </c>
      <c r="O57" s="266">
        <f>N57*$O$2</f>
        <v>203224.31999999998</v>
      </c>
      <c r="P57" s="159">
        <f>O57*118%</f>
        <v>239804.69759999996</v>
      </c>
      <c r="Q57" s="118"/>
      <c r="R57" s="151"/>
      <c r="S57" s="151">
        <f>R57/118%</f>
        <v>0</v>
      </c>
      <c r="T57" s="151">
        <f>S57/S2</f>
        <v>0</v>
      </c>
      <c r="U57" s="159">
        <v>400</v>
      </c>
      <c r="V57" s="266">
        <f>U57*$V$2</f>
        <v>153882.144</v>
      </c>
      <c r="W57" s="159">
        <f>V57*118%</f>
        <v>181580.92992</v>
      </c>
      <c r="X57" s="118"/>
      <c r="Y57" s="151"/>
      <c r="Z57" s="151">
        <f>Y57/118%</f>
        <v>0</v>
      </c>
      <c r="AA57" s="151">
        <f>Z57/Z2</f>
        <v>0</v>
      </c>
      <c r="AB57" s="159">
        <v>400</v>
      </c>
      <c r="AC57" s="266">
        <f>AB57*$AC$2</f>
        <v>153882.144</v>
      </c>
      <c r="AD57" s="159">
        <f>AC57*118%</f>
        <v>181580.92992</v>
      </c>
      <c r="AE57" s="118"/>
      <c r="AF57" s="151"/>
      <c r="AG57" s="151">
        <f>AF57/118%</f>
        <v>0</v>
      </c>
      <c r="AH57" s="151">
        <f>AG57/AG2</f>
        <v>0</v>
      </c>
      <c r="AI57" s="96">
        <v>100</v>
      </c>
      <c r="AJ57" s="267">
        <f>AI57*$AJ$2</f>
        <v>178897.67999999996</v>
      </c>
      <c r="AK57" s="96">
        <f>AJ57*118%</f>
        <v>211099.26239999995</v>
      </c>
      <c r="AL57" s="118"/>
      <c r="AM57" s="151">
        <v>925574.3</v>
      </c>
      <c r="AN57" s="151">
        <f>AM57/118%</f>
        <v>784385.00000000012</v>
      </c>
      <c r="AO57" s="151">
        <f>AN57/AN2</f>
        <v>423.82694302757852</v>
      </c>
      <c r="AP57" s="96">
        <f>+AO57</f>
        <v>423.82694302757852</v>
      </c>
      <c r="AQ57" s="267">
        <f>AP57*$AQ$2</f>
        <v>317657.15794296277</v>
      </c>
      <c r="AR57" s="96">
        <f>AQ57*118%</f>
        <v>374835.44637269608</v>
      </c>
      <c r="AS57" s="118"/>
      <c r="AT57" s="291"/>
      <c r="AU57" s="291"/>
      <c r="AV57" s="291"/>
      <c r="AW57" s="96">
        <v>300</v>
      </c>
      <c r="AX57" s="267">
        <f>AW57*$AX$2</f>
        <v>536693.03999999992</v>
      </c>
      <c r="AY57" s="96">
        <f>AX57*118%</f>
        <v>633297.7871999999</v>
      </c>
      <c r="AZ57" s="118"/>
      <c r="BA57" s="291"/>
      <c r="BB57" s="291"/>
      <c r="BC57" s="291"/>
      <c r="BD57" s="96">
        <v>500</v>
      </c>
      <c r="BE57" s="267">
        <f>BD57*$BE$2</f>
        <v>485994.59999999992</v>
      </c>
      <c r="BF57" s="96">
        <f>BE57*118%</f>
        <v>573473.62799999991</v>
      </c>
      <c r="BG57" s="118"/>
      <c r="BH57" s="151"/>
      <c r="BI57" s="151">
        <f>BH57/118%</f>
        <v>0</v>
      </c>
      <c r="BJ57" s="151">
        <f>BI57/BI2</f>
        <v>0</v>
      </c>
      <c r="BK57" s="210"/>
      <c r="BL57" s="210">
        <f>BK57*BL2</f>
        <v>0</v>
      </c>
      <c r="BM57" s="210">
        <f>BL57*118%</f>
        <v>0</v>
      </c>
      <c r="BN57" s="118"/>
      <c r="BO57" s="151"/>
      <c r="BP57" s="151">
        <f>BO57/118%</f>
        <v>0</v>
      </c>
      <c r="BQ57" s="151">
        <f>BP57/BP2</f>
        <v>0</v>
      </c>
      <c r="BR57" s="210"/>
      <c r="BS57" s="210">
        <f>BR57*BS2</f>
        <v>0</v>
      </c>
      <c r="BT57" s="210">
        <f>BS57*118%</f>
        <v>0</v>
      </c>
      <c r="BU57" s="118"/>
      <c r="BV57" s="151">
        <v>166599</v>
      </c>
      <c r="BW57" s="151">
        <f>BV57/118%</f>
        <v>141185.59322033898</v>
      </c>
      <c r="BX57" s="151">
        <f>BW57/BW2</f>
        <v>31.374576271186442</v>
      </c>
      <c r="BY57" s="96">
        <f>+BX57</f>
        <v>31.374576271186442</v>
      </c>
      <c r="BZ57" s="96">
        <f>BY57*$BZ$2</f>
        <v>100301.6338779661</v>
      </c>
      <c r="CA57" s="96">
        <f>BZ57*118%</f>
        <v>118355.92797599999</v>
      </c>
      <c r="CB57" s="118"/>
      <c r="CC57" s="151"/>
      <c r="CD57" s="151">
        <f>CC57/118%</f>
        <v>0</v>
      </c>
      <c r="CE57" s="151">
        <f>CD57/CD2</f>
        <v>0</v>
      </c>
      <c r="CF57" s="96">
        <v>500</v>
      </c>
      <c r="CG57" s="267">
        <f>CF57*$CG$2</f>
        <v>164150.99999999997</v>
      </c>
      <c r="CH57" s="96">
        <f>CG57*118%</f>
        <v>193698.17999999996</v>
      </c>
      <c r="CI57" s="118"/>
      <c r="CJ57" s="151">
        <v>925574.3</v>
      </c>
      <c r="CK57" s="151">
        <f>CJ57/118%</f>
        <v>784385.00000000012</v>
      </c>
      <c r="CL57" s="151">
        <f>CK57/CK2</f>
        <v>423.82694302757852</v>
      </c>
      <c r="CM57" s="96">
        <f>+CL57</f>
        <v>423.82694302757852</v>
      </c>
      <c r="CN57" s="267">
        <f>CM57*CN$2</f>
        <v>139143.23304984006</v>
      </c>
      <c r="CO57" s="96">
        <f>CN57*118%</f>
        <v>164189.01499881127</v>
      </c>
      <c r="CP57" s="118"/>
      <c r="CQ57" s="151">
        <v>925574.3</v>
      </c>
      <c r="CR57" s="151">
        <f>CQ57/118%</f>
        <v>784385.00000000012</v>
      </c>
      <c r="CS57" s="151">
        <f>CR57/CR2</f>
        <v>423.82694302757852</v>
      </c>
      <c r="CT57" s="96">
        <f>+CS57</f>
        <v>423.82694302757852</v>
      </c>
      <c r="CU57" s="267">
        <f>CT57*CU$2</f>
        <v>139143.23304984006</v>
      </c>
      <c r="CV57" s="96">
        <f>CU57*118%</f>
        <v>164189.01499881127</v>
      </c>
      <c r="CW57" s="118"/>
      <c r="CX57" s="151"/>
      <c r="CY57" s="151">
        <f>CX57/118%</f>
        <v>0</v>
      </c>
      <c r="CZ57" s="151">
        <f>CY57/CY2</f>
        <v>0</v>
      </c>
      <c r="DA57" s="210"/>
      <c r="DB57" s="210">
        <f>DA57*DB2</f>
        <v>0</v>
      </c>
      <c r="DC57" s="210">
        <f>DB57*118%</f>
        <v>0</v>
      </c>
      <c r="DD57" s="118"/>
      <c r="DE57" s="151">
        <v>544067.32000000007</v>
      </c>
      <c r="DF57" s="151">
        <f>DE57/118%</f>
        <v>461074.00000000006</v>
      </c>
      <c r="DG57" s="151">
        <f>DF57/DF2</f>
        <v>470.9642492339122</v>
      </c>
      <c r="DH57" s="159">
        <f>+DG57</f>
        <v>470.9642492339122</v>
      </c>
      <c r="DI57" s="266">
        <f>DH57*$DI$2</f>
        <v>178901.21441822266</v>
      </c>
      <c r="DJ57" s="159">
        <f>DI57*118%</f>
        <v>211103.43301350274</v>
      </c>
      <c r="DK57" s="118"/>
      <c r="DL57" s="151"/>
      <c r="DM57" s="151">
        <f>DL57/118%</f>
        <v>0</v>
      </c>
      <c r="DN57" s="151">
        <f>DM57/DM2</f>
        <v>0</v>
      </c>
      <c r="DO57" s="96">
        <v>50</v>
      </c>
      <c r="DP57" s="267">
        <f>DO57*$DP$2</f>
        <v>33018.57</v>
      </c>
      <c r="DQ57" s="96">
        <f>DP57*118%</f>
        <v>38961.912599999996</v>
      </c>
      <c r="DR57" s="118"/>
      <c r="DS57" s="151">
        <v>654511.20000000007</v>
      </c>
      <c r="DT57" s="151">
        <f>DS57/112%</f>
        <v>584385</v>
      </c>
      <c r="DU57" s="133">
        <f>DT57/$DS$2</f>
        <v>221.6770351263182</v>
      </c>
      <c r="DV57" s="159">
        <f>+DU57</f>
        <v>221.6770351263182</v>
      </c>
      <c r="DW57" s="266">
        <f>DV57*$DW$2</f>
        <v>170250.49009521279</v>
      </c>
      <c r="DX57" s="159">
        <f>DW57*118%</f>
        <v>200895.57831235108</v>
      </c>
      <c r="DY57" s="118"/>
      <c r="DZ57" s="151">
        <v>925574.3</v>
      </c>
      <c r="EA57" s="151">
        <f>DZ57/118%</f>
        <v>784385.00000000012</v>
      </c>
      <c r="EB57" s="151">
        <f>EA57/EA2</f>
        <v>423.82694302757852</v>
      </c>
      <c r="EC57" s="96">
        <f>+EB57</f>
        <v>423.82694302757852</v>
      </c>
      <c r="ED57" s="267">
        <f>EC57*$ED$2</f>
        <v>150525.60572063847</v>
      </c>
      <c r="EE57" s="96">
        <f>ED57*118%</f>
        <v>177620.21475035339</v>
      </c>
      <c r="EF57" s="118"/>
      <c r="EG57" s="151"/>
      <c r="EH57" s="151">
        <f>EG57/118%</f>
        <v>0</v>
      </c>
      <c r="EI57" s="151">
        <f>EH57/EH2</f>
        <v>0</v>
      </c>
      <c r="EJ57" s="210"/>
      <c r="EK57" s="210">
        <f>EJ57*EK2</f>
        <v>0</v>
      </c>
      <c r="EL57" s="210">
        <f>EK57*118%</f>
        <v>0</v>
      </c>
      <c r="EM57" s="118"/>
      <c r="EN57" s="151">
        <v>544067.32000000007</v>
      </c>
      <c r="EO57" s="151">
        <f>EN57/118%</f>
        <v>461074.00000000006</v>
      </c>
      <c r="EP57" s="151">
        <f>EO57/EO2</f>
        <v>738.80592231765161</v>
      </c>
      <c r="EQ57" s="159">
        <f>+EP57</f>
        <v>738.80592231765161</v>
      </c>
      <c r="ER57" s="266">
        <f>EQ57*$ER$2</f>
        <v>262392.96674355847</v>
      </c>
      <c r="ES57" s="159">
        <f>ER57*118%</f>
        <v>309623.70075739897</v>
      </c>
      <c r="ET57" s="118"/>
      <c r="EU57" s="151">
        <v>925574.3</v>
      </c>
      <c r="EV57" s="151">
        <f>EU57/118%</f>
        <v>784385.00000000012</v>
      </c>
      <c r="EW57" s="151">
        <f>EV57/EV2</f>
        <v>423.82694302757852</v>
      </c>
      <c r="EX57" s="96">
        <f>+EW57</f>
        <v>423.82694302757852</v>
      </c>
      <c r="EY57" s="267">
        <f>EX57*$EY$2</f>
        <v>1027287.6464971473</v>
      </c>
      <c r="EZ57" s="96">
        <f>EY57*118%</f>
        <v>1212199.4228666336</v>
      </c>
      <c r="FA57" s="118"/>
      <c r="FB57" s="151">
        <v>166599</v>
      </c>
      <c r="FC57" s="151">
        <f>FB57/118%</f>
        <v>141185.59322033898</v>
      </c>
      <c r="FD57" s="151">
        <f>FC57/FC2</f>
        <v>31.374576271186442</v>
      </c>
      <c r="FE57" s="96">
        <f>+FD57</f>
        <v>31.374576271186442</v>
      </c>
      <c r="FF57" s="267">
        <f>FE57*$FF$2</f>
        <v>163339.69104854239</v>
      </c>
      <c r="FG57" s="96">
        <f>FF57*118%</f>
        <v>192740.83543728001</v>
      </c>
      <c r="FH57" s="118"/>
      <c r="FI57" s="291"/>
      <c r="FJ57" s="291"/>
      <c r="FK57" s="291"/>
      <c r="FL57" s="96">
        <v>200</v>
      </c>
      <c r="FM57" s="267">
        <f>FL57*$FM$2</f>
        <v>290983.21199999994</v>
      </c>
      <c r="FN57" s="139">
        <f>FM57*118%</f>
        <v>343360.19015999994</v>
      </c>
      <c r="FO57" s="118"/>
      <c r="FP57" s="151"/>
      <c r="FQ57" s="151">
        <f>FP57/118%</f>
        <v>0</v>
      </c>
      <c r="FR57" s="151">
        <f>FQ57/FQ2</f>
        <v>0</v>
      </c>
      <c r="FS57" s="96">
        <v>100</v>
      </c>
      <c r="FT57" s="267">
        <f>FS57*$FT$2</f>
        <v>145491.60599999997</v>
      </c>
      <c r="FU57" s="96">
        <f>FT57*118%</f>
        <v>171680.09507999997</v>
      </c>
      <c r="FV57" s="118"/>
      <c r="FW57" s="151"/>
      <c r="FX57" s="151">
        <f>FW57/118%</f>
        <v>0</v>
      </c>
      <c r="FY57" s="151">
        <f>FX57/FX2</f>
        <v>0</v>
      </c>
      <c r="FZ57" s="96">
        <v>600</v>
      </c>
      <c r="GA57" s="267">
        <f>FZ57*$GA$2</f>
        <v>113021.99999999999</v>
      </c>
      <c r="GB57" s="96">
        <f>GA57*118%</f>
        <v>133365.95999999996</v>
      </c>
      <c r="GC57" s="118"/>
      <c r="GD57" s="151"/>
      <c r="GE57" s="151">
        <f>GD57/118%</f>
        <v>0</v>
      </c>
      <c r="GF57" s="151">
        <f>GE57/GE2</f>
        <v>0</v>
      </c>
      <c r="GG57" s="159">
        <v>300</v>
      </c>
      <c r="GH57" s="266">
        <f>GG57*$GH$2</f>
        <v>110761.55999999998</v>
      </c>
      <c r="GI57" s="159">
        <f>GH57*118%</f>
        <v>130698.64079999998</v>
      </c>
      <c r="GJ57" s="118"/>
      <c r="GK57" s="151">
        <v>304067.11999999994</v>
      </c>
      <c r="GL57" s="151">
        <f>GK57/118%</f>
        <v>257683.99999999997</v>
      </c>
      <c r="GM57" s="270">
        <f>GL57/$GL$2</f>
        <v>1023.4327836558319</v>
      </c>
      <c r="GN57" s="159">
        <v>800</v>
      </c>
      <c r="GO57" s="266">
        <f>GN57*$GO$2</f>
        <v>225268.99199999997</v>
      </c>
      <c r="GP57" s="159">
        <f>GO57*118%</f>
        <v>265817.41055999993</v>
      </c>
      <c r="GQ57" s="118"/>
      <c r="GR57" s="151"/>
      <c r="GS57" s="151">
        <f>GR57/118%</f>
        <v>0</v>
      </c>
      <c r="GT57" s="151">
        <f>GS57/GS2</f>
        <v>0</v>
      </c>
      <c r="GU57" s="96">
        <v>500</v>
      </c>
      <c r="GV57" s="267">
        <f>GU57*$GV$2</f>
        <v>219424.13999999998</v>
      </c>
      <c r="GW57" s="96">
        <f>GV57*118%</f>
        <v>258920.48519999997</v>
      </c>
      <c r="GX57" s="118"/>
      <c r="GY57" s="151">
        <v>544067.32000000007</v>
      </c>
      <c r="GZ57" s="151">
        <f>GY57/118%</f>
        <v>461074.00000000006</v>
      </c>
      <c r="HA57" s="151">
        <f>GZ57/GZ2</f>
        <v>470.9642492339122</v>
      </c>
      <c r="HB57" s="159">
        <f>+HA57</f>
        <v>470.9642492339122</v>
      </c>
      <c r="HC57" s="266">
        <f>HB57*$HC$2</f>
        <v>318108.56346680282</v>
      </c>
      <c r="HD57" s="159">
        <f>HC57*118%</f>
        <v>375368.10489082732</v>
      </c>
      <c r="HE57" s="118"/>
      <c r="HF57" s="151"/>
      <c r="HG57" s="151">
        <f>HF57/118%</f>
        <v>0</v>
      </c>
      <c r="HH57" s="151">
        <f>HG57/HG2</f>
        <v>0</v>
      </c>
      <c r="HI57" s="210"/>
      <c r="HJ57" s="210">
        <f>HI57*HJ2</f>
        <v>0</v>
      </c>
      <c r="HK57" s="210">
        <f>HJ57*118%</f>
        <v>0</v>
      </c>
      <c r="HL57" s="118"/>
      <c r="HM57" s="151"/>
      <c r="HN57" s="151">
        <f>HM57/118%</f>
        <v>0</v>
      </c>
      <c r="HO57" s="151">
        <f>HN57/HN2</f>
        <v>0</v>
      </c>
      <c r="HP57" s="96">
        <v>1200</v>
      </c>
      <c r="HQ57" s="267">
        <f>HP57*$HQ$2</f>
        <v>961268.25599999994</v>
      </c>
      <c r="HR57" s="96">
        <f>HQ57*118%</f>
        <v>1134296.5420799998</v>
      </c>
      <c r="HS57" s="118"/>
      <c r="HT57" s="318">
        <f>SUM(H57,O57,V57,AC57,AJ57,AQ57,AX57,BE57,BL57,BS57,BZ57,CG57,CN57,CU57,DB57,DI57,DP57,DW57,ED57,EK57,ER57,EY57,FF57,FM57,FT57,GA57,GH57,GO57,GV57,HC57,HJ57,HQ57)</f>
        <v>7146239.0199107323</v>
      </c>
      <c r="HU57" s="151">
        <f>HT57*118%</f>
        <v>8432562.0434946641</v>
      </c>
      <c r="HV57" s="319"/>
    </row>
    <row r="58" spans="1:230">
      <c r="A58" s="18">
        <v>2</v>
      </c>
      <c r="B58" s="19" t="s">
        <v>54</v>
      </c>
      <c r="C58" s="118"/>
      <c r="D58" s="151">
        <v>177000</v>
      </c>
      <c r="E58" s="151">
        <f>D58/118%</f>
        <v>150000</v>
      </c>
      <c r="F58" s="151">
        <f>E58/E2</f>
        <v>606.10958461289806</v>
      </c>
      <c r="G58" s="159">
        <v>700</v>
      </c>
      <c r="H58" s="266">
        <f>G58*$H$2</f>
        <v>355642.56</v>
      </c>
      <c r="I58" s="159">
        <f>H58*118%</f>
        <v>419658.22079999995</v>
      </c>
      <c r="J58" s="118"/>
      <c r="K58" s="151"/>
      <c r="L58" s="151">
        <f>K58/118%</f>
        <v>0</v>
      </c>
      <c r="M58" s="151">
        <f>L58/L2</f>
        <v>0</v>
      </c>
      <c r="N58" s="159">
        <v>500</v>
      </c>
      <c r="O58" s="266">
        <f>N58*$O$2</f>
        <v>254030.4</v>
      </c>
      <c r="P58" s="159">
        <f>O58*118%</f>
        <v>299755.87199999997</v>
      </c>
      <c r="Q58" s="118"/>
      <c r="R58" s="151"/>
      <c r="S58" s="151">
        <f>R58/118%</f>
        <v>0</v>
      </c>
      <c r="T58" s="151">
        <f>S58/S2</f>
        <v>0</v>
      </c>
      <c r="U58" s="159">
        <v>500</v>
      </c>
      <c r="V58" s="266">
        <f>U58*$V$2</f>
        <v>192352.68</v>
      </c>
      <c r="W58" s="159">
        <f>V58*118%</f>
        <v>226976.16239999997</v>
      </c>
      <c r="X58" s="118"/>
      <c r="Y58" s="151"/>
      <c r="Z58" s="151">
        <f>Y58/118%</f>
        <v>0</v>
      </c>
      <c r="AA58" s="151">
        <f>Z58/Z2</f>
        <v>0</v>
      </c>
      <c r="AB58" s="159">
        <v>500</v>
      </c>
      <c r="AC58" s="266">
        <f>AB58*$AC$2</f>
        <v>192352.68</v>
      </c>
      <c r="AD58" s="159">
        <f>AC58*118%</f>
        <v>226976.16239999997</v>
      </c>
      <c r="AE58" s="118"/>
      <c r="AF58" s="151">
        <v>359900</v>
      </c>
      <c r="AG58" s="151">
        <f>AF58/118%</f>
        <v>305000</v>
      </c>
      <c r="AH58" s="151">
        <f>AG58/AG2</f>
        <v>2019.8675496688741</v>
      </c>
      <c r="AI58" s="96">
        <v>400</v>
      </c>
      <c r="AJ58" s="267">
        <f>AI58*$AJ$2</f>
        <v>715590.71999999986</v>
      </c>
      <c r="AK58" s="96">
        <f>AJ58*118%</f>
        <v>844397.04959999979</v>
      </c>
      <c r="AL58" s="118"/>
      <c r="AM58" s="151">
        <v>1239000</v>
      </c>
      <c r="AN58" s="151">
        <f>AM58/118%</f>
        <v>1050000</v>
      </c>
      <c r="AO58" s="151">
        <f>AN58/AN2</f>
        <v>567.34676234114295</v>
      </c>
      <c r="AP58" s="96">
        <f>+AO58</f>
        <v>567.34676234114295</v>
      </c>
      <c r="AQ58" s="267">
        <f>AP58*$AQ$2</f>
        <v>425224.87788536353</v>
      </c>
      <c r="AR58" s="96">
        <f>AQ58*118%</f>
        <v>501765.35590472893</v>
      </c>
      <c r="AS58" s="118"/>
      <c r="AT58" s="287">
        <v>754067.20000000007</v>
      </c>
      <c r="AU58" s="287">
        <f>AT58/118%</f>
        <v>639040.00000000012</v>
      </c>
      <c r="AV58" s="288">
        <f>AU58/AU$2</f>
        <v>588.02311457911605</v>
      </c>
      <c r="AW58" s="96">
        <f>+AV58</f>
        <v>588.02311457911605</v>
      </c>
      <c r="AX58" s="267">
        <f>AW58*$AX$2</f>
        <v>1051959.7098457802</v>
      </c>
      <c r="AY58" s="96">
        <f>AX58*118%</f>
        <v>1241312.4576180205</v>
      </c>
      <c r="AZ58" s="118"/>
      <c r="BA58" s="287"/>
      <c r="BB58" s="287"/>
      <c r="BC58" s="288"/>
      <c r="BD58" s="96">
        <v>600</v>
      </c>
      <c r="BE58" s="267">
        <f>BD58*$BE$2</f>
        <v>583193.5199999999</v>
      </c>
      <c r="BF58" s="96">
        <f>BE58*118%</f>
        <v>688168.3535999998</v>
      </c>
      <c r="BG58" s="118"/>
      <c r="BH58" s="151"/>
      <c r="BI58" s="151">
        <f>BH58/118%</f>
        <v>0</v>
      </c>
      <c r="BJ58" s="151">
        <f>BI58/BI2</f>
        <v>0</v>
      </c>
      <c r="BK58" s="210"/>
      <c r="BL58" s="210">
        <f>BK58*BL2</f>
        <v>0</v>
      </c>
      <c r="BM58" s="210">
        <f>BL58*118%</f>
        <v>0</v>
      </c>
      <c r="BN58" s="118"/>
      <c r="BO58" s="151"/>
      <c r="BP58" s="151">
        <f>BO58/118%</f>
        <v>0</v>
      </c>
      <c r="BQ58" s="151">
        <f>BP58/BP2</f>
        <v>0</v>
      </c>
      <c r="BR58" s="210"/>
      <c r="BS58" s="210">
        <f>BR58*BS2</f>
        <v>0</v>
      </c>
      <c r="BT58" s="210">
        <f>BS58*118%</f>
        <v>0</v>
      </c>
      <c r="BU58" s="118"/>
      <c r="BV58" s="151">
        <v>75960</v>
      </c>
      <c r="BW58" s="151">
        <f>BV58/118%</f>
        <v>64372.881355932208</v>
      </c>
      <c r="BX58" s="151">
        <f>BW58/BW2</f>
        <v>14.305084745762713</v>
      </c>
      <c r="BY58" s="96">
        <f>+BX58</f>
        <v>14.305084745762713</v>
      </c>
      <c r="BZ58" s="96">
        <f>BY58*$BZ$2</f>
        <v>45732.039864406783</v>
      </c>
      <c r="CA58" s="96">
        <f>BZ58*118%</f>
        <v>53963.80704</v>
      </c>
      <c r="CB58" s="118"/>
      <c r="CC58" s="151">
        <v>359900</v>
      </c>
      <c r="CD58" s="151">
        <f>CC58/118%</f>
        <v>305000</v>
      </c>
      <c r="CE58" s="151">
        <f>CD58/CD2</f>
        <v>2019.8675496688741</v>
      </c>
      <c r="CF58" s="96">
        <f>+CE58</f>
        <v>2019.8675496688741</v>
      </c>
      <c r="CG58" s="267">
        <f>CF58*$CG$2</f>
        <v>663126.55629139068</v>
      </c>
      <c r="CH58" s="96">
        <f>CG58*118%</f>
        <v>782489.33642384096</v>
      </c>
      <c r="CI58" s="118"/>
      <c r="CJ58" s="151">
        <v>1239000</v>
      </c>
      <c r="CK58" s="151">
        <f>CJ58/118%</f>
        <v>1050000</v>
      </c>
      <c r="CL58" s="151">
        <f>CK58/CK2</f>
        <v>567.34676234114295</v>
      </c>
      <c r="CM58" s="96">
        <f>+CL58</f>
        <v>567.34676234114295</v>
      </c>
      <c r="CN58" s="267">
        <f>CM58*CN$2</f>
        <v>186261.0767701219</v>
      </c>
      <c r="CO58" s="96">
        <f>CN58*118%</f>
        <v>219788.07058874384</v>
      </c>
      <c r="CP58" s="118"/>
      <c r="CQ58" s="151">
        <v>1239000</v>
      </c>
      <c r="CR58" s="151">
        <f>CQ58/118%</f>
        <v>1050000</v>
      </c>
      <c r="CS58" s="151">
        <f>CR58/CR2</f>
        <v>567.34676234114295</v>
      </c>
      <c r="CT58" s="96">
        <f>+CS58</f>
        <v>567.34676234114295</v>
      </c>
      <c r="CU58" s="267">
        <f>CT58*CU$2</f>
        <v>186261.0767701219</v>
      </c>
      <c r="CV58" s="96">
        <f>CU58*118%</f>
        <v>219788.07058874384</v>
      </c>
      <c r="CW58" s="118"/>
      <c r="CX58" s="151"/>
      <c r="CY58" s="151">
        <f>CX58/118%</f>
        <v>0</v>
      </c>
      <c r="CZ58" s="151">
        <f>CY58/CY2</f>
        <v>0</v>
      </c>
      <c r="DA58" s="210"/>
      <c r="DB58" s="210">
        <f>DA58*DB2</f>
        <v>0</v>
      </c>
      <c r="DC58" s="210">
        <f>DB58*118%</f>
        <v>0</v>
      </c>
      <c r="DD58" s="118"/>
      <c r="DE58" s="151"/>
      <c r="DF58" s="151">
        <f>DE58/118%</f>
        <v>0</v>
      </c>
      <c r="DG58" s="151">
        <f>DF58/DF2</f>
        <v>0</v>
      </c>
      <c r="DH58" s="159">
        <f>+DG58</f>
        <v>0</v>
      </c>
      <c r="DI58" s="266">
        <f>DH58*$DI$2</f>
        <v>0</v>
      </c>
      <c r="DJ58" s="159">
        <f>DI58*118%</f>
        <v>0</v>
      </c>
      <c r="DK58" s="118"/>
      <c r="DL58" s="151">
        <v>359900</v>
      </c>
      <c r="DM58" s="151">
        <f>DL58/118%</f>
        <v>305000</v>
      </c>
      <c r="DN58" s="151">
        <f>DM58/DM2</f>
        <v>2019.8675496688741</v>
      </c>
      <c r="DO58" s="96">
        <v>800</v>
      </c>
      <c r="DP58" s="267">
        <f>DO58*$DP$2</f>
        <v>528297.12</v>
      </c>
      <c r="DQ58" s="96">
        <f>DP58*118%</f>
        <v>623390.60159999994</v>
      </c>
      <c r="DR58" s="118"/>
      <c r="DS58" s="151">
        <v>448000.00000000006</v>
      </c>
      <c r="DT58" s="151">
        <f>DS58/112%</f>
        <v>400000</v>
      </c>
      <c r="DU58" s="133">
        <f>DT58/$DS$2</f>
        <v>151.73355587588196</v>
      </c>
      <c r="DV58" s="159">
        <f>+DU58</f>
        <v>151.73355587588196</v>
      </c>
      <c r="DW58" s="266">
        <f>DV58*$DW$2</f>
        <v>116533.10067521431</v>
      </c>
      <c r="DX58" s="159">
        <f>DW58*118%</f>
        <v>137509.05879675288</v>
      </c>
      <c r="DY58" s="118"/>
      <c r="DZ58" s="151">
        <v>1239000</v>
      </c>
      <c r="EA58" s="151">
        <f>DZ58/118%</f>
        <v>1050000</v>
      </c>
      <c r="EB58" s="151">
        <f>EA58/EA2</f>
        <v>567.34676234114295</v>
      </c>
      <c r="EC58" s="96">
        <f>+EB58</f>
        <v>567.34676234114295</v>
      </c>
      <c r="ED58" s="267">
        <f>EC58*$ED$2</f>
        <v>201497.84354197283</v>
      </c>
      <c r="EE58" s="96">
        <f>ED58*118%</f>
        <v>237767.45537952794</v>
      </c>
      <c r="EF58" s="118"/>
      <c r="EG58" s="151"/>
      <c r="EH58" s="151">
        <f>EG58/118%</f>
        <v>0</v>
      </c>
      <c r="EI58" s="151">
        <f>EH58/EH2</f>
        <v>0</v>
      </c>
      <c r="EJ58" s="210"/>
      <c r="EK58" s="210">
        <f>EJ58*EK2</f>
        <v>0</v>
      </c>
      <c r="EL58" s="210">
        <f>EK58*118%</f>
        <v>0</v>
      </c>
      <c r="EM58" s="118"/>
      <c r="EN58" s="151"/>
      <c r="EO58" s="151">
        <f>EN58/118%</f>
        <v>0</v>
      </c>
      <c r="EP58" s="151">
        <f>EO58/EO2</f>
        <v>0</v>
      </c>
      <c r="EQ58" s="159">
        <v>100</v>
      </c>
      <c r="ER58" s="266">
        <f>EQ58*$ER$2</f>
        <v>35515.817999999999</v>
      </c>
      <c r="ES58" s="159">
        <f>ER58*118%</f>
        <v>41908.665239999995</v>
      </c>
      <c r="ET58" s="118"/>
      <c r="EU58" s="151">
        <v>1239000</v>
      </c>
      <c r="EV58" s="151">
        <f>EU58/118%</f>
        <v>1050000</v>
      </c>
      <c r="EW58" s="151">
        <f>EV58/EV2</f>
        <v>567.34676234114295</v>
      </c>
      <c r="EX58" s="96">
        <f>+EW58</f>
        <v>567.34676234114295</v>
      </c>
      <c r="EY58" s="267">
        <f>EX58*$EY$2</f>
        <v>1375156.3694129854</v>
      </c>
      <c r="EZ58" s="96">
        <f>EY58*118%</f>
        <v>1622684.5159073228</v>
      </c>
      <c r="FA58" s="118"/>
      <c r="FB58" s="151">
        <v>75960</v>
      </c>
      <c r="FC58" s="151">
        <f>FB58/118%</f>
        <v>64372.881355932208</v>
      </c>
      <c r="FD58" s="151">
        <f>FC58/FC2</f>
        <v>14.305084745762713</v>
      </c>
      <c r="FE58" s="96">
        <f>+FD58</f>
        <v>14.305084745762713</v>
      </c>
      <c r="FF58" s="267">
        <f>FE58*$FF$2</f>
        <v>74473.934009491539</v>
      </c>
      <c r="FG58" s="96">
        <f>FF58*118%</f>
        <v>87879.242131200008</v>
      </c>
      <c r="FH58" s="118"/>
      <c r="FI58" s="287">
        <v>754067.20000000007</v>
      </c>
      <c r="FJ58" s="287">
        <f>FI58/118%</f>
        <v>639040.00000000012</v>
      </c>
      <c r="FK58" s="288">
        <f>FJ58/FJ$2</f>
        <v>588.02311457911605</v>
      </c>
      <c r="FL58" s="96">
        <v>300</v>
      </c>
      <c r="FM58" s="267">
        <f>FL58*$FM$2</f>
        <v>436474.81799999991</v>
      </c>
      <c r="FN58" s="139">
        <f>FM58*118%</f>
        <v>515040.28523999988</v>
      </c>
      <c r="FO58" s="118"/>
      <c r="FP58" s="151"/>
      <c r="FQ58" s="151">
        <f>FP58/118%</f>
        <v>0</v>
      </c>
      <c r="FR58" s="151">
        <f>FQ58/FQ2</f>
        <v>0</v>
      </c>
      <c r="FS58" s="96">
        <v>200</v>
      </c>
      <c r="FT58" s="267">
        <f>FS58*$FT$2</f>
        <v>290983.21199999994</v>
      </c>
      <c r="FU58" s="96">
        <f>FT58*118%</f>
        <v>343360.19015999994</v>
      </c>
      <c r="FV58" s="118"/>
      <c r="FW58" s="151">
        <v>359900</v>
      </c>
      <c r="FX58" s="151">
        <f>FW58/118%</f>
        <v>305000</v>
      </c>
      <c r="FY58" s="151">
        <f>FX58/FX2</f>
        <v>2019.8675496688741</v>
      </c>
      <c r="FZ58" s="96">
        <v>800</v>
      </c>
      <c r="GA58" s="267">
        <f>FZ58*$GA$2</f>
        <v>150695.99999999997</v>
      </c>
      <c r="GB58" s="96">
        <f>GA58*118%</f>
        <v>177821.27999999997</v>
      </c>
      <c r="GC58" s="118"/>
      <c r="GD58" s="151"/>
      <c r="GE58" s="151">
        <f>GD58/118%</f>
        <v>0</v>
      </c>
      <c r="GF58" s="151">
        <f>GE58/GE2</f>
        <v>0</v>
      </c>
      <c r="GG58" s="159">
        <v>200</v>
      </c>
      <c r="GH58" s="266">
        <f>GG58*$GH$2</f>
        <v>73841.039999999994</v>
      </c>
      <c r="GI58" s="159">
        <f>GH58*118%</f>
        <v>87132.427199999991</v>
      </c>
      <c r="GJ58" s="118"/>
      <c r="GK58" s="151">
        <v>252520</v>
      </c>
      <c r="GL58" s="151">
        <f>GK58/118%</f>
        <v>214000</v>
      </c>
      <c r="GM58" s="270">
        <f>GL58/$GL$2</f>
        <v>849.93486480475326</v>
      </c>
      <c r="GN58" s="159">
        <f>+GM58</f>
        <v>849.93486480475326</v>
      </c>
      <c r="GO58" s="266">
        <f>GN58*$GO$2</f>
        <v>239329.96282527878</v>
      </c>
      <c r="GP58" s="159">
        <f>GO58*118%</f>
        <v>282409.35613382893</v>
      </c>
      <c r="GQ58" s="118"/>
      <c r="GR58" s="151">
        <v>359900</v>
      </c>
      <c r="GS58" s="151">
        <f>GR58/118%</f>
        <v>305000</v>
      </c>
      <c r="GT58" s="151">
        <f>GS58/GS2</f>
        <v>2019.8675496688741</v>
      </c>
      <c r="GU58" s="96">
        <v>700</v>
      </c>
      <c r="GV58" s="267">
        <f>GU58*$GV$2</f>
        <v>307193.79599999997</v>
      </c>
      <c r="GW58" s="96">
        <f>GV58*118%</f>
        <v>362488.67927999992</v>
      </c>
      <c r="GX58" s="118"/>
      <c r="GY58" s="151"/>
      <c r="GZ58" s="151">
        <f>GY58/118%</f>
        <v>0</v>
      </c>
      <c r="HA58" s="151">
        <f>GZ58/GZ2</f>
        <v>0</v>
      </c>
      <c r="HB58" s="159">
        <f>+HA58</f>
        <v>0</v>
      </c>
      <c r="HC58" s="266">
        <f>HB58*$HC$2</f>
        <v>0</v>
      </c>
      <c r="HD58" s="159">
        <f>HC58*118%</f>
        <v>0</v>
      </c>
      <c r="HE58" s="118"/>
      <c r="HF58" s="151"/>
      <c r="HG58" s="151">
        <f>HF58/118%</f>
        <v>0</v>
      </c>
      <c r="HH58" s="151">
        <f>HG58/HG2</f>
        <v>0</v>
      </c>
      <c r="HI58" s="210"/>
      <c r="HJ58" s="210">
        <f>HI58*HJ2</f>
        <v>0</v>
      </c>
      <c r="HK58" s="210">
        <f>HJ58*118%</f>
        <v>0</v>
      </c>
      <c r="HL58" s="118"/>
      <c r="HM58" s="151">
        <v>359900</v>
      </c>
      <c r="HN58" s="151">
        <f>HM58/118%</f>
        <v>305000</v>
      </c>
      <c r="HO58" s="151">
        <f>HN58/HN2</f>
        <v>2019.8675496688741</v>
      </c>
      <c r="HP58" s="96">
        <v>800</v>
      </c>
      <c r="HQ58" s="267">
        <f>HP58*$HQ$2</f>
        <v>640845.50399999996</v>
      </c>
      <c r="HR58" s="96">
        <f>HQ58*118%</f>
        <v>756197.69471999991</v>
      </c>
      <c r="HS58" s="118"/>
      <c r="HT58" s="318">
        <f>SUM(H58,O58,V58,AC58,AJ58,AQ58,AX58,BE58,BL58,BS58,BZ58,CG58,CN58,CU58,DB58,DI58,DP58,DW58,ED58,EK58,ER58,EY58,FF58,FM58,FT58,GA58,GH58,GO58,GV58,HC58,HJ58,HQ58)</f>
        <v>9322566.4158921298</v>
      </c>
      <c r="HU58" s="151">
        <f>HT58*118%</f>
        <v>11000628.370752713</v>
      </c>
      <c r="HV58" s="319"/>
    </row>
    <row r="59" spans="1:230">
      <c r="A59" s="18">
        <v>3</v>
      </c>
      <c r="B59" s="19" t="s">
        <v>55</v>
      </c>
      <c r="C59" s="118"/>
      <c r="D59" s="151">
        <v>59000</v>
      </c>
      <c r="E59" s="151">
        <f>D59/118%</f>
        <v>50000</v>
      </c>
      <c r="F59" s="151">
        <f>E59/E2</f>
        <v>202.03652820429934</v>
      </c>
      <c r="G59" s="159"/>
      <c r="H59" s="266">
        <f>G59*$H$2</f>
        <v>0</v>
      </c>
      <c r="I59" s="159">
        <f>H59*118%</f>
        <v>0</v>
      </c>
      <c r="J59" s="118"/>
      <c r="K59" s="151"/>
      <c r="L59" s="151">
        <f>K59/118%</f>
        <v>0</v>
      </c>
      <c r="M59" s="151">
        <f>L59/L2</f>
        <v>0</v>
      </c>
      <c r="N59" s="159">
        <f>+M59</f>
        <v>0</v>
      </c>
      <c r="O59" s="266">
        <f>N59*$O$2</f>
        <v>0</v>
      </c>
      <c r="P59" s="159">
        <f>O59*118%</f>
        <v>0</v>
      </c>
      <c r="Q59" s="118"/>
      <c r="R59" s="151"/>
      <c r="S59" s="151">
        <f>R59/118%</f>
        <v>0</v>
      </c>
      <c r="T59" s="151">
        <f>S59/S2</f>
        <v>0</v>
      </c>
      <c r="U59" s="159">
        <f>+T59</f>
        <v>0</v>
      </c>
      <c r="V59" s="266">
        <f>U59*$V$2</f>
        <v>0</v>
      </c>
      <c r="W59" s="159">
        <f>V59*118%</f>
        <v>0</v>
      </c>
      <c r="X59" s="118"/>
      <c r="Y59" s="151"/>
      <c r="Z59" s="151">
        <f>Y59/118%</f>
        <v>0</v>
      </c>
      <c r="AA59" s="151">
        <f>Z59/Z2</f>
        <v>0</v>
      </c>
      <c r="AB59" s="159">
        <f>+AA59</f>
        <v>0</v>
      </c>
      <c r="AC59" s="266">
        <f>AB59*$AC$2</f>
        <v>0</v>
      </c>
      <c r="AD59" s="159">
        <f>AC59*118%</f>
        <v>0</v>
      </c>
      <c r="AE59" s="118"/>
      <c r="AF59" s="151"/>
      <c r="AG59" s="151">
        <f>AF59/118%</f>
        <v>0</v>
      </c>
      <c r="AH59" s="151">
        <f>AG59/AG2</f>
        <v>0</v>
      </c>
      <c r="AI59" s="96">
        <v>50</v>
      </c>
      <c r="AJ59" s="267">
        <f>AI59*$AJ$2</f>
        <v>89448.839999999982</v>
      </c>
      <c r="AK59" s="96">
        <f>AJ59*118%</f>
        <v>105549.63119999997</v>
      </c>
      <c r="AL59" s="118"/>
      <c r="AM59" s="151"/>
      <c r="AN59" s="151">
        <f>AM59/118%</f>
        <v>0</v>
      </c>
      <c r="AO59" s="151">
        <f>AN59/AN2</f>
        <v>0</v>
      </c>
      <c r="AP59" s="96">
        <f>+AO59</f>
        <v>0</v>
      </c>
      <c r="AQ59" s="267">
        <f>AP59*$AQ$2</f>
        <v>0</v>
      </c>
      <c r="AR59" s="96">
        <f>AQ59*118%</f>
        <v>0</v>
      </c>
      <c r="AS59" s="118"/>
      <c r="AT59" s="287">
        <v>482598.75999999995</v>
      </c>
      <c r="AU59" s="287">
        <f>AT59/118%</f>
        <v>408982</v>
      </c>
      <c r="AV59" s="288">
        <f>AU59/AU$2</f>
        <v>376.33148073171628</v>
      </c>
      <c r="AW59" s="96">
        <f>+AV59</f>
        <v>376.33148073171628</v>
      </c>
      <c r="AX59" s="267">
        <f>AW59*$AX$2</f>
        <v>673248.28813868738</v>
      </c>
      <c r="AY59" s="96">
        <f>AX59*118%</f>
        <v>794432.98000365112</v>
      </c>
      <c r="AZ59" s="118"/>
      <c r="BA59" s="287"/>
      <c r="BB59" s="287"/>
      <c r="BC59" s="288"/>
      <c r="BD59" s="96">
        <v>500</v>
      </c>
      <c r="BE59" s="267">
        <f>BD59*$BE$2</f>
        <v>485994.59999999992</v>
      </c>
      <c r="BF59" s="96">
        <f>BE59*118%</f>
        <v>573473.62799999991</v>
      </c>
      <c r="BG59" s="118"/>
      <c r="BH59" s="151"/>
      <c r="BI59" s="151">
        <f>BH59/118%</f>
        <v>0</v>
      </c>
      <c r="BJ59" s="151">
        <f>BI59/BI2</f>
        <v>0</v>
      </c>
      <c r="BK59" s="210"/>
      <c r="BL59" s="210">
        <f>BK59*BL2</f>
        <v>0</v>
      </c>
      <c r="BM59" s="210">
        <f>BL59*118%</f>
        <v>0</v>
      </c>
      <c r="BN59" s="118"/>
      <c r="BO59" s="151"/>
      <c r="BP59" s="151">
        <f>BO59/118%</f>
        <v>0</v>
      </c>
      <c r="BQ59" s="151">
        <f>BP59/BP2</f>
        <v>0</v>
      </c>
      <c r="BR59" s="210"/>
      <c r="BS59" s="210">
        <f>BR59*BS2</f>
        <v>0</v>
      </c>
      <c r="BT59" s="210">
        <f>BS59*118%</f>
        <v>0</v>
      </c>
      <c r="BU59" s="118"/>
      <c r="BV59" s="151"/>
      <c r="BW59" s="151">
        <f>BV59/118%</f>
        <v>0</v>
      </c>
      <c r="BX59" s="151">
        <f>BW59/BW2</f>
        <v>0</v>
      </c>
      <c r="BY59" s="96">
        <v>15</v>
      </c>
      <c r="BZ59" s="96">
        <f>BY59*$BZ$2</f>
        <v>47953.619999999995</v>
      </c>
      <c r="CA59" s="96">
        <f>BZ59*118%</f>
        <v>56585.271599999993</v>
      </c>
      <c r="CB59" s="118"/>
      <c r="CC59" s="151"/>
      <c r="CD59" s="151">
        <f>CC59/118%</f>
        <v>0</v>
      </c>
      <c r="CE59" s="151">
        <f>CD59/CD2</f>
        <v>0</v>
      </c>
      <c r="CF59" s="96">
        <f>+CE59</f>
        <v>0</v>
      </c>
      <c r="CG59" s="267">
        <f>CF59*$CG$2</f>
        <v>0</v>
      </c>
      <c r="CH59" s="96">
        <f>CG59*118%</f>
        <v>0</v>
      </c>
      <c r="CI59" s="118"/>
      <c r="CJ59" s="151"/>
      <c r="CK59" s="151">
        <f>CJ59/118%</f>
        <v>0</v>
      </c>
      <c r="CL59" s="151">
        <f>CK59/CK2</f>
        <v>0</v>
      </c>
      <c r="CM59" s="96">
        <f>+CL59</f>
        <v>0</v>
      </c>
      <c r="CN59" s="267">
        <f>CM59*CN$2</f>
        <v>0</v>
      </c>
      <c r="CO59" s="96">
        <f>CN59*118%</f>
        <v>0</v>
      </c>
      <c r="CP59" s="118"/>
      <c r="CQ59" s="151"/>
      <c r="CR59" s="151">
        <f>CQ59/118%</f>
        <v>0</v>
      </c>
      <c r="CS59" s="151">
        <f>CR59/CR2</f>
        <v>0</v>
      </c>
      <c r="CT59" s="96">
        <f>+CS59</f>
        <v>0</v>
      </c>
      <c r="CU59" s="267">
        <f>CT59*CU$2</f>
        <v>0</v>
      </c>
      <c r="CV59" s="96">
        <f>CU59*118%</f>
        <v>0</v>
      </c>
      <c r="CW59" s="118"/>
      <c r="CX59" s="151"/>
      <c r="CY59" s="151">
        <f>CX59/118%</f>
        <v>0</v>
      </c>
      <c r="CZ59" s="151">
        <f>CY59/CY2</f>
        <v>0</v>
      </c>
      <c r="DA59" s="210"/>
      <c r="DB59" s="210">
        <f>DA59*DB2</f>
        <v>0</v>
      </c>
      <c r="DC59" s="210">
        <f>DB59*118%</f>
        <v>0</v>
      </c>
      <c r="DD59" s="118"/>
      <c r="DE59" s="151"/>
      <c r="DF59" s="151">
        <f>DE59/118%</f>
        <v>0</v>
      </c>
      <c r="DG59" s="151">
        <f>DF59/DF2</f>
        <v>0</v>
      </c>
      <c r="DH59" s="159">
        <f>+DG59</f>
        <v>0</v>
      </c>
      <c r="DI59" s="266">
        <f>DH59*$DI$2</f>
        <v>0</v>
      </c>
      <c r="DJ59" s="159">
        <f>DI59*118%</f>
        <v>0</v>
      </c>
      <c r="DK59" s="118"/>
      <c r="DL59" s="151"/>
      <c r="DM59" s="151">
        <f>DL59/118%</f>
        <v>0</v>
      </c>
      <c r="DN59" s="151">
        <f>DM59/DM2</f>
        <v>0</v>
      </c>
      <c r="DO59" s="96">
        <f>+DN59</f>
        <v>0</v>
      </c>
      <c r="DP59" s="267">
        <f>DO59*$DP$2</f>
        <v>0</v>
      </c>
      <c r="DQ59" s="96">
        <f>DP59*118%</f>
        <v>0</v>
      </c>
      <c r="DR59" s="118"/>
      <c r="DS59" s="151">
        <v>672000.00000000012</v>
      </c>
      <c r="DT59" s="151">
        <f>DS59/112%</f>
        <v>600000</v>
      </c>
      <c r="DU59" s="133">
        <f>DT59/$DS$2</f>
        <v>227.60033381382294</v>
      </c>
      <c r="DV59" s="159">
        <f>+DU59</f>
        <v>227.60033381382294</v>
      </c>
      <c r="DW59" s="266">
        <f>DV59*$DW$2</f>
        <v>174799.65101282147</v>
      </c>
      <c r="DX59" s="159">
        <f>DW59*118%</f>
        <v>206263.58819512933</v>
      </c>
      <c r="DY59" s="118"/>
      <c r="DZ59" s="151"/>
      <c r="EA59" s="151">
        <f>DZ59/118%</f>
        <v>0</v>
      </c>
      <c r="EB59" s="151">
        <f>EA59/EA2</f>
        <v>0</v>
      </c>
      <c r="EC59" s="96">
        <f>+EB59</f>
        <v>0</v>
      </c>
      <c r="ED59" s="267">
        <f>EC59*$ED$2</f>
        <v>0</v>
      </c>
      <c r="EE59" s="96">
        <f>ED59*118%</f>
        <v>0</v>
      </c>
      <c r="EF59" s="118"/>
      <c r="EG59" s="151"/>
      <c r="EH59" s="151">
        <f>EG59/118%</f>
        <v>0</v>
      </c>
      <c r="EI59" s="151">
        <f>EH59/EH2</f>
        <v>0</v>
      </c>
      <c r="EJ59" s="210"/>
      <c r="EK59" s="210">
        <f>EJ59*EK2</f>
        <v>0</v>
      </c>
      <c r="EL59" s="210">
        <f>EK59*118%</f>
        <v>0</v>
      </c>
      <c r="EM59" s="118"/>
      <c r="EN59" s="151"/>
      <c r="EO59" s="151">
        <f>EN59/118%</f>
        <v>0</v>
      </c>
      <c r="EP59" s="151">
        <f>EO59/EO2</f>
        <v>0</v>
      </c>
      <c r="EQ59" s="159">
        <f>+EP59</f>
        <v>0</v>
      </c>
      <c r="ER59" s="266">
        <f>EQ59*$ER$2</f>
        <v>0</v>
      </c>
      <c r="ES59" s="159">
        <f>ER59*118%</f>
        <v>0</v>
      </c>
      <c r="ET59" s="118"/>
      <c r="EU59" s="151"/>
      <c r="EV59" s="151">
        <f>EU59/118%</f>
        <v>0</v>
      </c>
      <c r="EW59" s="151">
        <f>EV59/EV2</f>
        <v>0</v>
      </c>
      <c r="EX59" s="96">
        <f>+EW59</f>
        <v>0</v>
      </c>
      <c r="EY59" s="267">
        <f>EX59*$EY$2</f>
        <v>0</v>
      </c>
      <c r="EZ59" s="96">
        <f>EY59*118%</f>
        <v>0</v>
      </c>
      <c r="FA59" s="118"/>
      <c r="FB59" s="151"/>
      <c r="FC59" s="151">
        <f>FB59/118%</f>
        <v>0</v>
      </c>
      <c r="FD59" s="151">
        <f>FC59/FC2</f>
        <v>0</v>
      </c>
      <c r="FE59" s="96">
        <f>+FD59</f>
        <v>0</v>
      </c>
      <c r="FF59" s="267">
        <f>FE59*$FF$2</f>
        <v>0</v>
      </c>
      <c r="FG59" s="96">
        <f>FF59*118%</f>
        <v>0</v>
      </c>
      <c r="FH59" s="118"/>
      <c r="FI59" s="287">
        <v>482598.75999999995</v>
      </c>
      <c r="FJ59" s="287">
        <f>FI59/118%</f>
        <v>408982</v>
      </c>
      <c r="FK59" s="288">
        <f>FJ59/FJ$2</f>
        <v>376.33148073171628</v>
      </c>
      <c r="FL59" s="96">
        <f>+FK59</f>
        <v>376.33148073171628</v>
      </c>
      <c r="FM59" s="267">
        <f>FL59*$FM$2</f>
        <v>547530.71520015446</v>
      </c>
      <c r="FN59" s="139">
        <f>FM59*118%</f>
        <v>646086.24393618223</v>
      </c>
      <c r="FO59" s="118"/>
      <c r="FP59" s="151"/>
      <c r="FQ59" s="151">
        <f>FP59/118%</f>
        <v>0</v>
      </c>
      <c r="FR59" s="151">
        <f>FQ59/FQ2</f>
        <v>0</v>
      </c>
      <c r="FS59" s="96">
        <f>+FR59</f>
        <v>0</v>
      </c>
      <c r="FT59" s="267">
        <f>FS59*$FT$2</f>
        <v>0</v>
      </c>
      <c r="FU59" s="96">
        <f>FT59*118%</f>
        <v>0</v>
      </c>
      <c r="FV59" s="118"/>
      <c r="FW59" s="151"/>
      <c r="FX59" s="151">
        <f>FW59/118%</f>
        <v>0</v>
      </c>
      <c r="FY59" s="151">
        <f>FX59/FX2</f>
        <v>0</v>
      </c>
      <c r="FZ59" s="96">
        <f>+FY59</f>
        <v>0</v>
      </c>
      <c r="GA59" s="267">
        <f>FZ59*$GA$2</f>
        <v>0</v>
      </c>
      <c r="GB59" s="96">
        <f>GA59*118%</f>
        <v>0</v>
      </c>
      <c r="GC59" s="118"/>
      <c r="GD59" s="151"/>
      <c r="GE59" s="151">
        <f>GD59/118%</f>
        <v>0</v>
      </c>
      <c r="GF59" s="151">
        <f>GE59/GE2</f>
        <v>0</v>
      </c>
      <c r="GG59" s="159">
        <f>+GF59</f>
        <v>0</v>
      </c>
      <c r="GH59" s="266">
        <f>GG59*$GH$2</f>
        <v>0</v>
      </c>
      <c r="GI59" s="159">
        <f>GH59*118%</f>
        <v>0</v>
      </c>
      <c r="GJ59" s="118"/>
      <c r="GK59" s="151">
        <v>200000.56</v>
      </c>
      <c r="GL59" s="151">
        <f>GK59/118%</f>
        <v>169492</v>
      </c>
      <c r="GM59" s="270">
        <f>GL59/$GL$2</f>
        <v>673.16429955835167</v>
      </c>
      <c r="GN59" s="159">
        <f>+GM59</f>
        <v>673.16429955835167</v>
      </c>
      <c r="GO59" s="266">
        <f>GN59*$GO$2</f>
        <v>189553.80401486988</v>
      </c>
      <c r="GP59" s="159">
        <f>GO59*118%</f>
        <v>223673.48873754643</v>
      </c>
      <c r="GQ59" s="118"/>
      <c r="GR59" s="151"/>
      <c r="GS59" s="151">
        <f>GR59/118%</f>
        <v>0</v>
      </c>
      <c r="GT59" s="151">
        <f>GS59/GS2</f>
        <v>0</v>
      </c>
      <c r="GU59" s="96">
        <f>+GT59</f>
        <v>0</v>
      </c>
      <c r="GV59" s="267">
        <f>GU59*$GV$2</f>
        <v>0</v>
      </c>
      <c r="GW59" s="96">
        <f>GV59*118%</f>
        <v>0</v>
      </c>
      <c r="GX59" s="118"/>
      <c r="GY59" s="151"/>
      <c r="GZ59" s="151">
        <f>GY59/118%</f>
        <v>0</v>
      </c>
      <c r="HA59" s="151">
        <f>GZ59/GZ2</f>
        <v>0</v>
      </c>
      <c r="HB59" s="159">
        <f>+HA59</f>
        <v>0</v>
      </c>
      <c r="HC59" s="266">
        <f>HB59*$HC$2</f>
        <v>0</v>
      </c>
      <c r="HD59" s="159">
        <f>HC59*118%</f>
        <v>0</v>
      </c>
      <c r="HE59" s="118"/>
      <c r="HF59" s="151"/>
      <c r="HG59" s="151">
        <f>HF59/118%</f>
        <v>0</v>
      </c>
      <c r="HH59" s="151">
        <f>HG59/HG2</f>
        <v>0</v>
      </c>
      <c r="HI59" s="210"/>
      <c r="HJ59" s="210">
        <f>HI59*HJ2</f>
        <v>0</v>
      </c>
      <c r="HK59" s="210">
        <f>HJ59*118%</f>
        <v>0</v>
      </c>
      <c r="HL59" s="118"/>
      <c r="HM59" s="151"/>
      <c r="HN59" s="151">
        <f>HM59/118%</f>
        <v>0</v>
      </c>
      <c r="HO59" s="151">
        <f>HN59/HN2</f>
        <v>0</v>
      </c>
      <c r="HP59" s="96">
        <f>+HO59</f>
        <v>0</v>
      </c>
      <c r="HQ59" s="267">
        <f>HP59*$HQ$2</f>
        <v>0</v>
      </c>
      <c r="HR59" s="96">
        <f>HQ59*118%</f>
        <v>0</v>
      </c>
      <c r="HS59" s="118"/>
      <c r="HT59" s="318">
        <f>SUM(H59,O59,V59,AC59,AJ59,AQ59,AX59,BE59,BL59,BS59,BZ59,CG59,CN59,CU59,DB59,DI59,DP59,DW59,ED59,EK59,ER59,EY59,FF59,FM59,FT59,GA59,GH59,GO59,GV59,HC59,HJ59,HQ59)</f>
        <v>2208529.5183665333</v>
      </c>
      <c r="HU59" s="151">
        <f>HT59*118%</f>
        <v>2606064.8316725092</v>
      </c>
      <c r="HV59" s="319"/>
    </row>
    <row r="60" spans="1:230">
      <c r="A60" s="18">
        <v>4</v>
      </c>
      <c r="B60" s="19" t="s">
        <v>87</v>
      </c>
      <c r="C60" s="118"/>
      <c r="D60" s="151">
        <v>58405.279999999999</v>
      </c>
      <c r="E60" s="151">
        <f>D60/118%</f>
        <v>49496</v>
      </c>
      <c r="F60" s="151">
        <f>E60/E2</f>
        <v>200</v>
      </c>
      <c r="G60" s="159">
        <v>1200</v>
      </c>
      <c r="H60" s="266">
        <f>G60*$H$2</f>
        <v>609672.95999999996</v>
      </c>
      <c r="I60" s="159">
        <f>H60*118%</f>
        <v>719414.09279999987</v>
      </c>
      <c r="J60" s="118"/>
      <c r="K60" s="151"/>
      <c r="L60" s="151">
        <f>K60/118%</f>
        <v>0</v>
      </c>
      <c r="M60" s="151">
        <f>L60/L2</f>
        <v>0</v>
      </c>
      <c r="N60" s="159">
        <v>1200</v>
      </c>
      <c r="O60" s="266">
        <f>N60*$O$2</f>
        <v>609672.95999999996</v>
      </c>
      <c r="P60" s="159">
        <f>O60*118%</f>
        <v>719414.09279999987</v>
      </c>
      <c r="Q60" s="118"/>
      <c r="R60" s="151"/>
      <c r="S60" s="151">
        <f>R60/118%</f>
        <v>0</v>
      </c>
      <c r="T60" s="151">
        <f>S60/S2</f>
        <v>0</v>
      </c>
      <c r="U60" s="159">
        <v>1200</v>
      </c>
      <c r="V60" s="266">
        <f>U60*$V$2</f>
        <v>461646.43199999997</v>
      </c>
      <c r="W60" s="159">
        <f>V60*118%</f>
        <v>544742.78975999996</v>
      </c>
      <c r="X60" s="118"/>
      <c r="Y60" s="151"/>
      <c r="Z60" s="151">
        <f>Y60/118%</f>
        <v>0</v>
      </c>
      <c r="AA60" s="151">
        <f>Z60/Z2</f>
        <v>0</v>
      </c>
      <c r="AB60" s="159">
        <v>1200</v>
      </c>
      <c r="AC60" s="266">
        <f>AB60*$AC$2</f>
        <v>461646.43199999997</v>
      </c>
      <c r="AD60" s="159">
        <f>AC60*118%</f>
        <v>544742.78975999996</v>
      </c>
      <c r="AE60" s="118"/>
      <c r="AF60" s="151"/>
      <c r="AG60" s="151">
        <f>AF60/118%</f>
        <v>0</v>
      </c>
      <c r="AH60" s="151">
        <f>AG60/AG2</f>
        <v>0</v>
      </c>
      <c r="AI60" s="96">
        <v>200</v>
      </c>
      <c r="AJ60" s="267">
        <f>AI60*$AJ$2</f>
        <v>357795.35999999993</v>
      </c>
      <c r="AK60" s="96">
        <f>AJ60*118%</f>
        <v>422198.5247999999</v>
      </c>
      <c r="AL60" s="118"/>
      <c r="AM60" s="151">
        <v>2714118</v>
      </c>
      <c r="AN60" s="151">
        <f>AM60/118%</f>
        <v>2300100</v>
      </c>
      <c r="AO60" s="151">
        <f>AN60/AN2</f>
        <v>1242.8136076770122</v>
      </c>
      <c r="AP60" s="96">
        <v>800</v>
      </c>
      <c r="AQ60" s="267">
        <f>AP60*$AQ$2</f>
        <v>599597.85599999991</v>
      </c>
      <c r="AR60" s="96">
        <f>AQ60*118%</f>
        <v>707525.47007999988</v>
      </c>
      <c r="AS60" s="118"/>
      <c r="AT60" s="287">
        <f>236000+59000</f>
        <v>295000</v>
      </c>
      <c r="AU60" s="287">
        <f>AT60/118%</f>
        <v>250000</v>
      </c>
      <c r="AV60" s="288">
        <f>AU60/AU$2</f>
        <v>230.04159151974676</v>
      </c>
      <c r="AW60" s="96">
        <f>+AV60</f>
        <v>230.04159151974676</v>
      </c>
      <c r="AX60" s="267">
        <f>AW60*$AX$2</f>
        <v>411539.07026390365</v>
      </c>
      <c r="AY60" s="96">
        <f>AX60*118%</f>
        <v>485616.10291140625</v>
      </c>
      <c r="AZ60" s="118"/>
      <c r="BA60" s="287"/>
      <c r="BB60" s="287"/>
      <c r="BC60" s="288"/>
      <c r="BD60" s="96">
        <v>600</v>
      </c>
      <c r="BE60" s="267">
        <f>BD60*$BE$2</f>
        <v>583193.5199999999</v>
      </c>
      <c r="BF60" s="96">
        <f>BE60*118%</f>
        <v>688168.3535999998</v>
      </c>
      <c r="BG60" s="118"/>
      <c r="BH60" s="151"/>
      <c r="BI60" s="151">
        <f>BH60/118%</f>
        <v>0</v>
      </c>
      <c r="BJ60" s="151">
        <f>BI60/BI2</f>
        <v>0</v>
      </c>
      <c r="BK60" s="210">
        <v>200</v>
      </c>
      <c r="BL60" s="210">
        <f>BK60*BL2</f>
        <v>191642.25599999996</v>
      </c>
      <c r="BM60" s="210">
        <f>BL60*118%</f>
        <v>226137.86207999993</v>
      </c>
      <c r="BN60" s="118"/>
      <c r="BO60" s="151"/>
      <c r="BP60" s="151">
        <f>BO60/118%</f>
        <v>0</v>
      </c>
      <c r="BQ60" s="151">
        <f>BP60/BP2</f>
        <v>0</v>
      </c>
      <c r="BR60" s="210">
        <v>200</v>
      </c>
      <c r="BS60" s="210">
        <f>BR60*BS2</f>
        <v>217045.29599999997</v>
      </c>
      <c r="BT60" s="210">
        <f>BS60*118%</f>
        <v>256113.44927999994</v>
      </c>
      <c r="BU60" s="118"/>
      <c r="BV60" s="151"/>
      <c r="BW60" s="151">
        <f>BV60/118%</f>
        <v>0</v>
      </c>
      <c r="BX60" s="151">
        <f>BW60/BW2</f>
        <v>0</v>
      </c>
      <c r="BY60" s="96">
        <v>50</v>
      </c>
      <c r="BZ60" s="96">
        <f>BY60*$BZ$2</f>
        <v>159845.4</v>
      </c>
      <c r="CA60" s="96">
        <f>BZ60*118%</f>
        <v>188617.57199999999</v>
      </c>
      <c r="CB60" s="118"/>
      <c r="CC60" s="151"/>
      <c r="CD60" s="151">
        <f>CC60/118%</f>
        <v>0</v>
      </c>
      <c r="CE60" s="151">
        <f>CD60/CD2</f>
        <v>0</v>
      </c>
      <c r="CF60" s="96">
        <v>200</v>
      </c>
      <c r="CG60" s="267">
        <f>CF60*$CG$2</f>
        <v>65660.399999999994</v>
      </c>
      <c r="CH60" s="96">
        <f>CG60*118%</f>
        <v>77479.271999999983</v>
      </c>
      <c r="CI60" s="118"/>
      <c r="CJ60" s="151">
        <v>2714118</v>
      </c>
      <c r="CK60" s="151">
        <f>CJ60/118%</f>
        <v>2300100</v>
      </c>
      <c r="CL60" s="151">
        <f>CK60/CK2</f>
        <v>1242.8136076770122</v>
      </c>
      <c r="CM60" s="96">
        <f>+CL60</f>
        <v>1242.8136076770122</v>
      </c>
      <c r="CN60" s="267">
        <f>CM60*CN$2</f>
        <v>408018.19302757841</v>
      </c>
      <c r="CO60" s="96">
        <f>CN60*118%</f>
        <v>481461.4677725425</v>
      </c>
      <c r="CP60" s="118"/>
      <c r="CQ60" s="151">
        <v>2714118</v>
      </c>
      <c r="CR60" s="151">
        <f>CQ60/118%</f>
        <v>2300100</v>
      </c>
      <c r="CS60" s="151">
        <f>CR60/CR2</f>
        <v>1242.8136076770122</v>
      </c>
      <c r="CT60" s="96">
        <f>+CS60</f>
        <v>1242.8136076770122</v>
      </c>
      <c r="CU60" s="267">
        <f>CT60*CU$2</f>
        <v>408018.19302757841</v>
      </c>
      <c r="CV60" s="96">
        <f>CU60*118%</f>
        <v>481461.4677725425</v>
      </c>
      <c r="CW60" s="118"/>
      <c r="CX60" s="151"/>
      <c r="CY60" s="151">
        <f>CX60/118%</f>
        <v>0</v>
      </c>
      <c r="CZ60" s="151">
        <f>CY60/CY2</f>
        <v>0</v>
      </c>
      <c r="DA60" s="210">
        <v>200</v>
      </c>
      <c r="DB60" s="210">
        <f>DA60*DB2</f>
        <v>128156.18399999998</v>
      </c>
      <c r="DC60" s="210">
        <f>DB60*118%</f>
        <v>151224.29711999997</v>
      </c>
      <c r="DD60" s="118"/>
      <c r="DE60" s="151">
        <f>59000*2</f>
        <v>118000</v>
      </c>
      <c r="DF60" s="151">
        <f>DE60/118%</f>
        <v>100000</v>
      </c>
      <c r="DG60" s="151">
        <f>DF60/DF2</f>
        <v>102.14504596527068</v>
      </c>
      <c r="DH60" s="159">
        <v>200</v>
      </c>
      <c r="DI60" s="266">
        <f>DH60*$DI$2</f>
        <v>75972.311999999991</v>
      </c>
      <c r="DJ60" s="159">
        <f>DI60*118%</f>
        <v>89647.32815999999</v>
      </c>
      <c r="DK60" s="118"/>
      <c r="DL60" s="151"/>
      <c r="DM60" s="151">
        <f>DL60/118%</f>
        <v>0</v>
      </c>
      <c r="DN60" s="151">
        <f>DM60/DM2</f>
        <v>0</v>
      </c>
      <c r="DO60" s="96">
        <v>400</v>
      </c>
      <c r="DP60" s="267">
        <f>DO60*$DP$2</f>
        <v>264148.56</v>
      </c>
      <c r="DQ60" s="96">
        <f>DP60*118%</f>
        <v>311695.30079999997</v>
      </c>
      <c r="DR60" s="118"/>
      <c r="DS60" s="151"/>
      <c r="DT60" s="151"/>
      <c r="DU60" s="133">
        <f>DT60/$DS$2</f>
        <v>0</v>
      </c>
      <c r="DV60" s="159">
        <f>+DU60</f>
        <v>0</v>
      </c>
      <c r="DW60" s="266">
        <f>DV60*$DW$2</f>
        <v>0</v>
      </c>
      <c r="DX60" s="159">
        <f>DW60*118%</f>
        <v>0</v>
      </c>
      <c r="DY60" s="118"/>
      <c r="DZ60" s="151">
        <v>2714118</v>
      </c>
      <c r="EA60" s="151">
        <f>DZ60/118%</f>
        <v>2300100</v>
      </c>
      <c r="EB60" s="151">
        <f>EA60/EA2</f>
        <v>1242.8136076770122</v>
      </c>
      <c r="EC60" s="96">
        <f>+EB60</f>
        <v>1242.8136076770122</v>
      </c>
      <c r="ED60" s="267">
        <f>EC60*$ED$2</f>
        <v>441395.41898180166</v>
      </c>
      <c r="EE60" s="96">
        <f>ED60*118%</f>
        <v>520846.59439852595</v>
      </c>
      <c r="EF60" s="118"/>
      <c r="EG60" s="151"/>
      <c r="EH60" s="151">
        <f>EG60/118%</f>
        <v>0</v>
      </c>
      <c r="EI60" s="151">
        <f>EH60/EH2</f>
        <v>0</v>
      </c>
      <c r="EJ60" s="210">
        <v>200</v>
      </c>
      <c r="EK60" s="210">
        <f>EJ60*EK2</f>
        <v>147057.76799999998</v>
      </c>
      <c r="EL60" s="210">
        <f>EK60*118%</f>
        <v>173528.16623999996</v>
      </c>
      <c r="EM60" s="118"/>
      <c r="EN60" s="151">
        <f>200000.56+59000</f>
        <v>259000.56</v>
      </c>
      <c r="EO60" s="151">
        <f>EN60/118%</f>
        <v>219492</v>
      </c>
      <c r="EP60" s="151">
        <f>EO60/EO2</f>
        <v>351.7049096269709</v>
      </c>
      <c r="EQ60" s="159">
        <v>450</v>
      </c>
      <c r="ER60" s="266">
        <f>EQ60*$ER$2</f>
        <v>159821.18099999998</v>
      </c>
      <c r="ES60" s="159">
        <f>ER60*118%</f>
        <v>188588.99357999998</v>
      </c>
      <c r="ET60" s="118"/>
      <c r="EU60" s="151">
        <v>2714118</v>
      </c>
      <c r="EV60" s="151">
        <f>EU60/118%</f>
        <v>2300100</v>
      </c>
      <c r="EW60" s="151">
        <f>EV60/EV2</f>
        <v>1242.8136076770122</v>
      </c>
      <c r="EX60" s="96">
        <f>+EW60</f>
        <v>1242.8136076770122</v>
      </c>
      <c r="EY60" s="267">
        <f>EX60*$EY$2</f>
        <v>3012378.2526541022</v>
      </c>
      <c r="EZ60" s="96">
        <f>EY60*118%</f>
        <v>3554606.3381318403</v>
      </c>
      <c r="FA60" s="118"/>
      <c r="FB60" s="151"/>
      <c r="FC60" s="151">
        <f>FB60/118%</f>
        <v>0</v>
      </c>
      <c r="FD60" s="151">
        <f>FC60/FC2</f>
        <v>0</v>
      </c>
      <c r="FE60" s="96">
        <v>50</v>
      </c>
      <c r="FF60" s="267">
        <f>FE60*$FF$2</f>
        <v>260305.81200000001</v>
      </c>
      <c r="FG60" s="96">
        <f>FF60*118%</f>
        <v>307160.85816</v>
      </c>
      <c r="FH60" s="118"/>
      <c r="FI60" s="287">
        <f>236000+59000</f>
        <v>295000</v>
      </c>
      <c r="FJ60" s="287">
        <f>FI60/118%</f>
        <v>250000</v>
      </c>
      <c r="FK60" s="288">
        <f>FJ60/FJ$2</f>
        <v>230.04159151974676</v>
      </c>
      <c r="FL60" s="96">
        <f>+FK60</f>
        <v>230.04159151974676</v>
      </c>
      <c r="FM60" s="267">
        <f>FL60*$FM$2</f>
        <v>334691.2059700393</v>
      </c>
      <c r="FN60" s="139">
        <f>FM60*118%</f>
        <v>394935.62304464635</v>
      </c>
      <c r="FO60" s="118"/>
      <c r="FP60" s="151"/>
      <c r="FQ60" s="151">
        <f>FP60/118%</f>
        <v>0</v>
      </c>
      <c r="FR60" s="151">
        <f>FQ60/FQ2</f>
        <v>0</v>
      </c>
      <c r="FS60" s="96">
        <v>200</v>
      </c>
      <c r="FT60" s="267">
        <f>FS60*$FT$2</f>
        <v>290983.21199999994</v>
      </c>
      <c r="FU60" s="96">
        <f>FT60*118%</f>
        <v>343360.19015999994</v>
      </c>
      <c r="FV60" s="118"/>
      <c r="FW60" s="151"/>
      <c r="FX60" s="151">
        <f>FW60/118%</f>
        <v>0</v>
      </c>
      <c r="FY60" s="151">
        <f>FX60/FX2</f>
        <v>0</v>
      </c>
      <c r="FZ60" s="96">
        <v>200</v>
      </c>
      <c r="GA60" s="267">
        <f>FZ60*$GA$2</f>
        <v>37673.999999999993</v>
      </c>
      <c r="GB60" s="96">
        <f>GA60*118%</f>
        <v>44455.319999999992</v>
      </c>
      <c r="GC60" s="118"/>
      <c r="GD60" s="151"/>
      <c r="GE60" s="151">
        <f>GD60/118%</f>
        <v>0</v>
      </c>
      <c r="GF60" s="151">
        <f>GE60/GE2</f>
        <v>0</v>
      </c>
      <c r="GG60" s="159">
        <v>400</v>
      </c>
      <c r="GH60" s="266">
        <f>GG60*$GH$2</f>
        <v>147682.07999999999</v>
      </c>
      <c r="GI60" s="159">
        <f>GH60*118%</f>
        <v>174264.85439999998</v>
      </c>
      <c r="GJ60" s="118"/>
      <c r="GK60" s="151">
        <v>59000</v>
      </c>
      <c r="GL60" s="151">
        <f>GK60/118%</f>
        <v>50000</v>
      </c>
      <c r="GM60" s="270">
        <f>GL60/$GL$2</f>
        <v>198.58291233755918</v>
      </c>
      <c r="GN60" s="159">
        <v>400</v>
      </c>
      <c r="GO60" s="266">
        <f>GN60*$GO$2</f>
        <v>112634.49599999998</v>
      </c>
      <c r="GP60" s="159">
        <f>GO60*118%</f>
        <v>132908.70527999997</v>
      </c>
      <c r="GQ60" s="118"/>
      <c r="GR60" s="151"/>
      <c r="GS60" s="151">
        <f>GR60/118%</f>
        <v>0</v>
      </c>
      <c r="GT60" s="151">
        <f>GS60/GS2</f>
        <v>0</v>
      </c>
      <c r="GU60" s="96">
        <v>800</v>
      </c>
      <c r="GV60" s="267">
        <f>GU60*$GV$2</f>
        <v>351078.62400000001</v>
      </c>
      <c r="GW60" s="96">
        <f>GV60*118%</f>
        <v>414272.77632</v>
      </c>
      <c r="GX60" s="118"/>
      <c r="GY60" s="151">
        <f>59000*2</f>
        <v>118000</v>
      </c>
      <c r="GZ60" s="151">
        <f>GY60/118%</f>
        <v>100000</v>
      </c>
      <c r="HA60" s="151">
        <f>GZ60/GZ2</f>
        <v>102.14504596527068</v>
      </c>
      <c r="HB60" s="159">
        <f>+HA60</f>
        <v>102.14504596527068</v>
      </c>
      <c r="HC60" s="266">
        <f>HB60*$HC$2</f>
        <v>68992.951991828391</v>
      </c>
      <c r="HD60" s="159">
        <f>HC60*118%</f>
        <v>81411.683350357504</v>
      </c>
      <c r="HE60" s="118"/>
      <c r="HF60" s="151"/>
      <c r="HG60" s="151">
        <f>HF60/118%</f>
        <v>0</v>
      </c>
      <c r="HH60" s="151">
        <f>HG60/HG2</f>
        <v>0</v>
      </c>
      <c r="HI60" s="210">
        <v>200</v>
      </c>
      <c r="HJ60" s="210">
        <f>HI60*HJ2</f>
        <v>196873.56</v>
      </c>
      <c r="HK60" s="210">
        <f>HJ60*118%</f>
        <v>232310.8008</v>
      </c>
      <c r="HL60" s="118"/>
      <c r="HM60" s="151"/>
      <c r="HN60" s="151">
        <f>HM60/118%</f>
        <v>0</v>
      </c>
      <c r="HO60" s="151">
        <f>HN60/HN2</f>
        <v>0</v>
      </c>
      <c r="HP60" s="96">
        <v>200</v>
      </c>
      <c r="HQ60" s="267">
        <f>HP60*$HQ$2</f>
        <v>160211.37599999999</v>
      </c>
      <c r="HR60" s="96">
        <f>HQ60*118%</f>
        <v>189049.42367999998</v>
      </c>
      <c r="HS60" s="118"/>
      <c r="HT60" s="318">
        <f>SUM(H60,O60,V60,AC60,AJ60,AQ60,AX60,BE60,BL60,BS60,BZ60,CG60,CN60,CU60,DB60,DI60,DP60,DW60,ED60,EK60,ER60,EY60,FF60,FM60,FT60,GA60,GH60,GO60,GV60,HC60,HJ60,HQ60)</f>
        <v>11735051.322916832</v>
      </c>
      <c r="HU60" s="151">
        <f>HT60*118%</f>
        <v>13847360.56104186</v>
      </c>
      <c r="HV60" s="319"/>
    </row>
    <row r="61" spans="1:230" s="26" customFormat="1" ht="15">
      <c r="A61" s="262"/>
      <c r="B61" s="23" t="s">
        <v>60</v>
      </c>
      <c r="C61" s="121"/>
      <c r="D61" s="154">
        <f>SUM(D57:D60)</f>
        <v>530405.28</v>
      </c>
      <c r="E61" s="154">
        <f>SUM(E57:E60)</f>
        <v>449496</v>
      </c>
      <c r="F61" s="152"/>
      <c r="G61" s="77"/>
      <c r="H61" s="78">
        <f>SUM(H57:H60)</f>
        <v>1168539.8399999999</v>
      </c>
      <c r="I61" s="78">
        <f>SUM(I57:I60)</f>
        <v>1378877.0111999996</v>
      </c>
      <c r="J61" s="121"/>
      <c r="K61" s="154">
        <f>SUM(K57:K60)</f>
        <v>0</v>
      </c>
      <c r="L61" s="154">
        <f>SUM(L57:L60)</f>
        <v>0</v>
      </c>
      <c r="M61" s="152"/>
      <c r="N61" s="77"/>
      <c r="O61" s="78">
        <f>SUM(O57:O60)</f>
        <v>1066927.68</v>
      </c>
      <c r="P61" s="78">
        <f>SUM(P57:P60)</f>
        <v>1258974.6623999998</v>
      </c>
      <c r="Q61" s="121"/>
      <c r="R61" s="154">
        <f>SUM(R57:R60)</f>
        <v>0</v>
      </c>
      <c r="S61" s="154">
        <f>SUM(S57:S60)</f>
        <v>0</v>
      </c>
      <c r="T61" s="152"/>
      <c r="U61" s="78"/>
      <c r="V61" s="78">
        <f>SUM(V57:V60)</f>
        <v>807881.25600000005</v>
      </c>
      <c r="W61" s="78">
        <f>SUM(W57:W60)</f>
        <v>953299.88207999989</v>
      </c>
      <c r="X61" s="121"/>
      <c r="Y61" s="154">
        <f>SUM(Y57:Y60)</f>
        <v>0</v>
      </c>
      <c r="Z61" s="154">
        <f>SUM(Z57:Z60)</f>
        <v>0</v>
      </c>
      <c r="AA61" s="152"/>
      <c r="AB61" s="159">
        <f>+AA61</f>
        <v>0</v>
      </c>
      <c r="AC61" s="78">
        <f>SUM(AC57:AC60)</f>
        <v>807881.25600000005</v>
      </c>
      <c r="AD61" s="78">
        <f>SUM(AD57:AD60)</f>
        <v>953299.88207999989</v>
      </c>
      <c r="AE61" s="121"/>
      <c r="AF61" s="154">
        <f>SUM(AF57:AF60)</f>
        <v>359900</v>
      </c>
      <c r="AG61" s="154">
        <f>SUM(AG57:AG60)</f>
        <v>305000</v>
      </c>
      <c r="AH61" s="152"/>
      <c r="AI61" s="99"/>
      <c r="AJ61" s="100">
        <f>SUM(AJ57:AJ60)</f>
        <v>1341732.5999999996</v>
      </c>
      <c r="AK61" s="100">
        <f>SUM(AK57:AK60)</f>
        <v>1583244.4679999994</v>
      </c>
      <c r="AL61" s="121"/>
      <c r="AM61" s="154">
        <f>SUM(AM57:AM60)</f>
        <v>4878692.3</v>
      </c>
      <c r="AN61" s="154">
        <f>SUM(AN57:AN60)</f>
        <v>4134485</v>
      </c>
      <c r="AO61" s="152"/>
      <c r="AP61" s="99"/>
      <c r="AQ61" s="100">
        <f>SUM(AQ57:AQ60)</f>
        <v>1342479.8918283263</v>
      </c>
      <c r="AR61" s="100">
        <f>SUM(AR57:AR60)</f>
        <v>1584126.272357425</v>
      </c>
      <c r="AS61" s="121"/>
      <c r="AT61" s="290">
        <f>SUM(AT58:AT60)</f>
        <v>1531665.96</v>
      </c>
      <c r="AU61" s="290">
        <f>SUM(AU58:AU60)</f>
        <v>1298022</v>
      </c>
      <c r="AV61" s="289"/>
      <c r="AW61" s="99"/>
      <c r="AX61" s="100">
        <f>SUM(AX57:AX60)</f>
        <v>2673440.1082483707</v>
      </c>
      <c r="AY61" s="100">
        <f>SUM(AY57:AY60)</f>
        <v>3154659.3277330776</v>
      </c>
      <c r="AZ61" s="121"/>
      <c r="BA61" s="290"/>
      <c r="BB61" s="290"/>
      <c r="BC61" s="289"/>
      <c r="BD61" s="99"/>
      <c r="BE61" s="100">
        <f>SUM(BE57:BE60)</f>
        <v>2138376.2399999998</v>
      </c>
      <c r="BF61" s="100">
        <f>SUM(BF57:BF60)</f>
        <v>2523283.9631999992</v>
      </c>
      <c r="BG61" s="121"/>
      <c r="BH61" s="154">
        <f>SUM(BH57:BH60)</f>
        <v>0</v>
      </c>
      <c r="BI61" s="154">
        <f>SUM(BI57:BI60)</f>
        <v>0</v>
      </c>
      <c r="BJ61" s="152"/>
      <c r="BK61" s="213"/>
      <c r="BL61" s="214">
        <f>SUM(BL57:BL60)</f>
        <v>191642.25599999996</v>
      </c>
      <c r="BM61" s="214">
        <f>SUM(BM57:BM60)</f>
        <v>226137.86207999993</v>
      </c>
      <c r="BN61" s="121"/>
      <c r="BO61" s="154">
        <f>SUM(BO57:BO60)</f>
        <v>0</v>
      </c>
      <c r="BP61" s="154">
        <f>SUM(BP57:BP60)</f>
        <v>0</v>
      </c>
      <c r="BQ61" s="152"/>
      <c r="BR61" s="213"/>
      <c r="BS61" s="214">
        <f>SUM(BS57:BS60)</f>
        <v>217045.29599999997</v>
      </c>
      <c r="BT61" s="214">
        <f>SUM(BT57:BT60)</f>
        <v>256113.44927999994</v>
      </c>
      <c r="BU61" s="121"/>
      <c r="BV61" s="154">
        <f>SUM(BV57:BV60)</f>
        <v>242559</v>
      </c>
      <c r="BW61" s="154">
        <f>SUM(BW57:BW60)</f>
        <v>205558.4745762712</v>
      </c>
      <c r="BX61" s="152"/>
      <c r="BY61" s="99"/>
      <c r="BZ61" s="100">
        <f>SUM(BZ57:BZ60)</f>
        <v>353832.69374237291</v>
      </c>
      <c r="CA61" s="100">
        <f>SUM(CA57:CA60)</f>
        <v>417522.57861599996</v>
      </c>
      <c r="CB61" s="121"/>
      <c r="CC61" s="154">
        <f>SUM(CC57:CC60)</f>
        <v>359900</v>
      </c>
      <c r="CD61" s="154">
        <f>SUM(CD57:CD60)</f>
        <v>305000</v>
      </c>
      <c r="CE61" s="152"/>
      <c r="CF61" s="99"/>
      <c r="CG61" s="100">
        <f>SUM(CG57:CG60)</f>
        <v>892937.9562913907</v>
      </c>
      <c r="CH61" s="100">
        <f>SUM(CH57:CH60)</f>
        <v>1053666.7884238409</v>
      </c>
      <c r="CI61" s="121"/>
      <c r="CJ61" s="154">
        <f>SUM(CJ57:CJ60)</f>
        <v>4878692.3</v>
      </c>
      <c r="CK61" s="154">
        <f>SUM(CK57:CK60)</f>
        <v>4134485</v>
      </c>
      <c r="CL61" s="152"/>
      <c r="CM61" s="99"/>
      <c r="CN61" s="100">
        <f>SUM(CN57:CN60)</f>
        <v>733422.50284754043</v>
      </c>
      <c r="CO61" s="100">
        <f>SUM(CO57:CO60)</f>
        <v>865438.55336009758</v>
      </c>
      <c r="CP61" s="121"/>
      <c r="CQ61" s="154">
        <f>SUM(CQ57:CQ60)</f>
        <v>4878692.3</v>
      </c>
      <c r="CR61" s="154">
        <f>SUM(CR57:CR60)</f>
        <v>4134485</v>
      </c>
      <c r="CS61" s="152"/>
      <c r="CT61" s="99"/>
      <c r="CU61" s="100">
        <f>SUM(CU57:CU60)</f>
        <v>733422.50284754043</v>
      </c>
      <c r="CV61" s="100">
        <f>SUM(CV57:CV60)</f>
        <v>865438.55336009758</v>
      </c>
      <c r="CW61" s="121"/>
      <c r="CX61" s="154">
        <f>SUM(CX57:CX60)</f>
        <v>0</v>
      </c>
      <c r="CY61" s="154">
        <f>SUM(CY57:CY60)</f>
        <v>0</v>
      </c>
      <c r="CZ61" s="152"/>
      <c r="DA61" s="213"/>
      <c r="DB61" s="214">
        <f>SUM(DB57:DB60)</f>
        <v>128156.18399999998</v>
      </c>
      <c r="DC61" s="214">
        <f>SUM(DC57:DC60)</f>
        <v>151224.29711999997</v>
      </c>
      <c r="DD61" s="121"/>
      <c r="DE61" s="154">
        <f>SUM(DE57:DE60)</f>
        <v>662067.32000000007</v>
      </c>
      <c r="DF61" s="154">
        <f>SUM(DF57:DF60)</f>
        <v>561074</v>
      </c>
      <c r="DG61" s="152"/>
      <c r="DH61" s="77"/>
      <c r="DI61" s="78">
        <f>SUM(DI57:DI60)</f>
        <v>254873.52641822264</v>
      </c>
      <c r="DJ61" s="78">
        <f>SUM(DJ57:DJ60)</f>
        <v>300750.76117350272</v>
      </c>
      <c r="DK61" s="121"/>
      <c r="DL61" s="154">
        <f>SUM(DL57:DL60)</f>
        <v>359900</v>
      </c>
      <c r="DM61" s="154">
        <f>SUM(DM57:DM60)</f>
        <v>305000</v>
      </c>
      <c r="DN61" s="152"/>
      <c r="DO61" s="99"/>
      <c r="DP61" s="100">
        <f>SUM(DP57:DP60)</f>
        <v>825464.25</v>
      </c>
      <c r="DQ61" s="100">
        <f>SUM(DQ57:DQ60)</f>
        <v>974047.81499999994</v>
      </c>
      <c r="DR61" s="121"/>
      <c r="DS61" s="154">
        <f>SUM(DS57:DS60)</f>
        <v>1774511.2000000002</v>
      </c>
      <c r="DT61" s="154">
        <f>SUM(DT57:DT60)</f>
        <v>1584385</v>
      </c>
      <c r="DU61" s="152"/>
      <c r="DV61" s="77"/>
      <c r="DW61" s="78">
        <f>SUM(DW57:DW60)</f>
        <v>461583.24178324861</v>
      </c>
      <c r="DX61" s="78">
        <f>SUM(DX57:DX60)</f>
        <v>544668.22530423326</v>
      </c>
      <c r="DY61" s="121"/>
      <c r="DZ61" s="154">
        <f>SUM(DZ57:DZ60)</f>
        <v>4878692.3</v>
      </c>
      <c r="EA61" s="154">
        <f>SUM(EA57:EA60)</f>
        <v>4134485</v>
      </c>
      <c r="EB61" s="152"/>
      <c r="EC61" s="99"/>
      <c r="ED61" s="100">
        <f>SUM(ED57:ED60)</f>
        <v>793418.86824441305</v>
      </c>
      <c r="EE61" s="100">
        <f>SUM(EE57:EE60)</f>
        <v>936234.26452840725</v>
      </c>
      <c r="EF61" s="121"/>
      <c r="EG61" s="154">
        <f>SUM(EG57:EG60)</f>
        <v>0</v>
      </c>
      <c r="EH61" s="154">
        <f>SUM(EH57:EH60)</f>
        <v>0</v>
      </c>
      <c r="EI61" s="152"/>
      <c r="EJ61" s="213"/>
      <c r="EK61" s="214">
        <f>SUM(EK57:EK60)</f>
        <v>147057.76799999998</v>
      </c>
      <c r="EL61" s="214">
        <f>SUM(EL57:EL60)</f>
        <v>173528.16623999996</v>
      </c>
      <c r="EM61" s="121"/>
      <c r="EN61" s="154">
        <f>SUM(EN57:EN60)</f>
        <v>803067.88000000012</v>
      </c>
      <c r="EO61" s="154">
        <f>SUM(EO57:EO60)</f>
        <v>680566</v>
      </c>
      <c r="EP61" s="152"/>
      <c r="EQ61" s="77"/>
      <c r="ER61" s="78">
        <f>SUM(ER57:ER60)</f>
        <v>457729.96574355848</v>
      </c>
      <c r="ES61" s="78">
        <f>SUM(ES57:ES60)</f>
        <v>540121.35957739898</v>
      </c>
      <c r="ET61" s="121"/>
      <c r="EU61" s="154">
        <f>SUM(EU57:EU60)</f>
        <v>4878692.3</v>
      </c>
      <c r="EV61" s="154">
        <f>SUM(EV57:EV60)</f>
        <v>4134485</v>
      </c>
      <c r="EW61" s="152"/>
      <c r="EX61" s="99"/>
      <c r="EY61" s="100">
        <f>SUM(EY57:EY60)</f>
        <v>5414822.2685642354</v>
      </c>
      <c r="EZ61" s="100">
        <f>SUM(EZ57:EZ60)</f>
        <v>6389490.2769057965</v>
      </c>
      <c r="FA61" s="121"/>
      <c r="FB61" s="154">
        <f>SUM(FB57:FB60)</f>
        <v>242559</v>
      </c>
      <c r="FC61" s="154">
        <f>SUM(FC57:FC60)</f>
        <v>205558.4745762712</v>
      </c>
      <c r="FD61" s="152"/>
      <c r="FE61" s="99"/>
      <c r="FF61" s="100">
        <f>SUM(FF57:FF60)</f>
        <v>498119.43705803389</v>
      </c>
      <c r="FG61" s="100">
        <f>SUM(FG57:FG60)</f>
        <v>587780.93572848011</v>
      </c>
      <c r="FH61" s="121"/>
      <c r="FI61" s="290">
        <f>SUM(FI58:FI60)</f>
        <v>1531665.96</v>
      </c>
      <c r="FJ61" s="290">
        <f>SUM(FJ58:FJ60)</f>
        <v>1298022</v>
      </c>
      <c r="FK61" s="289"/>
      <c r="FL61" s="99"/>
      <c r="FM61" s="100">
        <f>SUM(FM57:FM60)</f>
        <v>1609679.9511701937</v>
      </c>
      <c r="FN61" s="100">
        <f>SUM(FN57:FN60)</f>
        <v>1899422.3423808285</v>
      </c>
      <c r="FO61" s="121"/>
      <c r="FP61" s="154">
        <f>SUM(FP57:FP60)</f>
        <v>0</v>
      </c>
      <c r="FQ61" s="154">
        <f>SUM(FQ57:FQ60)</f>
        <v>0</v>
      </c>
      <c r="FR61" s="152"/>
      <c r="FS61" s="99"/>
      <c r="FT61" s="100">
        <f>SUM(FT57:FT60)</f>
        <v>727458.0299999998</v>
      </c>
      <c r="FU61" s="100">
        <f>SUM(FU57:FU60)</f>
        <v>858400.47539999988</v>
      </c>
      <c r="FV61" s="121"/>
      <c r="FW61" s="154">
        <f>SUM(FW57:FW60)</f>
        <v>359900</v>
      </c>
      <c r="FX61" s="154">
        <f>SUM(FX57:FX60)</f>
        <v>305000</v>
      </c>
      <c r="FY61" s="152"/>
      <c r="FZ61" s="99"/>
      <c r="GA61" s="100">
        <f>SUM(GA57:GA60)</f>
        <v>301391.99999999994</v>
      </c>
      <c r="GB61" s="100">
        <f>SUM(GB57:GB60)</f>
        <v>355642.55999999994</v>
      </c>
      <c r="GC61" s="121"/>
      <c r="GD61" s="154">
        <f>SUM(GD57:GD60)</f>
        <v>0</v>
      </c>
      <c r="GE61" s="154">
        <f>SUM(GE57:GE60)</f>
        <v>0</v>
      </c>
      <c r="GF61" s="152"/>
      <c r="GG61" s="77"/>
      <c r="GH61" s="78">
        <f>SUM(GH57:GH60)</f>
        <v>332284.67999999993</v>
      </c>
      <c r="GI61" s="78">
        <f>SUM(GI57:GI60)</f>
        <v>392095.92239999992</v>
      </c>
      <c r="GJ61" s="121"/>
      <c r="GK61" s="154">
        <f>SUM(GK57:GK60)</f>
        <v>815587.67999999993</v>
      </c>
      <c r="GL61" s="154">
        <f>SUM(GL57:GL60)</f>
        <v>691176</v>
      </c>
      <c r="GM61" s="152"/>
      <c r="GN61" s="77"/>
      <c r="GO61" s="78">
        <f>SUM(GO57:GO60)</f>
        <v>766787.25484014861</v>
      </c>
      <c r="GP61" s="78">
        <f>SUM(GP57:GP60)</f>
        <v>904808.96071137523</v>
      </c>
      <c r="GQ61" s="121"/>
      <c r="GR61" s="154">
        <f>SUM(GR57:GR60)</f>
        <v>359900</v>
      </c>
      <c r="GS61" s="154">
        <f>SUM(GS57:GS60)</f>
        <v>305000</v>
      </c>
      <c r="GT61" s="152"/>
      <c r="GU61" s="99"/>
      <c r="GV61" s="100">
        <f>SUM(GV57:GV60)</f>
        <v>877696.56</v>
      </c>
      <c r="GW61" s="100">
        <f>SUM(GW57:GW60)</f>
        <v>1035681.9408</v>
      </c>
      <c r="GX61" s="121"/>
      <c r="GY61" s="154">
        <f>SUM(GY57:GY60)</f>
        <v>662067.32000000007</v>
      </c>
      <c r="GZ61" s="154">
        <f>SUM(GZ57:GZ60)</f>
        <v>561074</v>
      </c>
      <c r="HA61" s="152"/>
      <c r="HB61" s="77"/>
      <c r="HC61" s="78">
        <f>SUM(HC57:HC60)</f>
        <v>387101.51545863121</v>
      </c>
      <c r="HD61" s="78">
        <f>SUM(HD57:HD60)</f>
        <v>456779.78824118484</v>
      </c>
      <c r="HE61" s="121"/>
      <c r="HF61" s="154">
        <f>SUM(HF57:HF60)</f>
        <v>0</v>
      </c>
      <c r="HG61" s="154">
        <f>SUM(HG57:HG60)</f>
        <v>0</v>
      </c>
      <c r="HH61" s="152"/>
      <c r="HI61" s="213"/>
      <c r="HJ61" s="214">
        <f>SUM(HJ57:HJ60)</f>
        <v>196873.56</v>
      </c>
      <c r="HK61" s="214">
        <f>SUM(HK57:HK60)</f>
        <v>232310.8008</v>
      </c>
      <c r="HL61" s="121"/>
      <c r="HM61" s="154">
        <f>SUM(HM57:HM60)</f>
        <v>359900</v>
      </c>
      <c r="HN61" s="154">
        <f>SUM(HN57:HN60)</f>
        <v>305000</v>
      </c>
      <c r="HO61" s="152"/>
      <c r="HP61" s="99"/>
      <c r="HQ61" s="100">
        <f>SUM(HQ57:HQ60)</f>
        <v>1762325.1359999997</v>
      </c>
      <c r="HR61" s="100">
        <f>SUM(HR57:HR60)</f>
        <v>2079543.6604799996</v>
      </c>
      <c r="HS61" s="122"/>
      <c r="HT61" s="321">
        <f>SUM(H61,O61,V61,AC61,AJ61,AQ61,AX61,BE61,BL61,BS61,BZ61,CG61,CN61,CU61,DB61,DI61,DP61,DW61,ED61,EK61,ER61,EY61,FF61,FM61,FT61,GA61,GH61,GO61,GV61,HC61,HJ61,HQ61)</f>
        <v>30412386.277086224</v>
      </c>
      <c r="HU61" s="161">
        <f>HT61*118%</f>
        <v>35886615.806961745</v>
      </c>
      <c r="HV61" s="320"/>
    </row>
    <row r="62" spans="1:230">
      <c r="A62" s="37"/>
      <c r="B62" s="38"/>
      <c r="C62" s="124"/>
      <c r="D62" s="155"/>
      <c r="E62" s="155"/>
      <c r="F62" s="155"/>
      <c r="G62" s="79"/>
      <c r="H62" s="79"/>
      <c r="I62" s="79"/>
      <c r="J62" s="124"/>
      <c r="K62" s="155"/>
      <c r="L62" s="155"/>
      <c r="M62" s="155"/>
      <c r="N62" s="79"/>
      <c r="O62" s="79"/>
      <c r="P62" s="79"/>
      <c r="Q62" s="124"/>
      <c r="R62" s="155"/>
      <c r="S62" s="155"/>
      <c r="T62" s="155"/>
      <c r="U62" s="79"/>
      <c r="V62" s="79"/>
      <c r="W62" s="79"/>
      <c r="X62" s="124"/>
      <c r="Y62" s="155"/>
      <c r="Z62" s="155"/>
      <c r="AA62" s="155"/>
      <c r="AB62" s="79"/>
      <c r="AC62" s="79"/>
      <c r="AD62" s="79"/>
      <c r="AE62" s="124"/>
      <c r="AF62" s="155"/>
      <c r="AG62" s="155"/>
      <c r="AH62" s="155"/>
      <c r="AI62" s="101"/>
      <c r="AJ62" s="101"/>
      <c r="AK62" s="101"/>
      <c r="AL62" s="124"/>
      <c r="AM62" s="155"/>
      <c r="AN62" s="155"/>
      <c r="AO62" s="155"/>
      <c r="AP62" s="101"/>
      <c r="AQ62" s="101"/>
      <c r="AR62" s="101"/>
      <c r="AS62" s="124"/>
      <c r="AT62" s="287"/>
      <c r="AU62" s="287"/>
      <c r="AV62" s="287"/>
      <c r="AW62" s="101"/>
      <c r="AX62" s="101"/>
      <c r="AY62" s="101"/>
      <c r="AZ62" s="124"/>
      <c r="BA62" s="287"/>
      <c r="BB62" s="287"/>
      <c r="BC62" s="287"/>
      <c r="BD62" s="101"/>
      <c r="BE62" s="101"/>
      <c r="BF62" s="101"/>
      <c r="BG62" s="124"/>
      <c r="BH62" s="155"/>
      <c r="BI62" s="155"/>
      <c r="BJ62" s="155"/>
      <c r="BK62" s="216"/>
      <c r="BL62" s="216"/>
      <c r="BM62" s="216"/>
      <c r="BN62" s="124"/>
      <c r="BO62" s="155"/>
      <c r="BP62" s="155"/>
      <c r="BQ62" s="155"/>
      <c r="BR62" s="216"/>
      <c r="BS62" s="216"/>
      <c r="BT62" s="216"/>
      <c r="BU62" s="124"/>
      <c r="BV62" s="155"/>
      <c r="BW62" s="155"/>
      <c r="BX62" s="155"/>
      <c r="BY62" s="101"/>
      <c r="BZ62" s="101"/>
      <c r="CA62" s="101"/>
      <c r="CB62" s="124"/>
      <c r="CC62" s="155"/>
      <c r="CD62" s="155"/>
      <c r="CE62" s="155"/>
      <c r="CF62" s="101"/>
      <c r="CG62" s="101"/>
      <c r="CH62" s="101"/>
      <c r="CI62" s="124"/>
      <c r="CJ62" s="155"/>
      <c r="CK62" s="155"/>
      <c r="CL62" s="155"/>
      <c r="CM62" s="101"/>
      <c r="CN62" s="101"/>
      <c r="CO62" s="101"/>
      <c r="CP62" s="124"/>
      <c r="CQ62" s="155"/>
      <c r="CR62" s="155"/>
      <c r="CS62" s="155"/>
      <c r="CT62" s="101"/>
      <c r="CU62" s="101"/>
      <c r="CV62" s="101"/>
      <c r="CW62" s="124"/>
      <c r="CX62" s="155"/>
      <c r="CY62" s="155"/>
      <c r="CZ62" s="155"/>
      <c r="DA62" s="216"/>
      <c r="DB62" s="216"/>
      <c r="DC62" s="216"/>
      <c r="DD62" s="124"/>
      <c r="DE62" s="155"/>
      <c r="DF62" s="155"/>
      <c r="DG62" s="155"/>
      <c r="DH62" s="79"/>
      <c r="DI62" s="79"/>
      <c r="DJ62" s="79"/>
      <c r="DK62" s="124"/>
      <c r="DL62" s="155"/>
      <c r="DM62" s="155"/>
      <c r="DN62" s="155"/>
      <c r="DO62" s="101"/>
      <c r="DP62" s="101"/>
      <c r="DQ62" s="101"/>
      <c r="DR62" s="124"/>
      <c r="DS62" s="155"/>
      <c r="DT62" s="155"/>
      <c r="DU62" s="155"/>
      <c r="DV62" s="79"/>
      <c r="DW62" s="79"/>
      <c r="DX62" s="79"/>
      <c r="DY62" s="124"/>
      <c r="DZ62" s="155"/>
      <c r="EA62" s="155"/>
      <c r="EB62" s="155"/>
      <c r="EC62" s="101"/>
      <c r="ED62" s="101"/>
      <c r="EE62" s="101"/>
      <c r="EF62" s="124"/>
      <c r="EG62" s="155"/>
      <c r="EH62" s="155"/>
      <c r="EI62" s="155"/>
      <c r="EJ62" s="216"/>
      <c r="EK62" s="216"/>
      <c r="EL62" s="216"/>
      <c r="EM62" s="124"/>
      <c r="EN62" s="155"/>
      <c r="EO62" s="155"/>
      <c r="EP62" s="155"/>
      <c r="EQ62" s="79"/>
      <c r="ER62" s="79"/>
      <c r="ES62" s="79"/>
      <c r="ET62" s="124"/>
      <c r="EU62" s="155"/>
      <c r="EV62" s="155"/>
      <c r="EW62" s="155"/>
      <c r="EX62" s="101"/>
      <c r="EY62" s="101"/>
      <c r="EZ62" s="101"/>
      <c r="FA62" s="124"/>
      <c r="FB62" s="155"/>
      <c r="FC62" s="155"/>
      <c r="FD62" s="155"/>
      <c r="FE62" s="101"/>
      <c r="FF62" s="101"/>
      <c r="FG62" s="101"/>
      <c r="FH62" s="124"/>
      <c r="FI62" s="287"/>
      <c r="FJ62" s="287"/>
      <c r="FK62" s="287"/>
      <c r="FL62" s="101"/>
      <c r="FM62" s="101"/>
      <c r="FN62" s="101"/>
      <c r="FO62" s="124"/>
      <c r="FP62" s="155"/>
      <c r="FQ62" s="155"/>
      <c r="FR62" s="155"/>
      <c r="FS62" s="101"/>
      <c r="FT62" s="101"/>
      <c r="FU62" s="101"/>
      <c r="FV62" s="124"/>
      <c r="FW62" s="155"/>
      <c r="FX62" s="155"/>
      <c r="FY62" s="155"/>
      <c r="FZ62" s="101"/>
      <c r="GA62" s="101"/>
      <c r="GB62" s="101"/>
      <c r="GC62" s="124"/>
      <c r="GD62" s="155"/>
      <c r="GE62" s="155"/>
      <c r="GF62" s="155"/>
      <c r="GG62" s="79"/>
      <c r="GH62" s="79"/>
      <c r="GI62" s="79"/>
      <c r="GJ62" s="124"/>
      <c r="GK62" s="155"/>
      <c r="GL62" s="155"/>
      <c r="GM62" s="155"/>
      <c r="GN62" s="79"/>
      <c r="GO62" s="79"/>
      <c r="GP62" s="79"/>
      <c r="GQ62" s="124"/>
      <c r="GR62" s="155"/>
      <c r="GS62" s="155"/>
      <c r="GT62" s="155"/>
      <c r="GU62" s="101"/>
      <c r="GV62" s="101"/>
      <c r="GW62" s="101"/>
      <c r="GX62" s="124"/>
      <c r="GY62" s="155"/>
      <c r="GZ62" s="155"/>
      <c r="HA62" s="155"/>
      <c r="HB62" s="79"/>
      <c r="HC62" s="79"/>
      <c r="HD62" s="79"/>
      <c r="HE62" s="124"/>
      <c r="HF62" s="155"/>
      <c r="HG62" s="155"/>
      <c r="HH62" s="155"/>
      <c r="HI62" s="216"/>
      <c r="HJ62" s="216"/>
      <c r="HK62" s="216"/>
      <c r="HL62" s="124"/>
      <c r="HM62" s="155"/>
      <c r="HN62" s="155"/>
      <c r="HO62" s="155"/>
      <c r="HP62" s="101"/>
      <c r="HQ62" s="101"/>
      <c r="HR62" s="101"/>
      <c r="HS62" s="124"/>
      <c r="HT62" s="324"/>
      <c r="HU62" s="155"/>
      <c r="HV62" s="325"/>
    </row>
    <row r="63" spans="1:230" ht="15">
      <c r="A63" s="13" t="s">
        <v>67</v>
      </c>
      <c r="B63" s="14" t="s">
        <v>57</v>
      </c>
      <c r="C63" s="123"/>
      <c r="D63" s="153"/>
      <c r="E63" s="153"/>
      <c r="F63" s="153"/>
      <c r="G63" s="153"/>
      <c r="H63" s="153"/>
      <c r="I63" s="153"/>
      <c r="J63" s="123"/>
      <c r="K63" s="153"/>
      <c r="L63" s="153"/>
      <c r="M63" s="153"/>
      <c r="N63" s="153"/>
      <c r="O63" s="153"/>
      <c r="P63" s="153"/>
      <c r="Q63" s="123"/>
      <c r="R63" s="153"/>
      <c r="S63" s="153"/>
      <c r="T63" s="153"/>
      <c r="U63" s="153"/>
      <c r="V63" s="153"/>
      <c r="W63" s="153"/>
      <c r="X63" s="123"/>
      <c r="Y63" s="153"/>
      <c r="Z63" s="153"/>
      <c r="AA63" s="153"/>
      <c r="AB63" s="153"/>
      <c r="AC63" s="153"/>
      <c r="AD63" s="153"/>
      <c r="AE63" s="123"/>
      <c r="AF63" s="153"/>
      <c r="AG63" s="153"/>
      <c r="AH63" s="153"/>
      <c r="AI63" s="153"/>
      <c r="AJ63" s="153"/>
      <c r="AK63" s="153"/>
      <c r="AL63" s="123"/>
      <c r="AM63" s="153"/>
      <c r="AN63" s="153"/>
      <c r="AO63" s="153"/>
      <c r="AP63" s="153"/>
      <c r="AQ63" s="153"/>
      <c r="AR63" s="153"/>
      <c r="AS63" s="123"/>
      <c r="AT63" s="293"/>
      <c r="AU63" s="293"/>
      <c r="AV63" s="293"/>
      <c r="AW63" s="153"/>
      <c r="AX63" s="153"/>
      <c r="AY63" s="153"/>
      <c r="AZ63" s="123"/>
      <c r="BA63" s="293"/>
      <c r="BB63" s="293"/>
      <c r="BC63" s="293"/>
      <c r="BD63" s="153"/>
      <c r="BE63" s="153"/>
      <c r="BF63" s="153"/>
      <c r="BG63" s="123"/>
      <c r="BH63" s="153"/>
      <c r="BI63" s="153"/>
      <c r="BJ63" s="153"/>
      <c r="BK63" s="153"/>
      <c r="BL63" s="153"/>
      <c r="BM63" s="153"/>
      <c r="BN63" s="123"/>
      <c r="BO63" s="153"/>
      <c r="BP63" s="153"/>
      <c r="BQ63" s="153"/>
      <c r="BR63" s="153"/>
      <c r="BS63" s="153"/>
      <c r="BT63" s="153"/>
      <c r="BU63" s="123"/>
      <c r="BV63" s="153"/>
      <c r="BW63" s="153"/>
      <c r="BX63" s="153"/>
      <c r="BY63" s="153"/>
      <c r="BZ63" s="153"/>
      <c r="CA63" s="153"/>
      <c r="CB63" s="123"/>
      <c r="CC63" s="153"/>
      <c r="CD63" s="153"/>
      <c r="CE63" s="153"/>
      <c r="CF63" s="153"/>
      <c r="CG63" s="153"/>
      <c r="CH63" s="153"/>
      <c r="CI63" s="123"/>
      <c r="CJ63" s="153"/>
      <c r="CK63" s="153"/>
      <c r="CL63" s="153"/>
      <c r="CM63" s="153"/>
      <c r="CN63" s="153"/>
      <c r="CO63" s="153"/>
      <c r="CP63" s="123"/>
      <c r="CQ63" s="153"/>
      <c r="CR63" s="153"/>
      <c r="CS63" s="153"/>
      <c r="CT63" s="153"/>
      <c r="CU63" s="153"/>
      <c r="CV63" s="153"/>
      <c r="CW63" s="123"/>
      <c r="CX63" s="153"/>
      <c r="CY63" s="153"/>
      <c r="CZ63" s="153"/>
      <c r="DA63" s="153"/>
      <c r="DB63" s="153"/>
      <c r="DC63" s="153"/>
      <c r="DD63" s="123"/>
      <c r="DE63" s="153"/>
      <c r="DF63" s="153"/>
      <c r="DG63" s="153"/>
      <c r="DH63" s="153"/>
      <c r="DI63" s="153"/>
      <c r="DJ63" s="153"/>
      <c r="DK63" s="123"/>
      <c r="DL63" s="153"/>
      <c r="DM63" s="153"/>
      <c r="DN63" s="153"/>
      <c r="DO63" s="153"/>
      <c r="DP63" s="153"/>
      <c r="DQ63" s="153"/>
      <c r="DR63" s="123"/>
      <c r="DS63" s="153"/>
      <c r="DT63" s="153"/>
      <c r="DU63" s="153"/>
      <c r="DV63" s="153"/>
      <c r="DW63" s="153"/>
      <c r="DX63" s="153"/>
      <c r="DY63" s="123"/>
      <c r="DZ63" s="153"/>
      <c r="EA63" s="153"/>
      <c r="EB63" s="153"/>
      <c r="EC63" s="153"/>
      <c r="ED63" s="153"/>
      <c r="EE63" s="153"/>
      <c r="EF63" s="123"/>
      <c r="EG63" s="153"/>
      <c r="EH63" s="153"/>
      <c r="EI63" s="153"/>
      <c r="EJ63" s="153"/>
      <c r="EK63" s="153"/>
      <c r="EL63" s="153"/>
      <c r="EM63" s="123"/>
      <c r="EN63" s="153"/>
      <c r="EO63" s="153"/>
      <c r="EP63" s="153"/>
      <c r="EQ63" s="153"/>
      <c r="ER63" s="153"/>
      <c r="ES63" s="153"/>
      <c r="ET63" s="123"/>
      <c r="EU63" s="153"/>
      <c r="EV63" s="153"/>
      <c r="EW63" s="153"/>
      <c r="EX63" s="153"/>
      <c r="EY63" s="153"/>
      <c r="EZ63" s="153"/>
      <c r="FA63" s="123"/>
      <c r="FB63" s="153"/>
      <c r="FC63" s="153"/>
      <c r="FD63" s="153"/>
      <c r="FE63" s="153"/>
      <c r="FF63" s="153"/>
      <c r="FG63" s="153"/>
      <c r="FH63" s="123"/>
      <c r="FI63" s="293"/>
      <c r="FJ63" s="293"/>
      <c r="FK63" s="293"/>
      <c r="FL63" s="153"/>
      <c r="FM63" s="153"/>
      <c r="FN63" s="153"/>
      <c r="FO63" s="123"/>
      <c r="FP63" s="153"/>
      <c r="FQ63" s="153"/>
      <c r="FR63" s="153"/>
      <c r="FS63" s="153"/>
      <c r="FT63" s="153"/>
      <c r="FU63" s="153"/>
      <c r="FV63" s="123"/>
      <c r="FW63" s="153"/>
      <c r="FX63" s="153"/>
      <c r="FY63" s="153"/>
      <c r="FZ63" s="153"/>
      <c r="GA63" s="153"/>
      <c r="GB63" s="153"/>
      <c r="GC63" s="123"/>
      <c r="GD63" s="153"/>
      <c r="GE63" s="153"/>
      <c r="GF63" s="153"/>
      <c r="GG63" s="153"/>
      <c r="GH63" s="153"/>
      <c r="GI63" s="153"/>
      <c r="GJ63" s="123"/>
      <c r="GK63" s="153"/>
      <c r="GL63" s="153"/>
      <c r="GM63" s="153"/>
      <c r="GN63" s="153"/>
      <c r="GO63" s="153"/>
      <c r="GP63" s="153"/>
      <c r="GQ63" s="123"/>
      <c r="GR63" s="153"/>
      <c r="GS63" s="153"/>
      <c r="GT63" s="153"/>
      <c r="GU63" s="153"/>
      <c r="GV63" s="153"/>
      <c r="GW63" s="153"/>
      <c r="GX63" s="123"/>
      <c r="GY63" s="153"/>
      <c r="GZ63" s="153"/>
      <c r="HA63" s="153"/>
      <c r="HB63" s="153"/>
      <c r="HC63" s="153"/>
      <c r="HD63" s="153"/>
      <c r="HE63" s="123"/>
      <c r="HF63" s="153"/>
      <c r="HG63" s="153"/>
      <c r="HH63" s="153"/>
      <c r="HI63" s="153"/>
      <c r="HJ63" s="153"/>
      <c r="HK63" s="153"/>
      <c r="HL63" s="123"/>
      <c r="HM63" s="153"/>
      <c r="HN63" s="153"/>
      <c r="HO63" s="153"/>
      <c r="HP63" s="153"/>
      <c r="HQ63" s="153"/>
      <c r="HR63" s="153"/>
      <c r="HS63" s="123"/>
      <c r="HT63" s="323"/>
      <c r="HU63" s="153"/>
      <c r="HV63" s="41"/>
    </row>
    <row r="64" spans="1:230">
      <c r="A64" s="37">
        <v>1</v>
      </c>
      <c r="B64" s="38" t="s">
        <v>58</v>
      </c>
      <c r="C64" s="118"/>
      <c r="D64" s="151">
        <v>304791.63999999996</v>
      </c>
      <c r="E64" s="151">
        <f>D64/118%</f>
        <v>258297.99999999997</v>
      </c>
      <c r="F64" s="151">
        <f>E64/E2</f>
        <v>1043.7126232422822</v>
      </c>
      <c r="G64" s="159">
        <v>1200</v>
      </c>
      <c r="H64" s="266">
        <f>G64*$H$2</f>
        <v>609672.95999999996</v>
      </c>
      <c r="I64" s="159">
        <f>H64*118%</f>
        <v>719414.09279999987</v>
      </c>
      <c r="J64" s="118"/>
      <c r="K64" s="151">
        <v>242599.74</v>
      </c>
      <c r="L64" s="151">
        <f>K64/118%</f>
        <v>205593</v>
      </c>
      <c r="M64" s="151">
        <f>L64/L2</f>
        <v>2937.042857142857</v>
      </c>
      <c r="N64" s="159">
        <f>+M64</f>
        <v>2937.042857142857</v>
      </c>
      <c r="O64" s="266">
        <f>N64*$O$2</f>
        <v>1492196.3436342855</v>
      </c>
      <c r="P64" s="159">
        <f>O64*118%</f>
        <v>1760791.6854884569</v>
      </c>
      <c r="Q64" s="118"/>
      <c r="R64" s="151">
        <v>242599.74</v>
      </c>
      <c r="S64" s="151">
        <f>R64/118%</f>
        <v>205593</v>
      </c>
      <c r="T64" s="151">
        <f>S64/S2</f>
        <v>2937.042857142857</v>
      </c>
      <c r="U64" s="159">
        <f>+T64</f>
        <v>2937.042857142857</v>
      </c>
      <c r="V64" s="266">
        <f>U64*$V$2</f>
        <v>1129896.1296925712</v>
      </c>
      <c r="W64" s="159">
        <f>V64*118%</f>
        <v>1333277.433037234</v>
      </c>
      <c r="X64" s="118"/>
      <c r="Y64" s="151">
        <v>242599.74</v>
      </c>
      <c r="Z64" s="151">
        <f>Y64/118%</f>
        <v>205593</v>
      </c>
      <c r="AA64" s="151">
        <f>Z64/Z2</f>
        <v>2937.042857142857</v>
      </c>
      <c r="AB64" s="159">
        <f>+AA64</f>
        <v>2937.042857142857</v>
      </c>
      <c r="AC64" s="266">
        <f>AB64*$AC$2</f>
        <v>1129896.1296925712</v>
      </c>
      <c r="AD64" s="159">
        <f>AC64*118%</f>
        <v>1333277.433037234</v>
      </c>
      <c r="AE64" s="118"/>
      <c r="AF64" s="151">
        <v>754925.65280000004</v>
      </c>
      <c r="AG64" s="151">
        <f>AF64/118%</f>
        <v>639767.5023728814</v>
      </c>
      <c r="AH64" s="151">
        <f>AG64/AG2</f>
        <v>4236.8708766415984</v>
      </c>
      <c r="AI64" s="96">
        <f>+AH64</f>
        <v>4236.8708766415984</v>
      </c>
      <c r="AJ64" s="267">
        <f>AI64*$AJ$2</f>
        <v>7579663.7029074803</v>
      </c>
      <c r="AK64" s="96">
        <f>AJ64*118%</f>
        <v>8944003.1694308259</v>
      </c>
      <c r="AL64" s="118"/>
      <c r="AM64" s="151">
        <v>1770000</v>
      </c>
      <c r="AN64" s="151">
        <f>AM64/118%</f>
        <v>1500000</v>
      </c>
      <c r="AO64" s="151">
        <f>AN64/AN2</f>
        <v>810.49537477306126</v>
      </c>
      <c r="AP64" s="96">
        <f>+AO64</f>
        <v>810.49537477306126</v>
      </c>
      <c r="AQ64" s="267">
        <f>AP64*$AQ$2</f>
        <v>607464.11126480496</v>
      </c>
      <c r="AR64" s="96">
        <f>AQ64*118%</f>
        <v>716807.65129246982</v>
      </c>
      <c r="AS64" s="118"/>
      <c r="AT64" s="287">
        <v>6726000</v>
      </c>
      <c r="AU64" s="287">
        <f>AT64/118%</f>
        <v>5700000</v>
      </c>
      <c r="AV64" s="288">
        <f>AU64/AU$2</f>
        <v>5244.9482866502267</v>
      </c>
      <c r="AW64" s="96">
        <f>+AV64</f>
        <v>5244.9482866502267</v>
      </c>
      <c r="AX64" s="267">
        <f>AW64*$AX$2</f>
        <v>9383090.8020170033</v>
      </c>
      <c r="AY64" s="96">
        <f>AX64*118%</f>
        <v>11072047.146380063</v>
      </c>
      <c r="AZ64" s="118"/>
      <c r="BA64" s="287"/>
      <c r="BB64" s="287"/>
      <c r="BC64" s="288"/>
      <c r="BD64" s="96">
        <v>7800</v>
      </c>
      <c r="BE64" s="267">
        <f>BD64*$BE$2</f>
        <v>7581515.7599999988</v>
      </c>
      <c r="BF64" s="96">
        <f>BE64*118%</f>
        <v>8946188.5967999976</v>
      </c>
      <c r="BG64" s="118"/>
      <c r="BH64" s="151"/>
      <c r="BI64" s="151">
        <f>BH64/118%</f>
        <v>0</v>
      </c>
      <c r="BJ64" s="151">
        <f>BI64/BI2</f>
        <v>0</v>
      </c>
      <c r="BK64" s="210"/>
      <c r="BL64" s="210">
        <f>BK64*BL2</f>
        <v>0</v>
      </c>
      <c r="BM64" s="210">
        <f>BL64*118%</f>
        <v>0</v>
      </c>
      <c r="BN64" s="118"/>
      <c r="BO64" s="151"/>
      <c r="BP64" s="151">
        <f>BO64/118%</f>
        <v>0</v>
      </c>
      <c r="BQ64" s="151">
        <f>BP64/BP2</f>
        <v>0</v>
      </c>
      <c r="BR64" s="210"/>
      <c r="BS64" s="210">
        <f>BR64*BS2</f>
        <v>0</v>
      </c>
      <c r="BT64" s="210">
        <f>BS64*118%</f>
        <v>0</v>
      </c>
      <c r="BU64" s="118"/>
      <c r="BV64" s="151">
        <v>2655293</v>
      </c>
      <c r="BW64" s="151">
        <f>BV64/118%</f>
        <v>2250248.3050847459</v>
      </c>
      <c r="BX64" s="151">
        <f>BW64/BW2</f>
        <v>500.05517890772131</v>
      </c>
      <c r="BY64" s="96">
        <f>+BX64</f>
        <v>500.05517890772131</v>
      </c>
      <c r="BZ64" s="96">
        <f>BY64*$BZ$2</f>
        <v>1598630.4018915254</v>
      </c>
      <c r="CA64" s="96">
        <f>BZ64*118%</f>
        <v>1886383.8742319997</v>
      </c>
      <c r="CB64" s="118"/>
      <c r="CC64" s="151">
        <v>754925.65280000004</v>
      </c>
      <c r="CD64" s="151">
        <f>CC64/118%</f>
        <v>639767.5023728814</v>
      </c>
      <c r="CE64" s="151">
        <f>CD64/CD2</f>
        <v>4236.8708766415984</v>
      </c>
      <c r="CF64" s="96">
        <f>+CE64</f>
        <v>4236.8708766415984</v>
      </c>
      <c r="CG64" s="267">
        <f>CF64*$CG$2</f>
        <v>1390973.18254319</v>
      </c>
      <c r="CH64" s="96">
        <f>CG64*118%</f>
        <v>1641348.3554009642</v>
      </c>
      <c r="CI64" s="118"/>
      <c r="CJ64" s="151">
        <v>1770000</v>
      </c>
      <c r="CK64" s="151">
        <f>CJ64/118%</f>
        <v>1500000</v>
      </c>
      <c r="CL64" s="151">
        <f>CK64/CK2</f>
        <v>810.49537477306126</v>
      </c>
      <c r="CM64" s="96">
        <f>+CL64</f>
        <v>810.49537477306126</v>
      </c>
      <c r="CN64" s="267">
        <f>CM64*CN$2</f>
        <v>266087.25252874551</v>
      </c>
      <c r="CO64" s="96">
        <f>CN64*118%</f>
        <v>313982.95798391965</v>
      </c>
      <c r="CP64" s="118"/>
      <c r="CQ64" s="151">
        <v>1770000</v>
      </c>
      <c r="CR64" s="151">
        <f>CQ64/118%</f>
        <v>1500000</v>
      </c>
      <c r="CS64" s="151">
        <f>CR64/CR2</f>
        <v>810.49537477306126</v>
      </c>
      <c r="CT64" s="96">
        <f>+CS64</f>
        <v>810.49537477306126</v>
      </c>
      <c r="CU64" s="267">
        <f>CT64*CU$2</f>
        <v>266087.25252874551</v>
      </c>
      <c r="CV64" s="96">
        <f>CU64*118%</f>
        <v>313982.95798391965</v>
      </c>
      <c r="CW64" s="118"/>
      <c r="CX64" s="151"/>
      <c r="CY64" s="151">
        <f>CX64/118%</f>
        <v>0</v>
      </c>
      <c r="CZ64" s="151">
        <f>CY64/CY2</f>
        <v>0</v>
      </c>
      <c r="DA64" s="210"/>
      <c r="DB64" s="210">
        <f>DA64*DB2</f>
        <v>0</v>
      </c>
      <c r="DC64" s="210">
        <f>DB64*118%</f>
        <v>0</v>
      </c>
      <c r="DD64" s="118"/>
      <c r="DE64" s="151">
        <v>2714000</v>
      </c>
      <c r="DF64" s="151">
        <f>DE64/118%</f>
        <v>2300000</v>
      </c>
      <c r="DG64" s="151">
        <f>DF64/DF2</f>
        <v>2349.3360572012257</v>
      </c>
      <c r="DH64" s="159">
        <f>+DG64</f>
        <v>2349.3360572012257</v>
      </c>
      <c r="DI64" s="266">
        <f>DH64*$DI$2</f>
        <v>892422.45965270663</v>
      </c>
      <c r="DJ64" s="159">
        <f>DI64*118%</f>
        <v>1053058.5023901938</v>
      </c>
      <c r="DK64" s="118"/>
      <c r="DL64" s="151">
        <v>754925.65280000004</v>
      </c>
      <c r="DM64" s="151">
        <f>DL64/118%</f>
        <v>639767.5023728814</v>
      </c>
      <c r="DN64" s="151">
        <f>DM64/DM2</f>
        <v>4236.8708766415984</v>
      </c>
      <c r="DO64" s="96">
        <f>+DN64</f>
        <v>4236.8708766415984</v>
      </c>
      <c r="DP64" s="267">
        <f>DO64*$DP$2</f>
        <v>2797908.3524270398</v>
      </c>
      <c r="DQ64" s="96">
        <f>DP64*118%</f>
        <v>3301531.8558639069</v>
      </c>
      <c r="DR64" s="118"/>
      <c r="DS64" s="151">
        <v>4256000</v>
      </c>
      <c r="DT64" s="151">
        <f>DS64/112%</f>
        <v>3799999.9999999995</v>
      </c>
      <c r="DU64" s="151">
        <f>DT64/$DS$2</f>
        <v>1441.4687808208785</v>
      </c>
      <c r="DV64" s="159">
        <f>+DU64</f>
        <v>1441.4687808208785</v>
      </c>
      <c r="DW64" s="266">
        <f>DV64*$DW$2</f>
        <v>1107064.4564145359</v>
      </c>
      <c r="DX64" s="159">
        <f>DW64*118%</f>
        <v>1306336.0585691524</v>
      </c>
      <c r="DY64" s="118"/>
      <c r="DZ64" s="151">
        <v>1770000</v>
      </c>
      <c r="EA64" s="151">
        <f>DZ64/118%</f>
        <v>1500000</v>
      </c>
      <c r="EB64" s="151">
        <f>EA64/EA2</f>
        <v>810.49537477306126</v>
      </c>
      <c r="EC64" s="96">
        <f>+EB64</f>
        <v>810.49537477306126</v>
      </c>
      <c r="ED64" s="267">
        <f>EC64*$ED$2</f>
        <v>287854.06220281834</v>
      </c>
      <c r="EE64" s="96">
        <f>ED64*118%</f>
        <v>339667.79339932563</v>
      </c>
      <c r="EF64" s="118"/>
      <c r="EG64" s="151"/>
      <c r="EH64" s="151">
        <f>EG64/118%</f>
        <v>0</v>
      </c>
      <c r="EI64" s="151">
        <f>EH64/EH2</f>
        <v>0</v>
      </c>
      <c r="EJ64" s="210"/>
      <c r="EK64" s="210">
        <f>EJ64*EK2</f>
        <v>0</v>
      </c>
      <c r="EL64" s="210">
        <f>EK64*118%</f>
        <v>0</v>
      </c>
      <c r="EM64" s="118"/>
      <c r="EN64" s="151">
        <v>3540000</v>
      </c>
      <c r="EO64" s="151">
        <f>EN64/118%</f>
        <v>3000000</v>
      </c>
      <c r="EP64" s="151">
        <f>EO64/EO2</f>
        <v>4807.0760158953981</v>
      </c>
      <c r="EQ64" s="159">
        <f>+EP64</f>
        <v>4807.0760158953981</v>
      </c>
      <c r="ER64" s="266">
        <f>EQ64*$ER$2</f>
        <v>1707272.3689270604</v>
      </c>
      <c r="ES64" s="159">
        <f>ER64*118%</f>
        <v>2014581.3953339311</v>
      </c>
      <c r="ET64" s="118"/>
      <c r="EU64" s="151">
        <v>1770000</v>
      </c>
      <c r="EV64" s="151">
        <f>EU64/118%</f>
        <v>1500000</v>
      </c>
      <c r="EW64" s="151">
        <f>EV64/EV2</f>
        <v>810.49537477306126</v>
      </c>
      <c r="EX64" s="96">
        <f>+EW64</f>
        <v>810.49537477306126</v>
      </c>
      <c r="EY64" s="267">
        <f>EX64*$EY$2</f>
        <v>1964509.0991614074</v>
      </c>
      <c r="EZ64" s="96">
        <f>EY64*118%</f>
        <v>2318120.7370104608</v>
      </c>
      <c r="FA64" s="118"/>
      <c r="FB64" s="151">
        <v>2655293</v>
      </c>
      <c r="FC64" s="151">
        <f>FB64/118%</f>
        <v>2250248.3050847459</v>
      </c>
      <c r="FD64" s="151">
        <f>FC64/FC2</f>
        <v>500.05517890772131</v>
      </c>
      <c r="FE64" s="96">
        <f>+FD64</f>
        <v>500.05517890772131</v>
      </c>
      <c r="FF64" s="267">
        <f>FE64*$FF$2</f>
        <v>2603345.3878075937</v>
      </c>
      <c r="FG64" s="96">
        <f>FF64*118%</f>
        <v>3071947.5576129602</v>
      </c>
      <c r="FH64" s="118"/>
      <c r="FI64" s="287">
        <v>6726000</v>
      </c>
      <c r="FJ64" s="287">
        <f>FI64/118%</f>
        <v>5700000</v>
      </c>
      <c r="FK64" s="288">
        <f>FJ64/FJ$2</f>
        <v>5244.9482866502267</v>
      </c>
      <c r="FL64" s="96">
        <f>+FK64</f>
        <v>5244.9482866502267</v>
      </c>
      <c r="FM64" s="267">
        <f>FL64*$FM$2</f>
        <v>7630959.4961168971</v>
      </c>
      <c r="FN64" s="139">
        <f>FM64*118%</f>
        <v>9004532.2054179385</v>
      </c>
      <c r="FO64" s="118"/>
      <c r="FP64" s="151">
        <v>542067</v>
      </c>
      <c r="FQ64" s="151">
        <f>FP64/118%</f>
        <v>459378.81355932204</v>
      </c>
      <c r="FR64" s="151">
        <f>FQ64/FQ2</f>
        <v>3062.5254237288136</v>
      </c>
      <c r="FS64" s="96">
        <f>+FR64</f>
        <v>3062.5254237288136</v>
      </c>
      <c r="FT64" s="267">
        <f>FS64*$FT$2</f>
        <v>4455717.4231413556</v>
      </c>
      <c r="FU64" s="96">
        <f>FT64*118%</f>
        <v>5257746.5593067994</v>
      </c>
      <c r="FV64" s="118"/>
      <c r="FW64" s="151">
        <v>754925.65280000004</v>
      </c>
      <c r="FX64" s="151">
        <f>FW64/118%</f>
        <v>639767.5023728814</v>
      </c>
      <c r="FY64" s="151">
        <f>FX64/FX2</f>
        <v>4236.8708766415984</v>
      </c>
      <c r="FZ64" s="96">
        <f>+FY64</f>
        <v>4236.8708766415984</v>
      </c>
      <c r="GA64" s="267">
        <f>FZ64*$GA$2</f>
        <v>798099.36703297775</v>
      </c>
      <c r="GB64" s="96">
        <f>GA64*118%</f>
        <v>941757.2530989137</v>
      </c>
      <c r="GC64" s="118"/>
      <c r="GD64" s="151">
        <v>243670</v>
      </c>
      <c r="GE64" s="151">
        <f>GD64/118%</f>
        <v>206500</v>
      </c>
      <c r="GF64" s="151">
        <f>GE64/GE2</f>
        <v>2950</v>
      </c>
      <c r="GG64" s="159">
        <f>+GF64</f>
        <v>2950</v>
      </c>
      <c r="GH64" s="266">
        <f>GG64*$GH$2</f>
        <v>1089155.3399999999</v>
      </c>
      <c r="GI64" s="159">
        <f>GH64*118%</f>
        <v>1285203.3011999999</v>
      </c>
      <c r="GJ64" s="118"/>
      <c r="GK64" s="151">
        <v>894440</v>
      </c>
      <c r="GL64" s="151">
        <f>GK64/118%</f>
        <v>758000</v>
      </c>
      <c r="GM64" s="270">
        <f>GL64/$GL$2</f>
        <v>3010.5169510373971</v>
      </c>
      <c r="GN64" s="159">
        <f>+GM64</f>
        <v>3010.5169510373971</v>
      </c>
      <c r="GO64" s="266">
        <f>GN64*$GO$2</f>
        <v>847720.14869888464</v>
      </c>
      <c r="GP64" s="159">
        <f>GO64*118%</f>
        <v>1000309.7754646838</v>
      </c>
      <c r="GQ64" s="118"/>
      <c r="GR64" s="151">
        <v>754925.65280000004</v>
      </c>
      <c r="GS64" s="151">
        <f>GR64/118%</f>
        <v>639767.5023728814</v>
      </c>
      <c r="GT64" s="151">
        <f>GS64/GS2</f>
        <v>4236.8708766415984</v>
      </c>
      <c r="GU64" s="96">
        <f>+GT64</f>
        <v>4236.8708766415984</v>
      </c>
      <c r="GV64" s="267">
        <f>GU64*$GV$2</f>
        <v>1859343.4967962576</v>
      </c>
      <c r="GW64" s="96">
        <f>GV64*118%</f>
        <v>2194025.3262195839</v>
      </c>
      <c r="GX64" s="118"/>
      <c r="GY64" s="151">
        <v>2714000</v>
      </c>
      <c r="GZ64" s="151">
        <f>GY64/118%</f>
        <v>2300000</v>
      </c>
      <c r="HA64" s="151">
        <f>GZ64/GZ2</f>
        <v>2349.3360572012257</v>
      </c>
      <c r="HB64" s="159">
        <f>+HA64</f>
        <v>2349.3360572012257</v>
      </c>
      <c r="HC64" s="266">
        <f>HB64*$HC$2</f>
        <v>1586837.8958120528</v>
      </c>
      <c r="HD64" s="159">
        <f>HC64*118%</f>
        <v>1872468.7170582223</v>
      </c>
      <c r="HE64" s="118"/>
      <c r="HF64" s="151"/>
      <c r="HG64" s="151">
        <f>HF64/118%</f>
        <v>0</v>
      </c>
      <c r="HH64" s="151">
        <f>HG64/HG2</f>
        <v>0</v>
      </c>
      <c r="HI64" s="210"/>
      <c r="HJ64" s="210">
        <f>HI64*HJ2</f>
        <v>0</v>
      </c>
      <c r="HK64" s="210">
        <f>HJ64*118%</f>
        <v>0</v>
      </c>
      <c r="HL64" s="118"/>
      <c r="HM64" s="151">
        <v>754925.65280000004</v>
      </c>
      <c r="HN64" s="151">
        <f>HM64/118%</f>
        <v>639767.5023728814</v>
      </c>
      <c r="HO64" s="151">
        <f>HN64/HN2</f>
        <v>4236.8708766415984</v>
      </c>
      <c r="HP64" s="96">
        <f>+HO64</f>
        <v>4236.8708766415984</v>
      </c>
      <c r="HQ64" s="267">
        <f>HP64*$HQ$2</f>
        <v>3393974.5654053837</v>
      </c>
      <c r="HR64" s="96">
        <f>HQ64*118%</f>
        <v>4004889.9871783527</v>
      </c>
      <c r="HS64" s="118"/>
      <c r="HT64" s="318">
        <f>SUM(H64,O64,V64,AC64,AJ64,AQ64,AX64,BE64,BL64,BS64,BZ64,CG64,CN64,CU64,DB64,DI64,DP64,DW64,ED64,EK64,ER64,EY64,FF64,FM64,FT64,GA64,GH64,GO64,GV64,HC64,HJ64,HQ64)</f>
        <v>66057357.948297881</v>
      </c>
      <c r="HU64" s="151">
        <f>HT64*118%</f>
        <v>77947682.3789915</v>
      </c>
      <c r="HV64" s="319"/>
    </row>
    <row r="65" spans="1:230">
      <c r="A65" s="37">
        <v>2</v>
      </c>
      <c r="B65" s="38" t="s">
        <v>59</v>
      </c>
      <c r="C65" s="118"/>
      <c r="D65" s="151"/>
      <c r="E65" s="151">
        <f>D65/118%</f>
        <v>0</v>
      </c>
      <c r="F65" s="151">
        <f>E65/E2</f>
        <v>0</v>
      </c>
      <c r="G65" s="159">
        <f>+F65</f>
        <v>0</v>
      </c>
      <c r="H65" s="266">
        <f>G65*$H$2</f>
        <v>0</v>
      </c>
      <c r="I65" s="159">
        <f>H65*118%</f>
        <v>0</v>
      </c>
      <c r="J65" s="118"/>
      <c r="K65" s="151"/>
      <c r="L65" s="151">
        <f>K65/118%</f>
        <v>0</v>
      </c>
      <c r="M65" s="151">
        <f>L65/L2</f>
        <v>0</v>
      </c>
      <c r="N65" s="159">
        <f>+M65</f>
        <v>0</v>
      </c>
      <c r="O65" s="266">
        <f>N65*$O$2</f>
        <v>0</v>
      </c>
      <c r="P65" s="159">
        <f>O65*118%</f>
        <v>0</v>
      </c>
      <c r="Q65" s="118"/>
      <c r="R65" s="151"/>
      <c r="S65" s="151">
        <f>R65/118%</f>
        <v>0</v>
      </c>
      <c r="T65" s="151">
        <f>S65/S2</f>
        <v>0</v>
      </c>
      <c r="U65" s="159">
        <f>+T65</f>
        <v>0</v>
      </c>
      <c r="V65" s="266">
        <f>U65*$V$2</f>
        <v>0</v>
      </c>
      <c r="W65" s="159">
        <f>V65*118%</f>
        <v>0</v>
      </c>
      <c r="X65" s="118"/>
      <c r="Y65" s="151"/>
      <c r="Z65" s="151">
        <f>Y65/118%</f>
        <v>0</v>
      </c>
      <c r="AA65" s="151">
        <f>Z65/Z2</f>
        <v>0</v>
      </c>
      <c r="AB65" s="159">
        <f>+AA65</f>
        <v>0</v>
      </c>
      <c r="AC65" s="266">
        <f>AB65*$AC$2</f>
        <v>0</v>
      </c>
      <c r="AD65" s="159">
        <f>AC65*118%</f>
        <v>0</v>
      </c>
      <c r="AE65" s="118"/>
      <c r="AF65" s="151"/>
      <c r="AG65" s="151">
        <f>AF65/118%</f>
        <v>0</v>
      </c>
      <c r="AH65" s="151">
        <f>AG65/AG2</f>
        <v>0</v>
      </c>
      <c r="AI65" s="96">
        <f>+AH65</f>
        <v>0</v>
      </c>
      <c r="AJ65" s="267">
        <f>AI65*$AJ$2</f>
        <v>0</v>
      </c>
      <c r="AK65" s="96">
        <f>AJ65*118%</f>
        <v>0</v>
      </c>
      <c r="AL65" s="118"/>
      <c r="AM65" s="151"/>
      <c r="AN65" s="151">
        <f>AM65/118%</f>
        <v>0</v>
      </c>
      <c r="AO65" s="151">
        <f>AN65/AN2</f>
        <v>0</v>
      </c>
      <c r="AP65" s="96">
        <f>+AO65</f>
        <v>0</v>
      </c>
      <c r="AQ65" s="267">
        <f>AP65*$AQ$2</f>
        <v>0</v>
      </c>
      <c r="AR65" s="96">
        <f>AQ65*118%</f>
        <v>0</v>
      </c>
      <c r="AS65" s="118"/>
      <c r="AT65" s="287"/>
      <c r="AU65" s="287">
        <f>AT65/118%</f>
        <v>0</v>
      </c>
      <c r="AV65" s="288">
        <f>AU65/AU$2</f>
        <v>0</v>
      </c>
      <c r="AW65" s="96">
        <f>+AV65</f>
        <v>0</v>
      </c>
      <c r="AX65" s="267">
        <f>AW65*$AX$2</f>
        <v>0</v>
      </c>
      <c r="AY65" s="96">
        <f>AX65*118%</f>
        <v>0</v>
      </c>
      <c r="AZ65" s="118"/>
      <c r="BA65" s="287"/>
      <c r="BB65" s="287"/>
      <c r="BC65" s="288"/>
      <c r="BD65" s="96">
        <f>+BC65</f>
        <v>0</v>
      </c>
      <c r="BE65" s="267">
        <f>BD65*$BE$2</f>
        <v>0</v>
      </c>
      <c r="BF65" s="96">
        <f>BE65*118%</f>
        <v>0</v>
      </c>
      <c r="BG65" s="118"/>
      <c r="BH65" s="151"/>
      <c r="BI65" s="151">
        <f>BH65/118%</f>
        <v>0</v>
      </c>
      <c r="BJ65" s="151">
        <f>BI65/BI2</f>
        <v>0</v>
      </c>
      <c r="BK65" s="210"/>
      <c r="BL65" s="210">
        <f>BK65*BL2</f>
        <v>0</v>
      </c>
      <c r="BM65" s="210">
        <f>BL65*118%</f>
        <v>0</v>
      </c>
      <c r="BN65" s="118"/>
      <c r="BO65" s="151"/>
      <c r="BP65" s="151">
        <f>BO65/118%</f>
        <v>0</v>
      </c>
      <c r="BQ65" s="151">
        <f>BP65/BP2</f>
        <v>0</v>
      </c>
      <c r="BR65" s="210"/>
      <c r="BS65" s="210">
        <f>BR65*BS2</f>
        <v>0</v>
      </c>
      <c r="BT65" s="210">
        <f>BS65*118%</f>
        <v>0</v>
      </c>
      <c r="BU65" s="118"/>
      <c r="BV65" s="151"/>
      <c r="BW65" s="151">
        <f>BV65/118%</f>
        <v>0</v>
      </c>
      <c r="BX65" s="151">
        <f>BW65/BW2</f>
        <v>0</v>
      </c>
      <c r="BY65" s="96">
        <f>+BX65</f>
        <v>0</v>
      </c>
      <c r="BZ65" s="96">
        <f>BY65*$BZ$2</f>
        <v>0</v>
      </c>
      <c r="CA65" s="96">
        <f>BZ65*118%</f>
        <v>0</v>
      </c>
      <c r="CB65" s="118"/>
      <c r="CC65" s="151"/>
      <c r="CD65" s="151">
        <f>CC65/118%</f>
        <v>0</v>
      </c>
      <c r="CE65" s="151">
        <f>CD65/CD2</f>
        <v>0</v>
      </c>
      <c r="CF65" s="96">
        <f>+CE65</f>
        <v>0</v>
      </c>
      <c r="CG65" s="267">
        <f>CF65*$CG$2</f>
        <v>0</v>
      </c>
      <c r="CH65" s="96">
        <f>CG65*118%</f>
        <v>0</v>
      </c>
      <c r="CI65" s="118"/>
      <c r="CJ65" s="151"/>
      <c r="CK65" s="151">
        <f>CJ65/118%</f>
        <v>0</v>
      </c>
      <c r="CL65" s="151">
        <f>CK65/CK2</f>
        <v>0</v>
      </c>
      <c r="CM65" s="96">
        <f>+CL65</f>
        <v>0</v>
      </c>
      <c r="CN65" s="267">
        <f>CM65*CN$2</f>
        <v>0</v>
      </c>
      <c r="CO65" s="96">
        <f>CN65*118%</f>
        <v>0</v>
      </c>
      <c r="CP65" s="118"/>
      <c r="CQ65" s="151"/>
      <c r="CR65" s="151">
        <f>CQ65/118%</f>
        <v>0</v>
      </c>
      <c r="CS65" s="151">
        <f>CR65/CR2</f>
        <v>0</v>
      </c>
      <c r="CT65" s="96">
        <f>+CS65</f>
        <v>0</v>
      </c>
      <c r="CU65" s="267">
        <f>CT65*CU$2</f>
        <v>0</v>
      </c>
      <c r="CV65" s="96">
        <f>CU65*118%</f>
        <v>0</v>
      </c>
      <c r="CW65" s="118"/>
      <c r="CX65" s="151"/>
      <c r="CY65" s="151">
        <f>CX65/118%</f>
        <v>0</v>
      </c>
      <c r="CZ65" s="151">
        <f>CY65/CY2</f>
        <v>0</v>
      </c>
      <c r="DA65" s="210"/>
      <c r="DB65" s="210">
        <f>DA65*DB2</f>
        <v>0</v>
      </c>
      <c r="DC65" s="210">
        <f>DB65*118%</f>
        <v>0</v>
      </c>
      <c r="DD65" s="118"/>
      <c r="DE65" s="151"/>
      <c r="DF65" s="151">
        <f>DE65/118%</f>
        <v>0</v>
      </c>
      <c r="DG65" s="151">
        <f>DF65/DF2</f>
        <v>0</v>
      </c>
      <c r="DH65" s="159">
        <f>+DG65</f>
        <v>0</v>
      </c>
      <c r="DI65" s="266">
        <f>DH65*$DI$2</f>
        <v>0</v>
      </c>
      <c r="DJ65" s="159">
        <f>DI65*118%</f>
        <v>0</v>
      </c>
      <c r="DK65" s="118"/>
      <c r="DL65" s="151"/>
      <c r="DM65" s="151">
        <f>DL65/118%</f>
        <v>0</v>
      </c>
      <c r="DN65" s="151">
        <f>DM65/DM2</f>
        <v>0</v>
      </c>
      <c r="DO65" s="96">
        <f>+DN65</f>
        <v>0</v>
      </c>
      <c r="DP65" s="267">
        <f>DO65*$DP$2</f>
        <v>0</v>
      </c>
      <c r="DQ65" s="96">
        <f>DP65*118%</f>
        <v>0</v>
      </c>
      <c r="DR65" s="118"/>
      <c r="DS65" s="151"/>
      <c r="DT65" s="151">
        <f>DS65/114%</f>
        <v>0</v>
      </c>
      <c r="DU65" s="133">
        <f>DT65/$DS$2</f>
        <v>0</v>
      </c>
      <c r="DV65" s="159">
        <f>+DU65</f>
        <v>0</v>
      </c>
      <c r="DW65" s="266">
        <f>DV65*$DW$2</f>
        <v>0</v>
      </c>
      <c r="DX65" s="159">
        <f>DW65*118%</f>
        <v>0</v>
      </c>
      <c r="DY65" s="118"/>
      <c r="DZ65" s="151"/>
      <c r="EA65" s="151">
        <f>DZ65/118%</f>
        <v>0</v>
      </c>
      <c r="EB65" s="151">
        <f>EA65/EA2</f>
        <v>0</v>
      </c>
      <c r="EC65" s="96">
        <f>+EB65</f>
        <v>0</v>
      </c>
      <c r="ED65" s="267">
        <f>EC65*$ED$2</f>
        <v>0</v>
      </c>
      <c r="EE65" s="96">
        <f>ED65*118%</f>
        <v>0</v>
      </c>
      <c r="EF65" s="118"/>
      <c r="EG65" s="151"/>
      <c r="EH65" s="151">
        <f>EG65/118%</f>
        <v>0</v>
      </c>
      <c r="EI65" s="151">
        <f>EH65/EH2</f>
        <v>0</v>
      </c>
      <c r="EJ65" s="210"/>
      <c r="EK65" s="210">
        <f>EJ65*EK2</f>
        <v>0</v>
      </c>
      <c r="EL65" s="210">
        <f>EK65*118%</f>
        <v>0</v>
      </c>
      <c r="EM65" s="118"/>
      <c r="EN65" s="151"/>
      <c r="EO65" s="151">
        <f>EN65/118%</f>
        <v>0</v>
      </c>
      <c r="EP65" s="151">
        <f>EO65/EO2</f>
        <v>0</v>
      </c>
      <c r="EQ65" s="159">
        <f>+EP65</f>
        <v>0</v>
      </c>
      <c r="ER65" s="266">
        <f>EQ65*$ER$2</f>
        <v>0</v>
      </c>
      <c r="ES65" s="159">
        <f>ER65*118%</f>
        <v>0</v>
      </c>
      <c r="ET65" s="118"/>
      <c r="EU65" s="151"/>
      <c r="EV65" s="151">
        <f>EU65/118%</f>
        <v>0</v>
      </c>
      <c r="EW65" s="151">
        <f>EV65/EV2</f>
        <v>0</v>
      </c>
      <c r="EX65" s="96">
        <f>+EW65</f>
        <v>0</v>
      </c>
      <c r="EY65" s="267">
        <f>EX65*$EY$2</f>
        <v>0</v>
      </c>
      <c r="EZ65" s="96">
        <f>EY65*118%</f>
        <v>0</v>
      </c>
      <c r="FA65" s="118"/>
      <c r="FB65" s="151"/>
      <c r="FC65" s="151">
        <f>FB65/118%</f>
        <v>0</v>
      </c>
      <c r="FD65" s="151">
        <f>FC65/FC2</f>
        <v>0</v>
      </c>
      <c r="FE65" s="96">
        <f>+FD65</f>
        <v>0</v>
      </c>
      <c r="FF65" s="267">
        <f>FE65*$FF$2</f>
        <v>0</v>
      </c>
      <c r="FG65" s="96">
        <f>FF65*118%</f>
        <v>0</v>
      </c>
      <c r="FH65" s="118"/>
      <c r="FI65" s="287"/>
      <c r="FJ65" s="287">
        <f>FI65/118%</f>
        <v>0</v>
      </c>
      <c r="FK65" s="288">
        <f>FJ65/FJ$2</f>
        <v>0</v>
      </c>
      <c r="FL65" s="96">
        <f>+FK65</f>
        <v>0</v>
      </c>
      <c r="FM65" s="267">
        <f>FL65*$FM$2</f>
        <v>0</v>
      </c>
      <c r="FN65" s="139">
        <f>FM65*118%</f>
        <v>0</v>
      </c>
      <c r="FO65" s="118"/>
      <c r="FP65" s="151"/>
      <c r="FQ65" s="151">
        <f>FP65/118%</f>
        <v>0</v>
      </c>
      <c r="FR65" s="151">
        <f>FQ65/FQ2</f>
        <v>0</v>
      </c>
      <c r="FS65" s="96">
        <f>+FR65</f>
        <v>0</v>
      </c>
      <c r="FT65" s="267">
        <f>FS65*$FT$2</f>
        <v>0</v>
      </c>
      <c r="FU65" s="96">
        <f>FT65*118%</f>
        <v>0</v>
      </c>
      <c r="FV65" s="118"/>
      <c r="FW65" s="151"/>
      <c r="FX65" s="151">
        <f>FW65/118%</f>
        <v>0</v>
      </c>
      <c r="FY65" s="151">
        <f>FX65/FX2</f>
        <v>0</v>
      </c>
      <c r="FZ65" s="96">
        <f>+FY65</f>
        <v>0</v>
      </c>
      <c r="GA65" s="267">
        <f>FZ65*$GA$2</f>
        <v>0</v>
      </c>
      <c r="GB65" s="96">
        <f>GA65*118%</f>
        <v>0</v>
      </c>
      <c r="GC65" s="118"/>
      <c r="GD65" s="151"/>
      <c r="GE65" s="151">
        <f>GD65/118%</f>
        <v>0</v>
      </c>
      <c r="GF65" s="151">
        <f>GE65/GE2</f>
        <v>0</v>
      </c>
      <c r="GG65" s="159">
        <f>+GF65</f>
        <v>0</v>
      </c>
      <c r="GH65" s="266">
        <f>GG65*$GH$2</f>
        <v>0</v>
      </c>
      <c r="GI65" s="159">
        <f>GH65*118%</f>
        <v>0</v>
      </c>
      <c r="GJ65" s="118"/>
      <c r="GK65" s="151"/>
      <c r="GL65" s="151">
        <f>GK65/118%</f>
        <v>0</v>
      </c>
      <c r="GM65" s="270">
        <f>GL65/$GL$2</f>
        <v>0</v>
      </c>
      <c r="GN65" s="159">
        <f>+GM65</f>
        <v>0</v>
      </c>
      <c r="GO65" s="266">
        <f>GN65*$GO$2</f>
        <v>0</v>
      </c>
      <c r="GP65" s="159">
        <f>GO65*118%</f>
        <v>0</v>
      </c>
      <c r="GQ65" s="118"/>
      <c r="GR65" s="151"/>
      <c r="GS65" s="151">
        <f>GR65/118%</f>
        <v>0</v>
      </c>
      <c r="GT65" s="151">
        <f>GS65/GS2</f>
        <v>0</v>
      </c>
      <c r="GU65" s="96">
        <f>+GT65</f>
        <v>0</v>
      </c>
      <c r="GV65" s="267">
        <f>GU65*$GV$2</f>
        <v>0</v>
      </c>
      <c r="GW65" s="96">
        <f>GV65*118%</f>
        <v>0</v>
      </c>
      <c r="GX65" s="118"/>
      <c r="GY65" s="151"/>
      <c r="GZ65" s="151">
        <f>GY65/118%</f>
        <v>0</v>
      </c>
      <c r="HA65" s="151">
        <f>GZ65/GZ2</f>
        <v>0</v>
      </c>
      <c r="HB65" s="159">
        <f>+HA65</f>
        <v>0</v>
      </c>
      <c r="HC65" s="266">
        <f>HB65*$HC$2</f>
        <v>0</v>
      </c>
      <c r="HD65" s="159">
        <f>HC65*118%</f>
        <v>0</v>
      </c>
      <c r="HE65" s="118"/>
      <c r="HF65" s="151"/>
      <c r="HG65" s="151">
        <f>HF65/118%</f>
        <v>0</v>
      </c>
      <c r="HH65" s="151">
        <f>HG65/HG2</f>
        <v>0</v>
      </c>
      <c r="HI65" s="210"/>
      <c r="HJ65" s="210">
        <f>HI65*HJ2</f>
        <v>0</v>
      </c>
      <c r="HK65" s="210">
        <f>HJ65*118%</f>
        <v>0</v>
      </c>
      <c r="HL65" s="118"/>
      <c r="HM65" s="151"/>
      <c r="HN65" s="151">
        <f>HM65/118%</f>
        <v>0</v>
      </c>
      <c r="HO65" s="151">
        <f>HN65/HN2</f>
        <v>0</v>
      </c>
      <c r="HP65" s="96">
        <f>+HO65</f>
        <v>0</v>
      </c>
      <c r="HQ65" s="267">
        <f>HP65*$HQ$2</f>
        <v>0</v>
      </c>
      <c r="HR65" s="96">
        <f>HQ65*118%</f>
        <v>0</v>
      </c>
      <c r="HS65" s="118"/>
      <c r="HT65" s="318">
        <f>SUM(H65,O65,V65,AC65,AJ65,AQ65,AX65,BE65,BL65,BS65,BZ65,CG65,CN65,CU65,DB65,DI65,DP65,DW65,ED65,EK65,ER65,EY65,FF65,FM65,FT65,GA65,GH65,GO65,GV65,HC65,HJ65,HQ65)</f>
        <v>0</v>
      </c>
      <c r="HU65" s="151">
        <f>HT65*118%</f>
        <v>0</v>
      </c>
      <c r="HV65" s="319"/>
    </row>
    <row r="66" spans="1:230">
      <c r="A66" s="37">
        <v>3</v>
      </c>
      <c r="B66" s="38" t="s">
        <v>214</v>
      </c>
      <c r="C66" s="118"/>
      <c r="D66" s="151"/>
      <c r="E66" s="151">
        <f>D66/118%</f>
        <v>0</v>
      </c>
      <c r="F66" s="151">
        <f>E66/E2</f>
        <v>0</v>
      </c>
      <c r="G66" s="159">
        <f>+F66</f>
        <v>0</v>
      </c>
      <c r="H66" s="266">
        <f>G66*$H$2</f>
        <v>0</v>
      </c>
      <c r="I66" s="159">
        <f>H66*118%</f>
        <v>0</v>
      </c>
      <c r="J66" s="118"/>
      <c r="K66" s="151"/>
      <c r="L66" s="151">
        <f>K66/118%</f>
        <v>0</v>
      </c>
      <c r="M66" s="151">
        <f>L66/L2</f>
        <v>0</v>
      </c>
      <c r="N66" s="159">
        <f>+M66</f>
        <v>0</v>
      </c>
      <c r="O66" s="266">
        <f>N66*$O$2</f>
        <v>0</v>
      </c>
      <c r="P66" s="159">
        <f>O66*118%</f>
        <v>0</v>
      </c>
      <c r="Q66" s="118"/>
      <c r="R66" s="151"/>
      <c r="S66" s="151">
        <f>R66/118%</f>
        <v>0</v>
      </c>
      <c r="T66" s="151">
        <f>S66/S2</f>
        <v>0</v>
      </c>
      <c r="U66" s="159">
        <f>+T66</f>
        <v>0</v>
      </c>
      <c r="V66" s="266">
        <f>U66*$V$2</f>
        <v>0</v>
      </c>
      <c r="W66" s="159">
        <f>V66*118%</f>
        <v>0</v>
      </c>
      <c r="X66" s="118"/>
      <c r="Y66" s="151"/>
      <c r="Z66" s="151">
        <f>Y66/118%</f>
        <v>0</v>
      </c>
      <c r="AA66" s="151">
        <f>Z66/Z2</f>
        <v>0</v>
      </c>
      <c r="AB66" s="159">
        <f>+AA66</f>
        <v>0</v>
      </c>
      <c r="AC66" s="266">
        <f>AB66*$AC$2</f>
        <v>0</v>
      </c>
      <c r="AD66" s="159">
        <f>AC66*118%</f>
        <v>0</v>
      </c>
      <c r="AE66" s="118"/>
      <c r="AF66" s="151"/>
      <c r="AG66" s="151">
        <f>AF66/118%</f>
        <v>0</v>
      </c>
      <c r="AH66" s="151">
        <f>AG66/AG2</f>
        <v>0</v>
      </c>
      <c r="AI66" s="96">
        <f>+AH66</f>
        <v>0</v>
      </c>
      <c r="AJ66" s="267">
        <f>AI66*$AJ$2</f>
        <v>0</v>
      </c>
      <c r="AK66" s="96">
        <f>AJ66*118%</f>
        <v>0</v>
      </c>
      <c r="AL66" s="118"/>
      <c r="AM66" s="151"/>
      <c r="AN66" s="151">
        <f>AM66/118%</f>
        <v>0</v>
      </c>
      <c r="AO66" s="151">
        <f>AN66/AN2</f>
        <v>0</v>
      </c>
      <c r="AP66" s="96">
        <f>+AO66</f>
        <v>0</v>
      </c>
      <c r="AQ66" s="267">
        <f>AP66*$AQ$2</f>
        <v>0</v>
      </c>
      <c r="AR66" s="96">
        <f>AQ66*118%</f>
        <v>0</v>
      </c>
      <c r="AS66" s="118"/>
      <c r="AT66" s="287"/>
      <c r="AU66" s="287"/>
      <c r="AV66" s="288"/>
      <c r="AW66" s="96">
        <f>+AV66</f>
        <v>0</v>
      </c>
      <c r="AX66" s="267">
        <f>AW66*$AX$2</f>
        <v>0</v>
      </c>
      <c r="AY66" s="96">
        <f>AX66*118%</f>
        <v>0</v>
      </c>
      <c r="AZ66" s="118"/>
      <c r="BA66" s="287"/>
      <c r="BB66" s="287"/>
      <c r="BC66" s="288"/>
      <c r="BD66" s="96">
        <f>+BC66</f>
        <v>0</v>
      </c>
      <c r="BE66" s="267">
        <f>BD66*$BE$2</f>
        <v>0</v>
      </c>
      <c r="BF66" s="96">
        <f>BE66*118%</f>
        <v>0</v>
      </c>
      <c r="BG66" s="118"/>
      <c r="BH66" s="151"/>
      <c r="BI66" s="151">
        <f>BH66/118%</f>
        <v>0</v>
      </c>
      <c r="BJ66" s="151">
        <f>BI66/BI2</f>
        <v>0</v>
      </c>
      <c r="BK66" s="210"/>
      <c r="BL66" s="210">
        <f>BK66*BL2</f>
        <v>0</v>
      </c>
      <c r="BM66" s="210">
        <f>BL66*118%</f>
        <v>0</v>
      </c>
      <c r="BN66" s="118"/>
      <c r="BO66" s="151"/>
      <c r="BP66" s="151">
        <f>BO66/118%</f>
        <v>0</v>
      </c>
      <c r="BQ66" s="151">
        <f>BP66/BP2</f>
        <v>0</v>
      </c>
      <c r="BR66" s="210"/>
      <c r="BS66" s="210">
        <f>BR66*BS2</f>
        <v>0</v>
      </c>
      <c r="BT66" s="210">
        <f>BS66*118%</f>
        <v>0</v>
      </c>
      <c r="BU66" s="118"/>
      <c r="BV66" s="151"/>
      <c r="BW66" s="151">
        <f>BV66/118%</f>
        <v>0</v>
      </c>
      <c r="BX66" s="151">
        <f>BW66/BW2</f>
        <v>0</v>
      </c>
      <c r="BY66" s="96">
        <f>+BX66</f>
        <v>0</v>
      </c>
      <c r="BZ66" s="96">
        <f>BY66*$BZ$2</f>
        <v>0</v>
      </c>
      <c r="CA66" s="96">
        <f>BZ66*118%</f>
        <v>0</v>
      </c>
      <c r="CB66" s="118"/>
      <c r="CC66" s="151"/>
      <c r="CD66" s="151">
        <f>CC66/118%</f>
        <v>0</v>
      </c>
      <c r="CE66" s="151">
        <f>CD66/CD2</f>
        <v>0</v>
      </c>
      <c r="CF66" s="96">
        <f>+CE66</f>
        <v>0</v>
      </c>
      <c r="CG66" s="267">
        <f>CF66*$CG$2</f>
        <v>0</v>
      </c>
      <c r="CH66" s="96">
        <f>CG66*118%</f>
        <v>0</v>
      </c>
      <c r="CI66" s="118"/>
      <c r="CJ66" s="151"/>
      <c r="CK66" s="151">
        <f>CJ66/118%</f>
        <v>0</v>
      </c>
      <c r="CL66" s="151">
        <f>CK66/CK2</f>
        <v>0</v>
      </c>
      <c r="CM66" s="96">
        <f>+CL66</f>
        <v>0</v>
      </c>
      <c r="CN66" s="267">
        <f>CM66*CN$2</f>
        <v>0</v>
      </c>
      <c r="CO66" s="96">
        <f>CN66*118%</f>
        <v>0</v>
      </c>
      <c r="CP66" s="118"/>
      <c r="CQ66" s="151"/>
      <c r="CR66" s="151">
        <f>CQ66/118%</f>
        <v>0</v>
      </c>
      <c r="CS66" s="151">
        <f>CR66/CR2</f>
        <v>0</v>
      </c>
      <c r="CT66" s="96">
        <f>+CS66</f>
        <v>0</v>
      </c>
      <c r="CU66" s="267">
        <f>CT66*CU$2</f>
        <v>0</v>
      </c>
      <c r="CV66" s="96">
        <f>CU66*118%</f>
        <v>0</v>
      </c>
      <c r="CW66" s="118"/>
      <c r="CX66" s="151"/>
      <c r="CY66" s="151">
        <f>CX66/118%</f>
        <v>0</v>
      </c>
      <c r="CZ66" s="151">
        <f>CY66/CY2</f>
        <v>0</v>
      </c>
      <c r="DA66" s="210"/>
      <c r="DB66" s="210">
        <f>DA66*DB2</f>
        <v>0</v>
      </c>
      <c r="DC66" s="210">
        <f>DB66*118%</f>
        <v>0</v>
      </c>
      <c r="DD66" s="118"/>
      <c r="DE66" s="151"/>
      <c r="DF66" s="151">
        <f>DE66/118%</f>
        <v>0</v>
      </c>
      <c r="DG66" s="151">
        <f>DF66/DF2</f>
        <v>0</v>
      </c>
      <c r="DH66" s="159">
        <f>+DG66</f>
        <v>0</v>
      </c>
      <c r="DI66" s="266">
        <f>DH66*$DI$2</f>
        <v>0</v>
      </c>
      <c r="DJ66" s="159">
        <f>DI66*118%</f>
        <v>0</v>
      </c>
      <c r="DK66" s="118"/>
      <c r="DL66" s="151"/>
      <c r="DM66" s="151">
        <f>DL66/118%</f>
        <v>0</v>
      </c>
      <c r="DN66" s="151">
        <f>DM66/DM2</f>
        <v>0</v>
      </c>
      <c r="DO66" s="96">
        <f>+DN66</f>
        <v>0</v>
      </c>
      <c r="DP66" s="267">
        <f>DO66*$DP$2</f>
        <v>0</v>
      </c>
      <c r="DQ66" s="96">
        <f>DP66*118%</f>
        <v>0</v>
      </c>
      <c r="DR66" s="118"/>
      <c r="DS66" s="151"/>
      <c r="DT66" s="151">
        <f>DS66/114%</f>
        <v>0</v>
      </c>
      <c r="DU66" s="133">
        <f>DT66/$DS$2</f>
        <v>0</v>
      </c>
      <c r="DV66" s="159">
        <f>+DU66</f>
        <v>0</v>
      </c>
      <c r="DW66" s="266">
        <f>DV66*$DW$2</f>
        <v>0</v>
      </c>
      <c r="DX66" s="159">
        <f>DW66*118%</f>
        <v>0</v>
      </c>
      <c r="DY66" s="118"/>
      <c r="DZ66" s="151"/>
      <c r="EA66" s="151">
        <f>DZ66/118%</f>
        <v>0</v>
      </c>
      <c r="EB66" s="151">
        <f>EA66/EA2</f>
        <v>0</v>
      </c>
      <c r="EC66" s="96">
        <f>+EB66</f>
        <v>0</v>
      </c>
      <c r="ED66" s="267">
        <f>EC66*$ED$2</f>
        <v>0</v>
      </c>
      <c r="EE66" s="96">
        <f>ED66*118%</f>
        <v>0</v>
      </c>
      <c r="EF66" s="118"/>
      <c r="EG66" s="151"/>
      <c r="EH66" s="151">
        <f>EG66/118%</f>
        <v>0</v>
      </c>
      <c r="EI66" s="151">
        <f>EH66/EH2</f>
        <v>0</v>
      </c>
      <c r="EJ66" s="210"/>
      <c r="EK66" s="210">
        <f>EJ66*EK2</f>
        <v>0</v>
      </c>
      <c r="EL66" s="210">
        <f>EK66*118%</f>
        <v>0</v>
      </c>
      <c r="EM66" s="118"/>
      <c r="EN66" s="151"/>
      <c r="EO66" s="151">
        <f>EN66/118%</f>
        <v>0</v>
      </c>
      <c r="EP66" s="151">
        <f>EO66/EO2</f>
        <v>0</v>
      </c>
      <c r="EQ66" s="159">
        <f>+EP66</f>
        <v>0</v>
      </c>
      <c r="ER66" s="266">
        <f>EQ66*$ER$2</f>
        <v>0</v>
      </c>
      <c r="ES66" s="159">
        <f>ER66*118%</f>
        <v>0</v>
      </c>
      <c r="ET66" s="118"/>
      <c r="EU66" s="151"/>
      <c r="EV66" s="151">
        <f>EU66/118%</f>
        <v>0</v>
      </c>
      <c r="EW66" s="151">
        <f>EV66/EV2</f>
        <v>0</v>
      </c>
      <c r="EX66" s="96">
        <f>+EW66</f>
        <v>0</v>
      </c>
      <c r="EY66" s="267">
        <f>EX66*$EY$2</f>
        <v>0</v>
      </c>
      <c r="EZ66" s="96">
        <f>EY66*118%</f>
        <v>0</v>
      </c>
      <c r="FA66" s="118"/>
      <c r="FB66" s="151"/>
      <c r="FC66" s="151">
        <f>FB66/118%</f>
        <v>0</v>
      </c>
      <c r="FD66" s="151">
        <f>FC66/FC2</f>
        <v>0</v>
      </c>
      <c r="FE66" s="96">
        <f>+FD66</f>
        <v>0</v>
      </c>
      <c r="FF66" s="267">
        <f>FE66*$FF$2</f>
        <v>0</v>
      </c>
      <c r="FG66" s="96">
        <f>FF66*118%</f>
        <v>0</v>
      </c>
      <c r="FH66" s="118"/>
      <c r="FI66" s="287"/>
      <c r="FJ66" s="287"/>
      <c r="FK66" s="288"/>
      <c r="FL66" s="96">
        <f>+FK66</f>
        <v>0</v>
      </c>
      <c r="FM66" s="267">
        <f>FL66*$FM$2</f>
        <v>0</v>
      </c>
      <c r="FN66" s="139">
        <f>FM66*118%</f>
        <v>0</v>
      </c>
      <c r="FO66" s="118"/>
      <c r="FP66" s="151"/>
      <c r="FQ66" s="151">
        <f>FP66/118%</f>
        <v>0</v>
      </c>
      <c r="FR66" s="151">
        <f>FQ66/FQ2</f>
        <v>0</v>
      </c>
      <c r="FS66" s="96">
        <f>+FR66</f>
        <v>0</v>
      </c>
      <c r="FT66" s="267">
        <f>FS66*$FT$2</f>
        <v>0</v>
      </c>
      <c r="FU66" s="96">
        <f>FT66*118%</f>
        <v>0</v>
      </c>
      <c r="FV66" s="118"/>
      <c r="FW66" s="151"/>
      <c r="FX66" s="151">
        <f>FW66/118%</f>
        <v>0</v>
      </c>
      <c r="FY66" s="151">
        <f>FX66/FX2</f>
        <v>0</v>
      </c>
      <c r="FZ66" s="96">
        <f>+FY66</f>
        <v>0</v>
      </c>
      <c r="GA66" s="267">
        <f>FZ66*$GA$2</f>
        <v>0</v>
      </c>
      <c r="GB66" s="96">
        <f>GA66*118%</f>
        <v>0</v>
      </c>
      <c r="GC66" s="118"/>
      <c r="GD66" s="151"/>
      <c r="GE66" s="151">
        <f>GD66/118%</f>
        <v>0</v>
      </c>
      <c r="GF66" s="151">
        <f>GE66/GE2</f>
        <v>0</v>
      </c>
      <c r="GG66" s="159">
        <f>+GF66</f>
        <v>0</v>
      </c>
      <c r="GH66" s="266">
        <f>GG66*$GH$2</f>
        <v>0</v>
      </c>
      <c r="GI66" s="159">
        <f>GH66*118%</f>
        <v>0</v>
      </c>
      <c r="GJ66" s="118"/>
      <c r="GK66" s="151"/>
      <c r="GL66" s="151"/>
      <c r="GM66" s="151"/>
      <c r="GN66" s="159">
        <f>+GM66</f>
        <v>0</v>
      </c>
      <c r="GO66" s="266">
        <f>GN66*$GO$2</f>
        <v>0</v>
      </c>
      <c r="GP66" s="159">
        <f>GO66*118%</f>
        <v>0</v>
      </c>
      <c r="GQ66" s="118"/>
      <c r="GR66" s="151"/>
      <c r="GS66" s="151">
        <f>GR66/118%</f>
        <v>0</v>
      </c>
      <c r="GT66" s="151">
        <f>GS66/GS2</f>
        <v>0</v>
      </c>
      <c r="GU66" s="96">
        <f>+GT66</f>
        <v>0</v>
      </c>
      <c r="GV66" s="267">
        <f>GU66*$GV$2</f>
        <v>0</v>
      </c>
      <c r="GW66" s="96">
        <f>GV66*118%</f>
        <v>0</v>
      </c>
      <c r="GX66" s="118"/>
      <c r="GY66" s="151"/>
      <c r="GZ66" s="151">
        <f>GY66/118%</f>
        <v>0</v>
      </c>
      <c r="HA66" s="151">
        <f>GZ66/GZ2</f>
        <v>0</v>
      </c>
      <c r="HB66" s="159">
        <f>+HA66</f>
        <v>0</v>
      </c>
      <c r="HC66" s="266">
        <f>HB66*$HC$2</f>
        <v>0</v>
      </c>
      <c r="HD66" s="159">
        <f>HC66*118%</f>
        <v>0</v>
      </c>
      <c r="HE66" s="118"/>
      <c r="HF66" s="151"/>
      <c r="HG66" s="151">
        <f>HF66/118%</f>
        <v>0</v>
      </c>
      <c r="HH66" s="151">
        <f>HG66/HG2</f>
        <v>0</v>
      </c>
      <c r="HI66" s="210"/>
      <c r="HJ66" s="210">
        <f>HI66*HJ2</f>
        <v>0</v>
      </c>
      <c r="HK66" s="210">
        <f>HJ66*118%</f>
        <v>0</v>
      </c>
      <c r="HL66" s="118"/>
      <c r="HM66" s="151"/>
      <c r="HN66" s="151">
        <f>HM66/118%</f>
        <v>0</v>
      </c>
      <c r="HO66" s="151">
        <f>HN66/HN2</f>
        <v>0</v>
      </c>
      <c r="HP66" s="96">
        <f>+HO66</f>
        <v>0</v>
      </c>
      <c r="HQ66" s="267">
        <f>HP66*$HQ$2</f>
        <v>0</v>
      </c>
      <c r="HR66" s="96">
        <f>HQ66*118%</f>
        <v>0</v>
      </c>
      <c r="HS66" s="118"/>
      <c r="HT66" s="318">
        <f>SUM(H66,O66,V66,AC66,AJ66,AQ66,AX66,BE66,BL66,BS66,BZ66,CG66,CN66,CU66,DB66,DI66,DP66,DW66,ED66,EK66,ER66,EY66,FF66,FM66,FT66,GA66,GH66,GO66,GV66,HC66,HJ66,HQ66)</f>
        <v>0</v>
      </c>
      <c r="HU66" s="151">
        <f>HT66*118%</f>
        <v>0</v>
      </c>
      <c r="HV66" s="319"/>
    </row>
    <row r="67" spans="1:230" s="26" customFormat="1" ht="15">
      <c r="A67" s="262"/>
      <c r="B67" s="23" t="s">
        <v>69</v>
      </c>
      <c r="C67" s="121"/>
      <c r="D67" s="154">
        <f>SUM(D64:D66)</f>
        <v>304791.63999999996</v>
      </c>
      <c r="E67" s="154">
        <f>SUM(E64:E66)</f>
        <v>258297.99999999997</v>
      </c>
      <c r="F67" s="152"/>
      <c r="G67" s="77"/>
      <c r="H67" s="78">
        <f>SUM(H64:H66)</f>
        <v>609672.95999999996</v>
      </c>
      <c r="I67" s="78">
        <f>SUM(I64:I66)</f>
        <v>719414.09279999987</v>
      </c>
      <c r="J67" s="121"/>
      <c r="K67" s="154">
        <f>SUM(K64:K66)</f>
        <v>242599.74</v>
      </c>
      <c r="L67" s="154">
        <f>SUM(L64:L66)</f>
        <v>205593</v>
      </c>
      <c r="M67" s="152"/>
      <c r="N67" s="77"/>
      <c r="O67" s="78">
        <f>SUM(O64:O66)</f>
        <v>1492196.3436342855</v>
      </c>
      <c r="P67" s="78">
        <f>SUM(P64:P66)</f>
        <v>1760791.6854884569</v>
      </c>
      <c r="Q67" s="121"/>
      <c r="R67" s="154">
        <f>SUM(R64:R66)</f>
        <v>242599.74</v>
      </c>
      <c r="S67" s="154">
        <f>SUM(S64:S66)</f>
        <v>205593</v>
      </c>
      <c r="T67" s="152"/>
      <c r="U67" s="77"/>
      <c r="V67" s="78">
        <f>SUM(V64:V66)</f>
        <v>1129896.1296925712</v>
      </c>
      <c r="W67" s="78">
        <f>SUM(W64:W66)</f>
        <v>1333277.433037234</v>
      </c>
      <c r="X67" s="121"/>
      <c r="Y67" s="154">
        <f>SUM(Y64:Y66)</f>
        <v>242599.74</v>
      </c>
      <c r="Z67" s="154">
        <f>SUM(Z64:Z66)</f>
        <v>205593</v>
      </c>
      <c r="AA67" s="152"/>
      <c r="AB67" s="77"/>
      <c r="AC67" s="78">
        <f>SUM(AC64:AC66)</f>
        <v>1129896.1296925712</v>
      </c>
      <c r="AD67" s="78">
        <f>SUM(AD64:AD66)</f>
        <v>1333277.433037234</v>
      </c>
      <c r="AE67" s="121"/>
      <c r="AF67" s="154">
        <f>SUM(AF64:AF66)</f>
        <v>754925.65280000004</v>
      </c>
      <c r="AG67" s="154">
        <f>SUM(AG64:AG66)</f>
        <v>639767.5023728814</v>
      </c>
      <c r="AH67" s="152"/>
      <c r="AI67" s="99"/>
      <c r="AJ67" s="100">
        <f>SUM(AJ64:AJ66)</f>
        <v>7579663.7029074803</v>
      </c>
      <c r="AK67" s="100">
        <f>SUM(AK64:AK66)</f>
        <v>8944003.1694308259</v>
      </c>
      <c r="AL67" s="121"/>
      <c r="AM67" s="154">
        <f>SUM(AM64:AM66)</f>
        <v>1770000</v>
      </c>
      <c r="AN67" s="154">
        <f>SUM(AN64:AN66)</f>
        <v>1500000</v>
      </c>
      <c r="AO67" s="152"/>
      <c r="AP67" s="99"/>
      <c r="AQ67" s="100">
        <f>SUM(AQ64:AQ66)</f>
        <v>607464.11126480496</v>
      </c>
      <c r="AR67" s="100">
        <f>SUM(AR64:AR66)</f>
        <v>716807.65129246982</v>
      </c>
      <c r="AS67" s="121"/>
      <c r="AT67" s="290">
        <f>SUM(AT64:AT66)</f>
        <v>6726000</v>
      </c>
      <c r="AU67" s="290">
        <f>SUM(AU64:AU66)</f>
        <v>5700000</v>
      </c>
      <c r="AV67" s="288"/>
      <c r="AW67" s="99"/>
      <c r="AX67" s="100">
        <f>SUM(AX64:AX66)</f>
        <v>9383090.8020170033</v>
      </c>
      <c r="AY67" s="100">
        <f>SUM(AY64:AY66)</f>
        <v>11072047.146380063</v>
      </c>
      <c r="AZ67" s="121"/>
      <c r="BA67" s="290"/>
      <c r="BB67" s="290"/>
      <c r="BC67" s="288"/>
      <c r="BD67" s="99"/>
      <c r="BE67" s="100">
        <f>SUM(BE64:BE66)</f>
        <v>7581515.7599999988</v>
      </c>
      <c r="BF67" s="100">
        <f>SUM(BF64:BF66)</f>
        <v>8946188.5967999976</v>
      </c>
      <c r="BG67" s="121"/>
      <c r="BH67" s="154">
        <f>SUM(BH64:BH66)</f>
        <v>0</v>
      </c>
      <c r="BI67" s="154">
        <f>SUM(BI64:BI66)</f>
        <v>0</v>
      </c>
      <c r="BJ67" s="152"/>
      <c r="BK67" s="213"/>
      <c r="BL67" s="214">
        <f>SUM(BL64:BL66)</f>
        <v>0</v>
      </c>
      <c r="BM67" s="214">
        <f>SUM(BM64:BM66)</f>
        <v>0</v>
      </c>
      <c r="BN67" s="121"/>
      <c r="BO67" s="154">
        <f>SUM(BO64:BO66)</f>
        <v>0</v>
      </c>
      <c r="BP67" s="154">
        <f>SUM(BP64:BP66)</f>
        <v>0</v>
      </c>
      <c r="BQ67" s="152"/>
      <c r="BR67" s="213"/>
      <c r="BS67" s="214">
        <f>SUM(BS64:BS66)</f>
        <v>0</v>
      </c>
      <c r="BT67" s="214">
        <f>SUM(BT64:BT66)</f>
        <v>0</v>
      </c>
      <c r="BU67" s="121"/>
      <c r="BV67" s="154">
        <f>SUM(BV64:BV66)</f>
        <v>2655293</v>
      </c>
      <c r="BW67" s="154">
        <f>SUM(BW64:BW66)</f>
        <v>2250248.3050847459</v>
      </c>
      <c r="BX67" s="152"/>
      <c r="BY67" s="99"/>
      <c r="BZ67" s="100">
        <f>SUM(BZ64:BZ66)</f>
        <v>1598630.4018915254</v>
      </c>
      <c r="CA67" s="100">
        <f>SUM(CA64:CA66)</f>
        <v>1886383.8742319997</v>
      </c>
      <c r="CB67" s="121"/>
      <c r="CC67" s="154">
        <f>SUM(CC64:CC66)</f>
        <v>754925.65280000004</v>
      </c>
      <c r="CD67" s="154">
        <f>SUM(CD64:CD66)</f>
        <v>639767.5023728814</v>
      </c>
      <c r="CE67" s="152"/>
      <c r="CF67" s="99"/>
      <c r="CG67" s="100">
        <f>SUM(CG64:CG66)</f>
        <v>1390973.18254319</v>
      </c>
      <c r="CH67" s="100">
        <f>SUM(CH64:CH66)</f>
        <v>1641348.3554009642</v>
      </c>
      <c r="CI67" s="121"/>
      <c r="CJ67" s="154">
        <f>SUM(CJ64:CJ66)</f>
        <v>1770000</v>
      </c>
      <c r="CK67" s="154">
        <f>SUM(CK64:CK66)</f>
        <v>1500000</v>
      </c>
      <c r="CL67" s="152"/>
      <c r="CM67" s="99"/>
      <c r="CN67" s="100">
        <f>SUM(CN64:CN66)</f>
        <v>266087.25252874551</v>
      </c>
      <c r="CO67" s="100">
        <f>SUM(CO64:CO66)</f>
        <v>313982.95798391965</v>
      </c>
      <c r="CP67" s="121"/>
      <c r="CQ67" s="154">
        <f>SUM(CQ64:CQ66)</f>
        <v>1770000</v>
      </c>
      <c r="CR67" s="154">
        <f>SUM(CR64:CR66)</f>
        <v>1500000</v>
      </c>
      <c r="CS67" s="152"/>
      <c r="CT67" s="99"/>
      <c r="CU67" s="100">
        <f>SUM(CU64:CU66)</f>
        <v>266087.25252874551</v>
      </c>
      <c r="CV67" s="100">
        <f>SUM(CV64:CV66)</f>
        <v>313982.95798391965</v>
      </c>
      <c r="CW67" s="121"/>
      <c r="CX67" s="154">
        <f>SUM(CX64:CX66)</f>
        <v>0</v>
      </c>
      <c r="CY67" s="154">
        <f>SUM(CY64:CY66)</f>
        <v>0</v>
      </c>
      <c r="CZ67" s="152"/>
      <c r="DA67" s="213"/>
      <c r="DB67" s="214">
        <f>SUM(DB64:DB66)</f>
        <v>0</v>
      </c>
      <c r="DC67" s="214">
        <f>SUM(DC64:DC66)</f>
        <v>0</v>
      </c>
      <c r="DD67" s="121"/>
      <c r="DE67" s="154">
        <f>SUM(DE64:DE66)</f>
        <v>2714000</v>
      </c>
      <c r="DF67" s="154">
        <f>SUM(DF64:DF66)</f>
        <v>2300000</v>
      </c>
      <c r="DG67" s="152"/>
      <c r="DH67" s="77"/>
      <c r="DI67" s="78">
        <f>SUM(DI64:DI66)</f>
        <v>892422.45965270663</v>
      </c>
      <c r="DJ67" s="78">
        <f>SUM(DJ64:DJ66)</f>
        <v>1053058.5023901938</v>
      </c>
      <c r="DK67" s="121"/>
      <c r="DL67" s="154">
        <f>SUM(DL64:DL66)</f>
        <v>754925.65280000004</v>
      </c>
      <c r="DM67" s="154">
        <f>SUM(DM64:DM66)</f>
        <v>639767.5023728814</v>
      </c>
      <c r="DN67" s="152"/>
      <c r="DO67" s="99"/>
      <c r="DP67" s="100">
        <f>SUM(DP64:DP66)</f>
        <v>2797908.3524270398</v>
      </c>
      <c r="DQ67" s="100">
        <f>SUM(DQ64:DQ66)</f>
        <v>3301531.8558639069</v>
      </c>
      <c r="DR67" s="121"/>
      <c r="DS67" s="154">
        <f>SUM(DS64:DS66)</f>
        <v>4256000</v>
      </c>
      <c r="DT67" s="154">
        <f>SUM(DT64:DT66)</f>
        <v>3799999.9999999995</v>
      </c>
      <c r="DU67" s="152"/>
      <c r="DV67" s="77"/>
      <c r="DW67" s="78">
        <f>SUM(DW64:DW66)</f>
        <v>1107064.4564145359</v>
      </c>
      <c r="DX67" s="78">
        <f>SUM(DX64:DX66)</f>
        <v>1306336.0585691524</v>
      </c>
      <c r="DY67" s="121"/>
      <c r="DZ67" s="154">
        <f>SUM(DZ64:DZ66)</f>
        <v>1770000</v>
      </c>
      <c r="EA67" s="154">
        <f>SUM(EA64:EA66)</f>
        <v>1500000</v>
      </c>
      <c r="EB67" s="152"/>
      <c r="EC67" s="99"/>
      <c r="ED67" s="100">
        <f>SUM(ED64:ED66)</f>
        <v>287854.06220281834</v>
      </c>
      <c r="EE67" s="100">
        <f>SUM(EE64:EE66)</f>
        <v>339667.79339932563</v>
      </c>
      <c r="EF67" s="121"/>
      <c r="EG67" s="154">
        <f>SUM(EG64:EG66)</f>
        <v>0</v>
      </c>
      <c r="EH67" s="154">
        <f>SUM(EH64:EH66)</f>
        <v>0</v>
      </c>
      <c r="EI67" s="152"/>
      <c r="EJ67" s="213"/>
      <c r="EK67" s="214">
        <f>SUM(EK64:EK66)</f>
        <v>0</v>
      </c>
      <c r="EL67" s="214">
        <f>SUM(EL64:EL66)</f>
        <v>0</v>
      </c>
      <c r="EM67" s="121"/>
      <c r="EN67" s="154">
        <f>SUM(EN64:EN66)</f>
        <v>3540000</v>
      </c>
      <c r="EO67" s="154">
        <f>SUM(EO64:EO66)</f>
        <v>3000000</v>
      </c>
      <c r="EP67" s="152"/>
      <c r="EQ67" s="77"/>
      <c r="ER67" s="78">
        <f>SUM(ER64:ER66)</f>
        <v>1707272.3689270604</v>
      </c>
      <c r="ES67" s="78">
        <f>SUM(ES64:ES66)</f>
        <v>2014581.3953339311</v>
      </c>
      <c r="ET67" s="121"/>
      <c r="EU67" s="154">
        <f>SUM(EU64:EU66)</f>
        <v>1770000</v>
      </c>
      <c r="EV67" s="154">
        <f>SUM(EV64:EV66)</f>
        <v>1500000</v>
      </c>
      <c r="EW67" s="152"/>
      <c r="EX67" s="99"/>
      <c r="EY67" s="100">
        <f>SUM(EY64:EY66)</f>
        <v>1964509.0991614074</v>
      </c>
      <c r="EZ67" s="100">
        <f>SUM(EZ64:EZ66)</f>
        <v>2318120.7370104608</v>
      </c>
      <c r="FA67" s="121"/>
      <c r="FB67" s="154">
        <f>SUM(FB64:FB66)</f>
        <v>2655293</v>
      </c>
      <c r="FC67" s="154">
        <f>SUM(FC64:FC66)</f>
        <v>2250248.3050847459</v>
      </c>
      <c r="FD67" s="152"/>
      <c r="FE67" s="99"/>
      <c r="FF67" s="100">
        <f>SUM(FF64:FF66)</f>
        <v>2603345.3878075937</v>
      </c>
      <c r="FG67" s="100">
        <f>SUM(FG64:FG66)</f>
        <v>3071947.5576129602</v>
      </c>
      <c r="FH67" s="121"/>
      <c r="FI67" s="290">
        <f>SUM(FI64:FI66)</f>
        <v>6726000</v>
      </c>
      <c r="FJ67" s="290">
        <f>SUM(FJ64:FJ66)</f>
        <v>5700000</v>
      </c>
      <c r="FK67" s="288"/>
      <c r="FL67" s="99"/>
      <c r="FM67" s="100">
        <f>SUM(FM64:FM66)</f>
        <v>7630959.4961168971</v>
      </c>
      <c r="FN67" s="100">
        <f>SUM(FN64:FN66)</f>
        <v>9004532.2054179385</v>
      </c>
      <c r="FO67" s="121"/>
      <c r="FP67" s="154">
        <f>SUM(FP64:FP66)</f>
        <v>542067</v>
      </c>
      <c r="FQ67" s="154">
        <f>SUM(FQ64:FQ66)</f>
        <v>459378.81355932204</v>
      </c>
      <c r="FR67" s="152"/>
      <c r="FS67" s="99"/>
      <c r="FT67" s="100">
        <f>SUM(FT64:FT66)</f>
        <v>4455717.4231413556</v>
      </c>
      <c r="FU67" s="100">
        <f>SUM(FU64:FU66)</f>
        <v>5257746.5593067994</v>
      </c>
      <c r="FV67" s="121"/>
      <c r="FW67" s="154">
        <f>SUM(FW64:FW66)</f>
        <v>754925.65280000004</v>
      </c>
      <c r="FX67" s="154">
        <f>SUM(FX64:FX66)</f>
        <v>639767.5023728814</v>
      </c>
      <c r="FY67" s="152"/>
      <c r="FZ67" s="99"/>
      <c r="GA67" s="100">
        <f>SUM(GA64:GA66)</f>
        <v>798099.36703297775</v>
      </c>
      <c r="GB67" s="100">
        <f>SUM(GB64:GB66)</f>
        <v>941757.2530989137</v>
      </c>
      <c r="GC67" s="121"/>
      <c r="GD67" s="154">
        <f>SUM(GD64:GD66)</f>
        <v>243670</v>
      </c>
      <c r="GE67" s="154">
        <f>SUM(GE64:GE66)</f>
        <v>206500</v>
      </c>
      <c r="GF67" s="152"/>
      <c r="GG67" s="77"/>
      <c r="GH67" s="78">
        <f>SUM(GH64:GH66)</f>
        <v>1089155.3399999999</v>
      </c>
      <c r="GI67" s="78">
        <f>SUM(GI64:GI66)</f>
        <v>1285203.3011999999</v>
      </c>
      <c r="GJ67" s="121"/>
      <c r="GK67" s="154">
        <f>SUM(GK64:GK66)</f>
        <v>894440</v>
      </c>
      <c r="GL67" s="154">
        <f>SUM(GL64:GL66)</f>
        <v>758000</v>
      </c>
      <c r="GM67" s="152"/>
      <c r="GN67" s="77"/>
      <c r="GO67" s="78">
        <f>SUM(GO64:GO66)</f>
        <v>847720.14869888464</v>
      </c>
      <c r="GP67" s="78">
        <f>SUM(GP64:GP66)</f>
        <v>1000309.7754646838</v>
      </c>
      <c r="GQ67" s="121"/>
      <c r="GR67" s="154">
        <f>SUM(GR64:GR66)</f>
        <v>754925.65280000004</v>
      </c>
      <c r="GS67" s="154">
        <f>SUM(GS64:GS66)</f>
        <v>639767.5023728814</v>
      </c>
      <c r="GT67" s="152"/>
      <c r="GU67" s="99"/>
      <c r="GV67" s="100">
        <f>SUM(GV64:GV66)</f>
        <v>1859343.4967962576</v>
      </c>
      <c r="GW67" s="100">
        <f>SUM(GW64:GW66)</f>
        <v>2194025.3262195839</v>
      </c>
      <c r="GX67" s="121"/>
      <c r="GY67" s="154">
        <f>SUM(GY64:GY66)</f>
        <v>2714000</v>
      </c>
      <c r="GZ67" s="154">
        <f>SUM(GZ64:GZ66)</f>
        <v>2300000</v>
      </c>
      <c r="HA67" s="152"/>
      <c r="HB67" s="77"/>
      <c r="HC67" s="78">
        <f>SUM(HC64:HC66)</f>
        <v>1586837.8958120528</v>
      </c>
      <c r="HD67" s="78">
        <f>SUM(HD64:HD66)</f>
        <v>1872468.7170582223</v>
      </c>
      <c r="HE67" s="121"/>
      <c r="HF67" s="154">
        <f>SUM(HF64:HF66)</f>
        <v>0</v>
      </c>
      <c r="HG67" s="154">
        <f>SUM(HG64:HG66)</f>
        <v>0</v>
      </c>
      <c r="HH67" s="152"/>
      <c r="HI67" s="213"/>
      <c r="HJ67" s="214">
        <f>SUM(HJ64:HJ66)</f>
        <v>0</v>
      </c>
      <c r="HK67" s="214">
        <f>SUM(HK64:HK66)</f>
        <v>0</v>
      </c>
      <c r="HL67" s="121"/>
      <c r="HM67" s="154">
        <f>SUM(HM64:HM66)</f>
        <v>754925.65280000004</v>
      </c>
      <c r="HN67" s="154">
        <f>SUM(HN64:HN66)</f>
        <v>639767.5023728814</v>
      </c>
      <c r="HO67" s="152"/>
      <c r="HP67" s="99"/>
      <c r="HQ67" s="100">
        <f>SUM(HQ64:HQ66)</f>
        <v>3393974.5654053837</v>
      </c>
      <c r="HR67" s="100">
        <f>SUM(HR64:HR66)</f>
        <v>4004889.9871783527</v>
      </c>
      <c r="HS67" s="122"/>
      <c r="HT67" s="321">
        <f>SUM(H67,O67,V67,AC67,AJ67,AQ67,AX67,BE67,BL67,BS67,BZ67,CG67,CN67,CU67,DB67,DI67,DP67,DW67,ED67,EK67,ER67,EY67,FF67,FM67,FT67,GA67,GH67,GO67,GV67,HC67,HJ67,HQ67)</f>
        <v>66057357.948297881</v>
      </c>
      <c r="HU67" s="161">
        <f>HT67*118%</f>
        <v>77947682.3789915</v>
      </c>
      <c r="HV67" s="320"/>
    </row>
    <row r="68" spans="1:230" ht="15.75" thickBot="1">
      <c r="A68" s="43"/>
      <c r="B68" s="44"/>
      <c r="C68" s="125"/>
      <c r="D68" s="156"/>
      <c r="E68" s="156"/>
      <c r="F68" s="156"/>
      <c r="G68" s="80"/>
      <c r="H68" s="80"/>
      <c r="I68" s="80"/>
      <c r="J68" s="125"/>
      <c r="K68" s="156"/>
      <c r="L68" s="156"/>
      <c r="M68" s="156"/>
      <c r="N68" s="80"/>
      <c r="O68" s="80"/>
      <c r="P68" s="80"/>
      <c r="Q68" s="125"/>
      <c r="R68" s="156"/>
      <c r="S68" s="156"/>
      <c r="T68" s="156"/>
      <c r="U68" s="80"/>
      <c r="V68" s="80"/>
      <c r="W68" s="80"/>
      <c r="X68" s="125"/>
      <c r="Y68" s="156"/>
      <c r="Z68" s="156"/>
      <c r="AA68" s="156"/>
      <c r="AB68" s="80"/>
      <c r="AC68" s="80"/>
      <c r="AD68" s="80"/>
      <c r="AE68" s="125"/>
      <c r="AF68" s="156"/>
      <c r="AG68" s="156"/>
      <c r="AH68" s="156"/>
      <c r="AI68" s="102"/>
      <c r="AJ68" s="102"/>
      <c r="AK68" s="102"/>
      <c r="AL68" s="125"/>
      <c r="AM68" s="156"/>
      <c r="AN68" s="156"/>
      <c r="AO68" s="156"/>
      <c r="AP68" s="102"/>
      <c r="AQ68" s="102"/>
      <c r="AR68" s="102"/>
      <c r="AS68" s="125"/>
      <c r="AT68" s="294"/>
      <c r="AU68" s="294"/>
      <c r="AV68" s="294"/>
      <c r="AW68" s="102"/>
      <c r="AX68" s="102"/>
      <c r="AY68" s="102"/>
      <c r="AZ68" s="125"/>
      <c r="BA68" s="294"/>
      <c r="BB68" s="294"/>
      <c r="BC68" s="294"/>
      <c r="BD68" s="102"/>
      <c r="BE68" s="102"/>
      <c r="BF68" s="102"/>
      <c r="BG68" s="125"/>
      <c r="BH68" s="156"/>
      <c r="BI68" s="156"/>
      <c r="BJ68" s="156"/>
      <c r="BK68" s="217"/>
      <c r="BL68" s="217"/>
      <c r="BM68" s="217"/>
      <c r="BN68" s="125"/>
      <c r="BO68" s="156"/>
      <c r="BP68" s="156"/>
      <c r="BQ68" s="156"/>
      <c r="BR68" s="217"/>
      <c r="BS68" s="217"/>
      <c r="BT68" s="217"/>
      <c r="BU68" s="125"/>
      <c r="BV68" s="156"/>
      <c r="BW68" s="156"/>
      <c r="BX68" s="156"/>
      <c r="BY68" s="102"/>
      <c r="BZ68" s="102"/>
      <c r="CA68" s="102"/>
      <c r="CB68" s="125"/>
      <c r="CC68" s="156"/>
      <c r="CD68" s="156"/>
      <c r="CE68" s="156"/>
      <c r="CF68" s="102"/>
      <c r="CG68" s="102"/>
      <c r="CH68" s="102"/>
      <c r="CI68" s="125"/>
      <c r="CJ68" s="156"/>
      <c r="CK68" s="156"/>
      <c r="CL68" s="156"/>
      <c r="CM68" s="102"/>
      <c r="CN68" s="102"/>
      <c r="CO68" s="102"/>
      <c r="CP68" s="125"/>
      <c r="CQ68" s="156"/>
      <c r="CR68" s="156"/>
      <c r="CS68" s="156"/>
      <c r="CT68" s="102"/>
      <c r="CU68" s="102"/>
      <c r="CV68" s="102"/>
      <c r="CW68" s="125"/>
      <c r="CX68" s="156"/>
      <c r="CY68" s="156"/>
      <c r="CZ68" s="156"/>
      <c r="DA68" s="217"/>
      <c r="DB68" s="217"/>
      <c r="DC68" s="217"/>
      <c r="DD68" s="125"/>
      <c r="DE68" s="156"/>
      <c r="DF68" s="156"/>
      <c r="DG68" s="156"/>
      <c r="DH68" s="80"/>
      <c r="DI68" s="80"/>
      <c r="DJ68" s="80"/>
      <c r="DK68" s="125"/>
      <c r="DL68" s="156"/>
      <c r="DM68" s="156"/>
      <c r="DN68" s="156"/>
      <c r="DO68" s="102"/>
      <c r="DP68" s="102"/>
      <c r="DQ68" s="102"/>
      <c r="DR68" s="125"/>
      <c r="DS68" s="156"/>
      <c r="DT68" s="156"/>
      <c r="DU68" s="156"/>
      <c r="DV68" s="80"/>
      <c r="DW68" s="80"/>
      <c r="DX68" s="80"/>
      <c r="DY68" s="125"/>
      <c r="DZ68" s="156"/>
      <c r="EA68" s="156"/>
      <c r="EB68" s="156"/>
      <c r="EC68" s="102"/>
      <c r="ED68" s="102"/>
      <c r="EE68" s="102"/>
      <c r="EF68" s="125"/>
      <c r="EG68" s="156"/>
      <c r="EH68" s="156"/>
      <c r="EI68" s="156"/>
      <c r="EJ68" s="217"/>
      <c r="EK68" s="217"/>
      <c r="EL68" s="217"/>
      <c r="EM68" s="125"/>
      <c r="EN68" s="156"/>
      <c r="EO68" s="156"/>
      <c r="EP68" s="156"/>
      <c r="EQ68" s="80"/>
      <c r="ER68" s="80"/>
      <c r="ES68" s="80"/>
      <c r="ET68" s="125"/>
      <c r="EU68" s="156"/>
      <c r="EV68" s="156"/>
      <c r="EW68" s="156"/>
      <c r="EX68" s="102"/>
      <c r="EY68" s="102"/>
      <c r="EZ68" s="102"/>
      <c r="FA68" s="125"/>
      <c r="FB68" s="156"/>
      <c r="FC68" s="156"/>
      <c r="FD68" s="156"/>
      <c r="FE68" s="102"/>
      <c r="FF68" s="102"/>
      <c r="FG68" s="102"/>
      <c r="FH68" s="125"/>
      <c r="FI68" s="294"/>
      <c r="FJ68" s="294"/>
      <c r="FK68" s="294"/>
      <c r="FL68" s="102"/>
      <c r="FM68" s="102"/>
      <c r="FN68" s="102"/>
      <c r="FO68" s="125"/>
      <c r="FP68" s="156"/>
      <c r="FQ68" s="156"/>
      <c r="FR68" s="156"/>
      <c r="FS68" s="102"/>
      <c r="FT68" s="102"/>
      <c r="FU68" s="102"/>
      <c r="FV68" s="125"/>
      <c r="FW68" s="156"/>
      <c r="FX68" s="156"/>
      <c r="FY68" s="156"/>
      <c r="FZ68" s="102"/>
      <c r="GA68" s="102"/>
      <c r="GB68" s="102"/>
      <c r="GC68" s="125"/>
      <c r="GD68" s="156"/>
      <c r="GE68" s="156"/>
      <c r="GF68" s="156"/>
      <c r="GG68" s="80"/>
      <c r="GH68" s="80"/>
      <c r="GI68" s="80"/>
      <c r="GJ68" s="125"/>
      <c r="GK68" s="156"/>
      <c r="GL68" s="156"/>
      <c r="GM68" s="156"/>
      <c r="GN68" s="80"/>
      <c r="GO68" s="80"/>
      <c r="GP68" s="80"/>
      <c r="GQ68" s="125"/>
      <c r="GR68" s="156"/>
      <c r="GS68" s="156"/>
      <c r="GT68" s="156"/>
      <c r="GU68" s="102"/>
      <c r="GV68" s="102"/>
      <c r="GW68" s="102"/>
      <c r="GX68" s="125"/>
      <c r="GY68" s="156"/>
      <c r="GZ68" s="156"/>
      <c r="HA68" s="156"/>
      <c r="HB68" s="80"/>
      <c r="HC68" s="80"/>
      <c r="HD68" s="80"/>
      <c r="HE68" s="125"/>
      <c r="HF68" s="156"/>
      <c r="HG68" s="156"/>
      <c r="HH68" s="156"/>
      <c r="HI68" s="217"/>
      <c r="HJ68" s="217"/>
      <c r="HK68" s="217"/>
      <c r="HL68" s="125"/>
      <c r="HM68" s="156"/>
      <c r="HN68" s="156"/>
      <c r="HO68" s="156"/>
      <c r="HP68" s="102"/>
      <c r="HQ68" s="102"/>
      <c r="HR68" s="102"/>
      <c r="HS68" s="202"/>
      <c r="HT68" s="326"/>
      <c r="HU68" s="156"/>
      <c r="HV68" s="46"/>
    </row>
    <row r="69" spans="1:230" ht="15">
      <c r="A69" s="47"/>
      <c r="B69" s="48"/>
      <c r="C69" s="126"/>
      <c r="D69" s="157"/>
      <c r="E69" s="157"/>
      <c r="F69" s="157"/>
      <c r="G69" s="81"/>
      <c r="H69" s="81"/>
      <c r="I69" s="81"/>
      <c r="J69" s="126"/>
      <c r="K69" s="157"/>
      <c r="L69" s="157"/>
      <c r="M69" s="157"/>
      <c r="N69" s="81"/>
      <c r="O69" s="81"/>
      <c r="P69" s="81"/>
      <c r="Q69" s="126"/>
      <c r="R69" s="157"/>
      <c r="S69" s="157"/>
      <c r="T69" s="157"/>
      <c r="U69" s="81"/>
      <c r="V69" s="81"/>
      <c r="W69" s="81"/>
      <c r="X69" s="126"/>
      <c r="Y69" s="157"/>
      <c r="Z69" s="157"/>
      <c r="AA69" s="157"/>
      <c r="AB69" s="81"/>
      <c r="AC69" s="81"/>
      <c r="AD69" s="81"/>
      <c r="AE69" s="126"/>
      <c r="AF69" s="157"/>
      <c r="AG69" s="157"/>
      <c r="AH69" s="157"/>
      <c r="AI69" s="103"/>
      <c r="AJ69" s="103"/>
      <c r="AK69" s="103"/>
      <c r="AL69" s="126"/>
      <c r="AM69" s="157"/>
      <c r="AN69" s="157"/>
      <c r="AO69" s="157"/>
      <c r="AP69" s="103"/>
      <c r="AQ69" s="103"/>
      <c r="AR69" s="103"/>
      <c r="AS69" s="126"/>
      <c r="AT69" s="157"/>
      <c r="AU69" s="157"/>
      <c r="AV69" s="157"/>
      <c r="AW69" s="103"/>
      <c r="AX69" s="103"/>
      <c r="AY69" s="103"/>
      <c r="AZ69" s="126"/>
      <c r="BA69" s="157"/>
      <c r="BB69" s="157"/>
      <c r="BC69" s="157"/>
      <c r="BD69" s="103"/>
      <c r="BE69" s="103"/>
      <c r="BF69" s="103"/>
      <c r="BG69" s="126"/>
      <c r="BH69" s="157"/>
      <c r="BI69" s="157"/>
      <c r="BJ69" s="157"/>
      <c r="BK69" s="218"/>
      <c r="BL69" s="218"/>
      <c r="BM69" s="218"/>
      <c r="BN69" s="126"/>
      <c r="BO69" s="157"/>
      <c r="BP69" s="157"/>
      <c r="BQ69" s="157"/>
      <c r="BR69" s="218"/>
      <c r="BS69" s="218"/>
      <c r="BT69" s="218"/>
      <c r="BU69" s="126"/>
      <c r="BV69" s="157"/>
      <c r="BW69" s="157"/>
      <c r="BX69" s="157"/>
      <c r="BY69" s="103"/>
      <c r="BZ69" s="103"/>
      <c r="CA69" s="103"/>
      <c r="CB69" s="126"/>
      <c r="CC69" s="157"/>
      <c r="CD69" s="157"/>
      <c r="CE69" s="157"/>
      <c r="CF69" s="103"/>
      <c r="CG69" s="103"/>
      <c r="CH69" s="103"/>
      <c r="CI69" s="126"/>
      <c r="CJ69" s="157"/>
      <c r="CK69" s="157"/>
      <c r="CL69" s="157"/>
      <c r="CM69" s="103"/>
      <c r="CN69" s="103"/>
      <c r="CO69" s="103"/>
      <c r="CP69" s="126"/>
      <c r="CQ69" s="157"/>
      <c r="CR69" s="157"/>
      <c r="CS69" s="157"/>
      <c r="CT69" s="103"/>
      <c r="CU69" s="103"/>
      <c r="CV69" s="103"/>
      <c r="CW69" s="126"/>
      <c r="CX69" s="157"/>
      <c r="CY69" s="157"/>
      <c r="CZ69" s="157"/>
      <c r="DA69" s="218"/>
      <c r="DB69" s="218"/>
      <c r="DC69" s="218"/>
      <c r="DD69" s="126"/>
      <c r="DE69" s="157"/>
      <c r="DF69" s="157"/>
      <c r="DG69" s="157"/>
      <c r="DH69" s="81"/>
      <c r="DI69" s="81"/>
      <c r="DJ69" s="81"/>
      <c r="DK69" s="126"/>
      <c r="DL69" s="157"/>
      <c r="DM69" s="157"/>
      <c r="DN69" s="157"/>
      <c r="DO69" s="103"/>
      <c r="DP69" s="103"/>
      <c r="DQ69" s="103"/>
      <c r="DR69" s="126"/>
      <c r="DS69" s="157"/>
      <c r="DT69" s="157"/>
      <c r="DU69" s="157"/>
      <c r="DV69" s="81"/>
      <c r="DW69" s="81"/>
      <c r="DX69" s="81"/>
      <c r="DY69" s="126"/>
      <c r="DZ69" s="157"/>
      <c r="EA69" s="157"/>
      <c r="EB69" s="157"/>
      <c r="EC69" s="103"/>
      <c r="ED69" s="103"/>
      <c r="EE69" s="103"/>
      <c r="EF69" s="126"/>
      <c r="EG69" s="157"/>
      <c r="EH69" s="157"/>
      <c r="EI69" s="157"/>
      <c r="EJ69" s="218"/>
      <c r="EK69" s="218"/>
      <c r="EL69" s="218"/>
      <c r="EM69" s="126"/>
      <c r="EN69" s="157"/>
      <c r="EO69" s="157"/>
      <c r="EP69" s="157"/>
      <c r="EQ69" s="81"/>
      <c r="ER69" s="81"/>
      <c r="ES69" s="81"/>
      <c r="ET69" s="126"/>
      <c r="EU69" s="157"/>
      <c r="EV69" s="157"/>
      <c r="EW69" s="157"/>
      <c r="EX69" s="103"/>
      <c r="EY69" s="103"/>
      <c r="EZ69" s="103"/>
      <c r="FA69" s="126"/>
      <c r="FB69" s="157"/>
      <c r="FC69" s="157"/>
      <c r="FD69" s="157"/>
      <c r="FE69" s="103"/>
      <c r="FF69" s="103"/>
      <c r="FG69" s="103"/>
      <c r="FH69" s="126"/>
      <c r="FI69" s="157"/>
      <c r="FJ69" s="157"/>
      <c r="FK69" s="157"/>
      <c r="FL69" s="103"/>
      <c r="FM69" s="103"/>
      <c r="FN69" s="103"/>
      <c r="FO69" s="126"/>
      <c r="FP69" s="157"/>
      <c r="FQ69" s="157"/>
      <c r="FR69" s="157"/>
      <c r="FS69" s="103"/>
      <c r="FT69" s="103"/>
      <c r="FU69" s="103"/>
      <c r="FV69" s="126"/>
      <c r="FW69" s="157"/>
      <c r="FX69" s="157"/>
      <c r="FY69" s="157"/>
      <c r="FZ69" s="103"/>
      <c r="GA69" s="103"/>
      <c r="GB69" s="103"/>
      <c r="GC69" s="126"/>
      <c r="GD69" s="157"/>
      <c r="GE69" s="157"/>
      <c r="GF69" s="157"/>
      <c r="GG69" s="81"/>
      <c r="GH69" s="81"/>
      <c r="GI69" s="81"/>
      <c r="GJ69" s="126"/>
      <c r="GK69" s="157"/>
      <c r="GL69" s="157"/>
      <c r="GM69" s="157"/>
      <c r="GN69" s="81"/>
      <c r="GO69" s="81"/>
      <c r="GP69" s="81"/>
      <c r="GQ69" s="126"/>
      <c r="GR69" s="157"/>
      <c r="GS69" s="157"/>
      <c r="GT69" s="157"/>
      <c r="GU69" s="103"/>
      <c r="GV69" s="103"/>
      <c r="GW69" s="103"/>
      <c r="GX69" s="126"/>
      <c r="GY69" s="157"/>
      <c r="GZ69" s="157"/>
      <c r="HA69" s="157"/>
      <c r="HB69" s="81"/>
      <c r="HC69" s="81"/>
      <c r="HD69" s="81"/>
      <c r="HE69" s="126"/>
      <c r="HF69" s="157"/>
      <c r="HG69" s="157"/>
      <c r="HH69" s="157"/>
      <c r="HI69" s="218"/>
      <c r="HJ69" s="218"/>
      <c r="HK69" s="218"/>
      <c r="HL69" s="126"/>
      <c r="HM69" s="157"/>
      <c r="HN69" s="157"/>
      <c r="HO69" s="157"/>
      <c r="HP69" s="103"/>
      <c r="HQ69" s="103"/>
      <c r="HR69" s="103"/>
      <c r="HS69" s="126"/>
      <c r="HT69" s="327"/>
      <c r="HU69" s="157"/>
      <c r="HV69" s="50"/>
    </row>
    <row r="70" spans="1:230" ht="15">
      <c r="A70" s="51"/>
      <c r="B70" s="52" t="s">
        <v>61</v>
      </c>
      <c r="C70" s="127"/>
      <c r="D70" s="158">
        <f>D18+D27+D43+D54+D61+D67</f>
        <v>2861860.1360000004</v>
      </c>
      <c r="E70" s="158">
        <f>E18+E27+E43+E54+E61+E67</f>
        <v>2425305.2000000002</v>
      </c>
      <c r="F70" s="158"/>
      <c r="G70" s="158"/>
      <c r="H70" s="158">
        <f>H18+H27+H43+H54+H61+H67</f>
        <v>5850332.1909072353</v>
      </c>
      <c r="I70" s="158">
        <f>I18+I27+I43+I54+I61+I67</f>
        <v>6903391.9852705374</v>
      </c>
      <c r="J70" s="127"/>
      <c r="K70" s="158">
        <f>K18+K27+K43+K54+K61+K67</f>
        <v>2073041.2760000001</v>
      </c>
      <c r="L70" s="158">
        <f>L18+L27+L43+L54+L61+L67</f>
        <v>1756814.6406779659</v>
      </c>
      <c r="M70" s="158"/>
      <c r="N70" s="158"/>
      <c r="O70" s="158">
        <f>O18+O27+O43+O54+O61+O67</f>
        <v>11515830.240324378</v>
      </c>
      <c r="P70" s="158">
        <f>P18+P27+P43+P54+P61+P67</f>
        <v>13588679.683582764</v>
      </c>
      <c r="Q70" s="127"/>
      <c r="R70" s="158">
        <f>R18+R27+R43+R54+R61+R67</f>
        <v>1171656.54</v>
      </c>
      <c r="S70" s="158">
        <f>S18+S27+S43+S54+S61+S67</f>
        <v>992929.27118644072</v>
      </c>
      <c r="T70" s="158"/>
      <c r="U70" s="158"/>
      <c r="V70" s="158">
        <f>V18+V27+V43+V54+V61+V67</f>
        <v>7636296.6209654659</v>
      </c>
      <c r="W70" s="158">
        <f>W18+W27+W43+W54+W61+W67</f>
        <v>9010830.0127392486</v>
      </c>
      <c r="X70" s="127"/>
      <c r="Y70" s="158">
        <f>Y18+Y27+Y43+Y54+Y61+Y67</f>
        <v>1171656.54</v>
      </c>
      <c r="Z70" s="158">
        <f>Z18+Z27+Z43+Z54+Z61+Z67</f>
        <v>992929.27118644072</v>
      </c>
      <c r="AA70" s="158"/>
      <c r="AB70" s="158"/>
      <c r="AC70" s="158">
        <f>AC18+AC27+AC43+AC54+AC61+AC67</f>
        <v>7636296.6209654659</v>
      </c>
      <c r="AD70" s="158">
        <f>AD18+AD27+AD43+AD54+AD61+AD67</f>
        <v>9010830.0127392486</v>
      </c>
      <c r="AE70" s="127"/>
      <c r="AF70" s="158">
        <f>AF18+AF27+AF43+AF54+AF61+AF67</f>
        <v>3823148.96953288</v>
      </c>
      <c r="AG70" s="158">
        <f>AG18+AG27+AG43+AG54+AG61+AG67</f>
        <v>3239956.7538414239</v>
      </c>
      <c r="AH70" s="158"/>
      <c r="AI70" s="158"/>
      <c r="AJ70" s="158">
        <f>AJ18+AJ27+AJ43+AJ54+AJ61+AJ67</f>
        <v>36847433.757944487</v>
      </c>
      <c r="AK70" s="158">
        <f>AK18+AK27+AK43+AK54+AK61+AK67</f>
        <v>43479971.834374502</v>
      </c>
      <c r="AL70" s="127"/>
      <c r="AM70" s="158">
        <f>AM18+AM27+AM43+AM54+AM61+AM67</f>
        <v>30012692.300000001</v>
      </c>
      <c r="AN70" s="158">
        <f>AN18+AN27+AN43+AN54+AN61+AN67</f>
        <v>25434485</v>
      </c>
      <c r="AO70" s="158"/>
      <c r="AP70" s="158"/>
      <c r="AQ70" s="158">
        <f>AQ18+AQ27+AQ43+AQ54+AQ61+AQ67</f>
        <v>10523098.288588556</v>
      </c>
      <c r="AR70" s="158">
        <f>AR18+AR27+AR43+AR54+AR61+AR67</f>
        <v>12417255.980534496</v>
      </c>
      <c r="AS70" s="127"/>
      <c r="AT70" s="158">
        <f>AT18+AT27+AT43+AT54+AT61+AT67</f>
        <v>21483087.552000001</v>
      </c>
      <c r="AU70" s="158">
        <f>AU18+AU27+AU43+AU54+AU61+AU67</f>
        <v>18206006.399999999</v>
      </c>
      <c r="AV70" s="158"/>
      <c r="AW70" s="158"/>
      <c r="AX70" s="158">
        <f>AX18+AX27+AX43+AX54+AX61+AX67</f>
        <v>31347443.924298719</v>
      </c>
      <c r="AY70" s="158">
        <f>AY18+AY27+AY43+AY54+AY61+AY67</f>
        <v>36989983.830672488</v>
      </c>
      <c r="AZ70" s="127"/>
      <c r="BA70" s="158">
        <f>BA18+BA27+BA43+BA54+BA61+BA67</f>
        <v>0</v>
      </c>
      <c r="BB70" s="158">
        <f>BB18+BB27+BB43+BB54+BB61+BB67</f>
        <v>0</v>
      </c>
      <c r="BC70" s="158"/>
      <c r="BD70" s="158"/>
      <c r="BE70" s="158">
        <f>BE18+BE27+BE43+BE54+BE61+BE67</f>
        <v>33203151.071999993</v>
      </c>
      <c r="BF70" s="158">
        <f>BF18+BF27+BF43+BF54+BF61+BF67</f>
        <v>39179718.264959991</v>
      </c>
      <c r="BG70" s="127"/>
      <c r="BH70" s="158">
        <f>BH18+BH27+BH43+BH54+BH61+BH67</f>
        <v>8889212.5399999991</v>
      </c>
      <c r="BI70" s="158">
        <f>BI18+BI27+BI43+BI54+BI61+BI67</f>
        <v>7533230.9661016949</v>
      </c>
      <c r="BJ70" s="158"/>
      <c r="BK70" s="158"/>
      <c r="BL70" s="158">
        <f>BL18+BL27+BL43+BL54+BL61+BL67</f>
        <v>3545381.736</v>
      </c>
      <c r="BM70" s="158">
        <f>BM18+BM27+BM43+BM54+BM61+BM67</f>
        <v>4183550.4484799993</v>
      </c>
      <c r="BN70" s="127"/>
      <c r="BO70" s="158">
        <f>BO18+BO27+BO43+BO54+BO61+BO67</f>
        <v>8889212.5399999991</v>
      </c>
      <c r="BP70" s="158">
        <f>BP18+BP27+BP43+BP54+BP61+BP67</f>
        <v>7533230.9661016949</v>
      </c>
      <c r="BQ70" s="158"/>
      <c r="BR70" s="158"/>
      <c r="BS70" s="158">
        <f>BS18+BS27+BS43+BS54+BS61+BS67</f>
        <v>4015337.9759999993</v>
      </c>
      <c r="BT70" s="158">
        <f>BT18+BT27+BT43+BT54+BT61+BT67</f>
        <v>4738098.8116799993</v>
      </c>
      <c r="BU70" s="127"/>
      <c r="BV70" s="158">
        <f>BV18+BV27+BV43+BV54+BV61+BV67</f>
        <v>35652761.449999996</v>
      </c>
      <c r="BW70" s="158">
        <f>BW18+BW27+BW43+BW54+BW61+BW67</f>
        <v>30214204.618644066</v>
      </c>
      <c r="BX70" s="158"/>
      <c r="BY70" s="158"/>
      <c r="BZ70" s="158">
        <f>BZ18+BZ27+BZ43+BZ54+BZ61+BZ67</f>
        <v>23020864.711852271</v>
      </c>
      <c r="CA70" s="158">
        <f>CA18+CA27+CA43+CA54+CA61+CA67</f>
        <v>27164620.359985679</v>
      </c>
      <c r="CB70" s="127"/>
      <c r="CC70" s="158">
        <f>CC18+CC27+CC43+CC54+CC61+CC67</f>
        <v>3823148.96953288</v>
      </c>
      <c r="CD70" s="158">
        <f>CD18+CD27+CD43+CD54+CD61+CD67</f>
        <v>3239956.7538414239</v>
      </c>
      <c r="CE70" s="158"/>
      <c r="CF70" s="158"/>
      <c r="CG70" s="158">
        <f>CG18+CG27+CG43+CG54+CG61+CG67</f>
        <v>7760531.633815825</v>
      </c>
      <c r="CH70" s="158">
        <f>CH18+CH27+CH43+CH54+CH61+CH67</f>
        <v>9157427.3279026709</v>
      </c>
      <c r="CI70" s="127"/>
      <c r="CJ70" s="158">
        <f>CJ18+CJ27+CJ43+CJ54+CJ61+CJ67</f>
        <v>30012692.300000001</v>
      </c>
      <c r="CK70" s="158">
        <f>CK18+CK27+CK43+CK54+CK61+CK67</f>
        <v>25434485</v>
      </c>
      <c r="CL70" s="158"/>
      <c r="CM70" s="158"/>
      <c r="CN70" s="158">
        <f>CN18+CN27+CN43+CN54+CN61+CN67</f>
        <v>4211856.1296254424</v>
      </c>
      <c r="CO70" s="158">
        <f>CO18+CO27+CO43+CO54+CO61+CO67</f>
        <v>4969990.2329580216</v>
      </c>
      <c r="CP70" s="127"/>
      <c r="CQ70" s="158">
        <f>CQ18+CQ27+CQ43+CQ54+CQ61+CQ67</f>
        <v>30012692.300000001</v>
      </c>
      <c r="CR70" s="158">
        <f>CR18+CR27+CR43+CR54+CR61+CR67</f>
        <v>25434485</v>
      </c>
      <c r="CS70" s="158"/>
      <c r="CT70" s="158"/>
      <c r="CU70" s="158">
        <f>CU18+CU27+CU43+CU54+CU61+CU67</f>
        <v>3978599.0770966969</v>
      </c>
      <c r="CV70" s="158">
        <f>CV18+CV27+CV43+CV54+CV61+CV67</f>
        <v>4694746.9109741021</v>
      </c>
      <c r="CW70" s="127"/>
      <c r="CX70" s="158">
        <f>CX18+CX27+CX43+CX54+CX61+CX67</f>
        <v>8889212.5399999991</v>
      </c>
      <c r="CY70" s="158">
        <f>CY18+CY27+CY43+CY54+CY61+CY67</f>
        <v>7533230.9661016949</v>
      </c>
      <c r="CZ70" s="158"/>
      <c r="DA70" s="158"/>
      <c r="DB70" s="158">
        <f>DB18+DB27+DB43+DB54+DB61+DB67</f>
        <v>2370889.4039999996</v>
      </c>
      <c r="DC70" s="158">
        <f>DC18+DC27+DC43+DC54+DC61+DC67</f>
        <v>2797649.4967199997</v>
      </c>
      <c r="DD70" s="127"/>
      <c r="DE70" s="158">
        <f>DE18+DE27+DE43+DE54+DE61+DE67</f>
        <v>6190592.9359999998</v>
      </c>
      <c r="DF70" s="158">
        <f>DF18+DF27+DF43+DF54+DF61+DF67</f>
        <v>5246265.2</v>
      </c>
      <c r="DG70" s="158"/>
      <c r="DH70" s="158"/>
      <c r="DI70" s="158">
        <f>DI18+DI27+DI43+DI54+DI61+DI67</f>
        <v>2958905.8189706225</v>
      </c>
      <c r="DJ70" s="158">
        <f>DJ18+DJ27+DJ43+DJ54+DJ61+DJ67</f>
        <v>3491508.8663853346</v>
      </c>
      <c r="DK70" s="127"/>
      <c r="DL70" s="158">
        <f>DL18+DL27+DL43+DL54+DL61+DL67</f>
        <v>3823148.96953288</v>
      </c>
      <c r="DM70" s="158">
        <f>DM18+DM27+DM43+DM54+DM61+DM67</f>
        <v>3239956.7538414239</v>
      </c>
      <c r="DN70" s="158"/>
      <c r="DO70" s="158"/>
      <c r="DP70" s="158">
        <f>DP18+DP27+DP43+DP54+DP61+DP67</f>
        <v>13965881.229086032</v>
      </c>
      <c r="DQ70" s="158">
        <f>DQ18+DQ27+DQ43+DQ54+DQ61+DQ67</f>
        <v>16479739.850321518</v>
      </c>
      <c r="DR70" s="127"/>
      <c r="DS70" s="158">
        <f>DS18+DS27+DS43+DS55+DS61+DS67</f>
        <v>39536000.369600005</v>
      </c>
      <c r="DT70" s="158">
        <f>DT18+DT27+DT43+DT55+DT61+DT67</f>
        <v>35258231.312456138</v>
      </c>
      <c r="DU70" s="158"/>
      <c r="DV70" s="158"/>
      <c r="DW70" s="158">
        <f>DW18+DW27+DW43+DW54+DW61+DW67</f>
        <v>10591415.01862848</v>
      </c>
      <c r="DX70" s="158">
        <f>DX18+DX27+DX43+DX54+DX61+DX67</f>
        <v>12497869.721981606</v>
      </c>
      <c r="DY70" s="127"/>
      <c r="DZ70" s="158">
        <f>DZ18+DZ27+DZ43+DZ54+DZ61+DZ67</f>
        <v>30012692.300000001</v>
      </c>
      <c r="EA70" s="158">
        <f>EA18+EA27+EA43+EA54+EA61+EA67</f>
        <v>25434485</v>
      </c>
      <c r="EB70" s="158"/>
      <c r="EC70" s="158"/>
      <c r="ED70" s="158">
        <f>ED18+ED27+ED43+ED54+ED61+ED67</f>
        <v>4402073.4547768245</v>
      </c>
      <c r="EE70" s="158">
        <f>EE18+EE27+EE43+EE54+EE61+EE67</f>
        <v>5194446.6766366521</v>
      </c>
      <c r="EF70" s="127"/>
      <c r="EG70" s="158">
        <f>EG18+EG27+EG43+EG54+EG61+EG67</f>
        <v>8889212.5399999991</v>
      </c>
      <c r="EH70" s="158">
        <f>EH18+EH27+EH43+EH54+EH61+EH67</f>
        <v>7533230.9661016949</v>
      </c>
      <c r="EI70" s="158"/>
      <c r="EJ70" s="158"/>
      <c r="EK70" s="158">
        <f>EK18+EK27+EK43+EK54+EK61+EK67</f>
        <v>2720568.7080000001</v>
      </c>
      <c r="EL70" s="158">
        <f>EL18+EL27+EL43+EL54+EL61+EL67</f>
        <v>3210271.0754399998</v>
      </c>
      <c r="EM70" s="127"/>
      <c r="EN70" s="158">
        <f>EN18+EN27+EN43+EN54+EN61+EN67</f>
        <v>14865003.5</v>
      </c>
      <c r="EO70" s="158">
        <f>EO18+EO27+EO43+EO54+EO61+EO67</f>
        <v>12597460.593220338</v>
      </c>
      <c r="EP70" s="158"/>
      <c r="EQ70" s="158"/>
      <c r="ER70" s="158">
        <f>ER18+ER27+ER43+ER54+ER61+ER67</f>
        <v>5502889.0635238616</v>
      </c>
      <c r="ES70" s="158">
        <f>ES18+ES27+ES43+ES54+ES61+ES67</f>
        <v>6493409.0949581563</v>
      </c>
      <c r="ET70" s="127"/>
      <c r="EU70" s="158">
        <f>EU18+EU27+EU43+EU54+EU61+EU67</f>
        <v>30012692.300000001</v>
      </c>
      <c r="EV70" s="158">
        <f>EV18+EV27+EV43+EV54+EV61+EV67</f>
        <v>25434485</v>
      </c>
      <c r="EW70" s="158"/>
      <c r="EX70" s="158"/>
      <c r="EY70" s="158">
        <f>EY18+EY27+EY43+EY54+EY61+EY67</f>
        <v>33712728.221791662</v>
      </c>
      <c r="EZ70" s="158">
        <f>EZ18+EZ27+EZ43+EZ54+EZ61+EZ67</f>
        <v>39781019.301714152</v>
      </c>
      <c r="FA70" s="127"/>
      <c r="FB70" s="158">
        <f>FB18+FB27+FB43+FB54+FB61+FB67</f>
        <v>35652761.449999996</v>
      </c>
      <c r="FC70" s="158">
        <f>FC18+FC27+FC43+FC54+FC61+FC67</f>
        <v>30214204.618644066</v>
      </c>
      <c r="FD70" s="158"/>
      <c r="FE70" s="158"/>
      <c r="FF70" s="158">
        <f>FF18+FF27+FF43+FF54+FF61+FF67</f>
        <v>37223333.127531953</v>
      </c>
      <c r="FG70" s="158">
        <f>FG18+FG27+FG43+FG54+FG61+FG67</f>
        <v>43923533.090487719</v>
      </c>
      <c r="FH70" s="127"/>
      <c r="FI70" s="158">
        <f>FI18+FI27+FI43+FI54+FI61+FI67</f>
        <v>21483087.552000001</v>
      </c>
      <c r="FJ70" s="158">
        <f>FJ18+FJ27+FJ43+FJ54+FJ61+FJ67</f>
        <v>18206006.399999999</v>
      </c>
      <c r="FK70" s="158"/>
      <c r="FL70" s="158"/>
      <c r="FM70" s="158">
        <f>FM18+FM27+FM43+FM54+FM61+FM67</f>
        <v>26335404.060760744</v>
      </c>
      <c r="FN70" s="158">
        <f>FN18+FN27+FN43+FN54+FN61+FN67</f>
        <v>31075776.791697677</v>
      </c>
      <c r="FO70" s="127"/>
      <c r="FP70" s="158">
        <f>FP18+FP27+FP43+FP54+FP61+FP67</f>
        <v>1504266</v>
      </c>
      <c r="FQ70" s="158">
        <f>FQ18+FQ27+FQ43+FQ54+FQ61+FQ67</f>
        <v>1274801.6949152544</v>
      </c>
      <c r="FR70" s="158"/>
      <c r="FS70" s="158"/>
      <c r="FT70" s="158">
        <f>FT18+FT27+FT43+FT54+FT61+FT67</f>
        <v>19617794.998941418</v>
      </c>
      <c r="FU70" s="158">
        <f>FU18+FU27+FU43+FU54+FU61+FU67</f>
        <v>23148998.098750874</v>
      </c>
      <c r="FV70" s="127"/>
      <c r="FW70" s="158">
        <f>FW18+FW27+FW43+FW54+FW61+FW67</f>
        <v>3823148.96953288</v>
      </c>
      <c r="FX70" s="158">
        <f>FX18+FX27+FX43+FX54+FX61+FX67</f>
        <v>3239956.7538414239</v>
      </c>
      <c r="FY70" s="158"/>
      <c r="FZ70" s="158"/>
      <c r="GA70" s="158">
        <f>GA18+GA27+GA43+GA54+GA61+GA67</f>
        <v>4342560.6670272117</v>
      </c>
      <c r="GB70" s="158">
        <f>GB18+GB27+GB43+GB54+GB61+GB67</f>
        <v>5124221.58709211</v>
      </c>
      <c r="GC70" s="127"/>
      <c r="GD70" s="158">
        <f>GD18+GD27+GD43+GD54+GD61+GD67</f>
        <v>1352015</v>
      </c>
      <c r="GE70" s="158">
        <f>GE18+GE27+GE43+GE54+GE61+GE67</f>
        <v>1145775.4237288137</v>
      </c>
      <c r="GF70" s="158"/>
      <c r="GG70" s="158"/>
      <c r="GH70" s="158">
        <f>GH18+GH27+GH43+GH54+GH61+GH67</f>
        <v>7607079.8038983038</v>
      </c>
      <c r="GI70" s="158">
        <f>GI18+GI27+GI43+GI54+GI61+GI67</f>
        <v>8976354.1685999967</v>
      </c>
      <c r="GJ70" s="127"/>
      <c r="GK70" s="158">
        <f>GK18+GK27+GK43+GK54+GK61+GK67</f>
        <v>4287742.3999999994</v>
      </c>
      <c r="GL70" s="158">
        <f>GL18+GL27+GL43+GL54+GL61+GL67</f>
        <v>3633680</v>
      </c>
      <c r="GM70" s="158"/>
      <c r="GN70" s="158"/>
      <c r="GO70" s="158">
        <f>GO18+GO27+GO43+GO54+GO61+GO67</f>
        <v>4512477.4272713754</v>
      </c>
      <c r="GP70" s="158">
        <f>GP18+GP27+GP43+GP54+GP61+GP67</f>
        <v>5324723.3641802222</v>
      </c>
      <c r="GQ70" s="127"/>
      <c r="GR70" s="158">
        <f>GR18+GR27+GR43+GR54+GR61+GR67</f>
        <v>3823148.96953288</v>
      </c>
      <c r="GS70" s="158">
        <f>GS18+GS27+GS43+GS54+GS61+GS67</f>
        <v>3239956.7538414239</v>
      </c>
      <c r="GT70" s="158"/>
      <c r="GU70" s="158"/>
      <c r="GV70" s="158">
        <f>GV18+GV27+GV43+GV54+GV61+GV67</f>
        <v>9640849.521300694</v>
      </c>
      <c r="GW70" s="158">
        <f>GW18+GW27+GW43+GW54+GW61+GW67</f>
        <v>11376202.435134817</v>
      </c>
      <c r="GX70" s="127"/>
      <c r="GY70" s="158">
        <f>GY18+GY27+GY43+GY54+GY61+GY67</f>
        <v>6190592.9359999998</v>
      </c>
      <c r="GZ70" s="158">
        <f>GZ18+GZ27+GZ43+GZ54+GZ61+GZ67</f>
        <v>5246265.2</v>
      </c>
      <c r="HA70" s="158"/>
      <c r="HB70" s="158"/>
      <c r="HC70" s="158">
        <f>HC18+HC27+HC43+HC54+HC61+HC67</f>
        <v>4364414.1111787539</v>
      </c>
      <c r="HD70" s="158">
        <f>HD18+HD27+HD43+HD54+HD61+HD67</f>
        <v>5150008.6511909291</v>
      </c>
      <c r="HE70" s="127"/>
      <c r="HF70" s="158">
        <f>HF18+HF27+HF43+HF54+HF61+HF67</f>
        <v>8889212.5399999991</v>
      </c>
      <c r="HG70" s="158">
        <f>HG18+HG27+HG43+HG54+HG61+HG67</f>
        <v>7533230.9661016949</v>
      </c>
      <c r="HH70" s="158"/>
      <c r="HI70" s="158"/>
      <c r="HJ70" s="158">
        <f>HJ18+HJ27+HJ43+HJ54+HJ61+HJ67</f>
        <v>3642160.86</v>
      </c>
      <c r="HK70" s="158">
        <f>HK18+HK27+HK43+HK54+HK61+HK67</f>
        <v>4297749.8147999998</v>
      </c>
      <c r="HL70" s="127"/>
      <c r="HM70" s="158">
        <f>HM18+HM27+HM43+HM54+HM61+HM67</f>
        <v>3823148.96953288</v>
      </c>
      <c r="HN70" s="158">
        <f>HN18+HN27+HN43+HN54+HN61+HN67</f>
        <v>3239956.7538414239</v>
      </c>
      <c r="HO70" s="158"/>
      <c r="HP70" s="158"/>
      <c r="HQ70" s="158">
        <f>HQ18+HQ27+HQ43+HQ54+HQ61+HQ67</f>
        <v>17646101.709959619</v>
      </c>
      <c r="HR70" s="158">
        <f>HR18+HR27+HR43+HR54+HR61+HR67</f>
        <v>20822400.017752346</v>
      </c>
      <c r="HS70" s="203"/>
      <c r="HT70" s="158">
        <f>HT18+HT27+HT43+HT54+HT61+HT67</f>
        <v>402249981.18703204</v>
      </c>
      <c r="HU70" s="276">
        <f>HT70*118%</f>
        <v>474654977.8006978</v>
      </c>
      <c r="HV70" s="54"/>
    </row>
    <row r="71" spans="1:230" ht="14.25" thickBot="1">
      <c r="A71" s="55"/>
      <c r="B71" s="56"/>
      <c r="C71" s="128"/>
      <c r="D71" s="57"/>
      <c r="E71" s="57"/>
      <c r="F71" s="57"/>
      <c r="G71" s="82"/>
      <c r="H71" s="82"/>
      <c r="I71" s="82"/>
      <c r="J71" s="128"/>
      <c r="K71" s="57"/>
      <c r="L71" s="57"/>
      <c r="M71" s="57"/>
      <c r="N71" s="82"/>
      <c r="O71" s="82"/>
      <c r="P71" s="82"/>
      <c r="Q71" s="128"/>
      <c r="R71" s="57"/>
      <c r="S71" s="57"/>
      <c r="T71" s="57"/>
      <c r="U71" s="82"/>
      <c r="V71" s="82"/>
      <c r="W71" s="82"/>
      <c r="X71" s="128"/>
      <c r="Y71" s="57"/>
      <c r="Z71" s="57"/>
      <c r="AA71" s="57"/>
      <c r="AB71" s="82"/>
      <c r="AC71" s="82"/>
      <c r="AD71" s="82"/>
      <c r="AE71" s="128"/>
      <c r="AF71" s="57"/>
      <c r="AG71" s="57"/>
      <c r="AH71" s="57"/>
      <c r="AI71" s="104"/>
      <c r="AJ71" s="104"/>
      <c r="AK71" s="104"/>
      <c r="AL71" s="128"/>
      <c r="AM71" s="57"/>
      <c r="AN71" s="57"/>
      <c r="AO71" s="57"/>
      <c r="AP71" s="104"/>
      <c r="AQ71" s="104"/>
      <c r="AR71" s="104"/>
      <c r="AS71" s="128"/>
      <c r="AT71" s="151"/>
      <c r="AU71" s="151"/>
      <c r="AV71" s="151"/>
      <c r="AW71" s="104"/>
      <c r="AX71" s="104"/>
      <c r="AY71" s="104"/>
      <c r="AZ71" s="128"/>
      <c r="BA71" s="151"/>
      <c r="BB71" s="151"/>
      <c r="BC71" s="151"/>
      <c r="BD71" s="104"/>
      <c r="BE71" s="104"/>
      <c r="BF71" s="104"/>
      <c r="BG71" s="128"/>
      <c r="BH71" s="57"/>
      <c r="BI71" s="57"/>
      <c r="BJ71" s="57"/>
      <c r="BK71" s="219"/>
      <c r="BL71" s="219"/>
      <c r="BM71" s="219"/>
      <c r="BN71" s="128"/>
      <c r="BO71" s="57"/>
      <c r="BP71" s="57"/>
      <c r="BQ71" s="57"/>
      <c r="BR71" s="219"/>
      <c r="BS71" s="219"/>
      <c r="BT71" s="219"/>
      <c r="BU71" s="128"/>
      <c r="BV71" s="57"/>
      <c r="BW71" s="57"/>
      <c r="BX71" s="57"/>
      <c r="BY71" s="104"/>
      <c r="BZ71" s="104"/>
      <c r="CA71" s="104"/>
      <c r="CB71" s="128"/>
      <c r="CC71" s="57"/>
      <c r="CD71" s="57"/>
      <c r="CE71" s="57"/>
      <c r="CF71" s="104"/>
      <c r="CG71" s="104"/>
      <c r="CH71" s="104"/>
      <c r="CI71" s="128"/>
      <c r="CJ71" s="57"/>
      <c r="CK71" s="57"/>
      <c r="CL71" s="57"/>
      <c r="CM71" s="104"/>
      <c r="CN71" s="104"/>
      <c r="CO71" s="104"/>
      <c r="CP71" s="128"/>
      <c r="CQ71" s="57"/>
      <c r="CR71" s="57"/>
      <c r="CS71" s="57"/>
      <c r="CT71" s="104"/>
      <c r="CU71" s="104"/>
      <c r="CV71" s="104"/>
      <c r="CW71" s="128"/>
      <c r="CX71" s="57"/>
      <c r="CY71" s="57"/>
      <c r="CZ71" s="57"/>
      <c r="DA71" s="219"/>
      <c r="DB71" s="219"/>
      <c r="DC71" s="219"/>
      <c r="DD71" s="128"/>
      <c r="DE71" s="57"/>
      <c r="DF71" s="57"/>
      <c r="DG71" s="57"/>
      <c r="DH71" s="82"/>
      <c r="DI71" s="82"/>
      <c r="DJ71" s="82"/>
      <c r="DK71" s="128"/>
      <c r="DL71" s="57"/>
      <c r="DM71" s="57"/>
      <c r="DN71" s="57"/>
      <c r="DO71" s="104"/>
      <c r="DP71" s="104"/>
      <c r="DQ71" s="104"/>
      <c r="DR71" s="128"/>
      <c r="DS71" s="151"/>
      <c r="DT71" s="151"/>
      <c r="DU71" s="151"/>
      <c r="DV71" s="82"/>
      <c r="DW71" s="82"/>
      <c r="DX71" s="82"/>
      <c r="DY71" s="128"/>
      <c r="DZ71" s="57"/>
      <c r="EA71" s="57"/>
      <c r="EB71" s="57"/>
      <c r="EC71" s="104"/>
      <c r="ED71" s="104"/>
      <c r="EE71" s="104"/>
      <c r="EF71" s="128"/>
      <c r="EG71" s="57"/>
      <c r="EH71" s="57"/>
      <c r="EI71" s="57"/>
      <c r="EJ71" s="219"/>
      <c r="EK71" s="219"/>
      <c r="EL71" s="219"/>
      <c r="EM71" s="128"/>
      <c r="EN71" s="57"/>
      <c r="EO71" s="57"/>
      <c r="EP71" s="57"/>
      <c r="EQ71" s="82"/>
      <c r="ER71" s="82"/>
      <c r="ES71" s="82"/>
      <c r="ET71" s="128"/>
      <c r="EU71" s="57"/>
      <c r="EV71" s="57"/>
      <c r="EW71" s="57"/>
      <c r="EX71" s="104"/>
      <c r="EY71" s="104"/>
      <c r="EZ71" s="104"/>
      <c r="FA71" s="128"/>
      <c r="FB71" s="57"/>
      <c r="FC71" s="57"/>
      <c r="FD71" s="57"/>
      <c r="FE71" s="104"/>
      <c r="FF71" s="104"/>
      <c r="FG71" s="104"/>
      <c r="FH71" s="128"/>
      <c r="FI71" s="151"/>
      <c r="FJ71" s="151"/>
      <c r="FK71" s="151"/>
      <c r="FL71" s="104"/>
      <c r="FM71" s="104"/>
      <c r="FN71" s="104"/>
      <c r="FO71" s="128"/>
      <c r="FP71" s="57"/>
      <c r="FQ71" s="57"/>
      <c r="FR71" s="57"/>
      <c r="FS71" s="104"/>
      <c r="FT71" s="104"/>
      <c r="FU71" s="104"/>
      <c r="FV71" s="128"/>
      <c r="FW71" s="57"/>
      <c r="FX71" s="57"/>
      <c r="FY71" s="57"/>
      <c r="FZ71" s="104"/>
      <c r="GA71" s="104"/>
      <c r="GB71" s="104"/>
      <c r="GC71" s="128"/>
      <c r="GD71" s="57"/>
      <c r="GE71" s="57"/>
      <c r="GF71" s="57"/>
      <c r="GG71" s="82"/>
      <c r="GH71" s="82"/>
      <c r="GI71" s="82"/>
      <c r="GJ71" s="128"/>
      <c r="GK71" s="151"/>
      <c r="GL71" s="151"/>
      <c r="GM71" s="151"/>
      <c r="GN71" s="82"/>
      <c r="GO71" s="82"/>
      <c r="GP71" s="82"/>
      <c r="GQ71" s="128"/>
      <c r="GR71" s="57"/>
      <c r="GS71" s="57"/>
      <c r="GT71" s="57"/>
      <c r="GU71" s="104"/>
      <c r="GV71" s="104"/>
      <c r="GW71" s="104"/>
      <c r="GX71" s="128"/>
      <c r="GY71" s="57"/>
      <c r="GZ71" s="57"/>
      <c r="HA71" s="57"/>
      <c r="HB71" s="82"/>
      <c r="HC71" s="82"/>
      <c r="HD71" s="82"/>
      <c r="HE71" s="128"/>
      <c r="HF71" s="57"/>
      <c r="HG71" s="57"/>
      <c r="HH71" s="57"/>
      <c r="HI71" s="219"/>
      <c r="HJ71" s="219"/>
      <c r="HK71" s="219"/>
      <c r="HL71" s="128"/>
      <c r="HM71" s="57"/>
      <c r="HN71" s="57"/>
      <c r="HO71" s="57"/>
      <c r="HP71" s="104"/>
      <c r="HQ71" s="104"/>
      <c r="HR71" s="104"/>
      <c r="HS71" s="128"/>
      <c r="HT71" s="328"/>
      <c r="HU71" s="57"/>
      <c r="HV71" s="58"/>
    </row>
    <row r="72" spans="1:230">
      <c r="A72" s="143"/>
      <c r="B72" s="144"/>
      <c r="C72" s="144"/>
      <c r="D72" s="144"/>
      <c r="E72" s="144"/>
      <c r="F72" s="144"/>
      <c r="G72" s="144"/>
      <c r="H72" s="144"/>
      <c r="I72" s="144"/>
      <c r="J72" s="144"/>
      <c r="K72" s="144"/>
      <c r="L72" s="144"/>
      <c r="M72" s="144"/>
      <c r="N72" s="144"/>
      <c r="O72" s="144"/>
      <c r="P72" s="144"/>
      <c r="Q72" s="144"/>
      <c r="R72" s="144"/>
      <c r="S72" s="144"/>
      <c r="T72" s="144"/>
      <c r="U72" s="144"/>
      <c r="V72" s="144"/>
      <c r="W72" s="144"/>
      <c r="X72" s="144"/>
      <c r="Y72" s="144"/>
      <c r="Z72" s="144"/>
      <c r="AA72" s="144"/>
      <c r="AB72" s="144"/>
      <c r="AC72" s="144"/>
      <c r="AD72" s="144"/>
      <c r="AE72" s="144"/>
      <c r="AF72" s="144"/>
      <c r="AG72" s="144"/>
      <c r="AH72" s="144"/>
      <c r="AI72" s="144"/>
      <c r="AJ72" s="144"/>
      <c r="AK72" s="144"/>
      <c r="AL72" s="144"/>
      <c r="AM72" s="144"/>
      <c r="AN72" s="144"/>
      <c r="AO72" s="144"/>
      <c r="AP72" s="144"/>
      <c r="AQ72" s="144"/>
      <c r="AR72" s="144"/>
      <c r="AS72" s="144"/>
      <c r="AT72" s="144"/>
      <c r="AU72" s="144"/>
      <c r="AV72" s="144"/>
      <c r="AW72" s="144"/>
      <c r="AX72" s="144"/>
      <c r="AY72" s="144"/>
      <c r="AZ72" s="144"/>
      <c r="BA72" s="144"/>
      <c r="BB72" s="144"/>
      <c r="BC72" s="144"/>
      <c r="BD72" s="144"/>
      <c r="BE72" s="144"/>
      <c r="BF72" s="144"/>
      <c r="BG72" s="144"/>
      <c r="BH72" s="144"/>
      <c r="BI72" s="144"/>
      <c r="BJ72" s="144"/>
      <c r="BK72" s="144"/>
      <c r="BL72" s="144"/>
      <c r="BM72" s="144"/>
      <c r="BN72" s="144"/>
      <c r="BO72" s="144"/>
      <c r="BP72" s="144"/>
      <c r="BQ72" s="144"/>
      <c r="BR72" s="144"/>
      <c r="BS72" s="144"/>
      <c r="BT72" s="144"/>
      <c r="BU72" s="144"/>
      <c r="BV72" s="144"/>
      <c r="BW72" s="144"/>
      <c r="BX72" s="144"/>
      <c r="BY72" s="144"/>
      <c r="BZ72" s="144"/>
      <c r="CA72" s="144"/>
      <c r="CB72" s="144"/>
      <c r="CC72" s="144"/>
      <c r="CD72" s="144"/>
      <c r="CE72" s="144"/>
      <c r="CF72" s="144"/>
      <c r="CG72" s="144"/>
      <c r="CH72" s="144"/>
      <c r="CI72" s="144"/>
      <c r="CJ72" s="144"/>
      <c r="CK72" s="144"/>
      <c r="CL72" s="144"/>
      <c r="CM72" s="144"/>
      <c r="CN72" s="144"/>
      <c r="CO72" s="144"/>
      <c r="CP72" s="144"/>
      <c r="CQ72" s="144"/>
      <c r="CR72" s="144"/>
      <c r="CS72" s="144"/>
      <c r="CT72" s="144"/>
      <c r="CU72" s="144"/>
      <c r="CV72" s="144"/>
      <c r="CW72" s="144"/>
      <c r="CX72" s="144"/>
      <c r="CY72" s="144"/>
      <c r="CZ72" s="144"/>
      <c r="DA72" s="144"/>
      <c r="DB72" s="144"/>
      <c r="DC72" s="144"/>
      <c r="DD72" s="144"/>
      <c r="DE72" s="144"/>
      <c r="DF72" s="144"/>
      <c r="DG72" s="144"/>
      <c r="DH72" s="144"/>
      <c r="DI72" s="144"/>
      <c r="DJ72" s="144"/>
      <c r="DK72" s="144"/>
      <c r="DL72" s="144"/>
      <c r="DM72" s="144"/>
      <c r="DN72" s="144"/>
      <c r="DO72" s="144"/>
      <c r="DP72" s="144"/>
      <c r="DQ72" s="144"/>
      <c r="DR72" s="144"/>
      <c r="DS72" s="144"/>
      <c r="DT72" s="144"/>
      <c r="DU72" s="144"/>
      <c r="DV72" s="144"/>
      <c r="DW72" s="144"/>
      <c r="DX72" s="144"/>
      <c r="DY72" s="144"/>
      <c r="DZ72" s="144"/>
      <c r="EA72" s="144"/>
      <c r="EB72" s="144"/>
      <c r="EC72" s="144"/>
      <c r="ED72" s="144"/>
      <c r="EE72" s="144"/>
      <c r="EF72" s="144"/>
      <c r="EG72" s="144"/>
      <c r="EH72" s="144"/>
      <c r="EI72" s="144"/>
      <c r="EJ72" s="144"/>
      <c r="EK72" s="144"/>
      <c r="EL72" s="144"/>
      <c r="EM72" s="144"/>
      <c r="EN72" s="144"/>
      <c r="EO72" s="144"/>
      <c r="EP72" s="144"/>
      <c r="EQ72" s="144"/>
      <c r="ER72" s="144"/>
      <c r="ES72" s="144"/>
      <c r="ET72" s="144"/>
      <c r="EU72" s="144"/>
      <c r="EV72" s="144"/>
      <c r="EW72" s="144"/>
      <c r="EX72" s="144"/>
      <c r="EY72" s="144"/>
      <c r="EZ72" s="144"/>
      <c r="FA72" s="144"/>
      <c r="FB72" s="144"/>
      <c r="FC72" s="144"/>
      <c r="FD72" s="144"/>
      <c r="FE72" s="144"/>
      <c r="FF72" s="144"/>
      <c r="FG72" s="144"/>
      <c r="FH72" s="144"/>
      <c r="FI72" s="144"/>
      <c r="FJ72" s="144"/>
      <c r="FK72" s="144"/>
      <c r="FL72" s="144"/>
      <c r="FM72" s="144"/>
      <c r="FN72" s="144"/>
      <c r="FO72" s="144"/>
      <c r="FP72" s="144"/>
      <c r="FQ72" s="144"/>
      <c r="FR72" s="144"/>
      <c r="FS72" s="144"/>
      <c r="FT72" s="144"/>
      <c r="FU72" s="144"/>
      <c r="FV72" s="144"/>
      <c r="FW72" s="144"/>
      <c r="FX72" s="144"/>
      <c r="FY72" s="144"/>
      <c r="FZ72" s="144"/>
      <c r="GA72" s="144"/>
      <c r="GB72" s="144"/>
      <c r="GC72" s="144"/>
      <c r="GD72" s="144"/>
      <c r="GE72" s="144"/>
      <c r="GF72" s="144"/>
      <c r="GG72" s="144"/>
      <c r="GH72" s="144"/>
      <c r="GI72" s="144"/>
      <c r="GJ72" s="144"/>
      <c r="GK72" s="144"/>
      <c r="GL72" s="144"/>
      <c r="GM72" s="144"/>
      <c r="GN72" s="144"/>
      <c r="GO72" s="144"/>
      <c r="GP72" s="144"/>
      <c r="GQ72" s="144"/>
      <c r="GR72" s="144"/>
      <c r="GS72" s="144"/>
      <c r="GT72" s="144"/>
      <c r="GU72" s="144"/>
      <c r="GV72" s="144"/>
      <c r="GW72" s="144"/>
      <c r="GX72" s="144"/>
      <c r="GY72" s="144"/>
      <c r="GZ72" s="144"/>
      <c r="HA72" s="144"/>
      <c r="HB72" s="144"/>
      <c r="HC72" s="144"/>
      <c r="HD72" s="144"/>
      <c r="HE72" s="144"/>
      <c r="HF72" s="144"/>
      <c r="HG72" s="144"/>
      <c r="HH72" s="144"/>
      <c r="HI72" s="144"/>
      <c r="HJ72" s="144"/>
      <c r="HK72" s="144"/>
      <c r="HL72" s="144"/>
      <c r="HM72" s="144"/>
      <c r="HN72" s="144"/>
      <c r="HO72" s="144"/>
      <c r="HP72" s="144"/>
      <c r="HQ72" s="144"/>
      <c r="HR72" s="144"/>
      <c r="HS72" s="144"/>
      <c r="HT72" s="144"/>
      <c r="HU72" s="144"/>
      <c r="HV72" s="144"/>
    </row>
    <row r="73" spans="1:230" ht="15">
      <c r="A73" s="59" t="s">
        <v>62</v>
      </c>
      <c r="HT73" s="330">
        <f>SUM(H70,O70,V70,AC70,AJ70,AQ70,AX70,BE70,BL70,BS70,BZ70,CG70,CN70,CU70,DB70,DI70,DP70,DW70,ED70,EK70,ER70,EY70,FF70,FM70,FT70,GA70,GH70,GO70,GV70,HC70,HJ70,HQ70)</f>
        <v>402249981.1870321</v>
      </c>
      <c r="HU73" s="332">
        <f>+HT73*1.18</f>
        <v>474654977.80069786</v>
      </c>
    </row>
    <row r="74" spans="1:230">
      <c r="A74" s="62" t="s">
        <v>63</v>
      </c>
      <c r="B74" s="63"/>
      <c r="C74" s="110"/>
      <c r="D74" s="63"/>
      <c r="E74" s="63"/>
      <c r="F74" s="63"/>
      <c r="G74" s="63"/>
      <c r="H74" s="63"/>
      <c r="I74" s="63"/>
      <c r="J74" s="110"/>
      <c r="K74" s="63"/>
      <c r="L74" s="63"/>
      <c r="M74" s="63"/>
      <c r="N74" s="63"/>
      <c r="O74" s="63"/>
      <c r="P74" s="63"/>
      <c r="Q74" s="110"/>
      <c r="R74" s="63"/>
      <c r="S74" s="63"/>
      <c r="T74" s="63"/>
      <c r="U74" s="63"/>
      <c r="V74" s="63"/>
      <c r="W74" s="63"/>
      <c r="X74" s="110"/>
      <c r="Y74" s="63"/>
      <c r="Z74" s="63"/>
      <c r="AA74" s="63"/>
      <c r="AB74" s="63"/>
      <c r="AC74" s="63"/>
      <c r="AD74" s="63"/>
      <c r="AE74" s="110"/>
      <c r="AF74" s="63"/>
      <c r="AG74" s="63"/>
      <c r="AH74" s="63"/>
      <c r="AI74" s="63"/>
      <c r="AJ74" s="63"/>
      <c r="AK74" s="63"/>
      <c r="AL74" s="110"/>
      <c r="AM74" s="63"/>
      <c r="AN74" s="63"/>
      <c r="AO74" s="63"/>
      <c r="AP74" s="63"/>
      <c r="AQ74" s="63"/>
      <c r="AR74" s="63"/>
      <c r="AS74" s="63"/>
      <c r="AT74" s="63"/>
      <c r="AU74" s="63"/>
      <c r="AV74" s="63"/>
      <c r="AW74" s="63"/>
      <c r="AX74" s="63"/>
      <c r="AY74" s="63"/>
      <c r="AZ74" s="63"/>
      <c r="BA74" s="63"/>
      <c r="BB74" s="63"/>
      <c r="BC74" s="63"/>
      <c r="BD74" s="63"/>
      <c r="BE74" s="63"/>
      <c r="BF74" s="63"/>
      <c r="BG74" s="110"/>
      <c r="BH74" s="63"/>
      <c r="BI74" s="63"/>
      <c r="BJ74" s="63"/>
      <c r="BK74" s="63"/>
      <c r="BL74" s="63"/>
      <c r="BM74" s="63"/>
      <c r="BN74" s="110"/>
      <c r="BO74" s="63"/>
      <c r="BP74" s="63"/>
      <c r="BQ74" s="63"/>
      <c r="BR74" s="63"/>
      <c r="BS74" s="63"/>
      <c r="BT74" s="63"/>
      <c r="BU74" s="110"/>
      <c r="BV74" s="63"/>
      <c r="BW74" s="63"/>
      <c r="BX74" s="63"/>
      <c r="BY74" s="63"/>
      <c r="BZ74" s="63"/>
      <c r="CA74" s="63"/>
      <c r="CB74" s="110"/>
      <c r="CC74" s="63"/>
      <c r="CD74" s="63"/>
      <c r="CE74" s="63"/>
      <c r="CF74" s="63"/>
      <c r="CG74" s="63"/>
      <c r="CH74" s="63"/>
      <c r="CI74" s="110"/>
      <c r="CJ74" s="63"/>
      <c r="CK74" s="63"/>
      <c r="CL74" s="63"/>
      <c r="CM74" s="63"/>
      <c r="CN74" s="63"/>
      <c r="CO74" s="63"/>
      <c r="CP74" s="110"/>
      <c r="CQ74" s="63"/>
      <c r="CR74" s="63"/>
      <c r="CS74" s="63"/>
      <c r="CT74" s="63"/>
      <c r="CU74" s="63"/>
      <c r="CV74" s="63"/>
      <c r="CW74" s="110"/>
      <c r="CX74" s="63"/>
      <c r="CY74" s="63"/>
      <c r="CZ74" s="63"/>
      <c r="DA74" s="63"/>
      <c r="DB74" s="63"/>
      <c r="DC74" s="63"/>
      <c r="DD74" s="110"/>
      <c r="DE74" s="63"/>
      <c r="DF74" s="63"/>
      <c r="DG74" s="63"/>
      <c r="DH74" s="63"/>
      <c r="DI74" s="63"/>
      <c r="DJ74" s="63"/>
      <c r="DK74" s="110"/>
      <c r="DL74" s="63"/>
      <c r="DM74" s="63"/>
      <c r="DN74" s="63"/>
      <c r="DO74" s="63"/>
      <c r="DP74" s="63"/>
      <c r="DQ74" s="63"/>
      <c r="DR74" s="110"/>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110"/>
      <c r="FB74" s="63"/>
      <c r="FC74" s="63"/>
      <c r="FD74" s="63"/>
      <c r="FE74" s="63"/>
      <c r="FF74" s="63"/>
      <c r="FG74" s="63"/>
      <c r="FH74" s="110"/>
      <c r="FI74" s="63"/>
      <c r="FJ74" s="63"/>
      <c r="FK74" s="63"/>
      <c r="FL74" s="63"/>
      <c r="FM74" s="63"/>
      <c r="FN74" s="63"/>
      <c r="FO74" s="110"/>
      <c r="FP74" s="63"/>
      <c r="FQ74" s="63"/>
      <c r="FR74" s="63"/>
      <c r="FS74" s="63"/>
      <c r="FT74" s="63"/>
      <c r="FU74" s="63"/>
      <c r="FV74" s="110"/>
      <c r="FW74" s="63"/>
      <c r="FX74" s="63"/>
      <c r="FY74" s="63"/>
      <c r="FZ74" s="63"/>
      <c r="GA74" s="63"/>
      <c r="GB74" s="63"/>
      <c r="GC74" s="110"/>
      <c r="GD74" s="63"/>
      <c r="GE74" s="63"/>
      <c r="GF74" s="63"/>
      <c r="GG74" s="63"/>
      <c r="GH74" s="63"/>
      <c r="GI74" s="63"/>
      <c r="GJ74" s="63"/>
      <c r="GK74" s="63"/>
      <c r="GL74" s="63"/>
      <c r="GM74" s="63"/>
      <c r="GN74" s="63"/>
      <c r="GO74" s="63"/>
      <c r="GP74" s="63"/>
      <c r="GQ74" s="63"/>
      <c r="GR74" s="63"/>
      <c r="GS74" s="63"/>
      <c r="GT74" s="63"/>
      <c r="GU74" s="63"/>
      <c r="GV74" s="63"/>
      <c r="GW74" s="63"/>
      <c r="GX74" s="110"/>
      <c r="GY74" s="63"/>
      <c r="GZ74" s="63"/>
      <c r="HA74" s="63"/>
      <c r="HB74" s="63"/>
      <c r="HC74" s="63"/>
      <c r="HD74" s="63"/>
      <c r="HE74" s="110"/>
      <c r="HF74" s="63"/>
      <c r="HG74" s="63"/>
      <c r="HH74" s="63"/>
      <c r="HI74" s="63"/>
      <c r="HJ74" s="63"/>
      <c r="HK74" s="63"/>
      <c r="HL74" s="110"/>
      <c r="HM74" s="63"/>
      <c r="HN74" s="63"/>
      <c r="HO74" s="63"/>
      <c r="HP74" s="63"/>
      <c r="HQ74" s="63"/>
      <c r="HR74" s="63"/>
      <c r="HS74" s="110"/>
      <c r="HT74" s="331">
        <f>+HT70-HT73</f>
        <v>0</v>
      </c>
      <c r="HU74" s="63"/>
      <c r="HV74" s="63"/>
    </row>
    <row r="75" spans="1:230" ht="14.25" thickBot="1">
      <c r="A75" s="65"/>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c r="EO75" s="66"/>
      <c r="EP75" s="66"/>
      <c r="EQ75" s="66"/>
      <c r="ER75" s="66"/>
      <c r="ES75" s="66"/>
      <c r="ET75" s="66"/>
      <c r="EU75" s="66"/>
      <c r="EV75" s="66"/>
      <c r="EW75" s="66"/>
      <c r="EX75" s="66"/>
      <c r="EY75" s="66"/>
      <c r="EZ75" s="66"/>
      <c r="FA75" s="66"/>
      <c r="FB75" s="66"/>
      <c r="FC75" s="66"/>
      <c r="FD75" s="66"/>
      <c r="FE75" s="66"/>
      <c r="FF75" s="66"/>
      <c r="FG75" s="66"/>
      <c r="FH75" s="66"/>
      <c r="FI75" s="66"/>
      <c r="FJ75" s="66"/>
      <c r="FK75" s="66"/>
      <c r="FL75" s="66"/>
      <c r="FM75" s="66"/>
      <c r="FN75" s="66"/>
      <c r="FO75" s="66"/>
      <c r="FP75" s="66"/>
      <c r="FQ75" s="66"/>
      <c r="FR75" s="66"/>
      <c r="FS75" s="66"/>
      <c r="FT75" s="66"/>
      <c r="FU75" s="66"/>
      <c r="FV75" s="66"/>
      <c r="FW75" s="66"/>
      <c r="FX75" s="66"/>
      <c r="FY75" s="66"/>
      <c r="FZ75" s="66"/>
      <c r="GA75" s="66"/>
      <c r="GB75" s="66"/>
      <c r="GC75" s="66"/>
      <c r="GD75" s="66"/>
      <c r="GE75" s="66"/>
      <c r="GF75" s="66"/>
      <c r="GG75" s="66"/>
      <c r="GH75" s="66"/>
      <c r="GI75" s="66"/>
      <c r="GJ75" s="66"/>
      <c r="GK75" s="66"/>
      <c r="GL75" s="66"/>
      <c r="GM75" s="66"/>
      <c r="GN75" s="66"/>
      <c r="GO75" s="66"/>
      <c r="GP75" s="66"/>
      <c r="GQ75" s="66"/>
      <c r="GR75" s="66"/>
      <c r="GS75" s="66"/>
      <c r="GT75" s="66"/>
      <c r="GU75" s="66"/>
      <c r="GV75" s="66"/>
      <c r="GW75" s="66"/>
      <c r="GX75" s="66"/>
      <c r="GY75" s="66"/>
      <c r="GZ75" s="66"/>
      <c r="HA75" s="66"/>
      <c r="HB75" s="66"/>
      <c r="HC75" s="66"/>
      <c r="HD75" s="66"/>
      <c r="HE75" s="66"/>
      <c r="HF75" s="66"/>
      <c r="HG75" s="66"/>
      <c r="HH75" s="66"/>
      <c r="HI75" s="66"/>
      <c r="HJ75" s="66"/>
      <c r="HK75" s="66"/>
      <c r="HL75" s="66"/>
      <c r="HM75" s="66"/>
      <c r="HN75" s="66"/>
      <c r="HO75" s="66"/>
      <c r="HP75" s="66"/>
      <c r="HQ75" s="66"/>
      <c r="HR75" s="66"/>
      <c r="HS75" s="66"/>
      <c r="HT75" s="66"/>
      <c r="HU75" s="66"/>
      <c r="HV75" s="66"/>
    </row>
    <row r="76" spans="1:230">
      <c r="AT76" s="63"/>
      <c r="AU76" s="63"/>
      <c r="AV76" s="63"/>
      <c r="BA76" s="63"/>
      <c r="BB76" s="63"/>
      <c r="BC76" s="63"/>
      <c r="FI76" s="63"/>
      <c r="FJ76" s="63"/>
      <c r="FK76" s="63"/>
    </row>
    <row r="77" spans="1:230" ht="14.25" thickBot="1">
      <c r="AT77" s="66"/>
      <c r="AU77" s="66"/>
      <c r="AV77" s="66"/>
      <c r="BA77" s="66"/>
      <c r="BB77" s="66"/>
      <c r="BC77" s="66"/>
      <c r="FI77" s="66"/>
      <c r="FJ77" s="66"/>
      <c r="FK77" s="66"/>
    </row>
  </sheetData>
  <mergeCells count="133">
    <mergeCell ref="HT5:HV5"/>
    <mergeCell ref="HT6:HV6"/>
    <mergeCell ref="K5:M5"/>
    <mergeCell ref="N5:P5"/>
    <mergeCell ref="K6:M6"/>
    <mergeCell ref="N6:P6"/>
    <mergeCell ref="BH5:BJ5"/>
    <mergeCell ref="BK5:BM5"/>
    <mergeCell ref="BH6:BJ6"/>
    <mergeCell ref="BK6:BM6"/>
    <mergeCell ref="BO5:BQ5"/>
    <mergeCell ref="BO6:BQ6"/>
    <mergeCell ref="FI6:FK6"/>
    <mergeCell ref="EN5:EP5"/>
    <mergeCell ref="EQ5:ES5"/>
    <mergeCell ref="EN6:EP6"/>
    <mergeCell ref="EQ6:ES6"/>
    <mergeCell ref="AM5:AO5"/>
    <mergeCell ref="AP5:AR5"/>
    <mergeCell ref="AM6:AO6"/>
    <mergeCell ref="AP6:AR6"/>
    <mergeCell ref="DS6:DU6"/>
    <mergeCell ref="DV5:DX5"/>
    <mergeCell ref="DV6:DX6"/>
    <mergeCell ref="BV6:BX6"/>
    <mergeCell ref="BY6:CA6"/>
    <mergeCell ref="Y6:AA6"/>
    <mergeCell ref="AB6:AD6"/>
    <mergeCell ref="AF5:AH5"/>
    <mergeCell ref="AI5:AK5"/>
    <mergeCell ref="AF6:AH6"/>
    <mergeCell ref="AI6:AK6"/>
    <mergeCell ref="BR5:BT5"/>
    <mergeCell ref="BR6:BT6"/>
    <mergeCell ref="AT5:AV5"/>
    <mergeCell ref="AT6:AV6"/>
    <mergeCell ref="AW5:AY5"/>
    <mergeCell ref="AW6:AY6"/>
    <mergeCell ref="BA5:BC5"/>
    <mergeCell ref="BD5:BF5"/>
    <mergeCell ref="BA6:BC6"/>
    <mergeCell ref="BD6:BF6"/>
    <mergeCell ref="Y5:AA5"/>
    <mergeCell ref="AB5:AD5"/>
    <mergeCell ref="BV5:BX5"/>
    <mergeCell ref="BY5:CA5"/>
    <mergeCell ref="D6:F6"/>
    <mergeCell ref="G6:I6"/>
    <mergeCell ref="R5:T5"/>
    <mergeCell ref="U5:W5"/>
    <mergeCell ref="R6:T6"/>
    <mergeCell ref="U6:W6"/>
    <mergeCell ref="A2:B2"/>
    <mergeCell ref="A3:B3"/>
    <mergeCell ref="A4:B4"/>
    <mergeCell ref="D5:F5"/>
    <mergeCell ref="G5:I5"/>
    <mergeCell ref="DA5:DC5"/>
    <mergeCell ref="FL5:FN5"/>
    <mergeCell ref="HP5:HR5"/>
    <mergeCell ref="HP6:HR6"/>
    <mergeCell ref="GD5:GF5"/>
    <mergeCell ref="GG5:GI5"/>
    <mergeCell ref="GD6:GF6"/>
    <mergeCell ref="GG6:GI6"/>
    <mergeCell ref="GK5:GM5"/>
    <mergeCell ref="GK6:GM6"/>
    <mergeCell ref="GN5:GP5"/>
    <mergeCell ref="GN6:GP6"/>
    <mergeCell ref="EC5:EE5"/>
    <mergeCell ref="DZ6:EB6"/>
    <mergeCell ref="EC6:EE6"/>
    <mergeCell ref="DH6:DJ6"/>
    <mergeCell ref="HM5:HO5"/>
    <mergeCell ref="HM6:HO6"/>
    <mergeCell ref="GY5:HA5"/>
    <mergeCell ref="HB5:HD5"/>
    <mergeCell ref="HB6:HD6"/>
    <mergeCell ref="HI5:HK5"/>
    <mergeCell ref="HI6:HK6"/>
    <mergeCell ref="FP5:FR5"/>
    <mergeCell ref="CC5:CE5"/>
    <mergeCell ref="CF5:CH5"/>
    <mergeCell ref="CC6:CE6"/>
    <mergeCell ref="CF6:CH6"/>
    <mergeCell ref="DL5:DN5"/>
    <mergeCell ref="DO5:DQ5"/>
    <mergeCell ref="DL6:DN6"/>
    <mergeCell ref="DO6:DQ6"/>
    <mergeCell ref="DZ5:EB5"/>
    <mergeCell ref="CJ5:CL5"/>
    <mergeCell ref="CM5:CO5"/>
    <mergeCell ref="CJ6:CL6"/>
    <mergeCell ref="CM6:CO6"/>
    <mergeCell ref="CQ5:CS5"/>
    <mergeCell ref="CT5:CV5"/>
    <mergeCell ref="CQ6:CS6"/>
    <mergeCell ref="CT6:CV6"/>
    <mergeCell ref="DE6:DG6"/>
    <mergeCell ref="CX6:CZ6"/>
    <mergeCell ref="DA6:DC6"/>
    <mergeCell ref="DS5:DU5"/>
    <mergeCell ref="DE5:DG5"/>
    <mergeCell ref="DH5:DJ5"/>
    <mergeCell ref="CX5:CZ5"/>
    <mergeCell ref="HF5:HH5"/>
    <mergeCell ref="HF6:HH6"/>
    <mergeCell ref="FW5:FY5"/>
    <mergeCell ref="FZ5:GB5"/>
    <mergeCell ref="FW6:FY6"/>
    <mergeCell ref="FZ6:GB6"/>
    <mergeCell ref="GR5:GT5"/>
    <mergeCell ref="GU5:GW5"/>
    <mergeCell ref="GR6:GT6"/>
    <mergeCell ref="GU6:GW6"/>
    <mergeCell ref="FB6:FD6"/>
    <mergeCell ref="FE6:FG6"/>
    <mergeCell ref="FI5:FK5"/>
    <mergeCell ref="GY6:HA6"/>
    <mergeCell ref="FS5:FU5"/>
    <mergeCell ref="FP6:FR6"/>
    <mergeCell ref="FS6:FU6"/>
    <mergeCell ref="EG5:EI5"/>
    <mergeCell ref="EJ5:EL5"/>
    <mergeCell ref="EG6:EI6"/>
    <mergeCell ref="EJ6:EL6"/>
    <mergeCell ref="FL6:FN6"/>
    <mergeCell ref="EU5:EW5"/>
    <mergeCell ref="EX5:EZ5"/>
    <mergeCell ref="EU6:EW6"/>
    <mergeCell ref="EX6:EZ6"/>
    <mergeCell ref="FB5:FD5"/>
    <mergeCell ref="FE5:FG5"/>
  </mergeCells>
  <pageMargins left="0.25" right="0.25" top="0.75" bottom="0.75" header="0.3" footer="0.3"/>
  <pageSetup paperSize="8" scale="64" fitToWidth="0" orientation="landscape" r:id="rId1"/>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A75"/>
  <sheetViews>
    <sheetView zoomScaleNormal="100" workbookViewId="0">
      <pane xSplit="2" ySplit="7" topLeftCell="CV8" activePane="bottomRight" state="frozen"/>
      <selection pane="topRight" activeCell="C1" sqref="C1"/>
      <selection pane="bottomLeft" activeCell="A8" sqref="A8"/>
      <selection pane="bottomRight" activeCell="CV7" sqref="CV7"/>
    </sheetView>
  </sheetViews>
  <sheetFormatPr defaultColWidth="9.140625" defaultRowHeight="13.5"/>
  <cols>
    <col min="1" max="1" width="6.7109375" style="60" bestFit="1" customWidth="1"/>
    <col min="2" max="2" width="29" style="60" bestFit="1" customWidth="1"/>
    <col min="3" max="3" width="1.7109375" style="60" customWidth="1"/>
    <col min="4" max="5" width="10.28515625" style="60" bestFit="1" customWidth="1"/>
    <col min="6" max="6" width="6.140625" style="60" bestFit="1" customWidth="1"/>
    <col min="7" max="7" width="7.140625" style="60" bestFit="1" customWidth="1"/>
    <col min="8" max="9" width="10.28515625" style="60" bestFit="1" customWidth="1"/>
    <col min="10" max="10" width="1.7109375" style="60" customWidth="1"/>
    <col min="11" max="12" width="10" style="60" bestFit="1" customWidth="1"/>
    <col min="13" max="14" width="6.140625" style="60" bestFit="1" customWidth="1"/>
    <col min="15" max="15" width="10" style="60" bestFit="1" customWidth="1"/>
    <col min="16" max="16" width="10.28515625" style="60" bestFit="1" customWidth="1"/>
    <col min="17" max="17" width="1.7109375" style="60" customWidth="1"/>
    <col min="18" max="19" width="9.42578125" style="60" bestFit="1" customWidth="1"/>
    <col min="20" max="21" width="6.140625" style="60" bestFit="1" customWidth="1"/>
    <col min="22" max="23" width="10.28515625" style="60" bestFit="1" customWidth="1"/>
    <col min="24" max="24" width="1.7109375" style="60" customWidth="1"/>
    <col min="25" max="26" width="10.28515625" style="60" bestFit="1" customWidth="1"/>
    <col min="27" max="27" width="7.140625" style="60" bestFit="1" customWidth="1"/>
    <col min="28" max="28" width="6.140625" style="60" bestFit="1" customWidth="1"/>
    <col min="29" max="30" width="10.28515625" style="60" bestFit="1" customWidth="1"/>
    <col min="31" max="31" width="1.7109375" style="60" customWidth="1"/>
    <col min="32" max="33" width="10.28515625" style="60" bestFit="1" customWidth="1"/>
    <col min="34" max="35" width="6.140625" style="60" bestFit="1" customWidth="1"/>
    <col min="36" max="36" width="10.28515625" style="60" bestFit="1" customWidth="1"/>
    <col min="37" max="37" width="11.140625" style="60" bestFit="1" customWidth="1"/>
    <col min="38" max="38" width="1.7109375" style="60" customWidth="1"/>
    <col min="39" max="40" width="9.42578125" style="60" bestFit="1" customWidth="1"/>
    <col min="41" max="42" width="6.140625" style="60" bestFit="1" customWidth="1"/>
    <col min="43" max="44" width="10.28515625" style="60" bestFit="1" customWidth="1"/>
    <col min="45" max="45" width="1.7109375" style="60" customWidth="1"/>
    <col min="46" max="47" width="10.28515625" style="60" bestFit="1" customWidth="1"/>
    <col min="48" max="49" width="7.140625" style="60" bestFit="1" customWidth="1"/>
    <col min="50" max="51" width="10.28515625" style="60" bestFit="1" customWidth="1"/>
    <col min="52" max="52" width="1.7109375" style="60" customWidth="1"/>
    <col min="53" max="54" width="10.28515625" style="60" bestFit="1" customWidth="1"/>
    <col min="55" max="55" width="6.140625" style="60" bestFit="1" customWidth="1"/>
    <col min="56" max="56" width="7.140625" style="60" bestFit="1" customWidth="1"/>
    <col min="57" max="58" width="10.28515625" style="60" bestFit="1" customWidth="1"/>
    <col min="59" max="59" width="1.7109375" style="60" customWidth="1"/>
    <col min="60" max="61" width="10.28515625" style="60" bestFit="1" customWidth="1"/>
    <col min="62" max="63" width="7.140625" style="60" bestFit="1" customWidth="1"/>
    <col min="64" max="65" width="10.28515625" style="60" bestFit="1" customWidth="1"/>
    <col min="66" max="66" width="1.7109375" style="60" customWidth="1"/>
    <col min="67" max="68" width="10.28515625" style="60" bestFit="1" customWidth="1"/>
    <col min="69" max="70" width="6.140625" style="60" bestFit="1" customWidth="1"/>
    <col min="71" max="71" width="10.28515625" style="60" bestFit="1" customWidth="1"/>
    <col min="72" max="72" width="11.140625" style="60" bestFit="1" customWidth="1"/>
    <col min="73" max="73" width="1.7109375" style="60" customWidth="1"/>
    <col min="74" max="74" width="10.28515625" style="60" customWidth="1"/>
    <col min="75" max="75" width="10.28515625" style="60" bestFit="1" customWidth="1"/>
    <col min="76" max="77" width="7.140625" style="60" bestFit="1" customWidth="1"/>
    <col min="78" max="79" width="10.28515625" style="60" bestFit="1" customWidth="1"/>
    <col min="80" max="80" width="1.7109375" style="60" customWidth="1"/>
    <col min="81" max="82" width="10.28515625" style="60" bestFit="1" customWidth="1"/>
    <col min="83" max="84" width="7.140625" style="60" bestFit="1" customWidth="1"/>
    <col min="85" max="86" width="10.28515625" style="60" bestFit="1" customWidth="1"/>
    <col min="87" max="87" width="1.7109375" style="60" customWidth="1"/>
    <col min="88" max="89" width="10.28515625" style="60" bestFit="1" customWidth="1"/>
    <col min="90" max="91" width="7.140625" style="60" bestFit="1" customWidth="1"/>
    <col min="92" max="93" width="10.28515625" style="60" bestFit="1" customWidth="1"/>
    <col min="94" max="94" width="1.7109375" style="60" customWidth="1"/>
    <col min="95" max="95" width="10.28515625" style="60" customWidth="1"/>
    <col min="96" max="96" width="10.28515625" style="60" bestFit="1" customWidth="1"/>
    <col min="97" max="98" width="7.140625" style="60" bestFit="1" customWidth="1"/>
    <col min="99" max="100" width="10.28515625" style="60" bestFit="1" customWidth="1"/>
    <col min="101" max="101" width="1.7109375" style="60" customWidth="1"/>
    <col min="102" max="103" width="10.28515625" style="60" bestFit="1" customWidth="1"/>
    <col min="104" max="105" width="7.140625" style="60" bestFit="1" customWidth="1"/>
    <col min="106" max="107" width="10.28515625" style="60" bestFit="1" customWidth="1"/>
    <col min="108" max="108" width="1.7109375" style="60" customWidth="1"/>
    <col min="109" max="109" width="10.28515625" style="60" customWidth="1"/>
    <col min="110" max="110" width="10.28515625" style="60" bestFit="1" customWidth="1"/>
    <col min="111" max="112" width="7.140625" style="60" bestFit="1" customWidth="1"/>
    <col min="113" max="114" width="10.28515625" style="60" bestFit="1" customWidth="1"/>
    <col min="115" max="115" width="1.7109375" style="60" customWidth="1"/>
    <col min="116" max="117" width="10.28515625" style="60" bestFit="1" customWidth="1"/>
    <col min="118" max="119" width="7.140625" style="60" bestFit="1" customWidth="1"/>
    <col min="120" max="121" width="10.28515625" style="60" bestFit="1" customWidth="1"/>
    <col min="122" max="122" width="1.7109375" style="60" customWidth="1"/>
    <col min="123" max="124" width="10.28515625" style="60" bestFit="1" customWidth="1"/>
    <col min="125" max="126" width="7.140625" style="60" bestFit="1" customWidth="1"/>
    <col min="127" max="128" width="10.28515625" style="60" bestFit="1" customWidth="1"/>
    <col min="129" max="129" width="1.7109375" style="60" customWidth="1"/>
    <col min="130" max="130" width="10.28515625" style="60" customWidth="1"/>
    <col min="131" max="131" width="10.28515625" style="60" bestFit="1" customWidth="1"/>
    <col min="132" max="133" width="7.140625" style="60" bestFit="1" customWidth="1"/>
    <col min="134" max="135" width="10.28515625" style="60" bestFit="1" customWidth="1"/>
    <col min="136" max="136" width="1.7109375" style="60" customWidth="1"/>
    <col min="137" max="138" width="10.28515625" style="60" bestFit="1" customWidth="1"/>
    <col min="139" max="140" width="7.140625" style="60" bestFit="1" customWidth="1"/>
    <col min="141" max="142" width="10.28515625" style="60" bestFit="1" customWidth="1"/>
    <col min="143" max="143" width="1.7109375" style="60" customWidth="1"/>
    <col min="144" max="145" width="10.28515625" style="60" bestFit="1" customWidth="1"/>
    <col min="146" max="147" width="6.140625" style="60" bestFit="1" customWidth="1"/>
    <col min="148" max="148" width="10.28515625" style="60" bestFit="1" customWidth="1"/>
    <col min="149" max="149" width="11.140625" style="60" bestFit="1" customWidth="1"/>
    <col min="150" max="150" width="1.7109375" style="60" customWidth="1"/>
    <col min="151" max="152" width="10.28515625" style="60" bestFit="1" customWidth="1"/>
    <col min="153" max="154" width="6.140625" style="60" bestFit="1" customWidth="1"/>
    <col min="155" max="156" width="10.28515625" style="60" bestFit="1" customWidth="1"/>
    <col min="157" max="157" width="1.7109375" style="60" customWidth="1"/>
    <col min="158" max="159" width="10.28515625" style="60" bestFit="1" customWidth="1"/>
    <col min="160" max="160" width="6.140625" style="60" bestFit="1" customWidth="1"/>
    <col min="161" max="161" width="7.140625" style="60" bestFit="1" customWidth="1"/>
    <col min="162" max="163" width="10.28515625" style="60" bestFit="1" customWidth="1"/>
    <col min="164" max="164" width="1.7109375" style="60" customWidth="1"/>
    <col min="165" max="166" width="10.28515625" style="60" bestFit="1" customWidth="1"/>
    <col min="167" max="167" width="7.140625" style="60" bestFit="1" customWidth="1"/>
    <col min="168" max="168" width="6.140625" style="60" bestFit="1" customWidth="1"/>
    <col min="169" max="170" width="9.42578125" style="60" bestFit="1" customWidth="1"/>
    <col min="171" max="171" width="1.7109375" style="60" customWidth="1"/>
    <col min="172" max="172" width="10.28515625" style="60" customWidth="1"/>
    <col min="173" max="173" width="10.28515625" style="60" bestFit="1" customWidth="1"/>
    <col min="174" max="175" width="7.140625" style="60" bestFit="1" customWidth="1"/>
    <col min="176" max="177" width="10.28515625" style="60" bestFit="1" customWidth="1"/>
    <col min="178" max="178" width="1.7109375" style="60" customWidth="1"/>
    <col min="179" max="180" width="10.28515625" style="60" bestFit="1" customWidth="1"/>
    <col min="181" max="182" width="7.140625" style="60" bestFit="1" customWidth="1"/>
    <col min="183" max="184" width="10.28515625" style="60" bestFit="1" customWidth="1"/>
    <col min="185" max="185" width="1.7109375" style="60" customWidth="1"/>
    <col min="186" max="186" width="10.28515625" style="60" customWidth="1"/>
    <col min="187" max="187" width="10.28515625" style="60" bestFit="1" customWidth="1"/>
    <col min="188" max="189" width="7.140625" style="60" bestFit="1" customWidth="1"/>
    <col min="190" max="191" width="10.28515625" style="60" bestFit="1" customWidth="1"/>
    <col min="192" max="192" width="1.7109375" style="60" customWidth="1"/>
    <col min="193" max="193" width="10.28515625" style="60" customWidth="1"/>
    <col min="194" max="194" width="10.28515625" style="60" bestFit="1" customWidth="1"/>
    <col min="195" max="196" width="7.140625" style="60" bestFit="1" customWidth="1"/>
    <col min="197" max="198" width="10.28515625" style="60" bestFit="1" customWidth="1"/>
    <col min="199" max="199" width="1.7109375" style="60" customWidth="1"/>
    <col min="200" max="201" width="10.28515625" style="60" bestFit="1" customWidth="1"/>
    <col min="202" max="203" width="7.140625" style="60" bestFit="1" customWidth="1"/>
    <col min="204" max="205" width="10.28515625" style="60" bestFit="1" customWidth="1"/>
    <col min="206" max="206" width="1.7109375" style="60" customWidth="1"/>
    <col min="207" max="207" width="10.28515625" style="60" customWidth="1"/>
    <col min="208" max="208" width="10.28515625" style="60" bestFit="1" customWidth="1"/>
    <col min="209" max="210" width="7.140625" style="60" bestFit="1" customWidth="1"/>
    <col min="211" max="212" width="10.28515625" style="60" bestFit="1" customWidth="1"/>
    <col min="213" max="213" width="1.7109375" style="60" customWidth="1"/>
    <col min="214" max="215" width="10.28515625" style="60" bestFit="1" customWidth="1"/>
    <col min="216" max="217" width="7.140625" style="60" bestFit="1" customWidth="1"/>
    <col min="218" max="219" width="10.28515625" style="60" bestFit="1" customWidth="1"/>
    <col min="220" max="220" width="1.7109375" style="60" customWidth="1"/>
    <col min="221" max="221" width="10.28515625" style="60" customWidth="1"/>
    <col min="222" max="222" width="10.28515625" style="60" bestFit="1" customWidth="1"/>
    <col min="223" max="224" width="7.140625" style="60" bestFit="1" customWidth="1"/>
    <col min="225" max="226" width="10.28515625" style="60" bestFit="1" customWidth="1"/>
    <col min="227" max="227" width="1.7109375" style="60" customWidth="1"/>
    <col min="228" max="229" width="10.28515625" style="60" bestFit="1" customWidth="1"/>
    <col min="230" max="231" width="7.140625" style="60" bestFit="1" customWidth="1"/>
    <col min="232" max="233" width="10.28515625" style="60" bestFit="1" customWidth="1"/>
    <col min="234" max="234" width="1.7109375" style="60" customWidth="1"/>
    <col min="235" max="235" width="15.85546875" style="60" customWidth="1"/>
    <col min="236" max="16384" width="9.140625" style="1"/>
  </cols>
  <sheetData>
    <row r="1" spans="1:235" ht="18.75">
      <c r="A1" s="140" t="str">
        <f>'Summary_Old outlets'!B2</f>
        <v>CAPEX - LUCKNOW - F&amp;B</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c r="BV1" s="141"/>
      <c r="BW1" s="141"/>
      <c r="BX1" s="141"/>
      <c r="BY1" s="141"/>
      <c r="BZ1" s="141"/>
      <c r="CA1" s="141"/>
      <c r="CB1" s="141"/>
      <c r="CC1" s="141"/>
      <c r="CD1" s="141"/>
      <c r="CE1" s="141"/>
      <c r="CF1" s="141"/>
      <c r="CG1" s="141"/>
      <c r="CH1" s="141"/>
      <c r="CI1" s="141"/>
      <c r="CJ1" s="141"/>
      <c r="CK1" s="141"/>
      <c r="CL1" s="141"/>
      <c r="CM1" s="141"/>
      <c r="CN1" s="141"/>
      <c r="CO1" s="141"/>
      <c r="CP1" s="141"/>
      <c r="CQ1" s="141"/>
      <c r="CR1" s="141"/>
      <c r="CS1" s="141"/>
      <c r="CT1" s="141"/>
      <c r="CU1" s="141"/>
      <c r="CV1" s="141"/>
      <c r="CW1" s="141"/>
      <c r="CX1" s="141"/>
      <c r="CY1" s="141"/>
      <c r="CZ1" s="141"/>
      <c r="DA1" s="141"/>
      <c r="DB1" s="141"/>
      <c r="DC1" s="141"/>
      <c r="DD1" s="141"/>
      <c r="DE1" s="141"/>
      <c r="DF1" s="141"/>
      <c r="DG1" s="141"/>
      <c r="DH1" s="141"/>
      <c r="DI1" s="141"/>
      <c r="DJ1" s="141"/>
      <c r="DK1" s="141"/>
      <c r="DL1" s="141"/>
      <c r="DM1" s="141"/>
      <c r="DN1" s="141"/>
      <c r="DO1" s="141"/>
      <c r="DP1" s="141"/>
      <c r="DQ1" s="141"/>
      <c r="DR1" s="141"/>
      <c r="DS1" s="141"/>
      <c r="DT1" s="141"/>
      <c r="DU1" s="141"/>
      <c r="DV1" s="141"/>
      <c r="DW1" s="141"/>
      <c r="DX1" s="141"/>
      <c r="DY1" s="141"/>
      <c r="DZ1" s="141"/>
      <c r="EA1" s="141"/>
      <c r="EB1" s="141"/>
      <c r="EC1" s="141"/>
      <c r="ED1" s="141"/>
      <c r="EE1" s="141"/>
      <c r="EF1" s="141"/>
      <c r="EG1" s="141"/>
      <c r="EH1" s="141"/>
      <c r="EI1" s="141"/>
      <c r="EJ1" s="141"/>
      <c r="EK1" s="141"/>
      <c r="EL1" s="141"/>
      <c r="EM1" s="141"/>
      <c r="EN1" s="141"/>
      <c r="EO1" s="141"/>
      <c r="EP1" s="141"/>
      <c r="EQ1" s="141"/>
      <c r="ER1" s="141"/>
      <c r="ES1" s="141"/>
      <c r="ET1" s="141"/>
      <c r="EU1" s="141"/>
      <c r="EV1" s="141"/>
      <c r="EW1" s="141"/>
      <c r="EX1" s="141"/>
      <c r="EY1" s="141"/>
      <c r="EZ1" s="141"/>
      <c r="FA1" s="141"/>
      <c r="FB1" s="141"/>
      <c r="FC1" s="141"/>
      <c r="FD1" s="141"/>
      <c r="FE1" s="141"/>
      <c r="FF1" s="141"/>
      <c r="FG1" s="141"/>
      <c r="FH1" s="141"/>
      <c r="FI1" s="141"/>
      <c r="FJ1" s="141"/>
      <c r="FK1" s="141"/>
      <c r="FL1" s="141"/>
      <c r="FM1" s="141"/>
      <c r="FN1" s="141"/>
      <c r="FO1" s="141"/>
      <c r="FP1" s="141"/>
      <c r="FQ1" s="141"/>
      <c r="FR1" s="141"/>
      <c r="FS1" s="141"/>
      <c r="FT1" s="141"/>
      <c r="FU1" s="141"/>
      <c r="FV1" s="141"/>
      <c r="FW1" s="141"/>
      <c r="FX1" s="141"/>
      <c r="FY1" s="141"/>
      <c r="FZ1" s="141"/>
      <c r="GA1" s="141"/>
      <c r="GB1" s="141"/>
      <c r="GC1" s="141"/>
      <c r="GD1" s="141"/>
      <c r="GE1" s="141"/>
      <c r="GF1" s="141"/>
      <c r="GG1" s="141"/>
      <c r="GH1" s="141"/>
      <c r="GI1" s="141"/>
      <c r="GJ1" s="141"/>
      <c r="GK1" s="141"/>
      <c r="GL1" s="141"/>
      <c r="GM1" s="141"/>
      <c r="GN1" s="141"/>
      <c r="GO1" s="141"/>
      <c r="GP1" s="141"/>
      <c r="GQ1" s="141"/>
      <c r="GR1" s="141"/>
      <c r="GS1" s="141"/>
      <c r="GT1" s="141"/>
      <c r="GU1" s="141"/>
      <c r="GV1" s="141"/>
      <c r="GW1" s="141"/>
      <c r="GX1" s="141"/>
      <c r="GY1" s="141"/>
      <c r="GZ1" s="141"/>
      <c r="HA1" s="141"/>
      <c r="HB1" s="141"/>
      <c r="HC1" s="141"/>
      <c r="HD1" s="141"/>
      <c r="HE1" s="141"/>
      <c r="HF1" s="141"/>
      <c r="HG1" s="141"/>
      <c r="HH1" s="141"/>
      <c r="HI1" s="141"/>
      <c r="HJ1" s="141"/>
      <c r="HK1" s="141"/>
      <c r="HL1" s="141"/>
      <c r="HM1" s="141"/>
      <c r="HN1" s="141"/>
      <c r="HO1" s="141"/>
      <c r="HP1" s="141"/>
      <c r="HQ1" s="141"/>
      <c r="HR1" s="141"/>
      <c r="HS1" s="141"/>
      <c r="HT1" s="141"/>
      <c r="HU1" s="141"/>
      <c r="HV1" s="141"/>
      <c r="HW1" s="141"/>
      <c r="HX1" s="141"/>
      <c r="HY1" s="141"/>
      <c r="HZ1" s="141"/>
      <c r="IA1" s="142"/>
    </row>
    <row r="2" spans="1:235" ht="15">
      <c r="A2" s="768" t="s">
        <v>0</v>
      </c>
      <c r="B2" s="769"/>
      <c r="C2" s="111"/>
      <c r="D2" s="147">
        <v>151</v>
      </c>
      <c r="E2" s="147">
        <f>D2</f>
        <v>151</v>
      </c>
      <c r="F2" s="3"/>
      <c r="G2" s="68"/>
      <c r="H2" s="68">
        <f>'Summary_Old outlets'!I6</f>
        <v>1015.744</v>
      </c>
      <c r="I2" s="68">
        <f>H2</f>
        <v>1015.744</v>
      </c>
      <c r="J2" s="111"/>
      <c r="K2" s="147">
        <v>151</v>
      </c>
      <c r="L2" s="147">
        <f>K2</f>
        <v>151</v>
      </c>
      <c r="M2" s="3"/>
      <c r="N2" s="91"/>
      <c r="O2" s="91">
        <f>'Summary_Old outlets'!I8</f>
        <v>276.9624</v>
      </c>
      <c r="P2" s="91">
        <f>O2</f>
        <v>276.9624</v>
      </c>
      <c r="Q2" s="111"/>
      <c r="R2" s="2">
        <f>7.5*10.76</f>
        <v>80.7</v>
      </c>
      <c r="S2" s="2">
        <f>R2</f>
        <v>80.7</v>
      </c>
      <c r="T2" s="3"/>
      <c r="U2" s="68"/>
      <c r="V2" s="68">
        <f>'Summary_Old outlets'!I9</f>
        <v>107.6</v>
      </c>
      <c r="W2" s="68">
        <f>V2</f>
        <v>107.6</v>
      </c>
      <c r="X2" s="111"/>
      <c r="Y2" s="129">
        <v>70</v>
      </c>
      <c r="Z2" s="2">
        <f>Y2</f>
        <v>70</v>
      </c>
      <c r="AA2" s="3"/>
      <c r="AB2" s="91"/>
      <c r="AC2" s="91">
        <f>'Summary_Old outlets'!I10</f>
        <v>384.56240000000003</v>
      </c>
      <c r="AD2" s="91">
        <f>AC2</f>
        <v>384.56240000000003</v>
      </c>
      <c r="AE2" s="111"/>
      <c r="AF2" s="2">
        <f>137*10.76</f>
        <v>1474.12</v>
      </c>
      <c r="AG2" s="2">
        <f>AF2</f>
        <v>1474.12</v>
      </c>
      <c r="AH2" s="3"/>
      <c r="AI2" s="68"/>
      <c r="AJ2" s="68">
        <f>'Summary_Old outlets'!I11</f>
        <v>3576.6239999999998</v>
      </c>
      <c r="AK2" s="68">
        <f>AJ2</f>
        <v>3576.6239999999998</v>
      </c>
      <c r="AL2" s="111"/>
      <c r="AM2" s="129">
        <f>20*10.76</f>
        <v>215.2</v>
      </c>
      <c r="AN2" s="2">
        <f>AM2</f>
        <v>215.2</v>
      </c>
      <c r="AO2" s="3"/>
      <c r="AP2" s="91"/>
      <c r="AQ2" s="91">
        <f>'Summary_Old outlets'!I12</f>
        <v>749.21879999999999</v>
      </c>
      <c r="AR2" s="91">
        <f>AQ2</f>
        <v>749.21879999999999</v>
      </c>
      <c r="AS2" s="111"/>
      <c r="AT2" s="147">
        <v>6500</v>
      </c>
      <c r="AU2" s="147">
        <f>AT2</f>
        <v>6500</v>
      </c>
      <c r="AV2" s="3"/>
      <c r="AW2" s="205"/>
      <c r="AX2" s="205">
        <f>'Summary_Old outlets'!I13</f>
        <v>957.85519999999997</v>
      </c>
      <c r="AY2" s="205">
        <f>AX2</f>
        <v>957.85519999999997</v>
      </c>
      <c r="AZ2" s="111"/>
      <c r="BA2" s="147">
        <f>172*10.76</f>
        <v>1850.72</v>
      </c>
      <c r="BB2" s="147">
        <f>BA2</f>
        <v>1850.72</v>
      </c>
      <c r="BC2" s="3"/>
      <c r="BD2" s="68"/>
      <c r="BE2" s="68">
        <f>'Summary_Old outlets'!I14</f>
        <v>971.62799999999993</v>
      </c>
      <c r="BF2" s="68">
        <f>BE2</f>
        <v>971.62799999999993</v>
      </c>
      <c r="BG2" s="111"/>
      <c r="BH2" s="147">
        <v>6500</v>
      </c>
      <c r="BI2" s="147">
        <f>BH2</f>
        <v>6500</v>
      </c>
      <c r="BJ2" s="3"/>
      <c r="BK2" s="205"/>
      <c r="BL2" s="205">
        <f>'Summary_Old outlets'!I15</f>
        <v>1085.3612000000001</v>
      </c>
      <c r="BM2" s="205">
        <f>BL2</f>
        <v>1085.3612000000001</v>
      </c>
      <c r="BN2" s="111"/>
      <c r="BO2" s="147">
        <v>4500</v>
      </c>
      <c r="BP2" s="129">
        <f>BO2</f>
        <v>4500</v>
      </c>
      <c r="BQ2" s="3"/>
      <c r="BR2" s="91"/>
      <c r="BS2" s="91">
        <f>'Summary_Old outlets'!I18</f>
        <v>3195.72</v>
      </c>
      <c r="BT2" s="91">
        <f>BS2</f>
        <v>3195.72</v>
      </c>
      <c r="BU2" s="111"/>
      <c r="BV2" s="147">
        <v>151</v>
      </c>
      <c r="BW2" s="147">
        <f>BV2</f>
        <v>151</v>
      </c>
      <c r="BX2" s="3"/>
      <c r="BY2" s="68"/>
      <c r="BZ2" s="68">
        <f>'Summary_Old outlets'!I19</f>
        <v>269</v>
      </c>
      <c r="CA2" s="68">
        <f>BZ2</f>
        <v>269</v>
      </c>
      <c r="CB2" s="111"/>
      <c r="CC2" s="147">
        <f>172*10.76</f>
        <v>1850.72</v>
      </c>
      <c r="CD2" s="147">
        <f>CC2</f>
        <v>1850.72</v>
      </c>
      <c r="CE2" s="3"/>
      <c r="CF2" s="91"/>
      <c r="CG2" s="91">
        <f>'Summary_Old outlets'!I20</f>
        <v>715.54</v>
      </c>
      <c r="CH2" s="91">
        <f>CG2</f>
        <v>715.54</v>
      </c>
      <c r="CI2" s="111"/>
      <c r="CJ2" s="147">
        <v>6500</v>
      </c>
      <c r="CK2" s="147">
        <f>CJ2</f>
        <v>6500</v>
      </c>
      <c r="CL2" s="3"/>
      <c r="CM2" s="205"/>
      <c r="CN2" s="205">
        <f>'Summary_Old outlets'!I22</f>
        <v>640.54279999999994</v>
      </c>
      <c r="CO2" s="205">
        <f>CN2</f>
        <v>640.54279999999994</v>
      </c>
      <c r="CP2" s="111"/>
      <c r="CQ2" s="147">
        <v>70</v>
      </c>
      <c r="CR2" s="147">
        <f>CQ2</f>
        <v>70</v>
      </c>
      <c r="CS2" s="3"/>
      <c r="CT2" s="68"/>
      <c r="CU2" s="68">
        <f>'Summary_Old outlets'!I23</f>
        <v>379.72039999999998</v>
      </c>
      <c r="CV2" s="68">
        <f>CU2</f>
        <v>379.72039999999998</v>
      </c>
      <c r="CW2" s="111"/>
      <c r="CX2" s="147">
        <v>151</v>
      </c>
      <c r="CY2" s="147">
        <f>CX2</f>
        <v>151</v>
      </c>
      <c r="CZ2" s="3"/>
      <c r="DA2" s="91"/>
      <c r="DB2" s="91">
        <f>'Summary_Old outlets'!I24</f>
        <v>493.45359999999999</v>
      </c>
      <c r="DC2" s="91">
        <f>DB2</f>
        <v>493.45359999999999</v>
      </c>
      <c r="DD2" s="111"/>
      <c r="DE2" s="147">
        <f>137*10.76</f>
        <v>1474.12</v>
      </c>
      <c r="DF2" s="147">
        <f>DE2</f>
        <v>1474.12</v>
      </c>
      <c r="DG2" s="3"/>
      <c r="DH2" s="68"/>
      <c r="DI2" s="68">
        <f>'Summary_Old outlets'!I25</f>
        <v>767.72599999999989</v>
      </c>
      <c r="DJ2" s="68">
        <f>DI2</f>
        <v>767.72599999999989</v>
      </c>
      <c r="DK2" s="111"/>
      <c r="DL2" s="147">
        <f>172*10.76</f>
        <v>1850.72</v>
      </c>
      <c r="DM2" s="147">
        <f>DL2</f>
        <v>1850.72</v>
      </c>
      <c r="DN2" s="3"/>
      <c r="DO2" s="91"/>
      <c r="DP2" s="91">
        <f>'Summary_Old outlets'!I26</f>
        <v>710.05239999999992</v>
      </c>
      <c r="DQ2" s="91">
        <f>DP2</f>
        <v>710.05239999999992</v>
      </c>
      <c r="DR2" s="111"/>
      <c r="DS2" s="147">
        <v>6500</v>
      </c>
      <c r="DT2" s="147">
        <f>DS2</f>
        <v>6500</v>
      </c>
      <c r="DU2" s="3"/>
      <c r="DV2" s="205"/>
      <c r="DW2" s="205">
        <f>'Summary_Old outlets'!I28</f>
        <v>735.01560000000006</v>
      </c>
      <c r="DX2" s="205">
        <f>DW2</f>
        <v>735.01560000000006</v>
      </c>
      <c r="DY2" s="111"/>
      <c r="DZ2" s="147">
        <f>20*10.76</f>
        <v>215.2</v>
      </c>
      <c r="EA2" s="147">
        <f>DZ2</f>
        <v>215.2</v>
      </c>
      <c r="EB2" s="3"/>
      <c r="EC2" s="68"/>
      <c r="ED2" s="68">
        <f>'Summary_Old outlets'!I29</f>
        <v>645.6</v>
      </c>
      <c r="EE2" s="68">
        <f>ED2</f>
        <v>645.6</v>
      </c>
      <c r="EF2" s="111"/>
      <c r="EG2" s="147">
        <v>150</v>
      </c>
      <c r="EH2" s="147">
        <f>EG2</f>
        <v>150</v>
      </c>
      <c r="EI2" s="3"/>
      <c r="EJ2" s="91"/>
      <c r="EK2" s="91">
        <f>'Summary_Old outlets'!I30</f>
        <v>1777.3368</v>
      </c>
      <c r="EL2" s="91">
        <f>EK2</f>
        <v>1777.3368</v>
      </c>
      <c r="EM2" s="111"/>
      <c r="EN2" s="147">
        <v>4500</v>
      </c>
      <c r="EO2" s="147">
        <f>EN2</f>
        <v>4500</v>
      </c>
      <c r="EP2" s="3"/>
      <c r="EQ2" s="68"/>
      <c r="ER2" s="68">
        <f>'Summary_Old outlets'!I31</f>
        <v>5204.1815999999999</v>
      </c>
      <c r="ES2" s="68">
        <f>ER2</f>
        <v>5204.1815999999999</v>
      </c>
      <c r="ET2" s="111"/>
      <c r="EU2" s="147">
        <f>95*10.76</f>
        <v>1022.1999999999999</v>
      </c>
      <c r="EV2" s="147">
        <f>EU2</f>
        <v>1022.1999999999999</v>
      </c>
      <c r="EW2" s="3"/>
      <c r="EX2" s="91"/>
      <c r="EY2" s="91">
        <f>'Summary_Old outlets'!I32</f>
        <v>1076</v>
      </c>
      <c r="EZ2" s="91">
        <f>EY2</f>
        <v>1076</v>
      </c>
      <c r="FA2" s="111"/>
      <c r="FB2" s="147">
        <v>150</v>
      </c>
      <c r="FC2" s="147">
        <f>FB2</f>
        <v>150</v>
      </c>
      <c r="FD2" s="3"/>
      <c r="FE2" s="68"/>
      <c r="FF2" s="68">
        <f>'Summary_Old outlets'!I34</f>
        <v>1832.7507999999998</v>
      </c>
      <c r="FG2" s="68">
        <f>FF2</f>
        <v>1832.7507999999998</v>
      </c>
      <c r="FH2" s="111"/>
      <c r="FI2" s="147">
        <v>70</v>
      </c>
      <c r="FJ2" s="147">
        <f>FI2</f>
        <v>70</v>
      </c>
      <c r="FK2" s="3"/>
      <c r="FL2" s="91"/>
      <c r="FM2" s="91">
        <f>'Summary_Old outlets'!I35</f>
        <v>188.29999999999998</v>
      </c>
      <c r="FN2" s="91">
        <f>FM2</f>
        <v>188.29999999999998</v>
      </c>
      <c r="FO2" s="111"/>
      <c r="FP2" s="147">
        <v>1</v>
      </c>
      <c r="FQ2" s="147">
        <f>FP2</f>
        <v>1</v>
      </c>
      <c r="FR2" s="3"/>
      <c r="FS2" s="68"/>
      <c r="FT2" s="68">
        <f>'Summary_Old outlets'!I36</f>
        <v>369.06799999999998</v>
      </c>
      <c r="FU2" s="68">
        <f>FT2</f>
        <v>369.06799999999998</v>
      </c>
      <c r="FV2" s="111"/>
      <c r="FW2" s="147">
        <v>1</v>
      </c>
      <c r="FX2" s="147">
        <f>FW2</f>
        <v>1</v>
      </c>
      <c r="FY2" s="3"/>
      <c r="FZ2" s="91"/>
      <c r="GA2" s="91">
        <f>'Summary_Old outlets'!I38</f>
        <v>281.48160000000001</v>
      </c>
      <c r="GB2" s="91">
        <f>GA2</f>
        <v>281.48160000000001</v>
      </c>
      <c r="GC2" s="111"/>
      <c r="GD2" s="147">
        <v>1</v>
      </c>
      <c r="GE2" s="147">
        <f>GD2</f>
        <v>1</v>
      </c>
      <c r="GF2" s="3"/>
      <c r="GG2" s="68"/>
      <c r="GH2" s="68">
        <f>'Summary_Old outlets'!I39</f>
        <v>438.68520000000001</v>
      </c>
      <c r="GI2" s="68">
        <f>GH2</f>
        <v>438.68520000000001</v>
      </c>
      <c r="GJ2" s="111"/>
      <c r="GK2" s="147">
        <v>70</v>
      </c>
      <c r="GL2" s="147">
        <f>GK2</f>
        <v>70</v>
      </c>
      <c r="GM2" s="3"/>
      <c r="GN2" s="68"/>
      <c r="GO2" s="68">
        <f>'Summary_Old outlets'!I40</f>
        <v>161.4</v>
      </c>
      <c r="GP2" s="68">
        <f>GO2</f>
        <v>161.4</v>
      </c>
      <c r="GQ2" s="111"/>
      <c r="GR2" s="147">
        <f>7.5*10.76</f>
        <v>80.7</v>
      </c>
      <c r="GS2" s="147">
        <f>GR2</f>
        <v>80.7</v>
      </c>
      <c r="GT2" s="3"/>
      <c r="GU2" s="91"/>
      <c r="GV2" s="91">
        <f>'Summary_Old outlets'!I41</f>
        <v>107.6</v>
      </c>
      <c r="GW2" s="91">
        <f>GV2</f>
        <v>107.6</v>
      </c>
      <c r="GX2" s="111"/>
      <c r="GY2" s="147">
        <f>10*10.76</f>
        <v>107.6</v>
      </c>
      <c r="GZ2" s="147">
        <f>GY2</f>
        <v>107.6</v>
      </c>
      <c r="HA2" s="3"/>
      <c r="HB2" s="68"/>
      <c r="HC2" s="68">
        <f>'Summary_Old outlets'!I42</f>
        <v>276.10159999999996</v>
      </c>
      <c r="HD2" s="68">
        <f>HC2</f>
        <v>276.10159999999996</v>
      </c>
      <c r="HE2" s="111"/>
      <c r="HF2" s="147">
        <v>6500</v>
      </c>
      <c r="HG2" s="147">
        <f>HF2</f>
        <v>6500</v>
      </c>
      <c r="HH2" s="3"/>
      <c r="HI2" s="205"/>
      <c r="HJ2" s="205">
        <f>'Summary_Old outlets'!I44</f>
        <v>984.00200000000007</v>
      </c>
      <c r="HK2" s="205">
        <f>HJ2</f>
        <v>984.00200000000007</v>
      </c>
      <c r="HL2" s="111"/>
      <c r="HM2" s="147">
        <v>70</v>
      </c>
      <c r="HN2" s="147">
        <f>HM2</f>
        <v>70</v>
      </c>
      <c r="HO2" s="3"/>
      <c r="HP2" s="68"/>
      <c r="HQ2" s="68">
        <f>'Summary_Old outlets'!I45</f>
        <v>161.4</v>
      </c>
      <c r="HR2" s="68">
        <f>HQ2</f>
        <v>161.4</v>
      </c>
      <c r="HS2" s="111"/>
      <c r="HT2" s="147">
        <f>172*10.76</f>
        <v>1850.72</v>
      </c>
      <c r="HU2" s="147">
        <f>HT2</f>
        <v>1850.72</v>
      </c>
      <c r="HV2" s="3"/>
      <c r="HW2" s="91"/>
      <c r="HX2" s="91">
        <f>'Summary_Old outlets'!I46</f>
        <v>639.35919999999999</v>
      </c>
      <c r="HY2" s="91">
        <f>HX2</f>
        <v>639.35919999999999</v>
      </c>
      <c r="HZ2" s="111"/>
      <c r="IA2" s="4"/>
    </row>
    <row r="3" spans="1:235" ht="15">
      <c r="A3" s="768" t="s">
        <v>1</v>
      </c>
      <c r="B3" s="769"/>
      <c r="C3" s="112"/>
      <c r="D3" s="6">
        <f>D70</f>
        <v>3823148.96953288</v>
      </c>
      <c r="E3" s="6">
        <f>E70</f>
        <v>3239956.7538414239</v>
      </c>
      <c r="F3" s="6"/>
      <c r="G3" s="69"/>
      <c r="H3" s="69">
        <f>H70</f>
        <v>6805484.7999999998</v>
      </c>
      <c r="I3" s="69">
        <f>I70</f>
        <v>8030472.0639999993</v>
      </c>
      <c r="J3" s="112"/>
      <c r="K3" s="6">
        <f>K70</f>
        <v>3823148.96953288</v>
      </c>
      <c r="L3" s="6">
        <f>L70</f>
        <v>3239956.7538414239</v>
      </c>
      <c r="M3" s="6"/>
      <c r="N3" s="92"/>
      <c r="O3" s="92">
        <f>O70</f>
        <v>3489726.24</v>
      </c>
      <c r="P3" s="92">
        <f>P70</f>
        <v>4117876.9632000001</v>
      </c>
      <c r="Q3" s="112"/>
      <c r="R3" s="6">
        <f>R70</f>
        <v>73469.16</v>
      </c>
      <c r="S3" s="6">
        <f>S70</f>
        <v>62262</v>
      </c>
      <c r="T3" s="6"/>
      <c r="U3" s="69"/>
      <c r="V3" s="69">
        <f>V70</f>
        <v>796240</v>
      </c>
      <c r="W3" s="69">
        <f>W70</f>
        <v>939563.2</v>
      </c>
      <c r="X3" s="112"/>
      <c r="Y3" s="6">
        <f>Y70</f>
        <v>1352015</v>
      </c>
      <c r="Z3" s="6">
        <f>Z70</f>
        <v>1145775.4237288137</v>
      </c>
      <c r="AA3" s="6"/>
      <c r="AB3" s="92"/>
      <c r="AC3" s="92">
        <f>AC70</f>
        <v>4845486.24</v>
      </c>
      <c r="AD3" s="92">
        <f>AD70</f>
        <v>5717673.7631999999</v>
      </c>
      <c r="AE3" s="112"/>
      <c r="AF3" s="6">
        <f>AF70</f>
        <v>14546763.058709042</v>
      </c>
      <c r="AG3" s="6">
        <f>AG70</f>
        <v>12327765.303990716</v>
      </c>
      <c r="AH3" s="6"/>
      <c r="AI3" s="69"/>
      <c r="AJ3" s="69">
        <f>AJ70</f>
        <v>39342863.999999993</v>
      </c>
      <c r="AK3" s="69">
        <f>AK70</f>
        <v>46424579.519999996</v>
      </c>
      <c r="AL3" s="112"/>
      <c r="AM3" s="6">
        <f>AM70</f>
        <v>2161062.5</v>
      </c>
      <c r="AN3" s="6">
        <f>AN70</f>
        <v>1831408.8983050848</v>
      </c>
      <c r="AO3" s="6"/>
      <c r="AP3" s="92"/>
      <c r="AQ3" s="92">
        <f>AQ70</f>
        <v>10788750.720000001</v>
      </c>
      <c r="AR3" s="92">
        <f>AR70</f>
        <v>12730725.849599998</v>
      </c>
      <c r="AS3" s="112"/>
      <c r="AT3" s="6">
        <f>AT70</f>
        <v>8889212.5399999991</v>
      </c>
      <c r="AU3" s="6">
        <f>AU70</f>
        <v>7533230.9661016949</v>
      </c>
      <c r="AV3" s="6"/>
      <c r="AW3" s="206"/>
      <c r="AX3" s="206">
        <f>AX70</f>
        <v>3544064.24</v>
      </c>
      <c r="AY3" s="206">
        <f>AY70</f>
        <v>4181995.8032</v>
      </c>
      <c r="AZ3" s="112"/>
      <c r="BA3" s="6">
        <f>BA70</f>
        <v>30012692.300000001</v>
      </c>
      <c r="BB3" s="6">
        <f>BB70</f>
        <v>25434485</v>
      </c>
      <c r="BC3" s="6"/>
      <c r="BD3" s="69"/>
      <c r="BE3" s="69">
        <f>BE70</f>
        <v>15157396.800000001</v>
      </c>
      <c r="BF3" s="69">
        <f>BF70</f>
        <v>17885728.223999996</v>
      </c>
      <c r="BG3" s="112"/>
      <c r="BH3" s="6">
        <f>BH70</f>
        <v>8889212.5399999991</v>
      </c>
      <c r="BI3" s="6">
        <f>BI70</f>
        <v>7533230.9661016949</v>
      </c>
      <c r="BJ3" s="6"/>
      <c r="BK3" s="206"/>
      <c r="BL3" s="206">
        <f>BL70</f>
        <v>4015836.4400000004</v>
      </c>
      <c r="BM3" s="206">
        <f>BM70</f>
        <v>4738686.9992000004</v>
      </c>
      <c r="BN3" s="112"/>
      <c r="BO3" s="6">
        <f>BO70</f>
        <v>35652761.449999996</v>
      </c>
      <c r="BP3" s="6">
        <f>BP70</f>
        <v>30214204.618644066</v>
      </c>
      <c r="BQ3" s="6"/>
      <c r="BR3" s="92"/>
      <c r="BS3" s="92">
        <f>BS70</f>
        <v>38987784</v>
      </c>
      <c r="BT3" s="92">
        <f>BT70</f>
        <v>46005585.120000005</v>
      </c>
      <c r="BU3" s="112"/>
      <c r="BV3" s="6">
        <f>BV70</f>
        <v>3823148.96953288</v>
      </c>
      <c r="BW3" s="6">
        <f>BW70</f>
        <v>3239956.7538414239</v>
      </c>
      <c r="BX3" s="6"/>
      <c r="BY3" s="69"/>
      <c r="BZ3" s="69">
        <f>BZ70</f>
        <v>5783500</v>
      </c>
      <c r="CA3" s="69">
        <f>CA70</f>
        <v>6824530</v>
      </c>
      <c r="CB3" s="112"/>
      <c r="CC3" s="6">
        <f>CC70</f>
        <v>30012692.300000001</v>
      </c>
      <c r="CD3" s="6">
        <f>CD70</f>
        <v>25434485</v>
      </c>
      <c r="CE3" s="6"/>
      <c r="CF3" s="92"/>
      <c r="CG3" s="92">
        <f>CG70</f>
        <v>11377086</v>
      </c>
      <c r="CH3" s="92">
        <f>CH70</f>
        <v>13424961.479999999</v>
      </c>
      <c r="CI3" s="112"/>
      <c r="CJ3" s="6">
        <f>CJ70</f>
        <v>8889212.5399999991</v>
      </c>
      <c r="CK3" s="6">
        <f>CK70</f>
        <v>7533230.9661016949</v>
      </c>
      <c r="CL3" s="6"/>
      <c r="CM3" s="206"/>
      <c r="CN3" s="206">
        <f>CN70</f>
        <v>2370008.36</v>
      </c>
      <c r="CO3" s="206">
        <f>CO70</f>
        <v>2796609.8647999996</v>
      </c>
      <c r="CP3" s="112"/>
      <c r="CQ3" s="6">
        <f>CQ70</f>
        <v>1352015</v>
      </c>
      <c r="CR3" s="6">
        <f>CR70</f>
        <v>1145775.4237288137</v>
      </c>
      <c r="CS3" s="6"/>
      <c r="CT3" s="69"/>
      <c r="CU3" s="69">
        <f>CU70</f>
        <v>7024827.4000000004</v>
      </c>
      <c r="CV3" s="69">
        <f>CV70</f>
        <v>8289296.3319999995</v>
      </c>
      <c r="CW3" s="112"/>
      <c r="CX3" s="6">
        <f>CX70</f>
        <v>3823148.96953288</v>
      </c>
      <c r="CY3" s="6">
        <f>CY70</f>
        <v>3239956.7538414239</v>
      </c>
      <c r="CZ3" s="6"/>
      <c r="DA3" s="92"/>
      <c r="DB3" s="92">
        <f>DB70</f>
        <v>8413383.8800000008</v>
      </c>
      <c r="DC3" s="92">
        <f>DC70</f>
        <v>9927792.9783999994</v>
      </c>
      <c r="DD3" s="197"/>
      <c r="DE3" s="6">
        <f>DE70</f>
        <v>14546763.058709042</v>
      </c>
      <c r="DF3" s="6">
        <f>DF70</f>
        <v>12327765.303990716</v>
      </c>
      <c r="DG3" s="6"/>
      <c r="DH3" s="69"/>
      <c r="DI3" s="69">
        <f>DI70</f>
        <v>14010999.499999998</v>
      </c>
      <c r="DJ3" s="69">
        <f>DJ70</f>
        <v>16532979.409999996</v>
      </c>
      <c r="DK3" s="112"/>
      <c r="DL3" s="6">
        <f>DL70</f>
        <v>30012692.300000001</v>
      </c>
      <c r="DM3" s="6">
        <f>DM70</f>
        <v>25434485</v>
      </c>
      <c r="DN3" s="6"/>
      <c r="DO3" s="92"/>
      <c r="DP3" s="92">
        <f>DP70</f>
        <v>11644859.359999999</v>
      </c>
      <c r="DQ3" s="92">
        <f>DQ70</f>
        <v>13740934.044799995</v>
      </c>
      <c r="DR3" s="112"/>
      <c r="DS3" s="6">
        <f>DS70</f>
        <v>8889212.5399999991</v>
      </c>
      <c r="DT3" s="6">
        <f>DT70</f>
        <v>7533230.9661016949</v>
      </c>
      <c r="DU3" s="6"/>
      <c r="DV3" s="206"/>
      <c r="DW3" s="206">
        <f>DW70</f>
        <v>2866560.8400000003</v>
      </c>
      <c r="DX3" s="206">
        <f>DX70</f>
        <v>3382541.7912000008</v>
      </c>
      <c r="DY3" s="112"/>
      <c r="DZ3" s="6">
        <f>DZ70</f>
        <v>2161062.5</v>
      </c>
      <c r="EA3" s="6">
        <f>EA70</f>
        <v>1831408.8983050848</v>
      </c>
      <c r="EB3" s="6"/>
      <c r="EC3" s="69"/>
      <c r="ED3" s="69">
        <f>ED70</f>
        <v>10975200</v>
      </c>
      <c r="EE3" s="69">
        <f>EE70</f>
        <v>12950736</v>
      </c>
      <c r="EF3" s="112"/>
      <c r="EG3" s="6">
        <f>EG70</f>
        <v>1504266</v>
      </c>
      <c r="EH3" s="6">
        <f>EH70</f>
        <v>1274801.6949152544</v>
      </c>
      <c r="EI3" s="6"/>
      <c r="EJ3" s="92"/>
      <c r="EK3" s="92">
        <f>EK70</f>
        <v>22127843.16</v>
      </c>
      <c r="EL3" s="92">
        <f>EL70</f>
        <v>26110854.928799994</v>
      </c>
      <c r="EM3" s="197"/>
      <c r="EN3" s="6">
        <f>EN70</f>
        <v>35652761.449999996</v>
      </c>
      <c r="EO3" s="6">
        <f>EO70</f>
        <v>30214204.618644066</v>
      </c>
      <c r="EP3" s="6"/>
      <c r="EQ3" s="69"/>
      <c r="ER3" s="69">
        <f>ER70</f>
        <v>56465370.359999992</v>
      </c>
      <c r="ES3" s="69">
        <f>ES70</f>
        <v>66629137.024799988</v>
      </c>
      <c r="ET3" s="112"/>
      <c r="EU3" s="6">
        <f>EU70</f>
        <v>15126972.372000001</v>
      </c>
      <c r="EV3" s="6">
        <f>EV70</f>
        <v>12819468.111864407</v>
      </c>
      <c r="EW3" s="6"/>
      <c r="EX3" s="92"/>
      <c r="EY3" s="92">
        <f>EY70</f>
        <v>20336400</v>
      </c>
      <c r="EZ3" s="92">
        <f>EZ70</f>
        <v>23996952</v>
      </c>
      <c r="FA3" s="112"/>
      <c r="FB3" s="6">
        <f>FB70</f>
        <v>1504266</v>
      </c>
      <c r="FC3" s="6">
        <f>FC70</f>
        <v>1274801.6949152544</v>
      </c>
      <c r="FD3" s="6"/>
      <c r="FE3" s="69"/>
      <c r="FF3" s="69">
        <f>FF70</f>
        <v>25750148.740000002</v>
      </c>
      <c r="FG3" s="69">
        <f>FG70</f>
        <v>30385175.513199996</v>
      </c>
      <c r="FH3" s="112"/>
      <c r="FI3" s="6">
        <f>FI70</f>
        <v>1352015</v>
      </c>
      <c r="FJ3" s="6">
        <f>FJ70</f>
        <v>1145775.4237288137</v>
      </c>
      <c r="FK3" s="6"/>
      <c r="FL3" s="92"/>
      <c r="FM3" s="92">
        <f>FM70</f>
        <v>4500370</v>
      </c>
      <c r="FN3" s="92">
        <f>FN70</f>
        <v>5310436.5999999996</v>
      </c>
      <c r="FO3" s="112"/>
      <c r="FP3" s="6">
        <f>FP70</f>
        <v>0</v>
      </c>
      <c r="FQ3" s="6">
        <f>FQ70</f>
        <v>0</v>
      </c>
      <c r="FR3" s="6"/>
      <c r="FS3" s="69"/>
      <c r="FT3" s="69">
        <f>FT70</f>
        <v>0</v>
      </c>
      <c r="FU3" s="69">
        <f>FU70</f>
        <v>0</v>
      </c>
      <c r="FV3" s="112"/>
      <c r="FW3" s="6">
        <f>FW70</f>
        <v>0</v>
      </c>
      <c r="FX3" s="6">
        <f>FX70</f>
        <v>0</v>
      </c>
      <c r="FY3" s="6"/>
      <c r="FZ3" s="92"/>
      <c r="GA3" s="92">
        <f>GA70</f>
        <v>0</v>
      </c>
      <c r="GB3" s="92">
        <f>GB70</f>
        <v>0</v>
      </c>
      <c r="GC3" s="112"/>
      <c r="GD3" s="6">
        <f>GD70</f>
        <v>0</v>
      </c>
      <c r="GE3" s="6">
        <f>GE70</f>
        <v>0</v>
      </c>
      <c r="GF3" s="6"/>
      <c r="GG3" s="69"/>
      <c r="GH3" s="69">
        <f>GH70</f>
        <v>0</v>
      </c>
      <c r="GI3" s="69">
        <f>GI70</f>
        <v>0</v>
      </c>
      <c r="GJ3" s="112"/>
      <c r="GK3" s="6">
        <f>GK70</f>
        <v>1171656.54</v>
      </c>
      <c r="GL3" s="6">
        <f>GL70</f>
        <v>992929.27118644072</v>
      </c>
      <c r="GM3" s="6"/>
      <c r="GN3" s="69"/>
      <c r="GO3" s="69">
        <f>GO70</f>
        <v>3938160</v>
      </c>
      <c r="GP3" s="69">
        <f>GP70</f>
        <v>4647028.8</v>
      </c>
      <c r="GQ3" s="112"/>
      <c r="GR3" s="6">
        <f>GR70</f>
        <v>73469.16</v>
      </c>
      <c r="GS3" s="6">
        <f>GS70</f>
        <v>62262</v>
      </c>
      <c r="GT3" s="6"/>
      <c r="GU3" s="92"/>
      <c r="GV3" s="92">
        <f>GV70</f>
        <v>796240</v>
      </c>
      <c r="GW3" s="92">
        <f>GW70</f>
        <v>939563.2</v>
      </c>
      <c r="GX3" s="197"/>
      <c r="GY3" s="6">
        <f>GY70</f>
        <v>859672.42</v>
      </c>
      <c r="GZ3" s="6">
        <f>GZ70</f>
        <v>728535.94915254239</v>
      </c>
      <c r="HA3" s="6"/>
      <c r="HB3" s="69"/>
      <c r="HC3" s="69">
        <f>HC70</f>
        <v>6460777.4399999995</v>
      </c>
      <c r="HD3" s="69">
        <f>HD70</f>
        <v>7623717.3791999994</v>
      </c>
      <c r="HE3" s="112"/>
      <c r="HF3" s="6">
        <f>HF70</f>
        <v>8889212.5399999991</v>
      </c>
      <c r="HG3" s="6">
        <f>HG70</f>
        <v>7533230.9661016949</v>
      </c>
      <c r="HH3" s="6"/>
      <c r="HI3" s="206"/>
      <c r="HJ3" s="206">
        <f>HJ70</f>
        <v>3837607.8</v>
      </c>
      <c r="HK3" s="206">
        <f>HK70</f>
        <v>4528377.2039999999</v>
      </c>
      <c r="HL3" s="112"/>
      <c r="HM3" s="6">
        <f>HM70</f>
        <v>1171656.54</v>
      </c>
      <c r="HN3" s="6">
        <f>HN70</f>
        <v>992929.27118644072</v>
      </c>
      <c r="HO3" s="6"/>
      <c r="HP3" s="69"/>
      <c r="HQ3" s="69">
        <f>HQ70</f>
        <v>3728340</v>
      </c>
      <c r="HR3" s="69">
        <f>HR70</f>
        <v>4399441.2</v>
      </c>
      <c r="HS3" s="112"/>
      <c r="HT3" s="6">
        <f>HT70</f>
        <v>30012692.300000001</v>
      </c>
      <c r="HU3" s="6">
        <f>HU70</f>
        <v>25434485</v>
      </c>
      <c r="HV3" s="6"/>
      <c r="HW3" s="92"/>
      <c r="HX3" s="92">
        <f>HX70</f>
        <v>8119861.8399999989</v>
      </c>
      <c r="HY3" s="92">
        <f>HY70</f>
        <v>9581436.9711999986</v>
      </c>
      <c r="HZ3" s="197"/>
      <c r="IA3" s="7"/>
    </row>
    <row r="4" spans="1:235" ht="15.75" thickBot="1">
      <c r="A4" s="770" t="s">
        <v>2</v>
      </c>
      <c r="B4" s="771"/>
      <c r="C4" s="113"/>
      <c r="D4" s="8">
        <f>D3/D2</f>
        <v>25318.867347899868</v>
      </c>
      <c r="E4" s="8">
        <f>E3/E2</f>
        <v>21456.667243982938</v>
      </c>
      <c r="F4" s="8"/>
      <c r="G4" s="70"/>
      <c r="H4" s="70">
        <f>H3/H2</f>
        <v>6700</v>
      </c>
      <c r="I4" s="70">
        <f>I3/I2</f>
        <v>7905.9999999999991</v>
      </c>
      <c r="J4" s="113"/>
      <c r="K4" s="8">
        <f>K3/K2</f>
        <v>25318.867347899868</v>
      </c>
      <c r="L4" s="8">
        <f>L3/L2</f>
        <v>21456.667243982938</v>
      </c>
      <c r="M4" s="8"/>
      <c r="N4" s="93"/>
      <c r="O4" s="93">
        <f>O3/O2</f>
        <v>12600</v>
      </c>
      <c r="P4" s="93">
        <f>P3/P2</f>
        <v>14868</v>
      </c>
      <c r="Q4" s="113"/>
      <c r="R4" s="8">
        <f>R3/R2</f>
        <v>910.39851301115243</v>
      </c>
      <c r="S4" s="8">
        <f>S3/S2</f>
        <v>771.52416356877325</v>
      </c>
      <c r="T4" s="8"/>
      <c r="U4" s="70"/>
      <c r="V4" s="70">
        <f>V3/V2</f>
        <v>7400</v>
      </c>
      <c r="W4" s="70">
        <f>W3/W2</f>
        <v>8732</v>
      </c>
      <c r="X4" s="113"/>
      <c r="Y4" s="8">
        <f>Y3/Y2</f>
        <v>19314.5</v>
      </c>
      <c r="Z4" s="8">
        <f>Z3/Z2</f>
        <v>16368.220338983052</v>
      </c>
      <c r="AA4" s="8"/>
      <c r="AB4" s="93"/>
      <c r="AC4" s="93">
        <f>AC3/AC2</f>
        <v>12600</v>
      </c>
      <c r="AD4" s="93">
        <f>AD3/AD2</f>
        <v>14867.999999999998</v>
      </c>
      <c r="AE4" s="113"/>
      <c r="AF4" s="8">
        <f>AF3/AF2</f>
        <v>9868.0996517983913</v>
      </c>
      <c r="AG4" s="8">
        <f>AG3/AG2</f>
        <v>8362.7963150833839</v>
      </c>
      <c r="AH4" s="8"/>
      <c r="AI4" s="70"/>
      <c r="AJ4" s="70">
        <f>AJ3/AJ2</f>
        <v>10999.999999999998</v>
      </c>
      <c r="AK4" s="70">
        <f>AK3/AK2</f>
        <v>12980</v>
      </c>
      <c r="AL4" s="113"/>
      <c r="AM4" s="8">
        <f>AM3/AM2</f>
        <v>10042.111988847584</v>
      </c>
      <c r="AN4" s="8">
        <f>AN3/AN2</f>
        <v>8510.2643973284612</v>
      </c>
      <c r="AO4" s="8"/>
      <c r="AP4" s="93"/>
      <c r="AQ4" s="93">
        <f>AQ3/AQ2</f>
        <v>14400.000000000002</v>
      </c>
      <c r="AR4" s="93">
        <f>AR3/AR2</f>
        <v>16992</v>
      </c>
      <c r="AS4" s="113"/>
      <c r="AT4" s="8">
        <f>AT3/AT2</f>
        <v>1367.57116</v>
      </c>
      <c r="AU4" s="8">
        <f>AU3/AU2</f>
        <v>1158.9586101694915</v>
      </c>
      <c r="AV4" s="8"/>
      <c r="AW4" s="207"/>
      <c r="AX4" s="207">
        <f>AX3/AX2</f>
        <v>3700.0000000000005</v>
      </c>
      <c r="AY4" s="207">
        <f>AY3/AY2</f>
        <v>4366</v>
      </c>
      <c r="AZ4" s="113"/>
      <c r="BA4" s="8">
        <f>BA3/BA2</f>
        <v>16216.765529091381</v>
      </c>
      <c r="BB4" s="8">
        <f>BB3/BB2</f>
        <v>13743.021634823204</v>
      </c>
      <c r="BC4" s="8"/>
      <c r="BD4" s="70"/>
      <c r="BE4" s="70">
        <f>BE3/BE2</f>
        <v>15600.000000000002</v>
      </c>
      <c r="BF4" s="70">
        <f>BF3/BF2</f>
        <v>18407.999999999996</v>
      </c>
      <c r="BG4" s="113"/>
      <c r="BH4" s="8">
        <f>BH3/BH2</f>
        <v>1367.57116</v>
      </c>
      <c r="BI4" s="8">
        <f>BI3/BI2</f>
        <v>1158.9586101694915</v>
      </c>
      <c r="BJ4" s="8"/>
      <c r="BK4" s="207"/>
      <c r="BL4" s="207">
        <f>BL3/BL2</f>
        <v>3700</v>
      </c>
      <c r="BM4" s="207">
        <f>BM3/BM2</f>
        <v>4366</v>
      </c>
      <c r="BN4" s="113"/>
      <c r="BO4" s="8">
        <f>BO3/BO2</f>
        <v>7922.8358777777767</v>
      </c>
      <c r="BP4" s="8">
        <f>BP3/BP2</f>
        <v>6714.2676930320149</v>
      </c>
      <c r="BQ4" s="8"/>
      <c r="BR4" s="93"/>
      <c r="BS4" s="93">
        <f>BS3/BS2</f>
        <v>12200</v>
      </c>
      <c r="BT4" s="93">
        <f>BT3/BT2</f>
        <v>14396.000000000002</v>
      </c>
      <c r="BU4" s="113"/>
      <c r="BV4" s="8">
        <f>BV3/BV2</f>
        <v>25318.867347899868</v>
      </c>
      <c r="BW4" s="8">
        <f>BW3/BW2</f>
        <v>21456.667243982938</v>
      </c>
      <c r="BX4" s="8"/>
      <c r="BY4" s="70"/>
      <c r="BZ4" s="70">
        <f>BZ3/BZ2</f>
        <v>21500</v>
      </c>
      <c r="CA4" s="70">
        <f>CA3/CA2</f>
        <v>25370</v>
      </c>
      <c r="CB4" s="113"/>
      <c r="CC4" s="8">
        <f>CC3/CC2</f>
        <v>16216.765529091381</v>
      </c>
      <c r="CD4" s="8">
        <f>CD3/CD2</f>
        <v>13743.021634823204</v>
      </c>
      <c r="CE4" s="8"/>
      <c r="CF4" s="93"/>
      <c r="CG4" s="93">
        <f>CG3/CG2</f>
        <v>15900</v>
      </c>
      <c r="CH4" s="93">
        <f>CH3/CH2</f>
        <v>18762</v>
      </c>
      <c r="CI4" s="113"/>
      <c r="CJ4" s="8">
        <f>CJ3/CJ2</f>
        <v>1367.57116</v>
      </c>
      <c r="CK4" s="8">
        <f>CK3/CK2</f>
        <v>1158.9586101694915</v>
      </c>
      <c r="CL4" s="8"/>
      <c r="CM4" s="207"/>
      <c r="CN4" s="207">
        <f>CN3/CN2</f>
        <v>3700</v>
      </c>
      <c r="CO4" s="207">
        <f>CO3/CO2</f>
        <v>4366</v>
      </c>
      <c r="CP4" s="113"/>
      <c r="CQ4" s="8">
        <f>CQ3/CQ2</f>
        <v>19314.5</v>
      </c>
      <c r="CR4" s="8">
        <f>CR3/CR2</f>
        <v>16368.220338983052</v>
      </c>
      <c r="CS4" s="8"/>
      <c r="CT4" s="70"/>
      <c r="CU4" s="70">
        <f>CU3/CU2</f>
        <v>18500</v>
      </c>
      <c r="CV4" s="70">
        <f>CV3/CV2</f>
        <v>21830</v>
      </c>
      <c r="CW4" s="113"/>
      <c r="CX4" s="8">
        <f>CX3/CX2</f>
        <v>25318.867347899868</v>
      </c>
      <c r="CY4" s="8">
        <f>CY3/CY2</f>
        <v>21456.667243982938</v>
      </c>
      <c r="CZ4" s="8"/>
      <c r="DA4" s="93"/>
      <c r="DB4" s="93">
        <f>DB3/DB2</f>
        <v>17050.000000000004</v>
      </c>
      <c r="DC4" s="93">
        <f>DC3/DC2</f>
        <v>20119</v>
      </c>
      <c r="DD4" s="198"/>
      <c r="DE4" s="8">
        <f>DE3/DE2</f>
        <v>9868.0996517983913</v>
      </c>
      <c r="DF4" s="8">
        <f>DF3/DF2</f>
        <v>8362.7963150833839</v>
      </c>
      <c r="DG4" s="8"/>
      <c r="DH4" s="70"/>
      <c r="DI4" s="70">
        <f>DI3/DI2</f>
        <v>18250</v>
      </c>
      <c r="DJ4" s="70">
        <f>DJ3/DJ2</f>
        <v>21535</v>
      </c>
      <c r="DK4" s="113"/>
      <c r="DL4" s="8">
        <f>DL3/DL2</f>
        <v>16216.765529091381</v>
      </c>
      <c r="DM4" s="8">
        <f>DM3/DM2</f>
        <v>13743.021634823204</v>
      </c>
      <c r="DN4" s="8"/>
      <c r="DO4" s="93"/>
      <c r="DP4" s="93">
        <f>DP3/DP2</f>
        <v>16400</v>
      </c>
      <c r="DQ4" s="93">
        <f>DQ3/DQ2</f>
        <v>19351.999999999996</v>
      </c>
      <c r="DR4" s="113"/>
      <c r="DS4" s="8">
        <f>DS3/DS2</f>
        <v>1367.57116</v>
      </c>
      <c r="DT4" s="8">
        <f>DT3/DT2</f>
        <v>1158.9586101694915</v>
      </c>
      <c r="DU4" s="8"/>
      <c r="DV4" s="207"/>
      <c r="DW4" s="207">
        <f>DW3/DW2</f>
        <v>3900</v>
      </c>
      <c r="DX4" s="207">
        <f>DX3/DX2</f>
        <v>4602.0000000000009</v>
      </c>
      <c r="DY4" s="113"/>
      <c r="DZ4" s="8">
        <f>DZ3/DZ2</f>
        <v>10042.111988847584</v>
      </c>
      <c r="EA4" s="8">
        <f>EA3/EA2</f>
        <v>8510.2643973284612</v>
      </c>
      <c r="EB4" s="8"/>
      <c r="EC4" s="70"/>
      <c r="ED4" s="70">
        <f>ED3/ED2</f>
        <v>17000</v>
      </c>
      <c r="EE4" s="70">
        <f>EE3/EE2</f>
        <v>20060</v>
      </c>
      <c r="EF4" s="113"/>
      <c r="EG4" s="8">
        <f>EG3/EG2</f>
        <v>10028.44</v>
      </c>
      <c r="EH4" s="8">
        <f>EH3/EH2</f>
        <v>8498.6779661016953</v>
      </c>
      <c r="EI4" s="8"/>
      <c r="EJ4" s="93"/>
      <c r="EK4" s="93">
        <f>EK3/EK2</f>
        <v>12450</v>
      </c>
      <c r="EL4" s="93">
        <f>EL3/EL2</f>
        <v>14690.999999999996</v>
      </c>
      <c r="EM4" s="198"/>
      <c r="EN4" s="8">
        <f>EN3/EN2</f>
        <v>7922.8358777777767</v>
      </c>
      <c r="EO4" s="8">
        <f>EO3/EO2</f>
        <v>6714.2676930320149</v>
      </c>
      <c r="EP4" s="8"/>
      <c r="EQ4" s="70"/>
      <c r="ER4" s="70">
        <f>ER3/ER2</f>
        <v>10849.999999999998</v>
      </c>
      <c r="ES4" s="70">
        <f>ES3/ES2</f>
        <v>12802.999999999998</v>
      </c>
      <c r="ET4" s="113"/>
      <c r="EU4" s="8">
        <f>EU3/EU2</f>
        <v>14798.446851888088</v>
      </c>
      <c r="EV4" s="8">
        <f>EV3/EV2</f>
        <v>12541.056654142445</v>
      </c>
      <c r="EW4" s="8"/>
      <c r="EX4" s="93"/>
      <c r="EY4" s="93">
        <f>EY3/EY2</f>
        <v>18900</v>
      </c>
      <c r="EZ4" s="93">
        <f>EZ3/EZ2</f>
        <v>22302</v>
      </c>
      <c r="FA4" s="113"/>
      <c r="FB4" s="8">
        <f>FB3/FB2</f>
        <v>10028.44</v>
      </c>
      <c r="FC4" s="8">
        <f>FC3/FC2</f>
        <v>8498.6779661016953</v>
      </c>
      <c r="FD4" s="8"/>
      <c r="FE4" s="70"/>
      <c r="FF4" s="70">
        <f>FF3/FF2</f>
        <v>14050.000000000002</v>
      </c>
      <c r="FG4" s="70">
        <f>FG3/FG2</f>
        <v>16579</v>
      </c>
      <c r="FH4" s="113"/>
      <c r="FI4" s="8">
        <f>FI3/FI2</f>
        <v>19314.5</v>
      </c>
      <c r="FJ4" s="8">
        <f>FJ3/FJ2</f>
        <v>16368.220338983052</v>
      </c>
      <c r="FK4" s="8"/>
      <c r="FL4" s="93"/>
      <c r="FM4" s="93">
        <f>FM3/FM2</f>
        <v>23900.000000000004</v>
      </c>
      <c r="FN4" s="93">
        <f>FN3/FN2</f>
        <v>28202</v>
      </c>
      <c r="FO4" s="113"/>
      <c r="FP4" s="8">
        <f>FP3/FP2</f>
        <v>0</v>
      </c>
      <c r="FQ4" s="8">
        <f>FQ3/FQ2</f>
        <v>0</v>
      </c>
      <c r="FR4" s="8"/>
      <c r="FS4" s="70"/>
      <c r="FT4" s="70">
        <f>FT3/FT2</f>
        <v>0</v>
      </c>
      <c r="FU4" s="70">
        <f>FU3/FU2</f>
        <v>0</v>
      </c>
      <c r="FV4" s="113"/>
      <c r="FW4" s="8">
        <f>FW3/FW2</f>
        <v>0</v>
      </c>
      <c r="FX4" s="8">
        <f>FX3/FX2</f>
        <v>0</v>
      </c>
      <c r="FY4" s="8"/>
      <c r="FZ4" s="93"/>
      <c r="GA4" s="93">
        <f>GA3/GA2</f>
        <v>0</v>
      </c>
      <c r="GB4" s="93">
        <f>GB3/GB2</f>
        <v>0</v>
      </c>
      <c r="GC4" s="113"/>
      <c r="GD4" s="8">
        <f>GD3/GD2</f>
        <v>0</v>
      </c>
      <c r="GE4" s="8">
        <f>GE3/GE2</f>
        <v>0</v>
      </c>
      <c r="GF4" s="8"/>
      <c r="GG4" s="70"/>
      <c r="GH4" s="70">
        <f>GH3/GH2</f>
        <v>0</v>
      </c>
      <c r="GI4" s="70">
        <f>GI3/GI2</f>
        <v>0</v>
      </c>
      <c r="GJ4" s="113"/>
      <c r="GK4" s="8">
        <f>GK3/GK2</f>
        <v>16737.950571428573</v>
      </c>
      <c r="GL4" s="8">
        <f>GL3/GL2</f>
        <v>14184.703874092011</v>
      </c>
      <c r="GM4" s="8"/>
      <c r="GN4" s="70"/>
      <c r="GO4" s="70">
        <f>GO3/GO2</f>
        <v>24400</v>
      </c>
      <c r="GP4" s="70">
        <f>GP3/GP2</f>
        <v>28791.999999999996</v>
      </c>
      <c r="GQ4" s="113"/>
      <c r="GR4" s="8">
        <f>GR3/GR2</f>
        <v>910.39851301115243</v>
      </c>
      <c r="GS4" s="8">
        <f>GS3/GS2</f>
        <v>771.52416356877325</v>
      </c>
      <c r="GT4" s="8"/>
      <c r="GU4" s="93"/>
      <c r="GV4" s="93">
        <f>GV3/GV2</f>
        <v>7400</v>
      </c>
      <c r="GW4" s="93">
        <f>GW3/GW2</f>
        <v>8732</v>
      </c>
      <c r="GX4" s="198"/>
      <c r="GY4" s="8">
        <f>GY3/GY2</f>
        <v>7989.5206319702611</v>
      </c>
      <c r="GZ4" s="8">
        <f>GZ3/GZ2</f>
        <v>6770.7801965849667</v>
      </c>
      <c r="HA4" s="8"/>
      <c r="HB4" s="70"/>
      <c r="HC4" s="70">
        <f>HC3/HC2</f>
        <v>23400</v>
      </c>
      <c r="HD4" s="70">
        <f>HD3/HD2</f>
        <v>27612</v>
      </c>
      <c r="HE4" s="113"/>
      <c r="HF4" s="8">
        <f>HF3/HF2</f>
        <v>1367.57116</v>
      </c>
      <c r="HG4" s="8">
        <f>HG3/HG2</f>
        <v>1158.9586101694915</v>
      </c>
      <c r="HH4" s="8"/>
      <c r="HI4" s="207"/>
      <c r="HJ4" s="207">
        <f>HJ3/HJ2</f>
        <v>3899.9999999999995</v>
      </c>
      <c r="HK4" s="207">
        <f>HK3/HK2</f>
        <v>4602</v>
      </c>
      <c r="HL4" s="113"/>
      <c r="HM4" s="8">
        <f>HM3/HM2</f>
        <v>16737.950571428573</v>
      </c>
      <c r="HN4" s="8">
        <f>HN3/HN2</f>
        <v>14184.703874092011</v>
      </c>
      <c r="HO4" s="8"/>
      <c r="HP4" s="70"/>
      <c r="HQ4" s="70">
        <f>HQ3/HQ2</f>
        <v>23100</v>
      </c>
      <c r="HR4" s="70">
        <f>HR3/HR2</f>
        <v>27258</v>
      </c>
      <c r="HS4" s="113"/>
      <c r="HT4" s="8">
        <f>HT3/HT2</f>
        <v>16216.765529091381</v>
      </c>
      <c r="HU4" s="8">
        <f>HU3/HU2</f>
        <v>13743.021634823204</v>
      </c>
      <c r="HV4" s="8"/>
      <c r="HW4" s="93"/>
      <c r="HX4" s="93">
        <f>HX3/HX2</f>
        <v>12699.999999999998</v>
      </c>
      <c r="HY4" s="93">
        <f>HY3/HY2</f>
        <v>14985.999999999998</v>
      </c>
      <c r="HZ4" s="198"/>
      <c r="IA4" s="9"/>
    </row>
    <row r="5" spans="1:235" ht="15">
      <c r="A5" s="85" t="s">
        <v>3</v>
      </c>
      <c r="B5" s="86"/>
      <c r="C5" s="114"/>
      <c r="D5" s="767" t="s">
        <v>64</v>
      </c>
      <c r="E5" s="767"/>
      <c r="F5" s="767"/>
      <c r="G5" s="763" t="s">
        <v>65</v>
      </c>
      <c r="H5" s="764"/>
      <c r="I5" s="765"/>
      <c r="J5" s="114"/>
      <c r="K5" s="767" t="s">
        <v>64</v>
      </c>
      <c r="L5" s="767"/>
      <c r="M5" s="767"/>
      <c r="N5" s="763" t="s">
        <v>65</v>
      </c>
      <c r="O5" s="764"/>
      <c r="P5" s="765"/>
      <c r="Q5" s="114"/>
      <c r="R5" s="767" t="s">
        <v>64</v>
      </c>
      <c r="S5" s="767"/>
      <c r="T5" s="767"/>
      <c r="U5" s="763" t="s">
        <v>65</v>
      </c>
      <c r="V5" s="764"/>
      <c r="W5" s="765"/>
      <c r="X5" s="114"/>
      <c r="Y5" s="767" t="s">
        <v>64</v>
      </c>
      <c r="Z5" s="767"/>
      <c r="AA5" s="767"/>
      <c r="AB5" s="763" t="s">
        <v>65</v>
      </c>
      <c r="AC5" s="764"/>
      <c r="AD5" s="765"/>
      <c r="AE5" s="114"/>
      <c r="AF5" s="767" t="s">
        <v>64</v>
      </c>
      <c r="AG5" s="767"/>
      <c r="AH5" s="767"/>
      <c r="AI5" s="763" t="s">
        <v>65</v>
      </c>
      <c r="AJ5" s="764"/>
      <c r="AK5" s="765"/>
      <c r="AL5" s="114"/>
      <c r="AM5" s="767" t="s">
        <v>64</v>
      </c>
      <c r="AN5" s="767"/>
      <c r="AO5" s="767"/>
      <c r="AP5" s="763" t="s">
        <v>65</v>
      </c>
      <c r="AQ5" s="764"/>
      <c r="AR5" s="765"/>
      <c r="AS5" s="114"/>
      <c r="AT5" s="767" t="s">
        <v>64</v>
      </c>
      <c r="AU5" s="767"/>
      <c r="AV5" s="767"/>
      <c r="AW5" s="763" t="s">
        <v>65</v>
      </c>
      <c r="AX5" s="764"/>
      <c r="AY5" s="765"/>
      <c r="AZ5" s="114"/>
      <c r="BA5" s="767" t="s">
        <v>64</v>
      </c>
      <c r="BB5" s="767"/>
      <c r="BC5" s="767"/>
      <c r="BD5" s="763" t="s">
        <v>65</v>
      </c>
      <c r="BE5" s="764"/>
      <c r="BF5" s="765"/>
      <c r="BG5" s="114"/>
      <c r="BH5" s="767" t="s">
        <v>64</v>
      </c>
      <c r="BI5" s="767"/>
      <c r="BJ5" s="767"/>
      <c r="BK5" s="763" t="s">
        <v>65</v>
      </c>
      <c r="BL5" s="764"/>
      <c r="BM5" s="765"/>
      <c r="BN5" s="114"/>
      <c r="BO5" s="767" t="s">
        <v>64</v>
      </c>
      <c r="BP5" s="767"/>
      <c r="BQ5" s="767"/>
      <c r="BR5" s="763" t="s">
        <v>65</v>
      </c>
      <c r="BS5" s="764"/>
      <c r="BT5" s="765"/>
      <c r="BU5" s="114"/>
      <c r="BV5" s="767" t="s">
        <v>64</v>
      </c>
      <c r="BW5" s="767"/>
      <c r="BX5" s="767"/>
      <c r="BY5" s="763" t="s">
        <v>65</v>
      </c>
      <c r="BZ5" s="764"/>
      <c r="CA5" s="765"/>
      <c r="CB5" s="114"/>
      <c r="CC5" s="767" t="s">
        <v>64</v>
      </c>
      <c r="CD5" s="767"/>
      <c r="CE5" s="767"/>
      <c r="CF5" s="763" t="s">
        <v>65</v>
      </c>
      <c r="CG5" s="764"/>
      <c r="CH5" s="765"/>
      <c r="CI5" s="114"/>
      <c r="CJ5" s="767" t="s">
        <v>64</v>
      </c>
      <c r="CK5" s="767"/>
      <c r="CL5" s="767"/>
      <c r="CM5" s="763" t="s">
        <v>65</v>
      </c>
      <c r="CN5" s="764"/>
      <c r="CO5" s="765"/>
      <c r="CP5" s="114"/>
      <c r="CQ5" s="767" t="s">
        <v>64</v>
      </c>
      <c r="CR5" s="767"/>
      <c r="CS5" s="767"/>
      <c r="CT5" s="763" t="s">
        <v>65</v>
      </c>
      <c r="CU5" s="764"/>
      <c r="CV5" s="765"/>
      <c r="CW5" s="114"/>
      <c r="CX5" s="767" t="s">
        <v>64</v>
      </c>
      <c r="CY5" s="767"/>
      <c r="CZ5" s="767"/>
      <c r="DA5" s="763" t="s">
        <v>65</v>
      </c>
      <c r="DB5" s="764"/>
      <c r="DC5" s="765"/>
      <c r="DD5" s="199"/>
      <c r="DE5" s="767" t="s">
        <v>64</v>
      </c>
      <c r="DF5" s="767"/>
      <c r="DG5" s="767"/>
      <c r="DH5" s="763" t="s">
        <v>65</v>
      </c>
      <c r="DI5" s="764"/>
      <c r="DJ5" s="765"/>
      <c r="DK5" s="114"/>
      <c r="DL5" s="767" t="s">
        <v>64</v>
      </c>
      <c r="DM5" s="767"/>
      <c r="DN5" s="767"/>
      <c r="DO5" s="763" t="s">
        <v>65</v>
      </c>
      <c r="DP5" s="764"/>
      <c r="DQ5" s="765"/>
      <c r="DR5" s="114"/>
      <c r="DS5" s="767" t="s">
        <v>64</v>
      </c>
      <c r="DT5" s="767"/>
      <c r="DU5" s="767"/>
      <c r="DV5" s="763" t="s">
        <v>65</v>
      </c>
      <c r="DW5" s="764"/>
      <c r="DX5" s="765"/>
      <c r="DY5" s="114"/>
      <c r="DZ5" s="767" t="s">
        <v>64</v>
      </c>
      <c r="EA5" s="767"/>
      <c r="EB5" s="767"/>
      <c r="EC5" s="763" t="s">
        <v>65</v>
      </c>
      <c r="ED5" s="764"/>
      <c r="EE5" s="765"/>
      <c r="EF5" s="114"/>
      <c r="EG5" s="767" t="s">
        <v>64</v>
      </c>
      <c r="EH5" s="767"/>
      <c r="EI5" s="767"/>
      <c r="EJ5" s="763" t="s">
        <v>65</v>
      </c>
      <c r="EK5" s="764"/>
      <c r="EL5" s="765"/>
      <c r="EM5" s="199"/>
      <c r="EN5" s="767" t="s">
        <v>64</v>
      </c>
      <c r="EO5" s="767"/>
      <c r="EP5" s="767"/>
      <c r="EQ5" s="763" t="s">
        <v>65</v>
      </c>
      <c r="ER5" s="764"/>
      <c r="ES5" s="765"/>
      <c r="ET5" s="114"/>
      <c r="EU5" s="767" t="s">
        <v>64</v>
      </c>
      <c r="EV5" s="767"/>
      <c r="EW5" s="767"/>
      <c r="EX5" s="763" t="s">
        <v>65</v>
      </c>
      <c r="EY5" s="764"/>
      <c r="EZ5" s="765"/>
      <c r="FA5" s="114"/>
      <c r="FB5" s="767" t="s">
        <v>64</v>
      </c>
      <c r="FC5" s="767"/>
      <c r="FD5" s="767"/>
      <c r="FE5" s="763" t="s">
        <v>65</v>
      </c>
      <c r="FF5" s="764"/>
      <c r="FG5" s="765"/>
      <c r="FH5" s="114"/>
      <c r="FI5" s="767" t="s">
        <v>64</v>
      </c>
      <c r="FJ5" s="767"/>
      <c r="FK5" s="767"/>
      <c r="FL5" s="763" t="s">
        <v>65</v>
      </c>
      <c r="FM5" s="764"/>
      <c r="FN5" s="765"/>
      <c r="FO5" s="114"/>
      <c r="FP5" s="767" t="s">
        <v>64</v>
      </c>
      <c r="FQ5" s="767"/>
      <c r="FR5" s="767"/>
      <c r="FS5" s="763" t="s">
        <v>65</v>
      </c>
      <c r="FT5" s="764"/>
      <c r="FU5" s="765"/>
      <c r="FV5" s="114"/>
      <c r="FW5" s="767" t="s">
        <v>64</v>
      </c>
      <c r="FX5" s="767"/>
      <c r="FY5" s="767"/>
      <c r="FZ5" s="763" t="s">
        <v>65</v>
      </c>
      <c r="GA5" s="764"/>
      <c r="GB5" s="765"/>
      <c r="GC5" s="114"/>
      <c r="GD5" s="767" t="s">
        <v>64</v>
      </c>
      <c r="GE5" s="767"/>
      <c r="GF5" s="767"/>
      <c r="GG5" s="763" t="s">
        <v>65</v>
      </c>
      <c r="GH5" s="764"/>
      <c r="GI5" s="765"/>
      <c r="GJ5" s="114"/>
      <c r="GK5" s="767" t="s">
        <v>64</v>
      </c>
      <c r="GL5" s="767"/>
      <c r="GM5" s="767"/>
      <c r="GN5" s="763" t="s">
        <v>65</v>
      </c>
      <c r="GO5" s="764"/>
      <c r="GP5" s="765"/>
      <c r="GQ5" s="114"/>
      <c r="GR5" s="767" t="s">
        <v>64</v>
      </c>
      <c r="GS5" s="767"/>
      <c r="GT5" s="767"/>
      <c r="GU5" s="763" t="s">
        <v>65</v>
      </c>
      <c r="GV5" s="764"/>
      <c r="GW5" s="765"/>
      <c r="GX5" s="199"/>
      <c r="GY5" s="767" t="s">
        <v>64</v>
      </c>
      <c r="GZ5" s="767"/>
      <c r="HA5" s="767"/>
      <c r="HB5" s="763" t="s">
        <v>65</v>
      </c>
      <c r="HC5" s="764"/>
      <c r="HD5" s="765"/>
      <c r="HE5" s="114"/>
      <c r="HF5" s="767" t="s">
        <v>64</v>
      </c>
      <c r="HG5" s="767"/>
      <c r="HH5" s="767"/>
      <c r="HI5" s="763" t="s">
        <v>65</v>
      </c>
      <c r="HJ5" s="764"/>
      <c r="HK5" s="765"/>
      <c r="HL5" s="114"/>
      <c r="HM5" s="767" t="s">
        <v>64</v>
      </c>
      <c r="HN5" s="767"/>
      <c r="HO5" s="767"/>
      <c r="HP5" s="763" t="s">
        <v>65</v>
      </c>
      <c r="HQ5" s="764"/>
      <c r="HR5" s="765"/>
      <c r="HS5" s="114"/>
      <c r="HT5" s="767" t="s">
        <v>64</v>
      </c>
      <c r="HU5" s="767"/>
      <c r="HV5" s="767"/>
      <c r="HW5" s="763" t="s">
        <v>65</v>
      </c>
      <c r="HX5" s="764"/>
      <c r="HY5" s="765"/>
      <c r="HZ5" s="199"/>
      <c r="IA5" s="87"/>
    </row>
    <row r="6" spans="1:235" ht="15">
      <c r="A6" s="10"/>
      <c r="B6" s="83"/>
      <c r="C6" s="115"/>
      <c r="D6" s="757" t="s">
        <v>70</v>
      </c>
      <c r="E6" s="758"/>
      <c r="F6" s="759"/>
      <c r="G6" s="760" t="str">
        <f>'Summary_Old outlets'!K6</f>
        <v>Cafeccino with Seating</v>
      </c>
      <c r="H6" s="761"/>
      <c r="I6" s="762"/>
      <c r="J6" s="115"/>
      <c r="K6" s="757" t="s">
        <v>70</v>
      </c>
      <c r="L6" s="758"/>
      <c r="M6" s="759"/>
      <c r="N6" s="795" t="str">
        <f>'Summary_Old outlets'!K8</f>
        <v xml:space="preserve">Cafeccino </v>
      </c>
      <c r="O6" s="796"/>
      <c r="P6" s="797"/>
      <c r="Q6" s="115"/>
      <c r="R6" s="757" t="s">
        <v>216</v>
      </c>
      <c r="S6" s="758"/>
      <c r="T6" s="759"/>
      <c r="U6" s="760" t="str">
        <f>'Summary_Old outlets'!K9</f>
        <v>Maggi</v>
      </c>
      <c r="V6" s="761"/>
      <c r="W6" s="762"/>
      <c r="X6" s="115"/>
      <c r="Y6" s="757" t="s">
        <v>222</v>
      </c>
      <c r="Z6" s="758"/>
      <c r="AA6" s="759"/>
      <c r="AB6" s="795" t="str">
        <f>'Summary_Old outlets'!K10</f>
        <v>Sweets / Mithai Concept</v>
      </c>
      <c r="AC6" s="796"/>
      <c r="AD6" s="797"/>
      <c r="AE6" s="115"/>
      <c r="AF6" s="757" t="s">
        <v>218</v>
      </c>
      <c r="AG6" s="758"/>
      <c r="AH6" s="759"/>
      <c r="AI6" s="760" t="str">
        <f>'Summary_Old outlets'!K11</f>
        <v>Ultra / GTB</v>
      </c>
      <c r="AJ6" s="761"/>
      <c r="AK6" s="762"/>
      <c r="AL6" s="115"/>
      <c r="AM6" s="757" t="s">
        <v>219</v>
      </c>
      <c r="AN6" s="758"/>
      <c r="AO6" s="759"/>
      <c r="AP6" s="795" t="str">
        <f>'Summary_Old outlets'!K12</f>
        <v>Curry Kitchen + ldIi.com</v>
      </c>
      <c r="AQ6" s="796"/>
      <c r="AR6" s="797"/>
      <c r="AS6" s="115"/>
      <c r="AT6" s="757" t="s">
        <v>224</v>
      </c>
      <c r="AU6" s="758"/>
      <c r="AV6" s="759"/>
      <c r="AW6" s="798" t="str">
        <f>'Summary_Old outlets'!K13</f>
        <v>Seating</v>
      </c>
      <c r="AX6" s="799"/>
      <c r="AY6" s="800"/>
      <c r="AZ6" s="115"/>
      <c r="BA6" s="757" t="s">
        <v>86</v>
      </c>
      <c r="BB6" s="758"/>
      <c r="BC6" s="759"/>
      <c r="BD6" s="760" t="str">
        <f>'Summary_Old outlets'!K14</f>
        <v>Chappan Bhog + Seating</v>
      </c>
      <c r="BE6" s="761"/>
      <c r="BF6" s="762"/>
      <c r="BG6" s="115"/>
      <c r="BH6" s="757" t="s">
        <v>224</v>
      </c>
      <c r="BI6" s="758"/>
      <c r="BJ6" s="759"/>
      <c r="BK6" s="798" t="str">
        <f>'Summary_Old outlets'!K15</f>
        <v>Seating</v>
      </c>
      <c r="BL6" s="799"/>
      <c r="BM6" s="800"/>
      <c r="BN6" s="115"/>
      <c r="BO6" s="757" t="s">
        <v>221</v>
      </c>
      <c r="BP6" s="758"/>
      <c r="BQ6" s="759"/>
      <c r="BR6" s="795" t="str">
        <f>'Summary_Old outlets'!K18</f>
        <v>Travel Club Lounge</v>
      </c>
      <c r="BS6" s="796"/>
      <c r="BT6" s="797"/>
      <c r="BU6" s="115"/>
      <c r="BV6" s="757" t="s">
        <v>70</v>
      </c>
      <c r="BW6" s="758"/>
      <c r="BX6" s="759"/>
      <c r="BY6" s="760" t="str">
        <f>'Summary_Old outlets'!K19</f>
        <v xml:space="preserve">Cafeccino </v>
      </c>
      <c r="BZ6" s="761"/>
      <c r="CA6" s="762"/>
      <c r="CB6" s="115"/>
      <c r="CC6" s="757" t="s">
        <v>86</v>
      </c>
      <c r="CD6" s="758"/>
      <c r="CE6" s="759"/>
      <c r="CF6" s="795" t="str">
        <f>'Summary_Old outlets'!K20</f>
        <v>Chappan Bhog + Seating</v>
      </c>
      <c r="CG6" s="796"/>
      <c r="CH6" s="797"/>
      <c r="CI6" s="115"/>
      <c r="CJ6" s="757" t="s">
        <v>224</v>
      </c>
      <c r="CK6" s="758"/>
      <c r="CL6" s="759"/>
      <c r="CM6" s="798" t="str">
        <f>'Summary_Old outlets'!K22</f>
        <v>Seating</v>
      </c>
      <c r="CN6" s="799"/>
      <c r="CO6" s="800"/>
      <c r="CP6" s="115"/>
      <c r="CQ6" s="757" t="s">
        <v>222</v>
      </c>
      <c r="CR6" s="758"/>
      <c r="CS6" s="759"/>
      <c r="CT6" s="760" t="str">
        <f>'Summary_Old outlets'!K23</f>
        <v>Flying bites with Mithai Shop</v>
      </c>
      <c r="CU6" s="761"/>
      <c r="CV6" s="762"/>
      <c r="CW6" s="115"/>
      <c r="CX6" s="757" t="s">
        <v>70</v>
      </c>
      <c r="CY6" s="758"/>
      <c r="CZ6" s="759"/>
      <c r="DA6" s="795" t="str">
        <f>'Summary_Old outlets'!K24</f>
        <v>Cafeccino with Seating</v>
      </c>
      <c r="DB6" s="796"/>
      <c r="DC6" s="797"/>
      <c r="DD6" s="200"/>
      <c r="DE6" s="757" t="s">
        <v>218</v>
      </c>
      <c r="DF6" s="758"/>
      <c r="DG6" s="759"/>
      <c r="DH6" s="760" t="str">
        <f>'Summary_Old outlets'!K25</f>
        <v>Ultra Bar</v>
      </c>
      <c r="DI6" s="761"/>
      <c r="DJ6" s="762"/>
      <c r="DK6" s="115"/>
      <c r="DL6" s="757" t="s">
        <v>86</v>
      </c>
      <c r="DM6" s="758"/>
      <c r="DN6" s="759"/>
      <c r="DO6" s="795" t="str">
        <f>'Summary_Old outlets'!K26</f>
        <v>Local Fav with Dining Area (Chappan Bhog)</v>
      </c>
      <c r="DP6" s="796"/>
      <c r="DQ6" s="797"/>
      <c r="DR6" s="115"/>
      <c r="DS6" s="757" t="s">
        <v>224</v>
      </c>
      <c r="DT6" s="758"/>
      <c r="DU6" s="759"/>
      <c r="DV6" s="798" t="str">
        <f>'Summary_Old outlets'!K28</f>
        <v>Seating</v>
      </c>
      <c r="DW6" s="799"/>
      <c r="DX6" s="800"/>
      <c r="DY6" s="115"/>
      <c r="DZ6" s="757" t="s">
        <v>219</v>
      </c>
      <c r="EA6" s="758"/>
      <c r="EB6" s="759"/>
      <c r="EC6" s="760" t="str">
        <f>'Summary_Old outlets'!K29</f>
        <v>Curry Kitchen + ldIi.com</v>
      </c>
      <c r="ED6" s="761"/>
      <c r="EE6" s="762"/>
      <c r="EF6" s="115"/>
      <c r="EG6" s="757" t="s">
        <v>225</v>
      </c>
      <c r="EH6" s="758"/>
      <c r="EI6" s="759"/>
      <c r="EJ6" s="795" t="str">
        <f>'Summary_Old outlets'!K30</f>
        <v>Idris Biryani + Seating</v>
      </c>
      <c r="EK6" s="796"/>
      <c r="EL6" s="797"/>
      <c r="EM6" s="200"/>
      <c r="EN6" s="757" t="s">
        <v>221</v>
      </c>
      <c r="EO6" s="758"/>
      <c r="EP6" s="759"/>
      <c r="EQ6" s="760" t="str">
        <f>'Summary_Old outlets'!K31</f>
        <v>Travel Club Lounge</v>
      </c>
      <c r="ER6" s="761"/>
      <c r="ES6" s="762"/>
      <c r="ET6" s="115"/>
      <c r="EU6" s="757" t="s">
        <v>72</v>
      </c>
      <c r="EV6" s="758"/>
      <c r="EW6" s="759"/>
      <c r="EX6" s="795" t="str">
        <f>'Summary_Old outlets'!K32</f>
        <v>KFC</v>
      </c>
      <c r="EY6" s="796"/>
      <c r="EZ6" s="797"/>
      <c r="FA6" s="115"/>
      <c r="FB6" s="757" t="s">
        <v>225</v>
      </c>
      <c r="FC6" s="758"/>
      <c r="FD6" s="759"/>
      <c r="FE6" s="760" t="str">
        <f>'Summary_Old outlets'!K34</f>
        <v>Kebab Counter + Seating</v>
      </c>
      <c r="FF6" s="761"/>
      <c r="FG6" s="762"/>
      <c r="FH6" s="115"/>
      <c r="FI6" s="757" t="s">
        <v>222</v>
      </c>
      <c r="FJ6" s="758"/>
      <c r="FK6" s="759"/>
      <c r="FL6" s="795" t="str">
        <f>'Summary_Old outlets'!K35</f>
        <v>Flying Bites</v>
      </c>
      <c r="FM6" s="796"/>
      <c r="FN6" s="797"/>
      <c r="FO6" s="115"/>
      <c r="FP6" s="757"/>
      <c r="FQ6" s="758"/>
      <c r="FR6" s="759"/>
      <c r="FS6" s="760" t="str">
        <f>'Summary_Old outlets'!K36</f>
        <v>Not demarked on map</v>
      </c>
      <c r="FT6" s="761"/>
      <c r="FU6" s="762"/>
      <c r="FV6" s="115"/>
      <c r="FW6" s="757"/>
      <c r="FX6" s="758"/>
      <c r="FY6" s="759"/>
      <c r="FZ6" s="795" t="str">
        <f>'Summary_Old outlets'!K38</f>
        <v>Not demarked on map</v>
      </c>
      <c r="GA6" s="796"/>
      <c r="GB6" s="797"/>
      <c r="GC6" s="115"/>
      <c r="GD6" s="757"/>
      <c r="GE6" s="758"/>
      <c r="GF6" s="759"/>
      <c r="GG6" s="760" t="str">
        <f>'Summary_Old outlets'!K39</f>
        <v>Missing in list</v>
      </c>
      <c r="GH6" s="761"/>
      <c r="GI6" s="762"/>
      <c r="GJ6" s="115"/>
      <c r="GK6" s="757" t="s">
        <v>223</v>
      </c>
      <c r="GL6" s="758"/>
      <c r="GM6" s="759"/>
      <c r="GN6" s="760" t="str">
        <f>'Summary_Old outlets'!K40</f>
        <v>Coffee &amp; More</v>
      </c>
      <c r="GO6" s="761"/>
      <c r="GP6" s="762"/>
      <c r="GQ6" s="115"/>
      <c r="GR6" s="757" t="s">
        <v>216</v>
      </c>
      <c r="GS6" s="758"/>
      <c r="GT6" s="759"/>
      <c r="GU6" s="795" t="str">
        <f>'Summary_Old outlets'!K41</f>
        <v>Maggi</v>
      </c>
      <c r="GV6" s="796"/>
      <c r="GW6" s="797"/>
      <c r="GX6" s="200"/>
      <c r="GY6" s="757" t="s">
        <v>220</v>
      </c>
      <c r="GZ6" s="758"/>
      <c r="HA6" s="759"/>
      <c r="HB6" s="760" t="str">
        <f>'Summary_Old outlets'!K42</f>
        <v>Food Truck Concept + Seating</v>
      </c>
      <c r="HC6" s="761"/>
      <c r="HD6" s="762"/>
      <c r="HE6" s="115"/>
      <c r="HF6" s="757" t="s">
        <v>224</v>
      </c>
      <c r="HG6" s="758"/>
      <c r="HH6" s="759"/>
      <c r="HI6" s="798" t="str">
        <f>'Summary_Old outlets'!K44</f>
        <v>Seating</v>
      </c>
      <c r="HJ6" s="799"/>
      <c r="HK6" s="800"/>
      <c r="HL6" s="115"/>
      <c r="HM6" s="757" t="s">
        <v>223</v>
      </c>
      <c r="HN6" s="758"/>
      <c r="HO6" s="759"/>
      <c r="HP6" s="760" t="str">
        <f>'Summary_Old outlets'!K45</f>
        <v>Coffee box</v>
      </c>
      <c r="HQ6" s="761"/>
      <c r="HR6" s="762"/>
      <c r="HS6" s="115"/>
      <c r="HT6" s="757" t="s">
        <v>86</v>
      </c>
      <c r="HU6" s="758"/>
      <c r="HV6" s="759"/>
      <c r="HW6" s="795" t="str">
        <f>'Summary_Old outlets'!K46</f>
        <v>Chappan Bhog + Seating</v>
      </c>
      <c r="HX6" s="796"/>
      <c r="HY6" s="797"/>
      <c r="HZ6" s="200"/>
      <c r="IA6" s="88" t="s">
        <v>4</v>
      </c>
    </row>
    <row r="7" spans="1:235" s="165" customFormat="1" ht="30">
      <c r="A7" s="162" t="s">
        <v>5</v>
      </c>
      <c r="B7" s="163" t="s">
        <v>6</v>
      </c>
      <c r="C7" s="116"/>
      <c r="D7" s="160" t="s">
        <v>66</v>
      </c>
      <c r="E7" s="160" t="s">
        <v>7</v>
      </c>
      <c r="F7" s="160" t="s">
        <v>8</v>
      </c>
      <c r="G7" s="71" t="s">
        <v>9</v>
      </c>
      <c r="H7" s="72" t="s">
        <v>7</v>
      </c>
      <c r="I7" s="72" t="s">
        <v>66</v>
      </c>
      <c r="J7" s="116"/>
      <c r="K7" s="160" t="s">
        <v>66</v>
      </c>
      <c r="L7" s="160" t="s">
        <v>7</v>
      </c>
      <c r="M7" s="160" t="s">
        <v>8</v>
      </c>
      <c r="N7" s="94" t="s">
        <v>9</v>
      </c>
      <c r="O7" s="95" t="s">
        <v>7</v>
      </c>
      <c r="P7" s="95" t="s">
        <v>66</v>
      </c>
      <c r="Q7" s="116"/>
      <c r="R7" s="160" t="s">
        <v>66</v>
      </c>
      <c r="S7" s="160" t="s">
        <v>7</v>
      </c>
      <c r="T7" s="160" t="s">
        <v>8</v>
      </c>
      <c r="U7" s="71" t="s">
        <v>9</v>
      </c>
      <c r="V7" s="72" t="s">
        <v>7</v>
      </c>
      <c r="W7" s="72" t="s">
        <v>66</v>
      </c>
      <c r="X7" s="116"/>
      <c r="Y7" s="160" t="s">
        <v>66</v>
      </c>
      <c r="Z7" s="160" t="s">
        <v>7</v>
      </c>
      <c r="AA7" s="160" t="s">
        <v>8</v>
      </c>
      <c r="AB7" s="94" t="s">
        <v>9</v>
      </c>
      <c r="AC7" s="95" t="s">
        <v>7</v>
      </c>
      <c r="AD7" s="95" t="s">
        <v>66</v>
      </c>
      <c r="AE7" s="116"/>
      <c r="AF7" s="160" t="s">
        <v>66</v>
      </c>
      <c r="AG7" s="160" t="s">
        <v>7</v>
      </c>
      <c r="AH7" s="160" t="s">
        <v>8</v>
      </c>
      <c r="AI7" s="71" t="s">
        <v>9</v>
      </c>
      <c r="AJ7" s="72" t="s">
        <v>7</v>
      </c>
      <c r="AK7" s="72" t="s">
        <v>66</v>
      </c>
      <c r="AL7" s="116"/>
      <c r="AM7" s="160" t="s">
        <v>66</v>
      </c>
      <c r="AN7" s="160" t="s">
        <v>7</v>
      </c>
      <c r="AO7" s="160" t="s">
        <v>8</v>
      </c>
      <c r="AP7" s="94" t="s">
        <v>9</v>
      </c>
      <c r="AQ7" s="95" t="s">
        <v>7</v>
      </c>
      <c r="AR7" s="95" t="s">
        <v>66</v>
      </c>
      <c r="AS7" s="116"/>
      <c r="AT7" s="160" t="s">
        <v>66</v>
      </c>
      <c r="AU7" s="160" t="s">
        <v>7</v>
      </c>
      <c r="AV7" s="160" t="s">
        <v>8</v>
      </c>
      <c r="AW7" s="208" t="s">
        <v>9</v>
      </c>
      <c r="AX7" s="209" t="s">
        <v>7</v>
      </c>
      <c r="AY7" s="209" t="s">
        <v>66</v>
      </c>
      <c r="AZ7" s="116"/>
      <c r="BA7" s="160" t="s">
        <v>66</v>
      </c>
      <c r="BB7" s="160" t="s">
        <v>7</v>
      </c>
      <c r="BC7" s="160" t="s">
        <v>8</v>
      </c>
      <c r="BD7" s="71" t="s">
        <v>9</v>
      </c>
      <c r="BE7" s="72" t="s">
        <v>7</v>
      </c>
      <c r="BF7" s="72" t="s">
        <v>66</v>
      </c>
      <c r="BG7" s="116"/>
      <c r="BH7" s="160" t="s">
        <v>66</v>
      </c>
      <c r="BI7" s="160" t="s">
        <v>7</v>
      </c>
      <c r="BJ7" s="160" t="s">
        <v>8</v>
      </c>
      <c r="BK7" s="208" t="s">
        <v>9</v>
      </c>
      <c r="BL7" s="209" t="s">
        <v>7</v>
      </c>
      <c r="BM7" s="209" t="s">
        <v>66</v>
      </c>
      <c r="BN7" s="116"/>
      <c r="BO7" s="160" t="s">
        <v>66</v>
      </c>
      <c r="BP7" s="160" t="s">
        <v>7</v>
      </c>
      <c r="BQ7" s="160" t="s">
        <v>8</v>
      </c>
      <c r="BR7" s="94" t="s">
        <v>9</v>
      </c>
      <c r="BS7" s="95" t="s">
        <v>7</v>
      </c>
      <c r="BT7" s="95" t="s">
        <v>66</v>
      </c>
      <c r="BU7" s="116"/>
      <c r="BV7" s="160" t="s">
        <v>66</v>
      </c>
      <c r="BW7" s="160" t="s">
        <v>7</v>
      </c>
      <c r="BX7" s="160" t="s">
        <v>8</v>
      </c>
      <c r="BY7" s="71" t="s">
        <v>9</v>
      </c>
      <c r="BZ7" s="72" t="s">
        <v>7</v>
      </c>
      <c r="CA7" s="72" t="s">
        <v>66</v>
      </c>
      <c r="CB7" s="116"/>
      <c r="CC7" s="160" t="s">
        <v>66</v>
      </c>
      <c r="CD7" s="160" t="s">
        <v>7</v>
      </c>
      <c r="CE7" s="160" t="s">
        <v>8</v>
      </c>
      <c r="CF7" s="94" t="s">
        <v>9</v>
      </c>
      <c r="CG7" s="95" t="s">
        <v>7</v>
      </c>
      <c r="CH7" s="95" t="s">
        <v>66</v>
      </c>
      <c r="CI7" s="116"/>
      <c r="CJ7" s="160" t="s">
        <v>66</v>
      </c>
      <c r="CK7" s="160" t="s">
        <v>7</v>
      </c>
      <c r="CL7" s="160" t="s">
        <v>8</v>
      </c>
      <c r="CM7" s="208" t="s">
        <v>9</v>
      </c>
      <c r="CN7" s="209" t="s">
        <v>7</v>
      </c>
      <c r="CO7" s="209" t="s">
        <v>66</v>
      </c>
      <c r="CP7" s="116"/>
      <c r="CQ7" s="160" t="s">
        <v>66</v>
      </c>
      <c r="CR7" s="160" t="s">
        <v>7</v>
      </c>
      <c r="CS7" s="160" t="s">
        <v>8</v>
      </c>
      <c r="CT7" s="71" t="s">
        <v>9</v>
      </c>
      <c r="CU7" s="72" t="s">
        <v>7</v>
      </c>
      <c r="CV7" s="72" t="s">
        <v>66</v>
      </c>
      <c r="CW7" s="116"/>
      <c r="CX7" s="160" t="s">
        <v>66</v>
      </c>
      <c r="CY7" s="160" t="s">
        <v>7</v>
      </c>
      <c r="CZ7" s="160" t="s">
        <v>8</v>
      </c>
      <c r="DA7" s="94" t="s">
        <v>9</v>
      </c>
      <c r="DB7" s="95" t="s">
        <v>7</v>
      </c>
      <c r="DC7" s="95" t="s">
        <v>66</v>
      </c>
      <c r="DD7" s="116"/>
      <c r="DE7" s="160" t="s">
        <v>66</v>
      </c>
      <c r="DF7" s="160" t="s">
        <v>7</v>
      </c>
      <c r="DG7" s="160" t="s">
        <v>8</v>
      </c>
      <c r="DH7" s="71" t="s">
        <v>9</v>
      </c>
      <c r="DI7" s="72" t="s">
        <v>7</v>
      </c>
      <c r="DJ7" s="72" t="s">
        <v>66</v>
      </c>
      <c r="DK7" s="116"/>
      <c r="DL7" s="160" t="s">
        <v>66</v>
      </c>
      <c r="DM7" s="160" t="s">
        <v>7</v>
      </c>
      <c r="DN7" s="160" t="s">
        <v>8</v>
      </c>
      <c r="DO7" s="94" t="s">
        <v>9</v>
      </c>
      <c r="DP7" s="95" t="s">
        <v>7</v>
      </c>
      <c r="DQ7" s="95" t="s">
        <v>66</v>
      </c>
      <c r="DR7" s="116"/>
      <c r="DS7" s="160" t="s">
        <v>66</v>
      </c>
      <c r="DT7" s="160" t="s">
        <v>7</v>
      </c>
      <c r="DU7" s="160" t="s">
        <v>8</v>
      </c>
      <c r="DV7" s="208" t="s">
        <v>9</v>
      </c>
      <c r="DW7" s="209" t="s">
        <v>7</v>
      </c>
      <c r="DX7" s="209" t="s">
        <v>66</v>
      </c>
      <c r="DY7" s="116"/>
      <c r="DZ7" s="160" t="s">
        <v>66</v>
      </c>
      <c r="EA7" s="160" t="s">
        <v>7</v>
      </c>
      <c r="EB7" s="160" t="s">
        <v>8</v>
      </c>
      <c r="EC7" s="71" t="s">
        <v>9</v>
      </c>
      <c r="ED7" s="72" t="s">
        <v>7</v>
      </c>
      <c r="EE7" s="72" t="s">
        <v>66</v>
      </c>
      <c r="EF7" s="116"/>
      <c r="EG7" s="160" t="s">
        <v>66</v>
      </c>
      <c r="EH7" s="160" t="s">
        <v>7</v>
      </c>
      <c r="EI7" s="160" t="s">
        <v>8</v>
      </c>
      <c r="EJ7" s="94" t="s">
        <v>9</v>
      </c>
      <c r="EK7" s="95" t="s">
        <v>7</v>
      </c>
      <c r="EL7" s="95" t="s">
        <v>66</v>
      </c>
      <c r="EM7" s="116"/>
      <c r="EN7" s="160" t="s">
        <v>66</v>
      </c>
      <c r="EO7" s="160" t="s">
        <v>7</v>
      </c>
      <c r="EP7" s="160" t="s">
        <v>8</v>
      </c>
      <c r="EQ7" s="71" t="s">
        <v>9</v>
      </c>
      <c r="ER7" s="72" t="s">
        <v>7</v>
      </c>
      <c r="ES7" s="72" t="s">
        <v>66</v>
      </c>
      <c r="ET7" s="116"/>
      <c r="EU7" s="160" t="s">
        <v>66</v>
      </c>
      <c r="EV7" s="160" t="s">
        <v>7</v>
      </c>
      <c r="EW7" s="160" t="s">
        <v>8</v>
      </c>
      <c r="EX7" s="94" t="s">
        <v>9</v>
      </c>
      <c r="EY7" s="95" t="s">
        <v>7</v>
      </c>
      <c r="EZ7" s="95" t="s">
        <v>66</v>
      </c>
      <c r="FA7" s="116"/>
      <c r="FB7" s="160" t="s">
        <v>66</v>
      </c>
      <c r="FC7" s="160" t="s">
        <v>7</v>
      </c>
      <c r="FD7" s="160" t="s">
        <v>8</v>
      </c>
      <c r="FE7" s="71" t="s">
        <v>9</v>
      </c>
      <c r="FF7" s="72" t="s">
        <v>7</v>
      </c>
      <c r="FG7" s="72" t="s">
        <v>66</v>
      </c>
      <c r="FH7" s="116"/>
      <c r="FI7" s="160" t="s">
        <v>66</v>
      </c>
      <c r="FJ7" s="160" t="s">
        <v>7</v>
      </c>
      <c r="FK7" s="160" t="s">
        <v>8</v>
      </c>
      <c r="FL7" s="94" t="s">
        <v>9</v>
      </c>
      <c r="FM7" s="95" t="s">
        <v>7</v>
      </c>
      <c r="FN7" s="95" t="s">
        <v>66</v>
      </c>
      <c r="FO7" s="116"/>
      <c r="FP7" s="160" t="s">
        <v>66</v>
      </c>
      <c r="FQ7" s="160" t="s">
        <v>7</v>
      </c>
      <c r="FR7" s="160" t="s">
        <v>8</v>
      </c>
      <c r="FS7" s="71" t="s">
        <v>9</v>
      </c>
      <c r="FT7" s="72" t="s">
        <v>7</v>
      </c>
      <c r="FU7" s="72" t="s">
        <v>66</v>
      </c>
      <c r="FV7" s="116"/>
      <c r="FW7" s="160" t="s">
        <v>66</v>
      </c>
      <c r="FX7" s="160" t="s">
        <v>7</v>
      </c>
      <c r="FY7" s="160" t="s">
        <v>8</v>
      </c>
      <c r="FZ7" s="94" t="s">
        <v>9</v>
      </c>
      <c r="GA7" s="95" t="s">
        <v>7</v>
      </c>
      <c r="GB7" s="95" t="s">
        <v>66</v>
      </c>
      <c r="GC7" s="116"/>
      <c r="GD7" s="160" t="s">
        <v>66</v>
      </c>
      <c r="GE7" s="160" t="s">
        <v>7</v>
      </c>
      <c r="GF7" s="160" t="s">
        <v>8</v>
      </c>
      <c r="GG7" s="71" t="s">
        <v>9</v>
      </c>
      <c r="GH7" s="72" t="s">
        <v>7</v>
      </c>
      <c r="GI7" s="72" t="s">
        <v>66</v>
      </c>
      <c r="GJ7" s="116"/>
      <c r="GK7" s="160" t="s">
        <v>66</v>
      </c>
      <c r="GL7" s="160" t="s">
        <v>7</v>
      </c>
      <c r="GM7" s="160" t="s">
        <v>8</v>
      </c>
      <c r="GN7" s="71" t="s">
        <v>9</v>
      </c>
      <c r="GO7" s="72" t="s">
        <v>7</v>
      </c>
      <c r="GP7" s="72" t="s">
        <v>66</v>
      </c>
      <c r="GQ7" s="116"/>
      <c r="GR7" s="160" t="s">
        <v>66</v>
      </c>
      <c r="GS7" s="160" t="s">
        <v>7</v>
      </c>
      <c r="GT7" s="160" t="s">
        <v>8</v>
      </c>
      <c r="GU7" s="94" t="s">
        <v>9</v>
      </c>
      <c r="GV7" s="95" t="s">
        <v>7</v>
      </c>
      <c r="GW7" s="95" t="s">
        <v>66</v>
      </c>
      <c r="GX7" s="116"/>
      <c r="GY7" s="160" t="s">
        <v>66</v>
      </c>
      <c r="GZ7" s="160" t="s">
        <v>7</v>
      </c>
      <c r="HA7" s="160" t="s">
        <v>8</v>
      </c>
      <c r="HB7" s="71" t="s">
        <v>9</v>
      </c>
      <c r="HC7" s="72" t="s">
        <v>7</v>
      </c>
      <c r="HD7" s="72" t="s">
        <v>66</v>
      </c>
      <c r="HE7" s="116"/>
      <c r="HF7" s="160" t="s">
        <v>66</v>
      </c>
      <c r="HG7" s="160" t="s">
        <v>7</v>
      </c>
      <c r="HH7" s="160" t="s">
        <v>8</v>
      </c>
      <c r="HI7" s="208" t="s">
        <v>9</v>
      </c>
      <c r="HJ7" s="209" t="s">
        <v>7</v>
      </c>
      <c r="HK7" s="209" t="s">
        <v>66</v>
      </c>
      <c r="HL7" s="116"/>
      <c r="HM7" s="160" t="s">
        <v>66</v>
      </c>
      <c r="HN7" s="160" t="s">
        <v>7</v>
      </c>
      <c r="HO7" s="160" t="s">
        <v>8</v>
      </c>
      <c r="HP7" s="71" t="s">
        <v>9</v>
      </c>
      <c r="HQ7" s="72" t="s">
        <v>7</v>
      </c>
      <c r="HR7" s="72" t="s">
        <v>66</v>
      </c>
      <c r="HS7" s="116"/>
      <c r="HT7" s="160" t="s">
        <v>66</v>
      </c>
      <c r="HU7" s="160" t="s">
        <v>7</v>
      </c>
      <c r="HV7" s="160" t="s">
        <v>8</v>
      </c>
      <c r="HW7" s="94" t="s">
        <v>9</v>
      </c>
      <c r="HX7" s="95" t="s">
        <v>7</v>
      </c>
      <c r="HY7" s="95" t="s">
        <v>66</v>
      </c>
      <c r="HZ7" s="116"/>
      <c r="IA7" s="164"/>
    </row>
    <row r="8" spans="1:235" ht="15">
      <c r="A8" s="13" t="s">
        <v>10</v>
      </c>
      <c r="B8" s="14" t="s">
        <v>11</v>
      </c>
      <c r="C8" s="117"/>
      <c r="D8" s="150"/>
      <c r="E8" s="150"/>
      <c r="F8" s="150"/>
      <c r="G8" s="16"/>
      <c r="H8" s="16"/>
      <c r="I8" s="16"/>
      <c r="J8" s="117"/>
      <c r="K8" s="150"/>
      <c r="L8" s="150"/>
      <c r="M8" s="150"/>
      <c r="N8" s="16"/>
      <c r="O8" s="16"/>
      <c r="P8" s="16"/>
      <c r="Q8" s="117"/>
      <c r="R8" s="15"/>
      <c r="S8" s="15"/>
      <c r="T8" s="150"/>
      <c r="U8" s="16"/>
      <c r="V8" s="16"/>
      <c r="W8" s="16"/>
      <c r="X8" s="117"/>
      <c r="Y8" s="15"/>
      <c r="Z8" s="15"/>
      <c r="AA8" s="150"/>
      <c r="AB8" s="16"/>
      <c r="AC8" s="16"/>
      <c r="AD8" s="16"/>
      <c r="AE8" s="117"/>
      <c r="AF8" s="130"/>
      <c r="AG8" s="130"/>
      <c r="AH8" s="150"/>
      <c r="AI8" s="16"/>
      <c r="AJ8" s="16"/>
      <c r="AK8" s="16"/>
      <c r="AL8" s="117"/>
      <c r="AM8" s="15"/>
      <c r="AN8" s="15"/>
      <c r="AO8" s="150"/>
      <c r="AP8" s="16"/>
      <c r="AQ8" s="16"/>
      <c r="AR8" s="16"/>
      <c r="AS8" s="117"/>
      <c r="AT8" s="150"/>
      <c r="AU8" s="150"/>
      <c r="AV8" s="150"/>
      <c r="AW8" s="16"/>
      <c r="AX8" s="16"/>
      <c r="AY8" s="16"/>
      <c r="AZ8" s="117"/>
      <c r="BA8" s="150"/>
      <c r="BB8" s="150"/>
      <c r="BC8" s="150"/>
      <c r="BD8" s="16"/>
      <c r="BE8" s="16"/>
      <c r="BF8" s="16"/>
      <c r="BG8" s="117"/>
      <c r="BH8" s="150"/>
      <c r="BI8" s="150"/>
      <c r="BJ8" s="150"/>
      <c r="BK8" s="16"/>
      <c r="BL8" s="16"/>
      <c r="BM8" s="16"/>
      <c r="BN8" s="117"/>
      <c r="BO8" s="150"/>
      <c r="BP8" s="150"/>
      <c r="BQ8" s="150"/>
      <c r="BR8" s="16"/>
      <c r="BS8" s="16"/>
      <c r="BT8" s="16"/>
      <c r="BU8" s="117"/>
      <c r="BV8" s="150"/>
      <c r="BW8" s="150"/>
      <c r="BX8" s="150"/>
      <c r="BY8" s="16"/>
      <c r="BZ8" s="16"/>
      <c r="CA8" s="16"/>
      <c r="CB8" s="117"/>
      <c r="CC8" s="150"/>
      <c r="CD8" s="150"/>
      <c r="CE8" s="150"/>
      <c r="CF8" s="16"/>
      <c r="CG8" s="16"/>
      <c r="CH8" s="16"/>
      <c r="CI8" s="117"/>
      <c r="CJ8" s="150"/>
      <c r="CK8" s="150"/>
      <c r="CL8" s="150"/>
      <c r="CM8" s="16"/>
      <c r="CN8" s="16"/>
      <c r="CO8" s="16"/>
      <c r="CP8" s="117"/>
      <c r="CQ8" s="150"/>
      <c r="CR8" s="150"/>
      <c r="CS8" s="150"/>
      <c r="CT8" s="16"/>
      <c r="CU8" s="16"/>
      <c r="CV8" s="16"/>
      <c r="CW8" s="117"/>
      <c r="CX8" s="150"/>
      <c r="CY8" s="150"/>
      <c r="CZ8" s="150"/>
      <c r="DA8" s="16"/>
      <c r="DB8" s="16"/>
      <c r="DC8" s="16"/>
      <c r="DD8" s="117"/>
      <c r="DE8" s="150"/>
      <c r="DF8" s="150"/>
      <c r="DG8" s="150"/>
      <c r="DH8" s="16"/>
      <c r="DI8" s="16"/>
      <c r="DJ8" s="16"/>
      <c r="DK8" s="117"/>
      <c r="DL8" s="150"/>
      <c r="DM8" s="150"/>
      <c r="DN8" s="150"/>
      <c r="DO8" s="16"/>
      <c r="DP8" s="16"/>
      <c r="DQ8" s="16"/>
      <c r="DR8" s="117"/>
      <c r="DS8" s="150"/>
      <c r="DT8" s="150"/>
      <c r="DU8" s="150"/>
      <c r="DV8" s="16"/>
      <c r="DW8" s="16"/>
      <c r="DX8" s="16"/>
      <c r="DY8" s="117"/>
      <c r="DZ8" s="150"/>
      <c r="EA8" s="150"/>
      <c r="EB8" s="150"/>
      <c r="EC8" s="16"/>
      <c r="ED8" s="16"/>
      <c r="EE8" s="16"/>
      <c r="EF8" s="117"/>
      <c r="EG8" s="150"/>
      <c r="EH8" s="150"/>
      <c r="EI8" s="150"/>
      <c r="EJ8" s="16"/>
      <c r="EK8" s="16"/>
      <c r="EL8" s="16"/>
      <c r="EM8" s="117"/>
      <c r="EN8" s="150"/>
      <c r="EO8" s="150"/>
      <c r="EP8" s="150"/>
      <c r="EQ8" s="16"/>
      <c r="ER8" s="16"/>
      <c r="ES8" s="16"/>
      <c r="ET8" s="117"/>
      <c r="EU8" s="150"/>
      <c r="EV8" s="150"/>
      <c r="EW8" s="150"/>
      <c r="EX8" s="16"/>
      <c r="EY8" s="16"/>
      <c r="EZ8" s="16"/>
      <c r="FA8" s="117"/>
      <c r="FB8" s="150"/>
      <c r="FC8" s="150"/>
      <c r="FD8" s="150"/>
      <c r="FE8" s="16"/>
      <c r="FF8" s="16"/>
      <c r="FG8" s="16"/>
      <c r="FH8" s="117"/>
      <c r="FI8" s="150"/>
      <c r="FJ8" s="150"/>
      <c r="FK8" s="150"/>
      <c r="FL8" s="16"/>
      <c r="FM8" s="16"/>
      <c r="FN8" s="16"/>
      <c r="FO8" s="117"/>
      <c r="FP8" s="150"/>
      <c r="FQ8" s="150"/>
      <c r="FR8" s="150"/>
      <c r="FS8" s="16"/>
      <c r="FT8" s="16"/>
      <c r="FU8" s="16"/>
      <c r="FV8" s="117"/>
      <c r="FW8" s="150"/>
      <c r="FX8" s="150"/>
      <c r="FY8" s="150"/>
      <c r="FZ8" s="16"/>
      <c r="GA8" s="16"/>
      <c r="GB8" s="16"/>
      <c r="GC8" s="117"/>
      <c r="GD8" s="150"/>
      <c r="GE8" s="150"/>
      <c r="GF8" s="150"/>
      <c r="GG8" s="16"/>
      <c r="GH8" s="16"/>
      <c r="GI8" s="16"/>
      <c r="GJ8" s="117"/>
      <c r="GK8" s="150"/>
      <c r="GL8" s="150"/>
      <c r="GM8" s="150"/>
      <c r="GN8" s="16"/>
      <c r="GO8" s="16"/>
      <c r="GP8" s="16"/>
      <c r="GQ8" s="117"/>
      <c r="GR8" s="150"/>
      <c r="GS8" s="150"/>
      <c r="GT8" s="150"/>
      <c r="GU8" s="16"/>
      <c r="GV8" s="16"/>
      <c r="GW8" s="16"/>
      <c r="GX8" s="117"/>
      <c r="GY8" s="150"/>
      <c r="GZ8" s="150"/>
      <c r="HA8" s="150"/>
      <c r="HB8" s="16"/>
      <c r="HC8" s="16"/>
      <c r="HD8" s="16"/>
      <c r="HE8" s="117"/>
      <c r="HF8" s="150"/>
      <c r="HG8" s="150"/>
      <c r="HH8" s="150"/>
      <c r="HI8" s="16"/>
      <c r="HJ8" s="16"/>
      <c r="HK8" s="16"/>
      <c r="HL8" s="117"/>
      <c r="HM8" s="150"/>
      <c r="HN8" s="150"/>
      <c r="HO8" s="150"/>
      <c r="HP8" s="16"/>
      <c r="HQ8" s="16"/>
      <c r="HR8" s="16"/>
      <c r="HS8" s="117"/>
      <c r="HT8" s="150"/>
      <c r="HU8" s="150"/>
      <c r="HV8" s="150"/>
      <c r="HW8" s="16"/>
      <c r="HX8" s="16"/>
      <c r="HY8" s="16"/>
      <c r="HZ8" s="117"/>
      <c r="IA8" s="17"/>
    </row>
    <row r="9" spans="1:235">
      <c r="A9" s="18">
        <v>1</v>
      </c>
      <c r="B9" s="19" t="s">
        <v>12</v>
      </c>
      <c r="C9" s="118"/>
      <c r="D9" s="151">
        <v>69856.246732880289</v>
      </c>
      <c r="E9" s="133">
        <f>D9/118%</f>
        <v>59200.209095661266</v>
      </c>
      <c r="F9" s="151">
        <f>E9/E2</f>
        <v>392.0543648719289</v>
      </c>
      <c r="G9" s="73">
        <v>200</v>
      </c>
      <c r="H9" s="159">
        <f>G9*H2</f>
        <v>203148.80000000002</v>
      </c>
      <c r="I9" s="73">
        <f>H9*118%</f>
        <v>239715.584</v>
      </c>
      <c r="J9" s="118"/>
      <c r="K9" s="151">
        <v>69856.246732880289</v>
      </c>
      <c r="L9" s="133">
        <f>K9/118%</f>
        <v>59200.209095661266</v>
      </c>
      <c r="M9" s="151">
        <f>L9/L2</f>
        <v>392.0543648719289</v>
      </c>
      <c r="N9" s="96">
        <v>400</v>
      </c>
      <c r="O9" s="96">
        <f>N9*O2</f>
        <v>110784.96000000001</v>
      </c>
      <c r="P9" s="96">
        <f>O9*118%</f>
        <v>130726.2528</v>
      </c>
      <c r="Q9" s="118"/>
      <c r="R9" s="20"/>
      <c r="S9" s="20">
        <f>R9/118%</f>
        <v>0</v>
      </c>
      <c r="T9" s="151">
        <f>S9/S2</f>
        <v>0</v>
      </c>
      <c r="U9" s="159"/>
      <c r="V9" s="159">
        <f>U9*V2</f>
        <v>0</v>
      </c>
      <c r="W9" s="73">
        <f>V9*118%</f>
        <v>0</v>
      </c>
      <c r="X9" s="118"/>
      <c r="Y9" s="151">
        <v>59000</v>
      </c>
      <c r="Z9" s="20">
        <f>Y9/118%</f>
        <v>50000</v>
      </c>
      <c r="AA9" s="151">
        <f>Z9/Z2</f>
        <v>714.28571428571433</v>
      </c>
      <c r="AB9" s="96">
        <v>400</v>
      </c>
      <c r="AC9" s="96">
        <f>AB9*AC2</f>
        <v>153824.96000000002</v>
      </c>
      <c r="AD9" s="96">
        <f>AC9*118%</f>
        <v>181513.45280000003</v>
      </c>
      <c r="AE9" s="118"/>
      <c r="AF9" s="131">
        <v>703361.99790904345</v>
      </c>
      <c r="AG9" s="133">
        <f>AF9/118%</f>
        <v>596069.48975342663</v>
      </c>
      <c r="AH9" s="151">
        <f>AG9/AG2</f>
        <v>404.35615129936957</v>
      </c>
      <c r="AI9" s="159">
        <v>300</v>
      </c>
      <c r="AJ9" s="159">
        <f>AI9*AJ2</f>
        <v>1072987.2</v>
      </c>
      <c r="AK9" s="73">
        <f>AJ9*118%</f>
        <v>1266124.8959999999</v>
      </c>
      <c r="AL9" s="118"/>
      <c r="AM9" s="20">
        <v>50000</v>
      </c>
      <c r="AN9" s="20">
        <f>AM9/118%</f>
        <v>42372.881355932208</v>
      </c>
      <c r="AO9" s="151">
        <f>AN9/AN2</f>
        <v>196.90000630080024</v>
      </c>
      <c r="AP9" s="96">
        <v>300</v>
      </c>
      <c r="AQ9" s="96">
        <f>AP9*AQ2</f>
        <v>224765.63999999998</v>
      </c>
      <c r="AR9" s="139">
        <f>AQ9*118%</f>
        <v>265223.45519999997</v>
      </c>
      <c r="AS9" s="118"/>
      <c r="AT9" s="151">
        <v>489110</v>
      </c>
      <c r="AU9" s="151">
        <f>AT9/118%</f>
        <v>414500</v>
      </c>
      <c r="AV9" s="151">
        <f>AU9/AU2</f>
        <v>63.769230769230766</v>
      </c>
      <c r="AW9" s="210"/>
      <c r="AX9" s="210">
        <f>AW9*AX2</f>
        <v>0</v>
      </c>
      <c r="AY9" s="210">
        <f>AX9*118%</f>
        <v>0</v>
      </c>
      <c r="AZ9" s="118"/>
      <c r="BA9" s="151">
        <v>885000</v>
      </c>
      <c r="BB9" s="151">
        <f>BA9/118%</f>
        <v>750000</v>
      </c>
      <c r="BC9" s="151">
        <f>BB9/BB2</f>
        <v>405.24768738653063</v>
      </c>
      <c r="BD9" s="159">
        <v>300</v>
      </c>
      <c r="BE9" s="159">
        <f>BD9*BE2</f>
        <v>291488.39999999997</v>
      </c>
      <c r="BF9" s="73">
        <f>BE9*118%</f>
        <v>343956.31199999992</v>
      </c>
      <c r="BG9" s="118"/>
      <c r="BH9" s="151">
        <v>489110</v>
      </c>
      <c r="BI9" s="151">
        <f>BH9/118%</f>
        <v>414500</v>
      </c>
      <c r="BJ9" s="151">
        <f>BI9/BI2</f>
        <v>63.769230769230766</v>
      </c>
      <c r="BK9" s="210"/>
      <c r="BL9" s="210">
        <f>BK9*BL2</f>
        <v>0</v>
      </c>
      <c r="BM9" s="210">
        <f>BL9*118%</f>
        <v>0</v>
      </c>
      <c r="BN9" s="118"/>
      <c r="BO9" s="151">
        <v>1770000</v>
      </c>
      <c r="BP9" s="151">
        <f>BO9/118%</f>
        <v>1500000</v>
      </c>
      <c r="BQ9" s="151">
        <f>BP9/BP2</f>
        <v>333.33333333333331</v>
      </c>
      <c r="BR9" s="96">
        <v>350</v>
      </c>
      <c r="BS9" s="96">
        <f>BR9*BS2</f>
        <v>1118502</v>
      </c>
      <c r="BT9" s="96">
        <f>BS9*118%</f>
        <v>1319832.3599999999</v>
      </c>
      <c r="BU9" s="118"/>
      <c r="BV9" s="151">
        <v>69856.246732880289</v>
      </c>
      <c r="BW9" s="133">
        <f>BV9/118%</f>
        <v>59200.209095661266</v>
      </c>
      <c r="BX9" s="151">
        <f>BW9/BW2</f>
        <v>392.0543648719289</v>
      </c>
      <c r="BY9" s="159">
        <v>500</v>
      </c>
      <c r="BZ9" s="159">
        <f>BY9*BZ2</f>
        <v>134500</v>
      </c>
      <c r="CA9" s="73">
        <f>BZ9*118%</f>
        <v>158710</v>
      </c>
      <c r="CB9" s="118"/>
      <c r="CC9" s="151">
        <v>885000</v>
      </c>
      <c r="CD9" s="151">
        <f>CC9/118%</f>
        <v>750000</v>
      </c>
      <c r="CE9" s="151">
        <f>CD9/CD2</f>
        <v>405.24768738653063</v>
      </c>
      <c r="CF9" s="96">
        <v>300</v>
      </c>
      <c r="CG9" s="96">
        <f>CF9*CG2</f>
        <v>214662</v>
      </c>
      <c r="CH9" s="96">
        <f>CG9*118%</f>
        <v>253301.15999999997</v>
      </c>
      <c r="CI9" s="118"/>
      <c r="CJ9" s="151">
        <v>489110</v>
      </c>
      <c r="CK9" s="151">
        <f>CJ9/118%</f>
        <v>414500</v>
      </c>
      <c r="CL9" s="151">
        <f>CK9/CK2</f>
        <v>63.769230769230766</v>
      </c>
      <c r="CM9" s="210"/>
      <c r="CN9" s="210">
        <f>CM9*CN2</f>
        <v>0</v>
      </c>
      <c r="CO9" s="210">
        <f>CN9*118%</f>
        <v>0</v>
      </c>
      <c r="CP9" s="118"/>
      <c r="CQ9" s="151">
        <v>59000</v>
      </c>
      <c r="CR9" s="151">
        <f>CQ9/118%</f>
        <v>50000</v>
      </c>
      <c r="CS9" s="151">
        <f>CR9/CR2</f>
        <v>714.28571428571433</v>
      </c>
      <c r="CT9" s="159">
        <v>500</v>
      </c>
      <c r="CU9" s="159">
        <f>CT9*CU2</f>
        <v>189860.19999999998</v>
      </c>
      <c r="CV9" s="159">
        <f>CU9*118%</f>
        <v>224035.03599999996</v>
      </c>
      <c r="CW9" s="118"/>
      <c r="CX9" s="151">
        <v>69856.246732880289</v>
      </c>
      <c r="CY9" s="133">
        <f>CX9/118%</f>
        <v>59200.209095661266</v>
      </c>
      <c r="CZ9" s="151">
        <f>CY9/CY2</f>
        <v>392.0543648719289</v>
      </c>
      <c r="DA9" s="96">
        <v>300</v>
      </c>
      <c r="DB9" s="96">
        <f>DA9*DB2</f>
        <v>148036.07999999999</v>
      </c>
      <c r="DC9" s="96">
        <f>DB9*118%</f>
        <v>174682.57439999998</v>
      </c>
      <c r="DD9" s="118"/>
      <c r="DE9" s="151">
        <v>703361.99790904345</v>
      </c>
      <c r="DF9" s="133">
        <f>DE9/118%</f>
        <v>596069.48975342663</v>
      </c>
      <c r="DG9" s="151">
        <f>DF9/DF2</f>
        <v>404.35615129936957</v>
      </c>
      <c r="DH9" s="159">
        <v>500</v>
      </c>
      <c r="DI9" s="159">
        <f>DH9*DI2</f>
        <v>383862.99999999994</v>
      </c>
      <c r="DJ9" s="159">
        <f>DI9*118%</f>
        <v>452958.33999999991</v>
      </c>
      <c r="DK9" s="118"/>
      <c r="DL9" s="151">
        <v>885000</v>
      </c>
      <c r="DM9" s="151">
        <f>DL9/118%</f>
        <v>750000</v>
      </c>
      <c r="DN9" s="151">
        <f>DM9/DM2</f>
        <v>405.24768738653063</v>
      </c>
      <c r="DO9" s="96">
        <v>500</v>
      </c>
      <c r="DP9" s="96">
        <f>DO9*DP2</f>
        <v>355026.19999999995</v>
      </c>
      <c r="DQ9" s="96">
        <f>DP9*118%</f>
        <v>418930.91599999991</v>
      </c>
      <c r="DR9" s="118"/>
      <c r="DS9" s="151">
        <v>489110</v>
      </c>
      <c r="DT9" s="151">
        <f>DS9/118%</f>
        <v>414500</v>
      </c>
      <c r="DU9" s="151">
        <f>DT9/DT2</f>
        <v>63.769230769230766</v>
      </c>
      <c r="DV9" s="210"/>
      <c r="DW9" s="210">
        <f>DV9*DW2</f>
        <v>0</v>
      </c>
      <c r="DX9" s="210">
        <f>DW9*118%</f>
        <v>0</v>
      </c>
      <c r="DY9" s="118"/>
      <c r="DZ9" s="151">
        <v>50000</v>
      </c>
      <c r="EA9" s="151">
        <f>DZ9/118%</f>
        <v>42372.881355932208</v>
      </c>
      <c r="EB9" s="151">
        <f>EA9/EA2</f>
        <v>196.90000630080024</v>
      </c>
      <c r="EC9" s="159">
        <v>400</v>
      </c>
      <c r="ED9" s="159">
        <f>EC9*ED2</f>
        <v>258240</v>
      </c>
      <c r="EE9" s="159">
        <f>ED9*118%</f>
        <v>304723.20000000001</v>
      </c>
      <c r="EF9" s="118"/>
      <c r="EG9" s="151">
        <v>45000</v>
      </c>
      <c r="EH9" s="151">
        <f>EG9/118%</f>
        <v>38135.593220338982</v>
      </c>
      <c r="EI9" s="151">
        <f>EH9/EH2</f>
        <v>254.23728813559322</v>
      </c>
      <c r="EJ9" s="96">
        <v>500</v>
      </c>
      <c r="EK9" s="96">
        <f>EJ9*EK2</f>
        <v>888668.4</v>
      </c>
      <c r="EL9" s="96">
        <f>EK9*118%</f>
        <v>1048628.7120000001</v>
      </c>
      <c r="EM9" s="118"/>
      <c r="EN9" s="151">
        <v>1770000</v>
      </c>
      <c r="EO9" s="151">
        <f>EN9/118%</f>
        <v>1500000</v>
      </c>
      <c r="EP9" s="151">
        <f>EO9/EO2</f>
        <v>333.33333333333331</v>
      </c>
      <c r="EQ9" s="159">
        <v>350</v>
      </c>
      <c r="ER9" s="159">
        <f>EQ9*ER2</f>
        <v>1821463.56</v>
      </c>
      <c r="ES9" s="159">
        <f>ER9*118%</f>
        <v>2149327.0008</v>
      </c>
      <c r="ET9" s="118"/>
      <c r="EU9" s="151">
        <v>102660</v>
      </c>
      <c r="EV9" s="151">
        <f>EU9/118%</f>
        <v>87000</v>
      </c>
      <c r="EW9" s="151">
        <f>EV9/EV2</f>
        <v>85.110545881432216</v>
      </c>
      <c r="EX9" s="96">
        <v>300</v>
      </c>
      <c r="EY9" s="96">
        <f>EX9*EY2</f>
        <v>322800</v>
      </c>
      <c r="EZ9" s="139">
        <f>EY9*118%</f>
        <v>380904</v>
      </c>
      <c r="FA9" s="118"/>
      <c r="FB9" s="151">
        <v>45000</v>
      </c>
      <c r="FC9" s="151">
        <f>FB9/118%</f>
        <v>38135.593220338982</v>
      </c>
      <c r="FD9" s="151">
        <f>FC9/FC2</f>
        <v>254.23728813559322</v>
      </c>
      <c r="FE9" s="159">
        <v>500</v>
      </c>
      <c r="FF9" s="159">
        <f>FE9*FF2</f>
        <v>916375.39999999991</v>
      </c>
      <c r="FG9" s="159">
        <f>FF9*118%</f>
        <v>1081322.9719999998</v>
      </c>
      <c r="FH9" s="118"/>
      <c r="FI9" s="151">
        <v>59000</v>
      </c>
      <c r="FJ9" s="151">
        <f>FI9/118%</f>
        <v>50000</v>
      </c>
      <c r="FK9" s="151">
        <f>FJ9/FJ2</f>
        <v>714.28571428571433</v>
      </c>
      <c r="FL9" s="96">
        <v>500</v>
      </c>
      <c r="FM9" s="96">
        <f>FL9*FM2</f>
        <v>94149.999999999985</v>
      </c>
      <c r="FN9" s="96">
        <f>FM9*118%</f>
        <v>111096.99999999997</v>
      </c>
      <c r="FO9" s="118"/>
      <c r="FP9" s="151"/>
      <c r="FQ9" s="151">
        <f>FP9/118%</f>
        <v>0</v>
      </c>
      <c r="FR9" s="151">
        <f>FQ9/FQ2</f>
        <v>0</v>
      </c>
      <c r="FS9" s="159"/>
      <c r="FT9" s="159">
        <f>FS9*FT2</f>
        <v>0</v>
      </c>
      <c r="FU9" s="159">
        <f>FT9*118%</f>
        <v>0</v>
      </c>
      <c r="FV9" s="118"/>
      <c r="FW9" s="151"/>
      <c r="FX9" s="151">
        <f>FW9/118%</f>
        <v>0</v>
      </c>
      <c r="FY9" s="151">
        <f>FX9/FX2</f>
        <v>0</v>
      </c>
      <c r="FZ9" s="96"/>
      <c r="GA9" s="96">
        <f>FZ9*GA2</f>
        <v>0</v>
      </c>
      <c r="GB9" s="96">
        <f>GA9*118%</f>
        <v>0</v>
      </c>
      <c r="GC9" s="118"/>
      <c r="GD9" s="151"/>
      <c r="GE9" s="151">
        <f>GD9/118%</f>
        <v>0</v>
      </c>
      <c r="GF9" s="151">
        <f>GE9/GE2</f>
        <v>0</v>
      </c>
      <c r="GG9" s="159"/>
      <c r="GH9" s="159">
        <f>GG9*GH2</f>
        <v>0</v>
      </c>
      <c r="GI9" s="159">
        <f>GH9*118%</f>
        <v>0</v>
      </c>
      <c r="GJ9" s="118"/>
      <c r="GK9" s="151">
        <v>59000</v>
      </c>
      <c r="GL9" s="151">
        <f>GK9/118%</f>
        <v>50000</v>
      </c>
      <c r="GM9" s="151">
        <f>GL9/GL2</f>
        <v>714.28571428571433</v>
      </c>
      <c r="GN9" s="159">
        <v>500</v>
      </c>
      <c r="GO9" s="159">
        <f>GN9*GO2</f>
        <v>80700</v>
      </c>
      <c r="GP9" s="159">
        <f>GO9*118%</f>
        <v>95226</v>
      </c>
      <c r="GQ9" s="118"/>
      <c r="GR9" s="151"/>
      <c r="GS9" s="151">
        <f>GR9/118%</f>
        <v>0</v>
      </c>
      <c r="GT9" s="151">
        <f>GS9/GS2</f>
        <v>0</v>
      </c>
      <c r="GU9" s="96"/>
      <c r="GV9" s="96">
        <f>GU9*GV2</f>
        <v>0</v>
      </c>
      <c r="GW9" s="96">
        <f>GV9*118%</f>
        <v>0</v>
      </c>
      <c r="GX9" s="118"/>
      <c r="GY9" s="151"/>
      <c r="GZ9" s="151">
        <f>GY9/118%</f>
        <v>0</v>
      </c>
      <c r="HA9" s="151">
        <f>GZ9/GZ2</f>
        <v>0</v>
      </c>
      <c r="HB9" s="159">
        <v>800</v>
      </c>
      <c r="HC9" s="159">
        <f>HB9*HC2</f>
        <v>220881.27999999997</v>
      </c>
      <c r="HD9" s="159">
        <f>HC9*118%</f>
        <v>260639.91039999996</v>
      </c>
      <c r="HE9" s="118"/>
      <c r="HF9" s="151">
        <v>489110</v>
      </c>
      <c r="HG9" s="151">
        <f>HF9/118%</f>
        <v>414500</v>
      </c>
      <c r="HH9" s="151">
        <f>HG9/HG2</f>
        <v>63.769230769230766</v>
      </c>
      <c r="HI9" s="210"/>
      <c r="HJ9" s="210">
        <f>HI9*HJ2</f>
        <v>0</v>
      </c>
      <c r="HK9" s="210">
        <f>HJ9*118%</f>
        <v>0</v>
      </c>
      <c r="HL9" s="118"/>
      <c r="HM9" s="151">
        <v>59000</v>
      </c>
      <c r="HN9" s="151">
        <f>HM9/118%</f>
        <v>50000</v>
      </c>
      <c r="HO9" s="151">
        <f>HN9/HN2</f>
        <v>714.28571428571433</v>
      </c>
      <c r="HP9" s="159">
        <v>600</v>
      </c>
      <c r="HQ9" s="159">
        <f>HP9*HQ2</f>
        <v>96840</v>
      </c>
      <c r="HR9" s="159">
        <f>HQ9*118%</f>
        <v>114271.2</v>
      </c>
      <c r="HS9" s="118"/>
      <c r="HT9" s="151">
        <v>885000</v>
      </c>
      <c r="HU9" s="151">
        <f>HT9/118%</f>
        <v>750000</v>
      </c>
      <c r="HV9" s="151">
        <f>HU9/HU2</f>
        <v>405.24768738653063</v>
      </c>
      <c r="HW9" s="96">
        <v>400</v>
      </c>
      <c r="HX9" s="96">
        <f>HW9*HX2</f>
        <v>255743.68</v>
      </c>
      <c r="HY9" s="96">
        <f>HX9*118%</f>
        <v>301777.54239999998</v>
      </c>
      <c r="HZ9" s="118"/>
      <c r="IA9" s="21"/>
    </row>
    <row r="10" spans="1:235">
      <c r="A10" s="18">
        <v>2</v>
      </c>
      <c r="B10" s="19" t="s">
        <v>13</v>
      </c>
      <c r="C10" s="118"/>
      <c r="D10" s="151"/>
      <c r="E10" s="151">
        <f t="shared" ref="E10:E17" si="0">D10/118%</f>
        <v>0</v>
      </c>
      <c r="F10" s="151">
        <f>E10/E2</f>
        <v>0</v>
      </c>
      <c r="G10" s="73"/>
      <c r="H10" s="159">
        <f>G10*H2</f>
        <v>0</v>
      </c>
      <c r="I10" s="73">
        <f t="shared" ref="I10:I17" si="1">H10*118%</f>
        <v>0</v>
      </c>
      <c r="J10" s="118"/>
      <c r="K10" s="151"/>
      <c r="L10" s="151">
        <f t="shared" ref="L10:L17" si="2">K10/118%</f>
        <v>0</v>
      </c>
      <c r="M10" s="151">
        <f>L10/L2</f>
        <v>0</v>
      </c>
      <c r="N10" s="96"/>
      <c r="O10" s="96">
        <f>N10*O2</f>
        <v>0</v>
      </c>
      <c r="P10" s="96">
        <f t="shared" ref="P10:P17" si="3">O10*118%</f>
        <v>0</v>
      </c>
      <c r="Q10" s="118"/>
      <c r="R10" s="20"/>
      <c r="S10" s="20">
        <f t="shared" ref="S10:S17" si="4">R10/118%</f>
        <v>0</v>
      </c>
      <c r="T10" s="151">
        <f>S10/S2</f>
        <v>0</v>
      </c>
      <c r="U10" s="159"/>
      <c r="V10" s="159">
        <f>U10*V2</f>
        <v>0</v>
      </c>
      <c r="W10" s="73">
        <f t="shared" ref="W10:W17" si="5">V10*118%</f>
        <v>0</v>
      </c>
      <c r="X10" s="118"/>
      <c r="Y10" s="20"/>
      <c r="Z10" s="20">
        <f t="shared" ref="Z10:Z17" si="6">Y10/118%</f>
        <v>0</v>
      </c>
      <c r="AA10" s="151">
        <f>Z10/Z2</f>
        <v>0</v>
      </c>
      <c r="AB10" s="96"/>
      <c r="AC10" s="96">
        <f>AB10*AC2</f>
        <v>0</v>
      </c>
      <c r="AD10" s="96">
        <f t="shared" ref="AD10:AD17" si="7">AC10*118%</f>
        <v>0</v>
      </c>
      <c r="AE10" s="118"/>
      <c r="AF10" s="131"/>
      <c r="AG10" s="131">
        <f t="shared" ref="AG10:AG17" si="8">AF10/118%</f>
        <v>0</v>
      </c>
      <c r="AH10" s="151">
        <f>AG10/AG2</f>
        <v>0</v>
      </c>
      <c r="AI10" s="159"/>
      <c r="AJ10" s="159">
        <f>AI10*AJ2</f>
        <v>0</v>
      </c>
      <c r="AK10" s="73">
        <f t="shared" ref="AK10:AK17" si="9">AJ10*118%</f>
        <v>0</v>
      </c>
      <c r="AL10" s="118"/>
      <c r="AM10" s="20"/>
      <c r="AN10" s="20">
        <f t="shared" ref="AN10:AN17" si="10">AM10/118%</f>
        <v>0</v>
      </c>
      <c r="AO10" s="151">
        <f>AN10/AN2</f>
        <v>0</v>
      </c>
      <c r="AP10" s="96"/>
      <c r="AQ10" s="96">
        <f>AP10*AQ2</f>
        <v>0</v>
      </c>
      <c r="AR10" s="96">
        <f t="shared" ref="AR10:AR17" si="11">AQ10*118%</f>
        <v>0</v>
      </c>
      <c r="AS10" s="118"/>
      <c r="AT10" s="151"/>
      <c r="AU10" s="151">
        <f t="shared" ref="AU10:AU17" si="12">AT10/118%</f>
        <v>0</v>
      </c>
      <c r="AV10" s="151">
        <f>AU10/AU2</f>
        <v>0</v>
      </c>
      <c r="AW10" s="210"/>
      <c r="AX10" s="210">
        <f>AW10*AX2</f>
        <v>0</v>
      </c>
      <c r="AY10" s="210">
        <f t="shared" ref="AY10:AY17" si="13">AX10*118%</f>
        <v>0</v>
      </c>
      <c r="AZ10" s="118"/>
      <c r="BA10" s="151"/>
      <c r="BB10" s="151">
        <f t="shared" ref="BB10:BB17" si="14">BA10/118%</f>
        <v>0</v>
      </c>
      <c r="BC10" s="151">
        <f>BB10/BB2</f>
        <v>0</v>
      </c>
      <c r="BD10" s="159"/>
      <c r="BE10" s="159">
        <f>BD10*BE2</f>
        <v>0</v>
      </c>
      <c r="BF10" s="73">
        <f t="shared" ref="BF10:BF17" si="15">BE10*118%</f>
        <v>0</v>
      </c>
      <c r="BG10" s="118"/>
      <c r="BH10" s="151"/>
      <c r="BI10" s="151">
        <f t="shared" ref="BI10:BI17" si="16">BH10/118%</f>
        <v>0</v>
      </c>
      <c r="BJ10" s="151">
        <f>BI10/BI2</f>
        <v>0</v>
      </c>
      <c r="BK10" s="210"/>
      <c r="BL10" s="210">
        <f>BK10*BL2</f>
        <v>0</v>
      </c>
      <c r="BM10" s="210">
        <f t="shared" ref="BM10:BM17" si="17">BL10*118%</f>
        <v>0</v>
      </c>
      <c r="BN10" s="118"/>
      <c r="BO10" s="151"/>
      <c r="BP10" s="151">
        <f t="shared" ref="BP10:BP17" si="18">BO10/118%</f>
        <v>0</v>
      </c>
      <c r="BQ10" s="151">
        <f>BP10/BP2</f>
        <v>0</v>
      </c>
      <c r="BR10" s="96"/>
      <c r="BS10" s="96">
        <f>BR10*BS2</f>
        <v>0</v>
      </c>
      <c r="BT10" s="96">
        <f t="shared" ref="BT10:BT17" si="19">BS10*118%</f>
        <v>0</v>
      </c>
      <c r="BU10" s="118"/>
      <c r="BV10" s="151"/>
      <c r="BW10" s="151">
        <f t="shared" ref="BW10:BW17" si="20">BV10/118%</f>
        <v>0</v>
      </c>
      <c r="BX10" s="151">
        <f>BW10/BW2</f>
        <v>0</v>
      </c>
      <c r="BY10" s="159"/>
      <c r="BZ10" s="159">
        <f>BY10*BZ2</f>
        <v>0</v>
      </c>
      <c r="CA10" s="73">
        <f t="shared" ref="CA10:CA17" si="21">BZ10*118%</f>
        <v>0</v>
      </c>
      <c r="CB10" s="118"/>
      <c r="CC10" s="151"/>
      <c r="CD10" s="151">
        <f t="shared" ref="CD10:CD17" si="22">CC10/118%</f>
        <v>0</v>
      </c>
      <c r="CE10" s="151">
        <f>CD10/CD2</f>
        <v>0</v>
      </c>
      <c r="CF10" s="96"/>
      <c r="CG10" s="96">
        <f>CF10*CG2</f>
        <v>0</v>
      </c>
      <c r="CH10" s="96">
        <f t="shared" ref="CH10:CH17" si="23">CG10*118%</f>
        <v>0</v>
      </c>
      <c r="CI10" s="118"/>
      <c r="CJ10" s="151"/>
      <c r="CK10" s="151">
        <f t="shared" ref="CK10:CK17" si="24">CJ10/118%</f>
        <v>0</v>
      </c>
      <c r="CL10" s="151">
        <f>CK10/CK2</f>
        <v>0</v>
      </c>
      <c r="CM10" s="210"/>
      <c r="CN10" s="210">
        <f>CM10*CN2</f>
        <v>0</v>
      </c>
      <c r="CO10" s="210">
        <f t="shared" ref="CO10:CO17" si="25">CN10*118%</f>
        <v>0</v>
      </c>
      <c r="CP10" s="118"/>
      <c r="CQ10" s="151"/>
      <c r="CR10" s="151">
        <f t="shared" ref="CR10:CR17" si="26">CQ10/118%</f>
        <v>0</v>
      </c>
      <c r="CS10" s="151">
        <f>CR10/CR2</f>
        <v>0</v>
      </c>
      <c r="CT10" s="159"/>
      <c r="CU10" s="159">
        <f>CT10*CU2</f>
        <v>0</v>
      </c>
      <c r="CV10" s="159">
        <f t="shared" ref="CV10:CV17" si="27">CU10*118%</f>
        <v>0</v>
      </c>
      <c r="CW10" s="118"/>
      <c r="CX10" s="151"/>
      <c r="CY10" s="151">
        <f t="shared" ref="CY10:CY17" si="28">CX10/118%</f>
        <v>0</v>
      </c>
      <c r="CZ10" s="151">
        <f>CY10/CY2</f>
        <v>0</v>
      </c>
      <c r="DA10" s="96"/>
      <c r="DB10" s="96">
        <f>DA10*DB2</f>
        <v>0</v>
      </c>
      <c r="DC10" s="96">
        <f t="shared" ref="DC10:DC17" si="29">DB10*118%</f>
        <v>0</v>
      </c>
      <c r="DD10" s="118"/>
      <c r="DE10" s="151"/>
      <c r="DF10" s="151">
        <f t="shared" ref="DF10:DF17" si="30">DE10/118%</f>
        <v>0</v>
      </c>
      <c r="DG10" s="151">
        <f>DF10/DF2</f>
        <v>0</v>
      </c>
      <c r="DH10" s="159"/>
      <c r="DI10" s="159">
        <f>DH10*DI2</f>
        <v>0</v>
      </c>
      <c r="DJ10" s="159">
        <f t="shared" ref="DJ10:DJ17" si="31">DI10*118%</f>
        <v>0</v>
      </c>
      <c r="DK10" s="118"/>
      <c r="DL10" s="151"/>
      <c r="DM10" s="151">
        <f t="shared" ref="DM10:DM17" si="32">DL10/118%</f>
        <v>0</v>
      </c>
      <c r="DN10" s="151">
        <f>DM10/DM2</f>
        <v>0</v>
      </c>
      <c r="DO10" s="96"/>
      <c r="DP10" s="96">
        <f>DO10*DP2</f>
        <v>0</v>
      </c>
      <c r="DQ10" s="96">
        <f t="shared" ref="DQ10:DQ17" si="33">DP10*118%</f>
        <v>0</v>
      </c>
      <c r="DR10" s="118"/>
      <c r="DS10" s="151"/>
      <c r="DT10" s="151">
        <f t="shared" ref="DT10:DT17" si="34">DS10/118%</f>
        <v>0</v>
      </c>
      <c r="DU10" s="151">
        <f>DT10/DT2</f>
        <v>0</v>
      </c>
      <c r="DV10" s="210"/>
      <c r="DW10" s="210">
        <f>DV10*DW2</f>
        <v>0</v>
      </c>
      <c r="DX10" s="210">
        <f t="shared" ref="DX10:DX17" si="35">DW10*118%</f>
        <v>0</v>
      </c>
      <c r="DY10" s="118"/>
      <c r="DZ10" s="151"/>
      <c r="EA10" s="151">
        <f t="shared" ref="EA10:EA17" si="36">DZ10/118%</f>
        <v>0</v>
      </c>
      <c r="EB10" s="151">
        <f>EA10/EA2</f>
        <v>0</v>
      </c>
      <c r="EC10" s="159"/>
      <c r="ED10" s="159">
        <f>EC10*ED2</f>
        <v>0</v>
      </c>
      <c r="EE10" s="159">
        <f t="shared" ref="EE10:EE17" si="37">ED10*118%</f>
        <v>0</v>
      </c>
      <c r="EF10" s="118"/>
      <c r="EG10" s="151"/>
      <c r="EH10" s="151">
        <f t="shared" ref="EH10:EH17" si="38">EG10/118%</f>
        <v>0</v>
      </c>
      <c r="EI10" s="151">
        <f>EH10/EH2</f>
        <v>0</v>
      </c>
      <c r="EJ10" s="96"/>
      <c r="EK10" s="96">
        <f>EJ10*EK2</f>
        <v>0</v>
      </c>
      <c r="EL10" s="96">
        <f t="shared" ref="EL10:EL17" si="39">EK10*118%</f>
        <v>0</v>
      </c>
      <c r="EM10" s="118"/>
      <c r="EN10" s="151"/>
      <c r="EO10" s="151">
        <f t="shared" ref="EO10:EO17" si="40">EN10/118%</f>
        <v>0</v>
      </c>
      <c r="EP10" s="151">
        <f>EO10/EO2</f>
        <v>0</v>
      </c>
      <c r="EQ10" s="159"/>
      <c r="ER10" s="159">
        <f>EQ10*ER2</f>
        <v>0</v>
      </c>
      <c r="ES10" s="159">
        <f t="shared" ref="ES10:ES17" si="41">ER10*118%</f>
        <v>0</v>
      </c>
      <c r="ET10" s="118"/>
      <c r="EU10" s="151"/>
      <c r="EV10" s="151">
        <f t="shared" ref="EV10:EV17" si="42">EU10/118%</f>
        <v>0</v>
      </c>
      <c r="EW10" s="151">
        <f>EV10/EV2</f>
        <v>0</v>
      </c>
      <c r="EX10" s="96"/>
      <c r="EY10" s="96">
        <f>EX10*EY2</f>
        <v>0</v>
      </c>
      <c r="EZ10" s="96">
        <f t="shared" ref="EZ10:EZ17" si="43">EY10*118%</f>
        <v>0</v>
      </c>
      <c r="FA10" s="118"/>
      <c r="FB10" s="151"/>
      <c r="FC10" s="151">
        <f t="shared" ref="FC10:FC17" si="44">FB10/118%</f>
        <v>0</v>
      </c>
      <c r="FD10" s="151">
        <f>FC10/FC2</f>
        <v>0</v>
      </c>
      <c r="FE10" s="159"/>
      <c r="FF10" s="159">
        <f>FE10*FF2</f>
        <v>0</v>
      </c>
      <c r="FG10" s="159">
        <f t="shared" ref="FG10:FG17" si="45">FF10*118%</f>
        <v>0</v>
      </c>
      <c r="FH10" s="118"/>
      <c r="FI10" s="151"/>
      <c r="FJ10" s="151">
        <f t="shared" ref="FJ10:FJ17" si="46">FI10/118%</f>
        <v>0</v>
      </c>
      <c r="FK10" s="151">
        <f>FJ10/FJ2</f>
        <v>0</v>
      </c>
      <c r="FL10" s="96"/>
      <c r="FM10" s="96">
        <f>FL10*FM2</f>
        <v>0</v>
      </c>
      <c r="FN10" s="96">
        <f t="shared" ref="FN10:FN17" si="47">FM10*118%</f>
        <v>0</v>
      </c>
      <c r="FO10" s="118"/>
      <c r="FP10" s="151"/>
      <c r="FQ10" s="151">
        <f t="shared" ref="FQ10:FQ17" si="48">FP10/118%</f>
        <v>0</v>
      </c>
      <c r="FR10" s="151">
        <f>FQ10/FQ2</f>
        <v>0</v>
      </c>
      <c r="FS10" s="159"/>
      <c r="FT10" s="159">
        <f>FS10*FT2</f>
        <v>0</v>
      </c>
      <c r="FU10" s="159">
        <f t="shared" ref="FU10:FU17" si="49">FT10*118%</f>
        <v>0</v>
      </c>
      <c r="FV10" s="118"/>
      <c r="FW10" s="151"/>
      <c r="FX10" s="151">
        <f t="shared" ref="FX10:FX17" si="50">FW10/118%</f>
        <v>0</v>
      </c>
      <c r="FY10" s="151">
        <f>FX10/FX2</f>
        <v>0</v>
      </c>
      <c r="FZ10" s="96"/>
      <c r="GA10" s="96">
        <f>FZ10*GA2</f>
        <v>0</v>
      </c>
      <c r="GB10" s="96">
        <f t="shared" ref="GB10:GB17" si="51">GA10*118%</f>
        <v>0</v>
      </c>
      <c r="GC10" s="118"/>
      <c r="GD10" s="151"/>
      <c r="GE10" s="151">
        <f t="shared" ref="GE10:GE17" si="52">GD10/118%</f>
        <v>0</v>
      </c>
      <c r="GF10" s="151">
        <f>GE10/GE2</f>
        <v>0</v>
      </c>
      <c r="GG10" s="159"/>
      <c r="GH10" s="159">
        <f>GG10*GH2</f>
        <v>0</v>
      </c>
      <c r="GI10" s="159">
        <f t="shared" ref="GI10:GI17" si="53">GH10*118%</f>
        <v>0</v>
      </c>
      <c r="GJ10" s="118"/>
      <c r="GK10" s="151"/>
      <c r="GL10" s="151">
        <f t="shared" ref="GL10:GL17" si="54">GK10/118%</f>
        <v>0</v>
      </c>
      <c r="GM10" s="151">
        <f>GL10/GL2</f>
        <v>0</v>
      </c>
      <c r="GN10" s="159"/>
      <c r="GO10" s="159">
        <f>GN10*GO2</f>
        <v>0</v>
      </c>
      <c r="GP10" s="159">
        <f t="shared" ref="GP10:GP17" si="55">GO10*118%</f>
        <v>0</v>
      </c>
      <c r="GQ10" s="118"/>
      <c r="GR10" s="151"/>
      <c r="GS10" s="151">
        <f t="shared" ref="GS10:GS17" si="56">GR10/118%</f>
        <v>0</v>
      </c>
      <c r="GT10" s="151">
        <f>GS10/GS2</f>
        <v>0</v>
      </c>
      <c r="GU10" s="96"/>
      <c r="GV10" s="96">
        <f>GU10*GV2</f>
        <v>0</v>
      </c>
      <c r="GW10" s="96">
        <f t="shared" ref="GW10:GW17" si="57">GV10*118%</f>
        <v>0</v>
      </c>
      <c r="GX10" s="118"/>
      <c r="GY10" s="151"/>
      <c r="GZ10" s="151">
        <f t="shared" ref="GZ10:GZ17" si="58">GY10/118%</f>
        <v>0</v>
      </c>
      <c r="HA10" s="151">
        <f>GZ10/GZ2</f>
        <v>0</v>
      </c>
      <c r="HB10" s="159"/>
      <c r="HC10" s="159">
        <f>HB10*HC2</f>
        <v>0</v>
      </c>
      <c r="HD10" s="159">
        <f t="shared" ref="HD10:HD17" si="59">HC10*118%</f>
        <v>0</v>
      </c>
      <c r="HE10" s="118"/>
      <c r="HF10" s="151"/>
      <c r="HG10" s="151">
        <f t="shared" ref="HG10:HG17" si="60">HF10/118%</f>
        <v>0</v>
      </c>
      <c r="HH10" s="151">
        <f>HG10/HG2</f>
        <v>0</v>
      </c>
      <c r="HI10" s="210"/>
      <c r="HJ10" s="210">
        <f>HI10*HJ2</f>
        <v>0</v>
      </c>
      <c r="HK10" s="210">
        <f t="shared" ref="HK10:HK17" si="61">HJ10*118%</f>
        <v>0</v>
      </c>
      <c r="HL10" s="118"/>
      <c r="HM10" s="151"/>
      <c r="HN10" s="151">
        <f t="shared" ref="HN10:HN17" si="62">HM10/118%</f>
        <v>0</v>
      </c>
      <c r="HO10" s="151">
        <f>HN10/HN2</f>
        <v>0</v>
      </c>
      <c r="HP10" s="159"/>
      <c r="HQ10" s="159">
        <f>HP10*HQ2</f>
        <v>0</v>
      </c>
      <c r="HR10" s="159">
        <f t="shared" ref="HR10:HR17" si="63">HQ10*118%</f>
        <v>0</v>
      </c>
      <c r="HS10" s="118"/>
      <c r="HT10" s="151"/>
      <c r="HU10" s="151">
        <f t="shared" ref="HU10:HU17" si="64">HT10/118%</f>
        <v>0</v>
      </c>
      <c r="HV10" s="151">
        <f>HU10/HU2</f>
        <v>0</v>
      </c>
      <c r="HW10" s="96"/>
      <c r="HX10" s="96">
        <f>HW10*HX2</f>
        <v>0</v>
      </c>
      <c r="HY10" s="96">
        <f t="shared" ref="HY10:HY17" si="65">HX10*118%</f>
        <v>0</v>
      </c>
      <c r="HZ10" s="118"/>
      <c r="IA10" s="22"/>
    </row>
    <row r="11" spans="1:235">
      <c r="A11" s="18">
        <v>3</v>
      </c>
      <c r="B11" s="19" t="s">
        <v>14</v>
      </c>
      <c r="C11" s="118"/>
      <c r="D11" s="151"/>
      <c r="E11" s="151">
        <f t="shared" si="0"/>
        <v>0</v>
      </c>
      <c r="F11" s="151">
        <f>E11/E2</f>
        <v>0</v>
      </c>
      <c r="G11" s="73"/>
      <c r="H11" s="159">
        <f>G11*H2</f>
        <v>0</v>
      </c>
      <c r="I11" s="73">
        <f t="shared" si="1"/>
        <v>0</v>
      </c>
      <c r="J11" s="118"/>
      <c r="K11" s="151"/>
      <c r="L11" s="151">
        <f t="shared" si="2"/>
        <v>0</v>
      </c>
      <c r="M11" s="151">
        <f>L11/L2</f>
        <v>0</v>
      </c>
      <c r="N11" s="96"/>
      <c r="O11" s="96">
        <f>N11*O2</f>
        <v>0</v>
      </c>
      <c r="P11" s="96">
        <f t="shared" si="3"/>
        <v>0</v>
      </c>
      <c r="Q11" s="118"/>
      <c r="R11" s="20"/>
      <c r="S11" s="20">
        <f t="shared" si="4"/>
        <v>0</v>
      </c>
      <c r="T11" s="151">
        <f>S11/S2</f>
        <v>0</v>
      </c>
      <c r="U11" s="159"/>
      <c r="V11" s="159">
        <f>U11*V2</f>
        <v>0</v>
      </c>
      <c r="W11" s="73">
        <f t="shared" si="5"/>
        <v>0</v>
      </c>
      <c r="X11" s="118"/>
      <c r="Y11" s="20"/>
      <c r="Z11" s="20">
        <f t="shared" si="6"/>
        <v>0</v>
      </c>
      <c r="AA11" s="151">
        <f>Z11/Z2</f>
        <v>0</v>
      </c>
      <c r="AB11" s="96"/>
      <c r="AC11" s="96">
        <f>AB11*AC2</f>
        <v>0</v>
      </c>
      <c r="AD11" s="96">
        <f t="shared" si="7"/>
        <v>0</v>
      </c>
      <c r="AE11" s="118"/>
      <c r="AF11" s="131"/>
      <c r="AG11" s="131">
        <f t="shared" si="8"/>
        <v>0</v>
      </c>
      <c r="AH11" s="151">
        <f>AG11/AG2</f>
        <v>0</v>
      </c>
      <c r="AI11" s="159"/>
      <c r="AJ11" s="159">
        <f>AI11*AJ2</f>
        <v>0</v>
      </c>
      <c r="AK11" s="73">
        <f t="shared" si="9"/>
        <v>0</v>
      </c>
      <c r="AL11" s="118"/>
      <c r="AM11" s="151">
        <v>23600</v>
      </c>
      <c r="AN11" s="20">
        <f t="shared" si="10"/>
        <v>20000</v>
      </c>
      <c r="AO11" s="151">
        <f>AN11/AN2</f>
        <v>92.936802973977706</v>
      </c>
      <c r="AP11" s="96"/>
      <c r="AQ11" s="96">
        <f>AP11*AQ2</f>
        <v>0</v>
      </c>
      <c r="AR11" s="96">
        <f t="shared" si="11"/>
        <v>0</v>
      </c>
      <c r="AS11" s="118"/>
      <c r="AT11" s="151"/>
      <c r="AU11" s="151">
        <f t="shared" si="12"/>
        <v>0</v>
      </c>
      <c r="AV11" s="151">
        <f>AU11/AU2</f>
        <v>0</v>
      </c>
      <c r="AW11" s="210"/>
      <c r="AX11" s="210">
        <f>AW11*AX2</f>
        <v>0</v>
      </c>
      <c r="AY11" s="210">
        <f t="shared" si="13"/>
        <v>0</v>
      </c>
      <c r="AZ11" s="118"/>
      <c r="BA11" s="151"/>
      <c r="BB11" s="151">
        <f t="shared" si="14"/>
        <v>0</v>
      </c>
      <c r="BC11" s="151">
        <f>BB11/BB2</f>
        <v>0</v>
      </c>
      <c r="BD11" s="159"/>
      <c r="BE11" s="159">
        <f>BD11*BE2</f>
        <v>0</v>
      </c>
      <c r="BF11" s="73">
        <f t="shared" si="15"/>
        <v>0</v>
      </c>
      <c r="BG11" s="118"/>
      <c r="BH11" s="151"/>
      <c r="BI11" s="151">
        <f t="shared" si="16"/>
        <v>0</v>
      </c>
      <c r="BJ11" s="151">
        <f>BI11/BI2</f>
        <v>0</v>
      </c>
      <c r="BK11" s="210"/>
      <c r="BL11" s="210">
        <f>BK11*BL2</f>
        <v>0</v>
      </c>
      <c r="BM11" s="210">
        <f t="shared" si="17"/>
        <v>0</v>
      </c>
      <c r="BN11" s="118"/>
      <c r="BO11" s="151"/>
      <c r="BP11" s="151">
        <f t="shared" si="18"/>
        <v>0</v>
      </c>
      <c r="BQ11" s="151">
        <f>BP11/BP2</f>
        <v>0</v>
      </c>
      <c r="BR11" s="96"/>
      <c r="BS11" s="96">
        <f>BR11*BS2</f>
        <v>0</v>
      </c>
      <c r="BT11" s="96">
        <f t="shared" si="19"/>
        <v>0</v>
      </c>
      <c r="BU11" s="118"/>
      <c r="BV11" s="151"/>
      <c r="BW11" s="151">
        <f t="shared" si="20"/>
        <v>0</v>
      </c>
      <c r="BX11" s="151">
        <f>BW11/BW2</f>
        <v>0</v>
      </c>
      <c r="BY11" s="159"/>
      <c r="BZ11" s="159">
        <f>BY11*BZ2</f>
        <v>0</v>
      </c>
      <c r="CA11" s="73">
        <f t="shared" si="21"/>
        <v>0</v>
      </c>
      <c r="CB11" s="118"/>
      <c r="CC11" s="151"/>
      <c r="CD11" s="151">
        <f t="shared" si="22"/>
        <v>0</v>
      </c>
      <c r="CE11" s="151">
        <f>CD11/CD2</f>
        <v>0</v>
      </c>
      <c r="CF11" s="96"/>
      <c r="CG11" s="96">
        <f>CF11*CG2</f>
        <v>0</v>
      </c>
      <c r="CH11" s="96">
        <f t="shared" si="23"/>
        <v>0</v>
      </c>
      <c r="CI11" s="118"/>
      <c r="CJ11" s="151"/>
      <c r="CK11" s="151">
        <f t="shared" si="24"/>
        <v>0</v>
      </c>
      <c r="CL11" s="151">
        <f>CK11/CK2</f>
        <v>0</v>
      </c>
      <c r="CM11" s="210"/>
      <c r="CN11" s="210">
        <f>CM11*CN2</f>
        <v>0</v>
      </c>
      <c r="CO11" s="210">
        <f t="shared" si="25"/>
        <v>0</v>
      </c>
      <c r="CP11" s="118"/>
      <c r="CQ11" s="151"/>
      <c r="CR11" s="151">
        <f t="shared" si="26"/>
        <v>0</v>
      </c>
      <c r="CS11" s="151">
        <f>CR11/CR2</f>
        <v>0</v>
      </c>
      <c r="CT11" s="159"/>
      <c r="CU11" s="159">
        <f>CT11*CU2</f>
        <v>0</v>
      </c>
      <c r="CV11" s="159">
        <f t="shared" si="27"/>
        <v>0</v>
      </c>
      <c r="CW11" s="118"/>
      <c r="CX11" s="151"/>
      <c r="CY11" s="151">
        <f t="shared" si="28"/>
        <v>0</v>
      </c>
      <c r="CZ11" s="151">
        <f>CY11/CY2</f>
        <v>0</v>
      </c>
      <c r="DA11" s="96"/>
      <c r="DB11" s="96">
        <f>DA11*DB2</f>
        <v>0</v>
      </c>
      <c r="DC11" s="96">
        <f t="shared" si="29"/>
        <v>0</v>
      </c>
      <c r="DD11" s="118"/>
      <c r="DE11" s="151"/>
      <c r="DF11" s="151">
        <f t="shared" si="30"/>
        <v>0</v>
      </c>
      <c r="DG11" s="151">
        <f>DF11/DF2</f>
        <v>0</v>
      </c>
      <c r="DH11" s="159"/>
      <c r="DI11" s="159">
        <f>DH11*DI2</f>
        <v>0</v>
      </c>
      <c r="DJ11" s="159">
        <f t="shared" si="31"/>
        <v>0</v>
      </c>
      <c r="DK11" s="118"/>
      <c r="DL11" s="151"/>
      <c r="DM11" s="151">
        <f t="shared" si="32"/>
        <v>0</v>
      </c>
      <c r="DN11" s="151">
        <f>DM11/DM2</f>
        <v>0</v>
      </c>
      <c r="DO11" s="96"/>
      <c r="DP11" s="96">
        <f>DO11*DP2</f>
        <v>0</v>
      </c>
      <c r="DQ11" s="96">
        <f t="shared" si="33"/>
        <v>0</v>
      </c>
      <c r="DR11" s="118"/>
      <c r="DS11" s="151"/>
      <c r="DT11" s="151">
        <f t="shared" si="34"/>
        <v>0</v>
      </c>
      <c r="DU11" s="151">
        <f>DT11/DT2</f>
        <v>0</v>
      </c>
      <c r="DV11" s="210"/>
      <c r="DW11" s="210">
        <f>DV11*DW2</f>
        <v>0</v>
      </c>
      <c r="DX11" s="210">
        <f t="shared" si="35"/>
        <v>0</v>
      </c>
      <c r="DY11" s="118"/>
      <c r="DZ11" s="151">
        <v>23600</v>
      </c>
      <c r="EA11" s="151">
        <f t="shared" si="36"/>
        <v>20000</v>
      </c>
      <c r="EB11" s="151">
        <f>EA11/EA2</f>
        <v>92.936802973977706</v>
      </c>
      <c r="EC11" s="159"/>
      <c r="ED11" s="159">
        <f>EC11*ED2</f>
        <v>0</v>
      </c>
      <c r="EE11" s="159">
        <f t="shared" si="37"/>
        <v>0</v>
      </c>
      <c r="EF11" s="118"/>
      <c r="EG11" s="151"/>
      <c r="EH11" s="151">
        <f t="shared" si="38"/>
        <v>0</v>
      </c>
      <c r="EI11" s="151">
        <f>EH11/EH2</f>
        <v>0</v>
      </c>
      <c r="EJ11" s="96"/>
      <c r="EK11" s="96">
        <f>EJ11*EK2</f>
        <v>0</v>
      </c>
      <c r="EL11" s="96">
        <f t="shared" si="39"/>
        <v>0</v>
      </c>
      <c r="EM11" s="118"/>
      <c r="EN11" s="151"/>
      <c r="EO11" s="151">
        <f t="shared" si="40"/>
        <v>0</v>
      </c>
      <c r="EP11" s="151">
        <f>EO11/EO2</f>
        <v>0</v>
      </c>
      <c r="EQ11" s="159"/>
      <c r="ER11" s="159">
        <f>EQ11*ER2</f>
        <v>0</v>
      </c>
      <c r="ES11" s="159">
        <f t="shared" si="41"/>
        <v>0</v>
      </c>
      <c r="ET11" s="118"/>
      <c r="EU11" s="151"/>
      <c r="EV11" s="151">
        <f t="shared" si="42"/>
        <v>0</v>
      </c>
      <c r="EW11" s="151">
        <f>EV11/EV2</f>
        <v>0</v>
      </c>
      <c r="EX11" s="96"/>
      <c r="EY11" s="96">
        <f>EX11*EY2</f>
        <v>0</v>
      </c>
      <c r="EZ11" s="96">
        <f t="shared" si="43"/>
        <v>0</v>
      </c>
      <c r="FA11" s="118"/>
      <c r="FB11" s="151"/>
      <c r="FC11" s="151">
        <f t="shared" si="44"/>
        <v>0</v>
      </c>
      <c r="FD11" s="151">
        <f>FC11/FC2</f>
        <v>0</v>
      </c>
      <c r="FE11" s="159"/>
      <c r="FF11" s="159">
        <f>FE11*FF2</f>
        <v>0</v>
      </c>
      <c r="FG11" s="159">
        <f t="shared" si="45"/>
        <v>0</v>
      </c>
      <c r="FH11" s="118"/>
      <c r="FI11" s="151"/>
      <c r="FJ11" s="151">
        <f t="shared" si="46"/>
        <v>0</v>
      </c>
      <c r="FK11" s="151">
        <f>FJ11/FJ2</f>
        <v>0</v>
      </c>
      <c r="FL11" s="96"/>
      <c r="FM11" s="96">
        <f>FL11*FM2</f>
        <v>0</v>
      </c>
      <c r="FN11" s="96">
        <f t="shared" si="47"/>
        <v>0</v>
      </c>
      <c r="FO11" s="118"/>
      <c r="FP11" s="151"/>
      <c r="FQ11" s="151">
        <f t="shared" si="48"/>
        <v>0</v>
      </c>
      <c r="FR11" s="151">
        <f>FQ11/FQ2</f>
        <v>0</v>
      </c>
      <c r="FS11" s="159"/>
      <c r="FT11" s="159">
        <f>FS11*FT2</f>
        <v>0</v>
      </c>
      <c r="FU11" s="159">
        <f t="shared" si="49"/>
        <v>0</v>
      </c>
      <c r="FV11" s="118"/>
      <c r="FW11" s="151"/>
      <c r="FX11" s="151">
        <f t="shared" si="50"/>
        <v>0</v>
      </c>
      <c r="FY11" s="151">
        <f>FX11/FX2</f>
        <v>0</v>
      </c>
      <c r="FZ11" s="96"/>
      <c r="GA11" s="96">
        <f>FZ11*GA2</f>
        <v>0</v>
      </c>
      <c r="GB11" s="96">
        <f t="shared" si="51"/>
        <v>0</v>
      </c>
      <c r="GC11" s="118"/>
      <c r="GD11" s="151"/>
      <c r="GE11" s="151">
        <f t="shared" si="52"/>
        <v>0</v>
      </c>
      <c r="GF11" s="151">
        <f>GE11/GE2</f>
        <v>0</v>
      </c>
      <c r="GG11" s="159"/>
      <c r="GH11" s="159">
        <f>GG11*GH2</f>
        <v>0</v>
      </c>
      <c r="GI11" s="159">
        <f t="shared" si="53"/>
        <v>0</v>
      </c>
      <c r="GJ11" s="118"/>
      <c r="GK11" s="151"/>
      <c r="GL11" s="151">
        <f t="shared" si="54"/>
        <v>0</v>
      </c>
      <c r="GM11" s="151">
        <f>GL11/GL2</f>
        <v>0</v>
      </c>
      <c r="GN11" s="159"/>
      <c r="GO11" s="159">
        <f>GN11*GO2</f>
        <v>0</v>
      </c>
      <c r="GP11" s="159">
        <f t="shared" si="55"/>
        <v>0</v>
      </c>
      <c r="GQ11" s="118"/>
      <c r="GR11" s="151"/>
      <c r="GS11" s="151">
        <f t="shared" si="56"/>
        <v>0</v>
      </c>
      <c r="GT11" s="151">
        <f>GS11/GS2</f>
        <v>0</v>
      </c>
      <c r="GU11" s="96"/>
      <c r="GV11" s="96">
        <f>GU11*GV2</f>
        <v>0</v>
      </c>
      <c r="GW11" s="96">
        <f t="shared" si="57"/>
        <v>0</v>
      </c>
      <c r="GX11" s="118"/>
      <c r="GY11" s="151"/>
      <c r="GZ11" s="151">
        <f t="shared" si="58"/>
        <v>0</v>
      </c>
      <c r="HA11" s="151">
        <f>GZ11/GZ2</f>
        <v>0</v>
      </c>
      <c r="HB11" s="159"/>
      <c r="HC11" s="159">
        <f>HB11*HC2</f>
        <v>0</v>
      </c>
      <c r="HD11" s="159">
        <f t="shared" si="59"/>
        <v>0</v>
      </c>
      <c r="HE11" s="118"/>
      <c r="HF11" s="151"/>
      <c r="HG11" s="151">
        <f t="shared" si="60"/>
        <v>0</v>
      </c>
      <c r="HH11" s="151">
        <f>HG11/HG2</f>
        <v>0</v>
      </c>
      <c r="HI11" s="210"/>
      <c r="HJ11" s="210">
        <f>HI11*HJ2</f>
        <v>0</v>
      </c>
      <c r="HK11" s="210">
        <f t="shared" si="61"/>
        <v>0</v>
      </c>
      <c r="HL11" s="118"/>
      <c r="HM11" s="151"/>
      <c r="HN11" s="151">
        <f t="shared" si="62"/>
        <v>0</v>
      </c>
      <c r="HO11" s="151">
        <f>HN11/HN2</f>
        <v>0</v>
      </c>
      <c r="HP11" s="159"/>
      <c r="HQ11" s="159">
        <f>HP11*HQ2</f>
        <v>0</v>
      </c>
      <c r="HR11" s="159">
        <f t="shared" si="63"/>
        <v>0</v>
      </c>
      <c r="HS11" s="118"/>
      <c r="HT11" s="151"/>
      <c r="HU11" s="151">
        <f t="shared" si="64"/>
        <v>0</v>
      </c>
      <c r="HV11" s="151">
        <f>HU11/HU2</f>
        <v>0</v>
      </c>
      <c r="HW11" s="96"/>
      <c r="HX11" s="96">
        <f>HW11*HX2</f>
        <v>0</v>
      </c>
      <c r="HY11" s="96">
        <f t="shared" si="65"/>
        <v>0</v>
      </c>
      <c r="HZ11" s="118"/>
      <c r="IA11" s="22"/>
    </row>
    <row r="12" spans="1:235">
      <c r="A12" s="18">
        <v>4</v>
      </c>
      <c r="B12" s="19" t="s">
        <v>15</v>
      </c>
      <c r="C12" s="118"/>
      <c r="D12" s="151">
        <v>17700</v>
      </c>
      <c r="E12" s="151">
        <f t="shared" si="0"/>
        <v>15000</v>
      </c>
      <c r="F12" s="151">
        <f>E12/E2</f>
        <v>99.337748344370866</v>
      </c>
      <c r="G12" s="73">
        <v>100</v>
      </c>
      <c r="H12" s="159">
        <f>G12*H2</f>
        <v>101574.40000000001</v>
      </c>
      <c r="I12" s="73">
        <f t="shared" si="1"/>
        <v>119857.792</v>
      </c>
      <c r="J12" s="118"/>
      <c r="K12" s="151">
        <v>17700</v>
      </c>
      <c r="L12" s="151">
        <f t="shared" si="2"/>
        <v>15000</v>
      </c>
      <c r="M12" s="151">
        <f>L12/L2</f>
        <v>99.337748344370866</v>
      </c>
      <c r="N12" s="96">
        <v>100</v>
      </c>
      <c r="O12" s="96">
        <f>N12*O2</f>
        <v>27696.240000000002</v>
      </c>
      <c r="P12" s="96">
        <f t="shared" si="3"/>
        <v>32681.563200000001</v>
      </c>
      <c r="Q12" s="118"/>
      <c r="R12" s="20"/>
      <c r="S12" s="20">
        <f t="shared" si="4"/>
        <v>0</v>
      </c>
      <c r="T12" s="151">
        <f>S12/S2</f>
        <v>0</v>
      </c>
      <c r="U12" s="159"/>
      <c r="V12" s="159">
        <f>U12*V2</f>
        <v>0</v>
      </c>
      <c r="W12" s="73">
        <f t="shared" si="5"/>
        <v>0</v>
      </c>
      <c r="X12" s="118"/>
      <c r="Y12" s="131"/>
      <c r="Z12" s="20">
        <f t="shared" si="6"/>
        <v>0</v>
      </c>
      <c r="AA12" s="151">
        <f>Z12/Z2</f>
        <v>0</v>
      </c>
      <c r="AB12" s="96">
        <v>100</v>
      </c>
      <c r="AC12" s="96">
        <f>AB12*AC2</f>
        <v>38456.240000000005</v>
      </c>
      <c r="AD12" s="96">
        <f t="shared" si="7"/>
        <v>45378.363200000007</v>
      </c>
      <c r="AE12" s="118"/>
      <c r="AF12" s="151">
        <v>48734</v>
      </c>
      <c r="AG12" s="131">
        <f t="shared" si="8"/>
        <v>41300</v>
      </c>
      <c r="AH12" s="151">
        <f>AG12/AG2</f>
        <v>28.016715057118827</v>
      </c>
      <c r="AI12" s="159">
        <v>100</v>
      </c>
      <c r="AJ12" s="159">
        <f>AI12*AJ2</f>
        <v>357662.39999999997</v>
      </c>
      <c r="AK12" s="73">
        <f t="shared" si="9"/>
        <v>422041.63199999993</v>
      </c>
      <c r="AL12" s="118"/>
      <c r="AM12" s="151">
        <v>21240</v>
      </c>
      <c r="AN12" s="20">
        <f t="shared" si="10"/>
        <v>18000</v>
      </c>
      <c r="AO12" s="151">
        <f>AN12/AN2</f>
        <v>83.643122676579935</v>
      </c>
      <c r="AP12" s="96">
        <v>100</v>
      </c>
      <c r="AQ12" s="96">
        <f>AP12*AQ2</f>
        <v>74921.88</v>
      </c>
      <c r="AR12" s="96">
        <f t="shared" si="11"/>
        <v>88407.818400000004</v>
      </c>
      <c r="AS12" s="118"/>
      <c r="AT12" s="151"/>
      <c r="AU12" s="151">
        <f t="shared" si="12"/>
        <v>0</v>
      </c>
      <c r="AV12" s="151">
        <f>AU12/AU2</f>
        <v>0</v>
      </c>
      <c r="AW12" s="210"/>
      <c r="AX12" s="210">
        <f>AW12*AX2</f>
        <v>0</v>
      </c>
      <c r="AY12" s="210">
        <f t="shared" si="13"/>
        <v>0</v>
      </c>
      <c r="AZ12" s="118"/>
      <c r="BA12" s="151">
        <v>177000</v>
      </c>
      <c r="BB12" s="151">
        <f t="shared" si="14"/>
        <v>150000</v>
      </c>
      <c r="BC12" s="151">
        <f>BB12/BB2</f>
        <v>81.049537477306131</v>
      </c>
      <c r="BD12" s="159">
        <v>100</v>
      </c>
      <c r="BE12" s="159">
        <f>BD12*BE2</f>
        <v>97162.799999999988</v>
      </c>
      <c r="BF12" s="73">
        <f t="shared" si="15"/>
        <v>114652.10399999998</v>
      </c>
      <c r="BG12" s="118"/>
      <c r="BH12" s="151"/>
      <c r="BI12" s="151">
        <f t="shared" si="16"/>
        <v>0</v>
      </c>
      <c r="BJ12" s="151">
        <f>BI12/BI2</f>
        <v>0</v>
      </c>
      <c r="BK12" s="210"/>
      <c r="BL12" s="210">
        <f>BK12*BL2</f>
        <v>0</v>
      </c>
      <c r="BM12" s="210">
        <f t="shared" si="17"/>
        <v>0</v>
      </c>
      <c r="BN12" s="118"/>
      <c r="BO12" s="151">
        <v>127440</v>
      </c>
      <c r="BP12" s="151">
        <f t="shared" si="18"/>
        <v>108000</v>
      </c>
      <c r="BQ12" s="151">
        <f>BP12/BP2</f>
        <v>24</v>
      </c>
      <c r="BR12" s="96">
        <v>100</v>
      </c>
      <c r="BS12" s="96">
        <f>BR12*BS2</f>
        <v>319572</v>
      </c>
      <c r="BT12" s="96">
        <f t="shared" si="19"/>
        <v>377094.95999999996</v>
      </c>
      <c r="BU12" s="118"/>
      <c r="BV12" s="151">
        <v>17700</v>
      </c>
      <c r="BW12" s="151">
        <f t="shared" si="20"/>
        <v>15000</v>
      </c>
      <c r="BX12" s="151">
        <f>BW12/BW2</f>
        <v>99.337748344370866</v>
      </c>
      <c r="BY12" s="159">
        <v>200</v>
      </c>
      <c r="BZ12" s="159">
        <f>BY12*BZ2</f>
        <v>53800</v>
      </c>
      <c r="CA12" s="73">
        <f t="shared" si="21"/>
        <v>63484</v>
      </c>
      <c r="CB12" s="118"/>
      <c r="CC12" s="151">
        <v>177000</v>
      </c>
      <c r="CD12" s="151">
        <f t="shared" si="22"/>
        <v>150000</v>
      </c>
      <c r="CE12" s="151">
        <f>CD12/CD2</f>
        <v>81.049537477306131</v>
      </c>
      <c r="CF12" s="96">
        <v>200</v>
      </c>
      <c r="CG12" s="96">
        <f>CF12*CG2</f>
        <v>143108</v>
      </c>
      <c r="CH12" s="96">
        <f t="shared" si="23"/>
        <v>168867.44</v>
      </c>
      <c r="CI12" s="118"/>
      <c r="CJ12" s="151"/>
      <c r="CK12" s="151">
        <f t="shared" si="24"/>
        <v>0</v>
      </c>
      <c r="CL12" s="151">
        <f>CK12/CK2</f>
        <v>0</v>
      </c>
      <c r="CM12" s="210"/>
      <c r="CN12" s="210">
        <f>CM12*CN2</f>
        <v>0</v>
      </c>
      <c r="CO12" s="210">
        <f t="shared" si="25"/>
        <v>0</v>
      </c>
      <c r="CP12" s="118"/>
      <c r="CQ12" s="151"/>
      <c r="CR12" s="151">
        <f t="shared" si="26"/>
        <v>0</v>
      </c>
      <c r="CS12" s="151">
        <f>CR12/CR2</f>
        <v>0</v>
      </c>
      <c r="CT12" s="159">
        <v>200</v>
      </c>
      <c r="CU12" s="159">
        <f>CT12*CU2</f>
        <v>75944.08</v>
      </c>
      <c r="CV12" s="159">
        <f t="shared" si="27"/>
        <v>89614.0144</v>
      </c>
      <c r="CW12" s="118"/>
      <c r="CX12" s="151">
        <v>17700</v>
      </c>
      <c r="CY12" s="151">
        <f t="shared" si="28"/>
        <v>15000</v>
      </c>
      <c r="CZ12" s="151">
        <f>CY12/CY2</f>
        <v>99.337748344370866</v>
      </c>
      <c r="DA12" s="96">
        <v>200</v>
      </c>
      <c r="DB12" s="96">
        <f>DA12*DB2</f>
        <v>98690.72</v>
      </c>
      <c r="DC12" s="96">
        <f t="shared" si="29"/>
        <v>116455.0496</v>
      </c>
      <c r="DD12" s="118"/>
      <c r="DE12" s="151">
        <v>48734</v>
      </c>
      <c r="DF12" s="151">
        <f t="shared" si="30"/>
        <v>41300</v>
      </c>
      <c r="DG12" s="151">
        <f>DF12/DF2</f>
        <v>28.016715057118827</v>
      </c>
      <c r="DH12" s="159">
        <v>200</v>
      </c>
      <c r="DI12" s="159">
        <f>DH12*DI2</f>
        <v>153545.19999999998</v>
      </c>
      <c r="DJ12" s="159">
        <f t="shared" si="31"/>
        <v>181183.33599999998</v>
      </c>
      <c r="DK12" s="118"/>
      <c r="DL12" s="151">
        <v>177000</v>
      </c>
      <c r="DM12" s="151">
        <f t="shared" si="32"/>
        <v>150000</v>
      </c>
      <c r="DN12" s="151">
        <f>DM12/DM2</f>
        <v>81.049537477306131</v>
      </c>
      <c r="DO12" s="96">
        <v>200</v>
      </c>
      <c r="DP12" s="96">
        <f>DO12*DP2</f>
        <v>142010.47999999998</v>
      </c>
      <c r="DQ12" s="96">
        <f t="shared" si="33"/>
        <v>167572.36639999997</v>
      </c>
      <c r="DR12" s="118"/>
      <c r="DS12" s="151"/>
      <c r="DT12" s="151">
        <f t="shared" si="34"/>
        <v>0</v>
      </c>
      <c r="DU12" s="151">
        <f>DT12/DT2</f>
        <v>0</v>
      </c>
      <c r="DV12" s="210"/>
      <c r="DW12" s="210">
        <f>DV12*DW2</f>
        <v>0</v>
      </c>
      <c r="DX12" s="210">
        <f t="shared" si="35"/>
        <v>0</v>
      </c>
      <c r="DY12" s="118"/>
      <c r="DZ12" s="151">
        <v>21240</v>
      </c>
      <c r="EA12" s="151">
        <f t="shared" si="36"/>
        <v>18000</v>
      </c>
      <c r="EB12" s="151">
        <f>EA12/EA2</f>
        <v>83.643122676579935</v>
      </c>
      <c r="EC12" s="159">
        <v>200</v>
      </c>
      <c r="ED12" s="159">
        <f>EC12*ED2</f>
        <v>129120</v>
      </c>
      <c r="EE12" s="159">
        <f t="shared" si="37"/>
        <v>152361.60000000001</v>
      </c>
      <c r="EF12" s="118"/>
      <c r="EG12" s="151">
        <v>17700</v>
      </c>
      <c r="EH12" s="151">
        <f t="shared" si="38"/>
        <v>15000</v>
      </c>
      <c r="EI12" s="151">
        <f>EH12/EH2</f>
        <v>100</v>
      </c>
      <c r="EJ12" s="96">
        <v>200</v>
      </c>
      <c r="EK12" s="96">
        <f>EJ12*EK2</f>
        <v>355467.36</v>
      </c>
      <c r="EL12" s="96">
        <f t="shared" si="39"/>
        <v>419451.48479999998</v>
      </c>
      <c r="EM12" s="118"/>
      <c r="EN12" s="151">
        <v>127440</v>
      </c>
      <c r="EO12" s="151">
        <f t="shared" si="40"/>
        <v>108000</v>
      </c>
      <c r="EP12" s="151">
        <f>EO12/EO2</f>
        <v>24</v>
      </c>
      <c r="EQ12" s="159">
        <v>100</v>
      </c>
      <c r="ER12" s="159">
        <f>EQ12*ER2</f>
        <v>520418.16</v>
      </c>
      <c r="ES12" s="159">
        <f t="shared" si="41"/>
        <v>614093.42879999999</v>
      </c>
      <c r="ET12" s="118"/>
      <c r="EU12" s="151">
        <v>46343.839999999997</v>
      </c>
      <c r="EV12" s="151">
        <f t="shared" si="42"/>
        <v>39274.4406779661</v>
      </c>
      <c r="EW12" s="151">
        <f>EV12/EV2</f>
        <v>38.421483738961165</v>
      </c>
      <c r="EX12" s="96">
        <v>100</v>
      </c>
      <c r="EY12" s="96">
        <f>EX12*EY2</f>
        <v>107600</v>
      </c>
      <c r="EZ12" s="96">
        <f t="shared" si="43"/>
        <v>126968</v>
      </c>
      <c r="FA12" s="118"/>
      <c r="FB12" s="151">
        <v>17700</v>
      </c>
      <c r="FC12" s="151">
        <f t="shared" si="44"/>
        <v>15000</v>
      </c>
      <c r="FD12" s="151">
        <f>FC12/FC2</f>
        <v>100</v>
      </c>
      <c r="FE12" s="159">
        <v>200</v>
      </c>
      <c r="FF12" s="159">
        <f>FE12*FF2</f>
        <v>366550.16</v>
      </c>
      <c r="FG12" s="159">
        <f t="shared" si="45"/>
        <v>432529.18879999995</v>
      </c>
      <c r="FH12" s="118"/>
      <c r="FI12" s="151"/>
      <c r="FJ12" s="151">
        <f t="shared" si="46"/>
        <v>0</v>
      </c>
      <c r="FK12" s="151">
        <f>FJ12/FJ2</f>
        <v>0</v>
      </c>
      <c r="FL12" s="96">
        <v>200</v>
      </c>
      <c r="FM12" s="96">
        <f>FL12*FM2</f>
        <v>37660</v>
      </c>
      <c r="FN12" s="96">
        <f t="shared" si="47"/>
        <v>44438.799999999996</v>
      </c>
      <c r="FO12" s="118"/>
      <c r="FP12" s="151"/>
      <c r="FQ12" s="151">
        <f t="shared" si="48"/>
        <v>0</v>
      </c>
      <c r="FR12" s="151">
        <f>FQ12/FQ2</f>
        <v>0</v>
      </c>
      <c r="FS12" s="159"/>
      <c r="FT12" s="159">
        <f>FS12*FT2</f>
        <v>0</v>
      </c>
      <c r="FU12" s="159">
        <f t="shared" si="49"/>
        <v>0</v>
      </c>
      <c r="FV12" s="118"/>
      <c r="FW12" s="151"/>
      <c r="FX12" s="151">
        <f t="shared" si="50"/>
        <v>0</v>
      </c>
      <c r="FY12" s="151">
        <f>FX12/FX2</f>
        <v>0</v>
      </c>
      <c r="FZ12" s="96"/>
      <c r="GA12" s="96">
        <f>FZ12*GA2</f>
        <v>0</v>
      </c>
      <c r="GB12" s="96">
        <f t="shared" si="51"/>
        <v>0</v>
      </c>
      <c r="GC12" s="118"/>
      <c r="GD12" s="151"/>
      <c r="GE12" s="151">
        <f t="shared" si="52"/>
        <v>0</v>
      </c>
      <c r="GF12" s="151">
        <f>GE12/GE2</f>
        <v>0</v>
      </c>
      <c r="GG12" s="159"/>
      <c r="GH12" s="159">
        <f>GG12*GH2</f>
        <v>0</v>
      </c>
      <c r="GI12" s="159">
        <f t="shared" si="53"/>
        <v>0</v>
      </c>
      <c r="GJ12" s="118"/>
      <c r="GK12" s="151"/>
      <c r="GL12" s="151">
        <f t="shared" si="54"/>
        <v>0</v>
      </c>
      <c r="GM12" s="151">
        <f>GL12/GL2</f>
        <v>0</v>
      </c>
      <c r="GN12" s="159">
        <v>200</v>
      </c>
      <c r="GO12" s="159">
        <f>GN12*GO2</f>
        <v>32280</v>
      </c>
      <c r="GP12" s="159">
        <f t="shared" si="55"/>
        <v>38090.400000000001</v>
      </c>
      <c r="GQ12" s="118"/>
      <c r="GR12" s="151"/>
      <c r="GS12" s="151">
        <f t="shared" si="56"/>
        <v>0</v>
      </c>
      <c r="GT12" s="151">
        <f>GS12/GS2</f>
        <v>0</v>
      </c>
      <c r="GU12" s="96"/>
      <c r="GV12" s="96">
        <f>GU12*GV2</f>
        <v>0</v>
      </c>
      <c r="GW12" s="96">
        <f t="shared" si="57"/>
        <v>0</v>
      </c>
      <c r="GX12" s="118"/>
      <c r="GY12" s="151">
        <v>10620</v>
      </c>
      <c r="GZ12" s="151">
        <f t="shared" si="58"/>
        <v>9000</v>
      </c>
      <c r="HA12" s="151">
        <f>GZ12/GZ2</f>
        <v>83.643122676579935</v>
      </c>
      <c r="HB12" s="159">
        <v>400</v>
      </c>
      <c r="HC12" s="159">
        <f>HB12*HC2</f>
        <v>110440.63999999998</v>
      </c>
      <c r="HD12" s="159">
        <f t="shared" si="59"/>
        <v>130319.95519999998</v>
      </c>
      <c r="HE12" s="118"/>
      <c r="HF12" s="151"/>
      <c r="HG12" s="151">
        <f t="shared" si="60"/>
        <v>0</v>
      </c>
      <c r="HH12" s="151">
        <f>HG12/HG2</f>
        <v>0</v>
      </c>
      <c r="HI12" s="210"/>
      <c r="HJ12" s="210">
        <f>HI12*HJ2</f>
        <v>0</v>
      </c>
      <c r="HK12" s="210">
        <f t="shared" si="61"/>
        <v>0</v>
      </c>
      <c r="HL12" s="118"/>
      <c r="HM12" s="151"/>
      <c r="HN12" s="151">
        <f t="shared" si="62"/>
        <v>0</v>
      </c>
      <c r="HO12" s="151">
        <f>HN12/HN2</f>
        <v>0</v>
      </c>
      <c r="HP12" s="159">
        <v>200</v>
      </c>
      <c r="HQ12" s="159">
        <f>HP12*HQ2</f>
        <v>32280</v>
      </c>
      <c r="HR12" s="159">
        <f t="shared" si="63"/>
        <v>38090.400000000001</v>
      </c>
      <c r="HS12" s="118"/>
      <c r="HT12" s="151">
        <v>177000</v>
      </c>
      <c r="HU12" s="151">
        <f t="shared" si="64"/>
        <v>150000</v>
      </c>
      <c r="HV12" s="151">
        <f>HU12/HU2</f>
        <v>81.049537477306131</v>
      </c>
      <c r="HW12" s="96">
        <v>200</v>
      </c>
      <c r="HX12" s="96">
        <f>HW12*HX2</f>
        <v>127871.84</v>
      </c>
      <c r="HY12" s="96">
        <f t="shared" si="65"/>
        <v>150888.77119999999</v>
      </c>
      <c r="HZ12" s="118"/>
      <c r="IA12" s="21"/>
    </row>
    <row r="13" spans="1:235">
      <c r="A13" s="18">
        <v>5</v>
      </c>
      <c r="B13" s="19" t="s">
        <v>16</v>
      </c>
      <c r="C13" s="118"/>
      <c r="D13" s="151"/>
      <c r="E13" s="151">
        <f t="shared" si="0"/>
        <v>0</v>
      </c>
      <c r="F13" s="151">
        <f>E13/E2</f>
        <v>0</v>
      </c>
      <c r="G13" s="73"/>
      <c r="H13" s="159">
        <f>G13*H2</f>
        <v>0</v>
      </c>
      <c r="I13" s="73">
        <f t="shared" si="1"/>
        <v>0</v>
      </c>
      <c r="J13" s="118"/>
      <c r="K13" s="151"/>
      <c r="L13" s="151">
        <f t="shared" si="2"/>
        <v>0</v>
      </c>
      <c r="M13" s="151">
        <f>L13/L2</f>
        <v>0</v>
      </c>
      <c r="N13" s="96"/>
      <c r="O13" s="96">
        <f>N13*O2</f>
        <v>0</v>
      </c>
      <c r="P13" s="96">
        <f t="shared" si="3"/>
        <v>0</v>
      </c>
      <c r="Q13" s="118"/>
      <c r="R13" s="20"/>
      <c r="S13" s="20">
        <f t="shared" si="4"/>
        <v>0</v>
      </c>
      <c r="T13" s="151">
        <f>S13/S2</f>
        <v>0</v>
      </c>
      <c r="U13" s="159"/>
      <c r="V13" s="159">
        <f>U13*V2</f>
        <v>0</v>
      </c>
      <c r="W13" s="73">
        <f t="shared" si="5"/>
        <v>0</v>
      </c>
      <c r="X13" s="118"/>
      <c r="Y13" s="20"/>
      <c r="Z13" s="20">
        <f t="shared" si="6"/>
        <v>0</v>
      </c>
      <c r="AA13" s="151">
        <f>Z13/Z2</f>
        <v>0</v>
      </c>
      <c r="AB13" s="96"/>
      <c r="AC13" s="96">
        <f>AB13*AC2</f>
        <v>0</v>
      </c>
      <c r="AD13" s="96">
        <f t="shared" si="7"/>
        <v>0</v>
      </c>
      <c r="AE13" s="118"/>
      <c r="AF13" s="131"/>
      <c r="AG13" s="131">
        <f t="shared" si="8"/>
        <v>0</v>
      </c>
      <c r="AH13" s="151">
        <f>AG13/AG2</f>
        <v>0</v>
      </c>
      <c r="AI13" s="159"/>
      <c r="AJ13" s="159">
        <f>AI13*AJ2</f>
        <v>0</v>
      </c>
      <c r="AK13" s="73">
        <f t="shared" si="9"/>
        <v>0</v>
      </c>
      <c r="AL13" s="118"/>
      <c r="AM13" s="20"/>
      <c r="AN13" s="20">
        <f t="shared" si="10"/>
        <v>0</v>
      </c>
      <c r="AO13" s="151">
        <f>AN13/AN2</f>
        <v>0</v>
      </c>
      <c r="AP13" s="96"/>
      <c r="AQ13" s="96">
        <f>AP13*AQ2</f>
        <v>0</v>
      </c>
      <c r="AR13" s="96">
        <f t="shared" si="11"/>
        <v>0</v>
      </c>
      <c r="AS13" s="118"/>
      <c r="AT13" s="151"/>
      <c r="AU13" s="151">
        <f t="shared" si="12"/>
        <v>0</v>
      </c>
      <c r="AV13" s="151">
        <f>AU13/AU2</f>
        <v>0</v>
      </c>
      <c r="AW13" s="210"/>
      <c r="AX13" s="210">
        <f>AW13*AX2</f>
        <v>0</v>
      </c>
      <c r="AY13" s="210">
        <f t="shared" si="13"/>
        <v>0</v>
      </c>
      <c r="AZ13" s="118"/>
      <c r="BA13" s="151"/>
      <c r="BB13" s="151">
        <f t="shared" si="14"/>
        <v>0</v>
      </c>
      <c r="BC13" s="151">
        <f>BB13/BB2</f>
        <v>0</v>
      </c>
      <c r="BD13" s="159"/>
      <c r="BE13" s="159">
        <f>BD13*BE2</f>
        <v>0</v>
      </c>
      <c r="BF13" s="73">
        <f t="shared" si="15"/>
        <v>0</v>
      </c>
      <c r="BG13" s="118"/>
      <c r="BH13" s="151"/>
      <c r="BI13" s="151">
        <f t="shared" si="16"/>
        <v>0</v>
      </c>
      <c r="BJ13" s="151">
        <f>BI13/BI2</f>
        <v>0</v>
      </c>
      <c r="BK13" s="210"/>
      <c r="BL13" s="210">
        <f>BK13*BL2</f>
        <v>0</v>
      </c>
      <c r="BM13" s="210">
        <f t="shared" si="17"/>
        <v>0</v>
      </c>
      <c r="BN13" s="118"/>
      <c r="BO13" s="151"/>
      <c r="BP13" s="151">
        <f t="shared" si="18"/>
        <v>0</v>
      </c>
      <c r="BQ13" s="151">
        <f>BP13/BP2</f>
        <v>0</v>
      </c>
      <c r="BR13" s="96"/>
      <c r="BS13" s="96">
        <f>BR13*BS2</f>
        <v>0</v>
      </c>
      <c r="BT13" s="96">
        <f t="shared" si="19"/>
        <v>0</v>
      </c>
      <c r="BU13" s="118"/>
      <c r="BV13" s="151"/>
      <c r="BW13" s="151">
        <f t="shared" si="20"/>
        <v>0</v>
      </c>
      <c r="BX13" s="151">
        <f>BW13/BW2</f>
        <v>0</v>
      </c>
      <c r="BY13" s="159"/>
      <c r="BZ13" s="159">
        <f>BY13*BZ2</f>
        <v>0</v>
      </c>
      <c r="CA13" s="73">
        <f t="shared" si="21"/>
        <v>0</v>
      </c>
      <c r="CB13" s="118"/>
      <c r="CC13" s="151"/>
      <c r="CD13" s="151">
        <f t="shared" si="22"/>
        <v>0</v>
      </c>
      <c r="CE13" s="151">
        <f>CD13/CD2</f>
        <v>0</v>
      </c>
      <c r="CF13" s="96"/>
      <c r="CG13" s="96">
        <f>CF13*CG2</f>
        <v>0</v>
      </c>
      <c r="CH13" s="96">
        <f t="shared" si="23"/>
        <v>0</v>
      </c>
      <c r="CI13" s="118"/>
      <c r="CJ13" s="151"/>
      <c r="CK13" s="151">
        <f t="shared" si="24"/>
        <v>0</v>
      </c>
      <c r="CL13" s="151">
        <f>CK13/CK2</f>
        <v>0</v>
      </c>
      <c r="CM13" s="210"/>
      <c r="CN13" s="210">
        <f>CM13*CN2</f>
        <v>0</v>
      </c>
      <c r="CO13" s="210">
        <f t="shared" si="25"/>
        <v>0</v>
      </c>
      <c r="CP13" s="118"/>
      <c r="CQ13" s="151"/>
      <c r="CR13" s="151">
        <f t="shared" si="26"/>
        <v>0</v>
      </c>
      <c r="CS13" s="151">
        <f>CR13/CR2</f>
        <v>0</v>
      </c>
      <c r="CT13" s="159"/>
      <c r="CU13" s="159">
        <f>CT13*CU2</f>
        <v>0</v>
      </c>
      <c r="CV13" s="159">
        <f t="shared" si="27"/>
        <v>0</v>
      </c>
      <c r="CW13" s="118"/>
      <c r="CX13" s="151"/>
      <c r="CY13" s="151">
        <f t="shared" si="28"/>
        <v>0</v>
      </c>
      <c r="CZ13" s="151">
        <f>CY13/CY2</f>
        <v>0</v>
      </c>
      <c r="DA13" s="96"/>
      <c r="DB13" s="96">
        <f>DA13*DB2</f>
        <v>0</v>
      </c>
      <c r="DC13" s="96">
        <f t="shared" si="29"/>
        <v>0</v>
      </c>
      <c r="DD13" s="118"/>
      <c r="DE13" s="151"/>
      <c r="DF13" s="151">
        <f t="shared" si="30"/>
        <v>0</v>
      </c>
      <c r="DG13" s="151">
        <f>DF13/DF2</f>
        <v>0</v>
      </c>
      <c r="DH13" s="159"/>
      <c r="DI13" s="159">
        <f>DH13*DI2</f>
        <v>0</v>
      </c>
      <c r="DJ13" s="159">
        <f t="shared" si="31"/>
        <v>0</v>
      </c>
      <c r="DK13" s="118"/>
      <c r="DL13" s="151"/>
      <c r="DM13" s="151">
        <f t="shared" si="32"/>
        <v>0</v>
      </c>
      <c r="DN13" s="151">
        <f>DM13/DM2</f>
        <v>0</v>
      </c>
      <c r="DO13" s="96"/>
      <c r="DP13" s="96">
        <f>DO13*DP2</f>
        <v>0</v>
      </c>
      <c r="DQ13" s="96">
        <f t="shared" si="33"/>
        <v>0</v>
      </c>
      <c r="DR13" s="118"/>
      <c r="DS13" s="151"/>
      <c r="DT13" s="151">
        <f t="shared" si="34"/>
        <v>0</v>
      </c>
      <c r="DU13" s="151">
        <f>DT13/DT2</f>
        <v>0</v>
      </c>
      <c r="DV13" s="210"/>
      <c r="DW13" s="210">
        <f>DV13*DW2</f>
        <v>0</v>
      </c>
      <c r="DX13" s="210">
        <f t="shared" si="35"/>
        <v>0</v>
      </c>
      <c r="DY13" s="118"/>
      <c r="DZ13" s="151"/>
      <c r="EA13" s="151">
        <f t="shared" si="36"/>
        <v>0</v>
      </c>
      <c r="EB13" s="151">
        <f>EA13/EA2</f>
        <v>0</v>
      </c>
      <c r="EC13" s="159"/>
      <c r="ED13" s="159">
        <f>EC13*ED2</f>
        <v>0</v>
      </c>
      <c r="EE13" s="159">
        <f t="shared" si="37"/>
        <v>0</v>
      </c>
      <c r="EF13" s="118"/>
      <c r="EG13" s="151"/>
      <c r="EH13" s="151">
        <f t="shared" si="38"/>
        <v>0</v>
      </c>
      <c r="EI13" s="151">
        <f>EH13/EH2</f>
        <v>0</v>
      </c>
      <c r="EJ13" s="96"/>
      <c r="EK13" s="96">
        <f>EJ13*EK2</f>
        <v>0</v>
      </c>
      <c r="EL13" s="96">
        <f t="shared" si="39"/>
        <v>0</v>
      </c>
      <c r="EM13" s="118"/>
      <c r="EN13" s="151"/>
      <c r="EO13" s="151">
        <f t="shared" si="40"/>
        <v>0</v>
      </c>
      <c r="EP13" s="151">
        <f>EO13/EO2</f>
        <v>0</v>
      </c>
      <c r="EQ13" s="159"/>
      <c r="ER13" s="159">
        <f>EQ13*ER2</f>
        <v>0</v>
      </c>
      <c r="ES13" s="159">
        <f t="shared" si="41"/>
        <v>0</v>
      </c>
      <c r="ET13" s="118"/>
      <c r="EU13" s="151"/>
      <c r="EV13" s="151">
        <f t="shared" si="42"/>
        <v>0</v>
      </c>
      <c r="EW13" s="151">
        <f>EV13/EV2</f>
        <v>0</v>
      </c>
      <c r="EX13" s="96"/>
      <c r="EY13" s="96">
        <f>EX13*EY2</f>
        <v>0</v>
      </c>
      <c r="EZ13" s="96">
        <f t="shared" si="43"/>
        <v>0</v>
      </c>
      <c r="FA13" s="118"/>
      <c r="FB13" s="151"/>
      <c r="FC13" s="151">
        <f t="shared" si="44"/>
        <v>0</v>
      </c>
      <c r="FD13" s="151">
        <f>FC13/FC2</f>
        <v>0</v>
      </c>
      <c r="FE13" s="159"/>
      <c r="FF13" s="159">
        <f>FE13*FF2</f>
        <v>0</v>
      </c>
      <c r="FG13" s="159">
        <f t="shared" si="45"/>
        <v>0</v>
      </c>
      <c r="FH13" s="118"/>
      <c r="FI13" s="151"/>
      <c r="FJ13" s="151">
        <f t="shared" si="46"/>
        <v>0</v>
      </c>
      <c r="FK13" s="151">
        <f>FJ13/FJ2</f>
        <v>0</v>
      </c>
      <c r="FL13" s="96"/>
      <c r="FM13" s="96">
        <f>FL13*FM2</f>
        <v>0</v>
      </c>
      <c r="FN13" s="96">
        <f t="shared" si="47"/>
        <v>0</v>
      </c>
      <c r="FO13" s="118"/>
      <c r="FP13" s="151"/>
      <c r="FQ13" s="151">
        <f t="shared" si="48"/>
        <v>0</v>
      </c>
      <c r="FR13" s="151">
        <f>FQ13/FQ2</f>
        <v>0</v>
      </c>
      <c r="FS13" s="159"/>
      <c r="FT13" s="159">
        <f>FS13*FT2</f>
        <v>0</v>
      </c>
      <c r="FU13" s="159">
        <f t="shared" si="49"/>
        <v>0</v>
      </c>
      <c r="FV13" s="118"/>
      <c r="FW13" s="151"/>
      <c r="FX13" s="151">
        <f t="shared" si="50"/>
        <v>0</v>
      </c>
      <c r="FY13" s="151">
        <f>FX13/FX2</f>
        <v>0</v>
      </c>
      <c r="FZ13" s="96"/>
      <c r="GA13" s="96">
        <f>FZ13*GA2</f>
        <v>0</v>
      </c>
      <c r="GB13" s="96">
        <f t="shared" si="51"/>
        <v>0</v>
      </c>
      <c r="GC13" s="118"/>
      <c r="GD13" s="151"/>
      <c r="GE13" s="151">
        <f t="shared" si="52"/>
        <v>0</v>
      </c>
      <c r="GF13" s="151">
        <f>GE13/GE2</f>
        <v>0</v>
      </c>
      <c r="GG13" s="159"/>
      <c r="GH13" s="159">
        <f>GG13*GH2</f>
        <v>0</v>
      </c>
      <c r="GI13" s="159">
        <f t="shared" si="53"/>
        <v>0</v>
      </c>
      <c r="GJ13" s="118"/>
      <c r="GK13" s="151"/>
      <c r="GL13" s="151">
        <f t="shared" si="54"/>
        <v>0</v>
      </c>
      <c r="GM13" s="151">
        <f>GL13/GL2</f>
        <v>0</v>
      </c>
      <c r="GN13" s="159"/>
      <c r="GO13" s="159">
        <f>GN13*GO2</f>
        <v>0</v>
      </c>
      <c r="GP13" s="159">
        <f t="shared" si="55"/>
        <v>0</v>
      </c>
      <c r="GQ13" s="118"/>
      <c r="GR13" s="151"/>
      <c r="GS13" s="151">
        <f t="shared" si="56"/>
        <v>0</v>
      </c>
      <c r="GT13" s="151">
        <f>GS13/GS2</f>
        <v>0</v>
      </c>
      <c r="GU13" s="96"/>
      <c r="GV13" s="96">
        <f>GU13*GV2</f>
        <v>0</v>
      </c>
      <c r="GW13" s="96">
        <f t="shared" si="57"/>
        <v>0</v>
      </c>
      <c r="GX13" s="118"/>
      <c r="GY13" s="151"/>
      <c r="GZ13" s="151">
        <f t="shared" si="58"/>
        <v>0</v>
      </c>
      <c r="HA13" s="151">
        <f>GZ13/GZ2</f>
        <v>0</v>
      </c>
      <c r="HB13" s="159"/>
      <c r="HC13" s="159">
        <f>HB13*HC2</f>
        <v>0</v>
      </c>
      <c r="HD13" s="159">
        <f t="shared" si="59"/>
        <v>0</v>
      </c>
      <c r="HE13" s="118"/>
      <c r="HF13" s="151"/>
      <c r="HG13" s="151">
        <f t="shared" si="60"/>
        <v>0</v>
      </c>
      <c r="HH13" s="151">
        <f>HG13/HG2</f>
        <v>0</v>
      </c>
      <c r="HI13" s="210"/>
      <c r="HJ13" s="210">
        <f>HI13*HJ2</f>
        <v>0</v>
      </c>
      <c r="HK13" s="210">
        <f t="shared" si="61"/>
        <v>0</v>
      </c>
      <c r="HL13" s="118"/>
      <c r="HM13" s="151"/>
      <c r="HN13" s="151">
        <f t="shared" si="62"/>
        <v>0</v>
      </c>
      <c r="HO13" s="151">
        <f>HN13/HN2</f>
        <v>0</v>
      </c>
      <c r="HP13" s="159"/>
      <c r="HQ13" s="159">
        <f>HP13*HQ2</f>
        <v>0</v>
      </c>
      <c r="HR13" s="159">
        <f t="shared" si="63"/>
        <v>0</v>
      </c>
      <c r="HS13" s="118"/>
      <c r="HT13" s="151"/>
      <c r="HU13" s="151">
        <f t="shared" si="64"/>
        <v>0</v>
      </c>
      <c r="HV13" s="151">
        <f>HU13/HU2</f>
        <v>0</v>
      </c>
      <c r="HW13" s="96"/>
      <c r="HX13" s="96">
        <f>HW13*HX2</f>
        <v>0</v>
      </c>
      <c r="HY13" s="96">
        <f t="shared" si="65"/>
        <v>0</v>
      </c>
      <c r="HZ13" s="118"/>
      <c r="IA13" s="21"/>
    </row>
    <row r="14" spans="1:235">
      <c r="A14" s="18">
        <v>6</v>
      </c>
      <c r="B14" s="19" t="s">
        <v>17</v>
      </c>
      <c r="C14" s="118"/>
      <c r="D14" s="151"/>
      <c r="E14" s="151">
        <f t="shared" si="0"/>
        <v>0</v>
      </c>
      <c r="F14" s="151">
        <f>E14/E2</f>
        <v>0</v>
      </c>
      <c r="G14" s="73"/>
      <c r="H14" s="159">
        <f>G14*H2</f>
        <v>0</v>
      </c>
      <c r="I14" s="73">
        <f t="shared" si="1"/>
        <v>0</v>
      </c>
      <c r="J14" s="118"/>
      <c r="K14" s="151"/>
      <c r="L14" s="151">
        <f t="shared" si="2"/>
        <v>0</v>
      </c>
      <c r="M14" s="151">
        <f>L14/L2</f>
        <v>0</v>
      </c>
      <c r="N14" s="96"/>
      <c r="O14" s="96">
        <f>N14*O2</f>
        <v>0</v>
      </c>
      <c r="P14" s="96">
        <f t="shared" si="3"/>
        <v>0</v>
      </c>
      <c r="Q14" s="118"/>
      <c r="R14" s="20"/>
      <c r="S14" s="20">
        <f t="shared" si="4"/>
        <v>0</v>
      </c>
      <c r="T14" s="151">
        <f>S14/S2</f>
        <v>0</v>
      </c>
      <c r="U14" s="159"/>
      <c r="V14" s="159">
        <f>U14*V2</f>
        <v>0</v>
      </c>
      <c r="W14" s="73">
        <f t="shared" si="5"/>
        <v>0</v>
      </c>
      <c r="X14" s="118"/>
      <c r="Y14" s="20"/>
      <c r="Z14" s="20">
        <f t="shared" si="6"/>
        <v>0</v>
      </c>
      <c r="AA14" s="151">
        <f>Z14/Z2</f>
        <v>0</v>
      </c>
      <c r="AB14" s="96"/>
      <c r="AC14" s="96">
        <f>AB14*AC2</f>
        <v>0</v>
      </c>
      <c r="AD14" s="96">
        <f t="shared" si="7"/>
        <v>0</v>
      </c>
      <c r="AE14" s="118"/>
      <c r="AF14" s="131"/>
      <c r="AG14" s="131">
        <f t="shared" si="8"/>
        <v>0</v>
      </c>
      <c r="AH14" s="151">
        <f>AG14/AG2</f>
        <v>0</v>
      </c>
      <c r="AI14" s="159"/>
      <c r="AJ14" s="159">
        <f>AI14*AJ2</f>
        <v>0</v>
      </c>
      <c r="AK14" s="73">
        <f t="shared" si="9"/>
        <v>0</v>
      </c>
      <c r="AL14" s="118"/>
      <c r="AM14" s="20"/>
      <c r="AN14" s="20">
        <f t="shared" si="10"/>
        <v>0</v>
      </c>
      <c r="AO14" s="151">
        <f>AN14/AN2</f>
        <v>0</v>
      </c>
      <c r="AP14" s="96"/>
      <c r="AQ14" s="96">
        <f>AP14*AQ2</f>
        <v>0</v>
      </c>
      <c r="AR14" s="96">
        <f t="shared" si="11"/>
        <v>0</v>
      </c>
      <c r="AS14" s="118"/>
      <c r="AT14" s="151"/>
      <c r="AU14" s="151">
        <f t="shared" si="12"/>
        <v>0</v>
      </c>
      <c r="AV14" s="151">
        <f>AU14/AU2</f>
        <v>0</v>
      </c>
      <c r="AW14" s="210"/>
      <c r="AX14" s="210">
        <f>AW14*AX2</f>
        <v>0</v>
      </c>
      <c r="AY14" s="210">
        <f t="shared" si="13"/>
        <v>0</v>
      </c>
      <c r="AZ14" s="118"/>
      <c r="BA14" s="151"/>
      <c r="BB14" s="151">
        <f t="shared" si="14"/>
        <v>0</v>
      </c>
      <c r="BC14" s="151">
        <f>BB14/BB2</f>
        <v>0</v>
      </c>
      <c r="BD14" s="159"/>
      <c r="BE14" s="159">
        <f>BD14*BE2</f>
        <v>0</v>
      </c>
      <c r="BF14" s="73">
        <f t="shared" si="15"/>
        <v>0</v>
      </c>
      <c r="BG14" s="118"/>
      <c r="BH14" s="151"/>
      <c r="BI14" s="151">
        <f t="shared" si="16"/>
        <v>0</v>
      </c>
      <c r="BJ14" s="151">
        <f>BI14/BI2</f>
        <v>0</v>
      </c>
      <c r="BK14" s="210"/>
      <c r="BL14" s="210">
        <f>BK14*BL2</f>
        <v>0</v>
      </c>
      <c r="BM14" s="210">
        <f t="shared" si="17"/>
        <v>0</v>
      </c>
      <c r="BN14" s="118"/>
      <c r="BO14" s="151"/>
      <c r="BP14" s="151">
        <f t="shared" si="18"/>
        <v>0</v>
      </c>
      <c r="BQ14" s="151">
        <f>BP14/BP2</f>
        <v>0</v>
      </c>
      <c r="BR14" s="96"/>
      <c r="BS14" s="96">
        <f>BR14*BS2</f>
        <v>0</v>
      </c>
      <c r="BT14" s="96">
        <f t="shared" si="19"/>
        <v>0</v>
      </c>
      <c r="BU14" s="118"/>
      <c r="BV14" s="151"/>
      <c r="BW14" s="151">
        <f t="shared" si="20"/>
        <v>0</v>
      </c>
      <c r="BX14" s="151">
        <f>BW14/BW2</f>
        <v>0</v>
      </c>
      <c r="BY14" s="159"/>
      <c r="BZ14" s="159">
        <f>BY14*BZ2</f>
        <v>0</v>
      </c>
      <c r="CA14" s="73">
        <f t="shared" si="21"/>
        <v>0</v>
      </c>
      <c r="CB14" s="118"/>
      <c r="CC14" s="151"/>
      <c r="CD14" s="151">
        <f t="shared" si="22"/>
        <v>0</v>
      </c>
      <c r="CE14" s="151">
        <f>CD14/CD2</f>
        <v>0</v>
      </c>
      <c r="CF14" s="96"/>
      <c r="CG14" s="96">
        <f>CF14*CG2</f>
        <v>0</v>
      </c>
      <c r="CH14" s="96">
        <f t="shared" si="23"/>
        <v>0</v>
      </c>
      <c r="CI14" s="118"/>
      <c r="CJ14" s="151"/>
      <c r="CK14" s="151">
        <f t="shared" si="24"/>
        <v>0</v>
      </c>
      <c r="CL14" s="151">
        <f>CK14/CK2</f>
        <v>0</v>
      </c>
      <c r="CM14" s="210"/>
      <c r="CN14" s="210">
        <f>CM14*CN2</f>
        <v>0</v>
      </c>
      <c r="CO14" s="210">
        <f t="shared" si="25"/>
        <v>0</v>
      </c>
      <c r="CP14" s="118"/>
      <c r="CQ14" s="151"/>
      <c r="CR14" s="151">
        <f t="shared" si="26"/>
        <v>0</v>
      </c>
      <c r="CS14" s="151">
        <f>CR14/CR2</f>
        <v>0</v>
      </c>
      <c r="CT14" s="159"/>
      <c r="CU14" s="159">
        <f>CT14*CU2</f>
        <v>0</v>
      </c>
      <c r="CV14" s="159">
        <f t="shared" si="27"/>
        <v>0</v>
      </c>
      <c r="CW14" s="118"/>
      <c r="CX14" s="151"/>
      <c r="CY14" s="151">
        <f t="shared" si="28"/>
        <v>0</v>
      </c>
      <c r="CZ14" s="151">
        <f>CY14/CY2</f>
        <v>0</v>
      </c>
      <c r="DA14" s="96"/>
      <c r="DB14" s="96">
        <f>DA14*DB2</f>
        <v>0</v>
      </c>
      <c r="DC14" s="96">
        <f t="shared" si="29"/>
        <v>0</v>
      </c>
      <c r="DD14" s="118"/>
      <c r="DE14" s="151"/>
      <c r="DF14" s="151">
        <f t="shared" si="30"/>
        <v>0</v>
      </c>
      <c r="DG14" s="151">
        <f>DF14/DF2</f>
        <v>0</v>
      </c>
      <c r="DH14" s="159"/>
      <c r="DI14" s="159">
        <f>DH14*DI2</f>
        <v>0</v>
      </c>
      <c r="DJ14" s="159">
        <f t="shared" si="31"/>
        <v>0</v>
      </c>
      <c r="DK14" s="118"/>
      <c r="DL14" s="151"/>
      <c r="DM14" s="151">
        <f t="shared" si="32"/>
        <v>0</v>
      </c>
      <c r="DN14" s="151">
        <f>DM14/DM2</f>
        <v>0</v>
      </c>
      <c r="DO14" s="96"/>
      <c r="DP14" s="96">
        <f>DO14*DP2</f>
        <v>0</v>
      </c>
      <c r="DQ14" s="96">
        <f t="shared" si="33"/>
        <v>0</v>
      </c>
      <c r="DR14" s="118"/>
      <c r="DS14" s="151"/>
      <c r="DT14" s="151">
        <f t="shared" si="34"/>
        <v>0</v>
      </c>
      <c r="DU14" s="151">
        <f>DT14/DT2</f>
        <v>0</v>
      </c>
      <c r="DV14" s="210"/>
      <c r="DW14" s="210">
        <f>DV14*DW2</f>
        <v>0</v>
      </c>
      <c r="DX14" s="210">
        <f t="shared" si="35"/>
        <v>0</v>
      </c>
      <c r="DY14" s="118"/>
      <c r="DZ14" s="151"/>
      <c r="EA14" s="151">
        <f t="shared" si="36"/>
        <v>0</v>
      </c>
      <c r="EB14" s="151">
        <f>EA14/EA2</f>
        <v>0</v>
      </c>
      <c r="EC14" s="159"/>
      <c r="ED14" s="159">
        <f>EC14*ED2</f>
        <v>0</v>
      </c>
      <c r="EE14" s="159">
        <f t="shared" si="37"/>
        <v>0</v>
      </c>
      <c r="EF14" s="118"/>
      <c r="EG14" s="151"/>
      <c r="EH14" s="151">
        <f t="shared" si="38"/>
        <v>0</v>
      </c>
      <c r="EI14" s="151">
        <f>EH14/EH2</f>
        <v>0</v>
      </c>
      <c r="EJ14" s="96"/>
      <c r="EK14" s="96">
        <f>EJ14*EK2</f>
        <v>0</v>
      </c>
      <c r="EL14" s="96">
        <f t="shared" si="39"/>
        <v>0</v>
      </c>
      <c r="EM14" s="118"/>
      <c r="EN14" s="151"/>
      <c r="EO14" s="151">
        <f t="shared" si="40"/>
        <v>0</v>
      </c>
      <c r="EP14" s="151">
        <f>EO14/EO2</f>
        <v>0</v>
      </c>
      <c r="EQ14" s="159"/>
      <c r="ER14" s="159">
        <f>EQ14*ER2</f>
        <v>0</v>
      </c>
      <c r="ES14" s="159">
        <f t="shared" si="41"/>
        <v>0</v>
      </c>
      <c r="ET14" s="118"/>
      <c r="EU14" s="151"/>
      <c r="EV14" s="151">
        <f t="shared" si="42"/>
        <v>0</v>
      </c>
      <c r="EW14" s="151">
        <f>EV14/EV2</f>
        <v>0</v>
      </c>
      <c r="EX14" s="96"/>
      <c r="EY14" s="96">
        <f>EX14*EY2</f>
        <v>0</v>
      </c>
      <c r="EZ14" s="96">
        <f t="shared" si="43"/>
        <v>0</v>
      </c>
      <c r="FA14" s="118"/>
      <c r="FB14" s="151"/>
      <c r="FC14" s="151">
        <f t="shared" si="44"/>
        <v>0</v>
      </c>
      <c r="FD14" s="151">
        <f>FC14/FC2</f>
        <v>0</v>
      </c>
      <c r="FE14" s="159"/>
      <c r="FF14" s="159">
        <f>FE14*FF2</f>
        <v>0</v>
      </c>
      <c r="FG14" s="159">
        <f t="shared" si="45"/>
        <v>0</v>
      </c>
      <c r="FH14" s="118"/>
      <c r="FI14" s="151"/>
      <c r="FJ14" s="151">
        <f t="shared" si="46"/>
        <v>0</v>
      </c>
      <c r="FK14" s="151">
        <f>FJ14/FJ2</f>
        <v>0</v>
      </c>
      <c r="FL14" s="96"/>
      <c r="FM14" s="96">
        <f>FL14*FM2</f>
        <v>0</v>
      </c>
      <c r="FN14" s="96">
        <f t="shared" si="47"/>
        <v>0</v>
      </c>
      <c r="FO14" s="118"/>
      <c r="FP14" s="151"/>
      <c r="FQ14" s="151">
        <f t="shared" si="48"/>
        <v>0</v>
      </c>
      <c r="FR14" s="151">
        <f>FQ14/FQ2</f>
        <v>0</v>
      </c>
      <c r="FS14" s="159"/>
      <c r="FT14" s="159">
        <f>FS14*FT2</f>
        <v>0</v>
      </c>
      <c r="FU14" s="159">
        <f t="shared" si="49"/>
        <v>0</v>
      </c>
      <c r="FV14" s="118"/>
      <c r="FW14" s="151"/>
      <c r="FX14" s="151">
        <f t="shared" si="50"/>
        <v>0</v>
      </c>
      <c r="FY14" s="151">
        <f>FX14/FX2</f>
        <v>0</v>
      </c>
      <c r="FZ14" s="96"/>
      <c r="GA14" s="96">
        <f>FZ14*GA2</f>
        <v>0</v>
      </c>
      <c r="GB14" s="96">
        <f t="shared" si="51"/>
        <v>0</v>
      </c>
      <c r="GC14" s="118"/>
      <c r="GD14" s="151"/>
      <c r="GE14" s="151">
        <f t="shared" si="52"/>
        <v>0</v>
      </c>
      <c r="GF14" s="151">
        <f>GE14/GE2</f>
        <v>0</v>
      </c>
      <c r="GG14" s="159"/>
      <c r="GH14" s="159">
        <f>GG14*GH2</f>
        <v>0</v>
      </c>
      <c r="GI14" s="159">
        <f t="shared" si="53"/>
        <v>0</v>
      </c>
      <c r="GJ14" s="118"/>
      <c r="GK14" s="151"/>
      <c r="GL14" s="151">
        <f t="shared" si="54"/>
        <v>0</v>
      </c>
      <c r="GM14" s="151">
        <f>GL14/GL2</f>
        <v>0</v>
      </c>
      <c r="GN14" s="159"/>
      <c r="GO14" s="159">
        <f>GN14*GO2</f>
        <v>0</v>
      </c>
      <c r="GP14" s="159">
        <f t="shared" si="55"/>
        <v>0</v>
      </c>
      <c r="GQ14" s="118"/>
      <c r="GR14" s="151"/>
      <c r="GS14" s="151">
        <f t="shared" si="56"/>
        <v>0</v>
      </c>
      <c r="GT14" s="151">
        <f>GS14/GS2</f>
        <v>0</v>
      </c>
      <c r="GU14" s="96"/>
      <c r="GV14" s="96">
        <f>GU14*GV2</f>
        <v>0</v>
      </c>
      <c r="GW14" s="96">
        <f t="shared" si="57"/>
        <v>0</v>
      </c>
      <c r="GX14" s="118"/>
      <c r="GY14" s="151"/>
      <c r="GZ14" s="151">
        <f t="shared" si="58"/>
        <v>0</v>
      </c>
      <c r="HA14" s="151">
        <f>GZ14/GZ2</f>
        <v>0</v>
      </c>
      <c r="HB14" s="159"/>
      <c r="HC14" s="159">
        <f>HB14*HC2</f>
        <v>0</v>
      </c>
      <c r="HD14" s="159">
        <f t="shared" si="59"/>
        <v>0</v>
      </c>
      <c r="HE14" s="118"/>
      <c r="HF14" s="151"/>
      <c r="HG14" s="151">
        <f t="shared" si="60"/>
        <v>0</v>
      </c>
      <c r="HH14" s="151">
        <f>HG14/HG2</f>
        <v>0</v>
      </c>
      <c r="HI14" s="210"/>
      <c r="HJ14" s="210">
        <f>HI14*HJ2</f>
        <v>0</v>
      </c>
      <c r="HK14" s="210">
        <f t="shared" si="61"/>
        <v>0</v>
      </c>
      <c r="HL14" s="118"/>
      <c r="HM14" s="151"/>
      <c r="HN14" s="151">
        <f t="shared" si="62"/>
        <v>0</v>
      </c>
      <c r="HO14" s="151">
        <f>HN14/HN2</f>
        <v>0</v>
      </c>
      <c r="HP14" s="159"/>
      <c r="HQ14" s="159">
        <f>HP14*HQ2</f>
        <v>0</v>
      </c>
      <c r="HR14" s="159">
        <f t="shared" si="63"/>
        <v>0</v>
      </c>
      <c r="HS14" s="118"/>
      <c r="HT14" s="151"/>
      <c r="HU14" s="151">
        <f t="shared" si="64"/>
        <v>0</v>
      </c>
      <c r="HV14" s="151">
        <f>HU14/HU2</f>
        <v>0</v>
      </c>
      <c r="HW14" s="96"/>
      <c r="HX14" s="96">
        <f>HW14*HX2</f>
        <v>0</v>
      </c>
      <c r="HY14" s="96">
        <f t="shared" si="65"/>
        <v>0</v>
      </c>
      <c r="HZ14" s="118"/>
      <c r="IA14" s="22"/>
    </row>
    <row r="15" spans="1:235">
      <c r="A15" s="18">
        <v>7</v>
      </c>
      <c r="B15" s="19" t="s">
        <v>18</v>
      </c>
      <c r="C15" s="118"/>
      <c r="D15" s="151"/>
      <c r="E15" s="151">
        <f t="shared" si="0"/>
        <v>0</v>
      </c>
      <c r="F15" s="151">
        <f>E15/E2</f>
        <v>0</v>
      </c>
      <c r="G15" s="73"/>
      <c r="H15" s="159">
        <f>G15*H2</f>
        <v>0</v>
      </c>
      <c r="I15" s="73">
        <f t="shared" si="1"/>
        <v>0</v>
      </c>
      <c r="J15" s="118"/>
      <c r="K15" s="151"/>
      <c r="L15" s="151">
        <f t="shared" si="2"/>
        <v>0</v>
      </c>
      <c r="M15" s="151">
        <f>L15/L2</f>
        <v>0</v>
      </c>
      <c r="N15" s="96"/>
      <c r="O15" s="96">
        <f>N15*O2</f>
        <v>0</v>
      </c>
      <c r="P15" s="96">
        <f t="shared" si="3"/>
        <v>0</v>
      </c>
      <c r="Q15" s="118"/>
      <c r="R15" s="20"/>
      <c r="S15" s="20">
        <f t="shared" si="4"/>
        <v>0</v>
      </c>
      <c r="T15" s="151">
        <f>S15/S2</f>
        <v>0</v>
      </c>
      <c r="U15" s="159"/>
      <c r="V15" s="159">
        <f>U15*V2</f>
        <v>0</v>
      </c>
      <c r="W15" s="73">
        <f t="shared" si="5"/>
        <v>0</v>
      </c>
      <c r="X15" s="118"/>
      <c r="Y15" s="20"/>
      <c r="Z15" s="20">
        <f t="shared" si="6"/>
        <v>0</v>
      </c>
      <c r="AA15" s="151">
        <f>Z15/Z2</f>
        <v>0</v>
      </c>
      <c r="AB15" s="96"/>
      <c r="AC15" s="96">
        <f>AB15*AC2</f>
        <v>0</v>
      </c>
      <c r="AD15" s="96">
        <f t="shared" si="7"/>
        <v>0</v>
      </c>
      <c r="AE15" s="118"/>
      <c r="AF15" s="131"/>
      <c r="AG15" s="131">
        <f t="shared" si="8"/>
        <v>0</v>
      </c>
      <c r="AH15" s="151">
        <f>AG15/AG2</f>
        <v>0</v>
      </c>
      <c r="AI15" s="159"/>
      <c r="AJ15" s="159">
        <f>AI15*AJ2</f>
        <v>0</v>
      </c>
      <c r="AK15" s="73">
        <f t="shared" si="9"/>
        <v>0</v>
      </c>
      <c r="AL15" s="118"/>
      <c r="AM15" s="20"/>
      <c r="AN15" s="20">
        <f t="shared" si="10"/>
        <v>0</v>
      </c>
      <c r="AO15" s="151">
        <f>AN15/AN2</f>
        <v>0</v>
      </c>
      <c r="AP15" s="96"/>
      <c r="AQ15" s="96">
        <f>AP15*AQ2</f>
        <v>0</v>
      </c>
      <c r="AR15" s="96">
        <f t="shared" si="11"/>
        <v>0</v>
      </c>
      <c r="AS15" s="118"/>
      <c r="AT15" s="151"/>
      <c r="AU15" s="151">
        <f t="shared" si="12"/>
        <v>0</v>
      </c>
      <c r="AV15" s="151">
        <f>AU15/AU2</f>
        <v>0</v>
      </c>
      <c r="AW15" s="210"/>
      <c r="AX15" s="210">
        <f>AW15*AX2</f>
        <v>0</v>
      </c>
      <c r="AY15" s="210">
        <f t="shared" si="13"/>
        <v>0</v>
      </c>
      <c r="AZ15" s="118"/>
      <c r="BA15" s="151"/>
      <c r="BB15" s="151">
        <f t="shared" si="14"/>
        <v>0</v>
      </c>
      <c r="BC15" s="151">
        <f>BB15/BB2</f>
        <v>0</v>
      </c>
      <c r="BD15" s="159"/>
      <c r="BE15" s="159">
        <f>BD15*BE2</f>
        <v>0</v>
      </c>
      <c r="BF15" s="73">
        <f t="shared" si="15"/>
        <v>0</v>
      </c>
      <c r="BG15" s="118"/>
      <c r="BH15" s="151"/>
      <c r="BI15" s="151">
        <f t="shared" si="16"/>
        <v>0</v>
      </c>
      <c r="BJ15" s="151">
        <f>BI15/BI2</f>
        <v>0</v>
      </c>
      <c r="BK15" s="210"/>
      <c r="BL15" s="210">
        <f>BK15*BL2</f>
        <v>0</v>
      </c>
      <c r="BM15" s="210">
        <f t="shared" si="17"/>
        <v>0</v>
      </c>
      <c r="BN15" s="118"/>
      <c r="BO15" s="151"/>
      <c r="BP15" s="151">
        <f t="shared" si="18"/>
        <v>0</v>
      </c>
      <c r="BQ15" s="151">
        <f>BP15/BP2</f>
        <v>0</v>
      </c>
      <c r="BR15" s="96"/>
      <c r="BS15" s="96">
        <f>BR15*BS2</f>
        <v>0</v>
      </c>
      <c r="BT15" s="96">
        <f t="shared" si="19"/>
        <v>0</v>
      </c>
      <c r="BU15" s="118"/>
      <c r="BV15" s="151"/>
      <c r="BW15" s="151">
        <f t="shared" si="20"/>
        <v>0</v>
      </c>
      <c r="BX15" s="151">
        <f>BW15/BW2</f>
        <v>0</v>
      </c>
      <c r="BY15" s="159"/>
      <c r="BZ15" s="159">
        <f>BY15*BZ2</f>
        <v>0</v>
      </c>
      <c r="CA15" s="73">
        <f t="shared" si="21"/>
        <v>0</v>
      </c>
      <c r="CB15" s="118"/>
      <c r="CC15" s="151"/>
      <c r="CD15" s="151">
        <f t="shared" si="22"/>
        <v>0</v>
      </c>
      <c r="CE15" s="151">
        <f>CD15/CD2</f>
        <v>0</v>
      </c>
      <c r="CF15" s="96"/>
      <c r="CG15" s="96">
        <f>CF15*CG2</f>
        <v>0</v>
      </c>
      <c r="CH15" s="96">
        <f t="shared" si="23"/>
        <v>0</v>
      </c>
      <c r="CI15" s="118"/>
      <c r="CJ15" s="151"/>
      <c r="CK15" s="151">
        <f t="shared" si="24"/>
        <v>0</v>
      </c>
      <c r="CL15" s="151">
        <f>CK15/CK2</f>
        <v>0</v>
      </c>
      <c r="CM15" s="210"/>
      <c r="CN15" s="210">
        <f>CM15*CN2</f>
        <v>0</v>
      </c>
      <c r="CO15" s="210">
        <f t="shared" si="25"/>
        <v>0</v>
      </c>
      <c r="CP15" s="118"/>
      <c r="CQ15" s="151"/>
      <c r="CR15" s="151">
        <f t="shared" si="26"/>
        <v>0</v>
      </c>
      <c r="CS15" s="151">
        <f>CR15/CR2</f>
        <v>0</v>
      </c>
      <c r="CT15" s="159"/>
      <c r="CU15" s="159">
        <f>CT15*CU2</f>
        <v>0</v>
      </c>
      <c r="CV15" s="159">
        <f t="shared" si="27"/>
        <v>0</v>
      </c>
      <c r="CW15" s="118"/>
      <c r="CX15" s="151"/>
      <c r="CY15" s="151">
        <f t="shared" si="28"/>
        <v>0</v>
      </c>
      <c r="CZ15" s="151">
        <f>CY15/CY2</f>
        <v>0</v>
      </c>
      <c r="DA15" s="96"/>
      <c r="DB15" s="96">
        <f>DA15*DB2</f>
        <v>0</v>
      </c>
      <c r="DC15" s="96">
        <f t="shared" si="29"/>
        <v>0</v>
      </c>
      <c r="DD15" s="118"/>
      <c r="DE15" s="151"/>
      <c r="DF15" s="151">
        <f t="shared" si="30"/>
        <v>0</v>
      </c>
      <c r="DG15" s="151">
        <f>DF15/DF2</f>
        <v>0</v>
      </c>
      <c r="DH15" s="159"/>
      <c r="DI15" s="159">
        <f>DH15*DI2</f>
        <v>0</v>
      </c>
      <c r="DJ15" s="159">
        <f t="shared" si="31"/>
        <v>0</v>
      </c>
      <c r="DK15" s="118"/>
      <c r="DL15" s="151"/>
      <c r="DM15" s="151">
        <f t="shared" si="32"/>
        <v>0</v>
      </c>
      <c r="DN15" s="151">
        <f>DM15/DM2</f>
        <v>0</v>
      </c>
      <c r="DO15" s="96"/>
      <c r="DP15" s="96">
        <f>DO15*DP2</f>
        <v>0</v>
      </c>
      <c r="DQ15" s="96">
        <f t="shared" si="33"/>
        <v>0</v>
      </c>
      <c r="DR15" s="118"/>
      <c r="DS15" s="151"/>
      <c r="DT15" s="151">
        <f t="shared" si="34"/>
        <v>0</v>
      </c>
      <c r="DU15" s="151">
        <f>DT15/DT2</f>
        <v>0</v>
      </c>
      <c r="DV15" s="210"/>
      <c r="DW15" s="210">
        <f>DV15*DW2</f>
        <v>0</v>
      </c>
      <c r="DX15" s="210">
        <f t="shared" si="35"/>
        <v>0</v>
      </c>
      <c r="DY15" s="118"/>
      <c r="DZ15" s="151"/>
      <c r="EA15" s="151">
        <f t="shared" si="36"/>
        <v>0</v>
      </c>
      <c r="EB15" s="151">
        <f>EA15/EA2</f>
        <v>0</v>
      </c>
      <c r="EC15" s="159"/>
      <c r="ED15" s="159">
        <f>EC15*ED2</f>
        <v>0</v>
      </c>
      <c r="EE15" s="159">
        <f t="shared" si="37"/>
        <v>0</v>
      </c>
      <c r="EF15" s="118"/>
      <c r="EG15" s="151"/>
      <c r="EH15" s="151">
        <f t="shared" si="38"/>
        <v>0</v>
      </c>
      <c r="EI15" s="151">
        <f>EH15/EH2</f>
        <v>0</v>
      </c>
      <c r="EJ15" s="96"/>
      <c r="EK15" s="96">
        <f>EJ15*EK2</f>
        <v>0</v>
      </c>
      <c r="EL15" s="96">
        <f t="shared" si="39"/>
        <v>0</v>
      </c>
      <c r="EM15" s="118"/>
      <c r="EN15" s="151"/>
      <c r="EO15" s="151">
        <f t="shared" si="40"/>
        <v>0</v>
      </c>
      <c r="EP15" s="151">
        <f>EO15/EO2</f>
        <v>0</v>
      </c>
      <c r="EQ15" s="159"/>
      <c r="ER15" s="159">
        <f>EQ15*ER2</f>
        <v>0</v>
      </c>
      <c r="ES15" s="159">
        <f t="shared" si="41"/>
        <v>0</v>
      </c>
      <c r="ET15" s="118"/>
      <c r="EU15" s="151"/>
      <c r="EV15" s="151">
        <f t="shared" si="42"/>
        <v>0</v>
      </c>
      <c r="EW15" s="151">
        <f>EV15/EV2</f>
        <v>0</v>
      </c>
      <c r="EX15" s="96"/>
      <c r="EY15" s="96">
        <f>EX15*EY2</f>
        <v>0</v>
      </c>
      <c r="EZ15" s="96">
        <f t="shared" si="43"/>
        <v>0</v>
      </c>
      <c r="FA15" s="118"/>
      <c r="FB15" s="151"/>
      <c r="FC15" s="151">
        <f t="shared" si="44"/>
        <v>0</v>
      </c>
      <c r="FD15" s="151">
        <f>FC15/FC2</f>
        <v>0</v>
      </c>
      <c r="FE15" s="159"/>
      <c r="FF15" s="159">
        <f>FE15*FF2</f>
        <v>0</v>
      </c>
      <c r="FG15" s="159">
        <f t="shared" si="45"/>
        <v>0</v>
      </c>
      <c r="FH15" s="118"/>
      <c r="FI15" s="151"/>
      <c r="FJ15" s="151">
        <f t="shared" si="46"/>
        <v>0</v>
      </c>
      <c r="FK15" s="151">
        <f>FJ15/FJ2</f>
        <v>0</v>
      </c>
      <c r="FL15" s="96"/>
      <c r="FM15" s="96">
        <f>FL15*FM2</f>
        <v>0</v>
      </c>
      <c r="FN15" s="96">
        <f t="shared" si="47"/>
        <v>0</v>
      </c>
      <c r="FO15" s="118"/>
      <c r="FP15" s="151"/>
      <c r="FQ15" s="151">
        <f t="shared" si="48"/>
        <v>0</v>
      </c>
      <c r="FR15" s="151">
        <f>FQ15/FQ2</f>
        <v>0</v>
      </c>
      <c r="FS15" s="159"/>
      <c r="FT15" s="159">
        <f>FS15*FT2</f>
        <v>0</v>
      </c>
      <c r="FU15" s="159">
        <f t="shared" si="49"/>
        <v>0</v>
      </c>
      <c r="FV15" s="118"/>
      <c r="FW15" s="151"/>
      <c r="FX15" s="151">
        <f t="shared" si="50"/>
        <v>0</v>
      </c>
      <c r="FY15" s="151">
        <f>FX15/FX2</f>
        <v>0</v>
      </c>
      <c r="FZ15" s="96"/>
      <c r="GA15" s="96">
        <f>FZ15*GA2</f>
        <v>0</v>
      </c>
      <c r="GB15" s="96">
        <f t="shared" si="51"/>
        <v>0</v>
      </c>
      <c r="GC15" s="118"/>
      <c r="GD15" s="151"/>
      <c r="GE15" s="151">
        <f t="shared" si="52"/>
        <v>0</v>
      </c>
      <c r="GF15" s="151">
        <f>GE15/GE2</f>
        <v>0</v>
      </c>
      <c r="GG15" s="159"/>
      <c r="GH15" s="159">
        <f>GG15*GH2</f>
        <v>0</v>
      </c>
      <c r="GI15" s="159">
        <f t="shared" si="53"/>
        <v>0</v>
      </c>
      <c r="GJ15" s="118"/>
      <c r="GK15" s="151"/>
      <c r="GL15" s="151">
        <f t="shared" si="54"/>
        <v>0</v>
      </c>
      <c r="GM15" s="151">
        <f>GL15/GL2</f>
        <v>0</v>
      </c>
      <c r="GN15" s="159"/>
      <c r="GO15" s="159">
        <f>GN15*GO2</f>
        <v>0</v>
      </c>
      <c r="GP15" s="159">
        <f t="shared" si="55"/>
        <v>0</v>
      </c>
      <c r="GQ15" s="118"/>
      <c r="GR15" s="151"/>
      <c r="GS15" s="151">
        <f t="shared" si="56"/>
        <v>0</v>
      </c>
      <c r="GT15" s="151">
        <f>GS15/GS2</f>
        <v>0</v>
      </c>
      <c r="GU15" s="96"/>
      <c r="GV15" s="96">
        <f>GU15*GV2</f>
        <v>0</v>
      </c>
      <c r="GW15" s="96">
        <f t="shared" si="57"/>
        <v>0</v>
      </c>
      <c r="GX15" s="118"/>
      <c r="GY15" s="151"/>
      <c r="GZ15" s="151">
        <f t="shared" si="58"/>
        <v>0</v>
      </c>
      <c r="HA15" s="151">
        <f>GZ15/GZ2</f>
        <v>0</v>
      </c>
      <c r="HB15" s="159"/>
      <c r="HC15" s="159">
        <f>HB15*HC2</f>
        <v>0</v>
      </c>
      <c r="HD15" s="159">
        <f t="shared" si="59"/>
        <v>0</v>
      </c>
      <c r="HE15" s="118"/>
      <c r="HF15" s="151"/>
      <c r="HG15" s="151">
        <f t="shared" si="60"/>
        <v>0</v>
      </c>
      <c r="HH15" s="151">
        <f>HG15/HG2</f>
        <v>0</v>
      </c>
      <c r="HI15" s="210"/>
      <c r="HJ15" s="210">
        <f>HI15*HJ2</f>
        <v>0</v>
      </c>
      <c r="HK15" s="210">
        <f t="shared" si="61"/>
        <v>0</v>
      </c>
      <c r="HL15" s="118"/>
      <c r="HM15" s="151"/>
      <c r="HN15" s="151">
        <f t="shared" si="62"/>
        <v>0</v>
      </c>
      <c r="HO15" s="151">
        <f>HN15/HN2</f>
        <v>0</v>
      </c>
      <c r="HP15" s="159"/>
      <c r="HQ15" s="159">
        <f>HP15*HQ2</f>
        <v>0</v>
      </c>
      <c r="HR15" s="159">
        <f t="shared" si="63"/>
        <v>0</v>
      </c>
      <c r="HS15" s="118"/>
      <c r="HT15" s="151"/>
      <c r="HU15" s="151">
        <f t="shared" si="64"/>
        <v>0</v>
      </c>
      <c r="HV15" s="151">
        <f>HU15/HU2</f>
        <v>0</v>
      </c>
      <c r="HW15" s="96"/>
      <c r="HX15" s="96">
        <f>HW15*HX2</f>
        <v>0</v>
      </c>
      <c r="HY15" s="96">
        <f t="shared" si="65"/>
        <v>0</v>
      </c>
      <c r="HZ15" s="118"/>
      <c r="IA15" s="21"/>
    </row>
    <row r="16" spans="1:235">
      <c r="A16" s="18">
        <v>8</v>
      </c>
      <c r="B16" s="19" t="s">
        <v>19</v>
      </c>
      <c r="C16" s="118"/>
      <c r="D16" s="151"/>
      <c r="E16" s="151">
        <f t="shared" si="0"/>
        <v>0</v>
      </c>
      <c r="F16" s="151">
        <f>E16/E2</f>
        <v>0</v>
      </c>
      <c r="G16" s="73"/>
      <c r="H16" s="159">
        <f>G16*H2</f>
        <v>0</v>
      </c>
      <c r="I16" s="73">
        <f t="shared" si="1"/>
        <v>0</v>
      </c>
      <c r="J16" s="118"/>
      <c r="K16" s="151"/>
      <c r="L16" s="151">
        <f t="shared" si="2"/>
        <v>0</v>
      </c>
      <c r="M16" s="151">
        <f>L16/L2</f>
        <v>0</v>
      </c>
      <c r="N16" s="96"/>
      <c r="O16" s="96">
        <f>N16*O2</f>
        <v>0</v>
      </c>
      <c r="P16" s="96">
        <f t="shared" si="3"/>
        <v>0</v>
      </c>
      <c r="Q16" s="118"/>
      <c r="R16" s="20"/>
      <c r="S16" s="20">
        <f t="shared" si="4"/>
        <v>0</v>
      </c>
      <c r="T16" s="151">
        <f>S16/S2</f>
        <v>0</v>
      </c>
      <c r="U16" s="159"/>
      <c r="V16" s="159">
        <f>U16*V2</f>
        <v>0</v>
      </c>
      <c r="W16" s="73">
        <f t="shared" si="5"/>
        <v>0</v>
      </c>
      <c r="X16" s="118"/>
      <c r="Y16" s="20"/>
      <c r="Z16" s="20">
        <f t="shared" si="6"/>
        <v>0</v>
      </c>
      <c r="AA16" s="151">
        <f>Z16/Z2</f>
        <v>0</v>
      </c>
      <c r="AB16" s="96"/>
      <c r="AC16" s="96">
        <f>AB16*AC2</f>
        <v>0</v>
      </c>
      <c r="AD16" s="96">
        <f t="shared" si="7"/>
        <v>0</v>
      </c>
      <c r="AE16" s="118"/>
      <c r="AF16" s="131"/>
      <c r="AG16" s="131">
        <f t="shared" si="8"/>
        <v>0</v>
      </c>
      <c r="AH16" s="151">
        <f>AG16/AG2</f>
        <v>0</v>
      </c>
      <c r="AI16" s="159"/>
      <c r="AJ16" s="159">
        <f>AI16*AJ2</f>
        <v>0</v>
      </c>
      <c r="AK16" s="73">
        <f t="shared" si="9"/>
        <v>0</v>
      </c>
      <c r="AL16" s="118"/>
      <c r="AM16" s="20"/>
      <c r="AN16" s="20">
        <f t="shared" si="10"/>
        <v>0</v>
      </c>
      <c r="AO16" s="151">
        <f>AN16/AN2</f>
        <v>0</v>
      </c>
      <c r="AP16" s="96"/>
      <c r="AQ16" s="96">
        <f>AP16*AQ2</f>
        <v>0</v>
      </c>
      <c r="AR16" s="96">
        <f t="shared" si="11"/>
        <v>0</v>
      </c>
      <c r="AS16" s="118"/>
      <c r="AT16" s="151"/>
      <c r="AU16" s="151">
        <f t="shared" si="12"/>
        <v>0</v>
      </c>
      <c r="AV16" s="151">
        <f>AU16/AU2</f>
        <v>0</v>
      </c>
      <c r="AW16" s="210"/>
      <c r="AX16" s="210">
        <f>AW16*AX2</f>
        <v>0</v>
      </c>
      <c r="AY16" s="210">
        <f t="shared" si="13"/>
        <v>0</v>
      </c>
      <c r="AZ16" s="118"/>
      <c r="BA16" s="151"/>
      <c r="BB16" s="151">
        <f t="shared" si="14"/>
        <v>0</v>
      </c>
      <c r="BC16" s="151">
        <f>BB16/BB2</f>
        <v>0</v>
      </c>
      <c r="BD16" s="159"/>
      <c r="BE16" s="159">
        <f>BD16*BE2</f>
        <v>0</v>
      </c>
      <c r="BF16" s="73">
        <f t="shared" si="15"/>
        <v>0</v>
      </c>
      <c r="BG16" s="118"/>
      <c r="BH16" s="151"/>
      <c r="BI16" s="151">
        <f t="shared" si="16"/>
        <v>0</v>
      </c>
      <c r="BJ16" s="151">
        <f>BI16/BI2</f>
        <v>0</v>
      </c>
      <c r="BK16" s="210"/>
      <c r="BL16" s="210">
        <f>BK16*BL2</f>
        <v>0</v>
      </c>
      <c r="BM16" s="210">
        <f t="shared" si="17"/>
        <v>0</v>
      </c>
      <c r="BN16" s="118"/>
      <c r="BO16" s="151"/>
      <c r="BP16" s="151">
        <f t="shared" si="18"/>
        <v>0</v>
      </c>
      <c r="BQ16" s="151">
        <f>BP16/BP2</f>
        <v>0</v>
      </c>
      <c r="BR16" s="96"/>
      <c r="BS16" s="96">
        <f>BR16*BS2</f>
        <v>0</v>
      </c>
      <c r="BT16" s="96">
        <f t="shared" si="19"/>
        <v>0</v>
      </c>
      <c r="BU16" s="118"/>
      <c r="BV16" s="151"/>
      <c r="BW16" s="151">
        <f t="shared" si="20"/>
        <v>0</v>
      </c>
      <c r="BX16" s="151">
        <f>BW16/BW2</f>
        <v>0</v>
      </c>
      <c r="BY16" s="159"/>
      <c r="BZ16" s="159">
        <f>BY16*BZ2</f>
        <v>0</v>
      </c>
      <c r="CA16" s="73">
        <f t="shared" si="21"/>
        <v>0</v>
      </c>
      <c r="CB16" s="118"/>
      <c r="CC16" s="151"/>
      <c r="CD16" s="151">
        <f t="shared" si="22"/>
        <v>0</v>
      </c>
      <c r="CE16" s="151">
        <f>CD16/CD2</f>
        <v>0</v>
      </c>
      <c r="CF16" s="96"/>
      <c r="CG16" s="96">
        <f>CF16*CG2</f>
        <v>0</v>
      </c>
      <c r="CH16" s="96">
        <f t="shared" si="23"/>
        <v>0</v>
      </c>
      <c r="CI16" s="118"/>
      <c r="CJ16" s="151"/>
      <c r="CK16" s="151">
        <f t="shared" si="24"/>
        <v>0</v>
      </c>
      <c r="CL16" s="151">
        <f>CK16/CK2</f>
        <v>0</v>
      </c>
      <c r="CM16" s="210"/>
      <c r="CN16" s="210">
        <f>CM16*CN2</f>
        <v>0</v>
      </c>
      <c r="CO16" s="210">
        <f t="shared" si="25"/>
        <v>0</v>
      </c>
      <c r="CP16" s="118"/>
      <c r="CQ16" s="151"/>
      <c r="CR16" s="151">
        <f t="shared" si="26"/>
        <v>0</v>
      </c>
      <c r="CS16" s="151">
        <f>CR16/CR2</f>
        <v>0</v>
      </c>
      <c r="CT16" s="159"/>
      <c r="CU16" s="159">
        <f>CT16*CU2</f>
        <v>0</v>
      </c>
      <c r="CV16" s="159">
        <f t="shared" si="27"/>
        <v>0</v>
      </c>
      <c r="CW16" s="118"/>
      <c r="CX16" s="151"/>
      <c r="CY16" s="151">
        <f t="shared" si="28"/>
        <v>0</v>
      </c>
      <c r="CZ16" s="151">
        <f>CY16/CY2</f>
        <v>0</v>
      </c>
      <c r="DA16" s="96"/>
      <c r="DB16" s="96">
        <f>DA16*DB2</f>
        <v>0</v>
      </c>
      <c r="DC16" s="96">
        <f t="shared" si="29"/>
        <v>0</v>
      </c>
      <c r="DD16" s="118"/>
      <c r="DE16" s="151"/>
      <c r="DF16" s="151">
        <f t="shared" si="30"/>
        <v>0</v>
      </c>
      <c r="DG16" s="151">
        <f>DF16/DF2</f>
        <v>0</v>
      </c>
      <c r="DH16" s="159"/>
      <c r="DI16" s="159">
        <f>DH16*DI2</f>
        <v>0</v>
      </c>
      <c r="DJ16" s="159">
        <f t="shared" si="31"/>
        <v>0</v>
      </c>
      <c r="DK16" s="118"/>
      <c r="DL16" s="151"/>
      <c r="DM16" s="151">
        <f t="shared" si="32"/>
        <v>0</v>
      </c>
      <c r="DN16" s="151">
        <f>DM16/DM2</f>
        <v>0</v>
      </c>
      <c r="DO16" s="96"/>
      <c r="DP16" s="96">
        <f>DO16*DP2</f>
        <v>0</v>
      </c>
      <c r="DQ16" s="96">
        <f t="shared" si="33"/>
        <v>0</v>
      </c>
      <c r="DR16" s="118"/>
      <c r="DS16" s="151"/>
      <c r="DT16" s="151">
        <f t="shared" si="34"/>
        <v>0</v>
      </c>
      <c r="DU16" s="151">
        <f>DT16/DT2</f>
        <v>0</v>
      </c>
      <c r="DV16" s="210"/>
      <c r="DW16" s="210">
        <f>DV16*DW2</f>
        <v>0</v>
      </c>
      <c r="DX16" s="210">
        <f t="shared" si="35"/>
        <v>0</v>
      </c>
      <c r="DY16" s="118"/>
      <c r="DZ16" s="151"/>
      <c r="EA16" s="151">
        <f t="shared" si="36"/>
        <v>0</v>
      </c>
      <c r="EB16" s="151">
        <f>EA16/EA2</f>
        <v>0</v>
      </c>
      <c r="EC16" s="159"/>
      <c r="ED16" s="159">
        <f>EC16*ED2</f>
        <v>0</v>
      </c>
      <c r="EE16" s="159">
        <f t="shared" si="37"/>
        <v>0</v>
      </c>
      <c r="EF16" s="118"/>
      <c r="EG16" s="151"/>
      <c r="EH16" s="151">
        <f t="shared" si="38"/>
        <v>0</v>
      </c>
      <c r="EI16" s="151">
        <f>EH16/EH2</f>
        <v>0</v>
      </c>
      <c r="EJ16" s="96"/>
      <c r="EK16" s="96">
        <f>EJ16*EK2</f>
        <v>0</v>
      </c>
      <c r="EL16" s="96">
        <f t="shared" si="39"/>
        <v>0</v>
      </c>
      <c r="EM16" s="118"/>
      <c r="EN16" s="151"/>
      <c r="EO16" s="151">
        <f t="shared" si="40"/>
        <v>0</v>
      </c>
      <c r="EP16" s="151">
        <f>EO16/EO2</f>
        <v>0</v>
      </c>
      <c r="EQ16" s="159"/>
      <c r="ER16" s="159">
        <f>EQ16*ER2</f>
        <v>0</v>
      </c>
      <c r="ES16" s="159">
        <f t="shared" si="41"/>
        <v>0</v>
      </c>
      <c r="ET16" s="118"/>
      <c r="EU16" s="151"/>
      <c r="EV16" s="151">
        <f t="shared" si="42"/>
        <v>0</v>
      </c>
      <c r="EW16" s="151">
        <f>EV16/EV2</f>
        <v>0</v>
      </c>
      <c r="EX16" s="96"/>
      <c r="EY16" s="96">
        <f>EX16*EY2</f>
        <v>0</v>
      </c>
      <c r="EZ16" s="96">
        <f t="shared" si="43"/>
        <v>0</v>
      </c>
      <c r="FA16" s="118"/>
      <c r="FB16" s="151"/>
      <c r="FC16" s="151">
        <f t="shared" si="44"/>
        <v>0</v>
      </c>
      <c r="FD16" s="151">
        <f>FC16/FC2</f>
        <v>0</v>
      </c>
      <c r="FE16" s="159"/>
      <c r="FF16" s="159">
        <f>FE16*FF2</f>
        <v>0</v>
      </c>
      <c r="FG16" s="159">
        <f t="shared" si="45"/>
        <v>0</v>
      </c>
      <c r="FH16" s="118"/>
      <c r="FI16" s="151"/>
      <c r="FJ16" s="151">
        <f t="shared" si="46"/>
        <v>0</v>
      </c>
      <c r="FK16" s="151">
        <f>FJ16/FJ2</f>
        <v>0</v>
      </c>
      <c r="FL16" s="96"/>
      <c r="FM16" s="96">
        <f>FL16*FM2</f>
        <v>0</v>
      </c>
      <c r="FN16" s="96">
        <f t="shared" si="47"/>
        <v>0</v>
      </c>
      <c r="FO16" s="118"/>
      <c r="FP16" s="151"/>
      <c r="FQ16" s="151">
        <f t="shared" si="48"/>
        <v>0</v>
      </c>
      <c r="FR16" s="151">
        <f>FQ16/FQ2</f>
        <v>0</v>
      </c>
      <c r="FS16" s="159"/>
      <c r="FT16" s="159">
        <f>FS16*FT2</f>
        <v>0</v>
      </c>
      <c r="FU16" s="159">
        <f t="shared" si="49"/>
        <v>0</v>
      </c>
      <c r="FV16" s="118"/>
      <c r="FW16" s="151"/>
      <c r="FX16" s="151">
        <f t="shared" si="50"/>
        <v>0</v>
      </c>
      <c r="FY16" s="151">
        <f>FX16/FX2</f>
        <v>0</v>
      </c>
      <c r="FZ16" s="96"/>
      <c r="GA16" s="96">
        <f>FZ16*GA2</f>
        <v>0</v>
      </c>
      <c r="GB16" s="96">
        <f t="shared" si="51"/>
        <v>0</v>
      </c>
      <c r="GC16" s="118"/>
      <c r="GD16" s="151"/>
      <c r="GE16" s="151">
        <f t="shared" si="52"/>
        <v>0</v>
      </c>
      <c r="GF16" s="151">
        <f>GE16/GE2</f>
        <v>0</v>
      </c>
      <c r="GG16" s="159"/>
      <c r="GH16" s="159">
        <f>GG16*GH2</f>
        <v>0</v>
      </c>
      <c r="GI16" s="159">
        <f t="shared" si="53"/>
        <v>0</v>
      </c>
      <c r="GJ16" s="118"/>
      <c r="GK16" s="151"/>
      <c r="GL16" s="151">
        <f t="shared" si="54"/>
        <v>0</v>
      </c>
      <c r="GM16" s="151">
        <f>GL16/GL2</f>
        <v>0</v>
      </c>
      <c r="GN16" s="159"/>
      <c r="GO16" s="159">
        <f>GN16*GO2</f>
        <v>0</v>
      </c>
      <c r="GP16" s="159">
        <f t="shared" si="55"/>
        <v>0</v>
      </c>
      <c r="GQ16" s="118"/>
      <c r="GR16" s="151"/>
      <c r="GS16" s="151">
        <f t="shared" si="56"/>
        <v>0</v>
      </c>
      <c r="GT16" s="151">
        <f>GS16/GS2</f>
        <v>0</v>
      </c>
      <c r="GU16" s="96"/>
      <c r="GV16" s="96">
        <f>GU16*GV2</f>
        <v>0</v>
      </c>
      <c r="GW16" s="96">
        <f t="shared" si="57"/>
        <v>0</v>
      </c>
      <c r="GX16" s="118"/>
      <c r="GY16" s="151"/>
      <c r="GZ16" s="151">
        <f t="shared" si="58"/>
        <v>0</v>
      </c>
      <c r="HA16" s="151">
        <f>GZ16/GZ2</f>
        <v>0</v>
      </c>
      <c r="HB16" s="159"/>
      <c r="HC16" s="159">
        <f>HB16*HC2</f>
        <v>0</v>
      </c>
      <c r="HD16" s="159">
        <f t="shared" si="59"/>
        <v>0</v>
      </c>
      <c r="HE16" s="118"/>
      <c r="HF16" s="151"/>
      <c r="HG16" s="151">
        <f t="shared" si="60"/>
        <v>0</v>
      </c>
      <c r="HH16" s="151">
        <f>HG16/HG2</f>
        <v>0</v>
      </c>
      <c r="HI16" s="210"/>
      <c r="HJ16" s="210">
        <f>HI16*HJ2</f>
        <v>0</v>
      </c>
      <c r="HK16" s="210">
        <f t="shared" si="61"/>
        <v>0</v>
      </c>
      <c r="HL16" s="118"/>
      <c r="HM16" s="151"/>
      <c r="HN16" s="151">
        <f t="shared" si="62"/>
        <v>0</v>
      </c>
      <c r="HO16" s="151">
        <f>HN16/HN2</f>
        <v>0</v>
      </c>
      <c r="HP16" s="159"/>
      <c r="HQ16" s="159">
        <f>HP16*HQ2</f>
        <v>0</v>
      </c>
      <c r="HR16" s="159">
        <f t="shared" si="63"/>
        <v>0</v>
      </c>
      <c r="HS16" s="118"/>
      <c r="HT16" s="151"/>
      <c r="HU16" s="151">
        <f t="shared" si="64"/>
        <v>0</v>
      </c>
      <c r="HV16" s="151">
        <f>HU16/HU2</f>
        <v>0</v>
      </c>
      <c r="HW16" s="96"/>
      <c r="HX16" s="96">
        <f>HW16*HX2</f>
        <v>0</v>
      </c>
      <c r="HY16" s="96">
        <f t="shared" si="65"/>
        <v>0</v>
      </c>
      <c r="HZ16" s="118"/>
      <c r="IA16" s="21"/>
    </row>
    <row r="17" spans="1:235">
      <c r="A17" s="18">
        <v>9</v>
      </c>
      <c r="B17" s="19" t="s">
        <v>20</v>
      </c>
      <c r="C17" s="118"/>
      <c r="D17" s="151"/>
      <c r="E17" s="151">
        <f t="shared" si="0"/>
        <v>0</v>
      </c>
      <c r="F17" s="151">
        <f>E17/E2</f>
        <v>0</v>
      </c>
      <c r="G17" s="73"/>
      <c r="H17" s="159">
        <f>G17*H2</f>
        <v>0</v>
      </c>
      <c r="I17" s="73">
        <f t="shared" si="1"/>
        <v>0</v>
      </c>
      <c r="J17" s="118"/>
      <c r="K17" s="151"/>
      <c r="L17" s="151">
        <f t="shared" si="2"/>
        <v>0</v>
      </c>
      <c r="M17" s="151">
        <f>L17/L2</f>
        <v>0</v>
      </c>
      <c r="N17" s="96"/>
      <c r="O17" s="96">
        <f>N17*O2</f>
        <v>0</v>
      </c>
      <c r="P17" s="96">
        <f t="shared" si="3"/>
        <v>0</v>
      </c>
      <c r="Q17" s="118"/>
      <c r="R17" s="20"/>
      <c r="S17" s="20">
        <f t="shared" si="4"/>
        <v>0</v>
      </c>
      <c r="T17" s="151">
        <f>S17/S2</f>
        <v>0</v>
      </c>
      <c r="U17" s="159"/>
      <c r="V17" s="159">
        <f>U17*V2</f>
        <v>0</v>
      </c>
      <c r="W17" s="73">
        <f t="shared" si="5"/>
        <v>0</v>
      </c>
      <c r="X17" s="118"/>
      <c r="Y17" s="20"/>
      <c r="Z17" s="20">
        <f t="shared" si="6"/>
        <v>0</v>
      </c>
      <c r="AA17" s="151">
        <f>Z17/Z2</f>
        <v>0</v>
      </c>
      <c r="AB17" s="96"/>
      <c r="AC17" s="96">
        <f>AB17*AC2</f>
        <v>0</v>
      </c>
      <c r="AD17" s="96">
        <f t="shared" si="7"/>
        <v>0</v>
      </c>
      <c r="AE17" s="118"/>
      <c r="AF17" s="131"/>
      <c r="AG17" s="131">
        <f t="shared" si="8"/>
        <v>0</v>
      </c>
      <c r="AH17" s="151">
        <f>AG17/AG2</f>
        <v>0</v>
      </c>
      <c r="AI17" s="159"/>
      <c r="AJ17" s="159">
        <f>AI17*AJ2</f>
        <v>0</v>
      </c>
      <c r="AK17" s="73">
        <f t="shared" si="9"/>
        <v>0</v>
      </c>
      <c r="AL17" s="118"/>
      <c r="AM17" s="20"/>
      <c r="AN17" s="20">
        <f t="shared" si="10"/>
        <v>0</v>
      </c>
      <c r="AO17" s="151">
        <f>AN17/AN2</f>
        <v>0</v>
      </c>
      <c r="AP17" s="96"/>
      <c r="AQ17" s="96">
        <f>AP17*AQ2</f>
        <v>0</v>
      </c>
      <c r="AR17" s="96">
        <f t="shared" si="11"/>
        <v>0</v>
      </c>
      <c r="AS17" s="118"/>
      <c r="AT17" s="151"/>
      <c r="AU17" s="151">
        <f t="shared" si="12"/>
        <v>0</v>
      </c>
      <c r="AV17" s="151">
        <f>AU17/AU2</f>
        <v>0</v>
      </c>
      <c r="AW17" s="210"/>
      <c r="AX17" s="210">
        <f>AW17*AX2</f>
        <v>0</v>
      </c>
      <c r="AY17" s="210">
        <f t="shared" si="13"/>
        <v>0</v>
      </c>
      <c r="AZ17" s="118"/>
      <c r="BA17" s="151"/>
      <c r="BB17" s="151">
        <f t="shared" si="14"/>
        <v>0</v>
      </c>
      <c r="BC17" s="151">
        <f>BB17/BB2</f>
        <v>0</v>
      </c>
      <c r="BD17" s="159"/>
      <c r="BE17" s="159">
        <f>BD17*BE2</f>
        <v>0</v>
      </c>
      <c r="BF17" s="73">
        <f t="shared" si="15"/>
        <v>0</v>
      </c>
      <c r="BG17" s="118"/>
      <c r="BH17" s="151"/>
      <c r="BI17" s="151">
        <f t="shared" si="16"/>
        <v>0</v>
      </c>
      <c r="BJ17" s="151">
        <f>BI17/BI2</f>
        <v>0</v>
      </c>
      <c r="BK17" s="210"/>
      <c r="BL17" s="210">
        <f>BK17*BL2</f>
        <v>0</v>
      </c>
      <c r="BM17" s="210">
        <f t="shared" si="17"/>
        <v>0</v>
      </c>
      <c r="BN17" s="118"/>
      <c r="BO17" s="151"/>
      <c r="BP17" s="151">
        <f t="shared" si="18"/>
        <v>0</v>
      </c>
      <c r="BQ17" s="151">
        <f>BP17/BP2</f>
        <v>0</v>
      </c>
      <c r="BR17" s="96"/>
      <c r="BS17" s="96">
        <f>BR17*BS2</f>
        <v>0</v>
      </c>
      <c r="BT17" s="96">
        <f t="shared" si="19"/>
        <v>0</v>
      </c>
      <c r="BU17" s="118"/>
      <c r="BV17" s="151"/>
      <c r="BW17" s="151">
        <f t="shared" si="20"/>
        <v>0</v>
      </c>
      <c r="BX17" s="151">
        <f>BW17/BW2</f>
        <v>0</v>
      </c>
      <c r="BY17" s="159"/>
      <c r="BZ17" s="159">
        <f>BY17*BZ2</f>
        <v>0</v>
      </c>
      <c r="CA17" s="73">
        <f t="shared" si="21"/>
        <v>0</v>
      </c>
      <c r="CB17" s="118"/>
      <c r="CC17" s="151"/>
      <c r="CD17" s="151">
        <f t="shared" si="22"/>
        <v>0</v>
      </c>
      <c r="CE17" s="151">
        <f>CD17/CD2</f>
        <v>0</v>
      </c>
      <c r="CF17" s="96"/>
      <c r="CG17" s="96">
        <f>CF17*CG2</f>
        <v>0</v>
      </c>
      <c r="CH17" s="96">
        <f t="shared" si="23"/>
        <v>0</v>
      </c>
      <c r="CI17" s="118"/>
      <c r="CJ17" s="151"/>
      <c r="CK17" s="151">
        <f t="shared" si="24"/>
        <v>0</v>
      </c>
      <c r="CL17" s="151">
        <f>CK17/CK2</f>
        <v>0</v>
      </c>
      <c r="CM17" s="210"/>
      <c r="CN17" s="210">
        <f>CM17*CN2</f>
        <v>0</v>
      </c>
      <c r="CO17" s="210">
        <f t="shared" si="25"/>
        <v>0</v>
      </c>
      <c r="CP17" s="118"/>
      <c r="CQ17" s="151"/>
      <c r="CR17" s="151">
        <f t="shared" si="26"/>
        <v>0</v>
      </c>
      <c r="CS17" s="151">
        <f>CR17/CR2</f>
        <v>0</v>
      </c>
      <c r="CT17" s="159"/>
      <c r="CU17" s="159">
        <f>CT17*CU2</f>
        <v>0</v>
      </c>
      <c r="CV17" s="159">
        <f t="shared" si="27"/>
        <v>0</v>
      </c>
      <c r="CW17" s="118"/>
      <c r="CX17" s="151"/>
      <c r="CY17" s="151">
        <f t="shared" si="28"/>
        <v>0</v>
      </c>
      <c r="CZ17" s="151">
        <f>CY17/CY2</f>
        <v>0</v>
      </c>
      <c r="DA17" s="96"/>
      <c r="DB17" s="96">
        <f>DA17*DB2</f>
        <v>0</v>
      </c>
      <c r="DC17" s="96">
        <f t="shared" si="29"/>
        <v>0</v>
      </c>
      <c r="DD17" s="118"/>
      <c r="DE17" s="151"/>
      <c r="DF17" s="151">
        <f t="shared" si="30"/>
        <v>0</v>
      </c>
      <c r="DG17" s="151">
        <f>DF17/DF2</f>
        <v>0</v>
      </c>
      <c r="DH17" s="159"/>
      <c r="DI17" s="159">
        <f>DH17*DI2</f>
        <v>0</v>
      </c>
      <c r="DJ17" s="159">
        <f t="shared" si="31"/>
        <v>0</v>
      </c>
      <c r="DK17" s="118"/>
      <c r="DL17" s="151"/>
      <c r="DM17" s="151">
        <f t="shared" si="32"/>
        <v>0</v>
      </c>
      <c r="DN17" s="151">
        <f>DM17/DM2</f>
        <v>0</v>
      </c>
      <c r="DO17" s="96"/>
      <c r="DP17" s="96">
        <f>DO17*DP2</f>
        <v>0</v>
      </c>
      <c r="DQ17" s="96">
        <f t="shared" si="33"/>
        <v>0</v>
      </c>
      <c r="DR17" s="118"/>
      <c r="DS17" s="151"/>
      <c r="DT17" s="151">
        <f t="shared" si="34"/>
        <v>0</v>
      </c>
      <c r="DU17" s="151">
        <f>DT17/DT2</f>
        <v>0</v>
      </c>
      <c r="DV17" s="210"/>
      <c r="DW17" s="210">
        <f>DV17*DW2</f>
        <v>0</v>
      </c>
      <c r="DX17" s="210">
        <f t="shared" si="35"/>
        <v>0</v>
      </c>
      <c r="DY17" s="118"/>
      <c r="DZ17" s="151"/>
      <c r="EA17" s="151">
        <f t="shared" si="36"/>
        <v>0</v>
      </c>
      <c r="EB17" s="151">
        <f>EA17/EA2</f>
        <v>0</v>
      </c>
      <c r="EC17" s="159"/>
      <c r="ED17" s="159">
        <f>EC17*ED2</f>
        <v>0</v>
      </c>
      <c r="EE17" s="159">
        <f t="shared" si="37"/>
        <v>0</v>
      </c>
      <c r="EF17" s="118"/>
      <c r="EG17" s="151"/>
      <c r="EH17" s="151">
        <f t="shared" si="38"/>
        <v>0</v>
      </c>
      <c r="EI17" s="151">
        <f>EH17/EH2</f>
        <v>0</v>
      </c>
      <c r="EJ17" s="96"/>
      <c r="EK17" s="96">
        <f>EJ17*EK2</f>
        <v>0</v>
      </c>
      <c r="EL17" s="96">
        <f t="shared" si="39"/>
        <v>0</v>
      </c>
      <c r="EM17" s="118"/>
      <c r="EN17" s="151"/>
      <c r="EO17" s="151">
        <f t="shared" si="40"/>
        <v>0</v>
      </c>
      <c r="EP17" s="151">
        <f>EO17/EO2</f>
        <v>0</v>
      </c>
      <c r="EQ17" s="159"/>
      <c r="ER17" s="159">
        <f>EQ17*ER2</f>
        <v>0</v>
      </c>
      <c r="ES17" s="159">
        <f t="shared" si="41"/>
        <v>0</v>
      </c>
      <c r="ET17" s="118"/>
      <c r="EU17" s="151"/>
      <c r="EV17" s="151">
        <f t="shared" si="42"/>
        <v>0</v>
      </c>
      <c r="EW17" s="151">
        <f>EV17/EV2</f>
        <v>0</v>
      </c>
      <c r="EX17" s="96"/>
      <c r="EY17" s="96">
        <f>EX17*EY2</f>
        <v>0</v>
      </c>
      <c r="EZ17" s="96">
        <f t="shared" si="43"/>
        <v>0</v>
      </c>
      <c r="FA17" s="118"/>
      <c r="FB17" s="151"/>
      <c r="FC17" s="151">
        <f t="shared" si="44"/>
        <v>0</v>
      </c>
      <c r="FD17" s="151">
        <f>FC17/FC2</f>
        <v>0</v>
      </c>
      <c r="FE17" s="159"/>
      <c r="FF17" s="159">
        <f>FE17*FF2</f>
        <v>0</v>
      </c>
      <c r="FG17" s="159">
        <f t="shared" si="45"/>
        <v>0</v>
      </c>
      <c r="FH17" s="118"/>
      <c r="FI17" s="151"/>
      <c r="FJ17" s="151">
        <f t="shared" si="46"/>
        <v>0</v>
      </c>
      <c r="FK17" s="151">
        <f>FJ17/FJ2</f>
        <v>0</v>
      </c>
      <c r="FL17" s="96"/>
      <c r="FM17" s="96">
        <f>FL17*FM2</f>
        <v>0</v>
      </c>
      <c r="FN17" s="96">
        <f t="shared" si="47"/>
        <v>0</v>
      </c>
      <c r="FO17" s="118"/>
      <c r="FP17" s="151"/>
      <c r="FQ17" s="151">
        <f t="shared" si="48"/>
        <v>0</v>
      </c>
      <c r="FR17" s="151">
        <f>FQ17/FQ2</f>
        <v>0</v>
      </c>
      <c r="FS17" s="159"/>
      <c r="FT17" s="159">
        <f>FS17*FT2</f>
        <v>0</v>
      </c>
      <c r="FU17" s="159">
        <f t="shared" si="49"/>
        <v>0</v>
      </c>
      <c r="FV17" s="118"/>
      <c r="FW17" s="151"/>
      <c r="FX17" s="151">
        <f t="shared" si="50"/>
        <v>0</v>
      </c>
      <c r="FY17" s="151">
        <f>FX17/FX2</f>
        <v>0</v>
      </c>
      <c r="FZ17" s="96"/>
      <c r="GA17" s="96">
        <f>FZ17*GA2</f>
        <v>0</v>
      </c>
      <c r="GB17" s="96">
        <f t="shared" si="51"/>
        <v>0</v>
      </c>
      <c r="GC17" s="118"/>
      <c r="GD17" s="151"/>
      <c r="GE17" s="151">
        <f t="shared" si="52"/>
        <v>0</v>
      </c>
      <c r="GF17" s="151">
        <f>GE17/GE2</f>
        <v>0</v>
      </c>
      <c r="GG17" s="159"/>
      <c r="GH17" s="159">
        <f>GG17*GH2</f>
        <v>0</v>
      </c>
      <c r="GI17" s="159">
        <f t="shared" si="53"/>
        <v>0</v>
      </c>
      <c r="GJ17" s="118"/>
      <c r="GK17" s="151"/>
      <c r="GL17" s="151">
        <f t="shared" si="54"/>
        <v>0</v>
      </c>
      <c r="GM17" s="151">
        <f>GL17/GL2</f>
        <v>0</v>
      </c>
      <c r="GN17" s="159"/>
      <c r="GO17" s="159">
        <f>GN17*GO2</f>
        <v>0</v>
      </c>
      <c r="GP17" s="159">
        <f t="shared" si="55"/>
        <v>0</v>
      </c>
      <c r="GQ17" s="118"/>
      <c r="GR17" s="151"/>
      <c r="GS17" s="151">
        <f t="shared" si="56"/>
        <v>0</v>
      </c>
      <c r="GT17" s="151">
        <f>GS17/GS2</f>
        <v>0</v>
      </c>
      <c r="GU17" s="96"/>
      <c r="GV17" s="96">
        <f>GU17*GV2</f>
        <v>0</v>
      </c>
      <c r="GW17" s="96">
        <f t="shared" si="57"/>
        <v>0</v>
      </c>
      <c r="GX17" s="118"/>
      <c r="GY17" s="151"/>
      <c r="GZ17" s="151">
        <f t="shared" si="58"/>
        <v>0</v>
      </c>
      <c r="HA17" s="151">
        <f>GZ17/GZ2</f>
        <v>0</v>
      </c>
      <c r="HB17" s="159"/>
      <c r="HC17" s="159">
        <f>HB17*HC2</f>
        <v>0</v>
      </c>
      <c r="HD17" s="159">
        <f t="shared" si="59"/>
        <v>0</v>
      </c>
      <c r="HE17" s="118"/>
      <c r="HF17" s="151"/>
      <c r="HG17" s="151">
        <f t="shared" si="60"/>
        <v>0</v>
      </c>
      <c r="HH17" s="151">
        <f>HG17/HG2</f>
        <v>0</v>
      </c>
      <c r="HI17" s="210"/>
      <c r="HJ17" s="210">
        <f>HI17*HJ2</f>
        <v>0</v>
      </c>
      <c r="HK17" s="210">
        <f t="shared" si="61"/>
        <v>0</v>
      </c>
      <c r="HL17" s="118"/>
      <c r="HM17" s="151"/>
      <c r="HN17" s="151">
        <f t="shared" si="62"/>
        <v>0</v>
      </c>
      <c r="HO17" s="151">
        <f>HN17/HN2</f>
        <v>0</v>
      </c>
      <c r="HP17" s="159"/>
      <c r="HQ17" s="159">
        <f>HP17*HQ2</f>
        <v>0</v>
      </c>
      <c r="HR17" s="159">
        <f t="shared" si="63"/>
        <v>0</v>
      </c>
      <c r="HS17" s="118"/>
      <c r="HT17" s="151"/>
      <c r="HU17" s="151">
        <f t="shared" si="64"/>
        <v>0</v>
      </c>
      <c r="HV17" s="151">
        <f>HU17/HU2</f>
        <v>0</v>
      </c>
      <c r="HW17" s="96"/>
      <c r="HX17" s="96">
        <f>HW17*HX2</f>
        <v>0</v>
      </c>
      <c r="HY17" s="96">
        <f t="shared" si="65"/>
        <v>0</v>
      </c>
      <c r="HZ17" s="118"/>
      <c r="IA17" s="21"/>
    </row>
    <row r="18" spans="1:235" s="26" customFormat="1" ht="15">
      <c r="A18" s="12"/>
      <c r="B18" s="23" t="s">
        <v>21</v>
      </c>
      <c r="C18" s="119"/>
      <c r="D18" s="152">
        <f>SUM(D9:D17)</f>
        <v>87556.246732880289</v>
      </c>
      <c r="E18" s="152">
        <f>SUM(E9:E17)</f>
        <v>74200.209095661266</v>
      </c>
      <c r="F18" s="152"/>
      <c r="G18" s="75"/>
      <c r="H18" s="76">
        <f>SUM(H9:H17)</f>
        <v>304723.20000000001</v>
      </c>
      <c r="I18" s="76">
        <f>SUM(I9:I17)</f>
        <v>359573.37599999999</v>
      </c>
      <c r="J18" s="119"/>
      <c r="K18" s="152">
        <f>SUM(K9:K17)</f>
        <v>87556.246732880289</v>
      </c>
      <c r="L18" s="152">
        <f>SUM(L9:L17)</f>
        <v>74200.209095661266</v>
      </c>
      <c r="M18" s="152"/>
      <c r="N18" s="97"/>
      <c r="O18" s="98">
        <f>SUM(O9:O17)</f>
        <v>138481.20000000001</v>
      </c>
      <c r="P18" s="98">
        <f>SUM(P9:P17)</f>
        <v>163407.81599999999</v>
      </c>
      <c r="Q18" s="119"/>
      <c r="R18" s="24">
        <f>SUM(R9:R17)</f>
        <v>0</v>
      </c>
      <c r="S18" s="24">
        <f>SUM(S9:S17)</f>
        <v>0</v>
      </c>
      <c r="T18" s="152"/>
      <c r="U18" s="75"/>
      <c r="V18" s="76">
        <f>SUM(V9:V17)</f>
        <v>0</v>
      </c>
      <c r="W18" s="76">
        <f>SUM(W9:W17)</f>
        <v>0</v>
      </c>
      <c r="X18" s="119"/>
      <c r="Y18" s="24">
        <f>SUM(Y9:Y17)</f>
        <v>59000</v>
      </c>
      <c r="Z18" s="24">
        <f>SUM(Z9:Z17)</f>
        <v>50000</v>
      </c>
      <c r="AA18" s="152"/>
      <c r="AB18" s="97"/>
      <c r="AC18" s="98">
        <f>SUM(AC9:AC17)</f>
        <v>192281.2</v>
      </c>
      <c r="AD18" s="98">
        <f>SUM(AD9:AD17)</f>
        <v>226891.81600000005</v>
      </c>
      <c r="AE18" s="119"/>
      <c r="AF18" s="135">
        <f>SUM(AF9:AF17)</f>
        <v>752095.99790904345</v>
      </c>
      <c r="AG18" s="135">
        <f>SUM(AG9:AG17)</f>
        <v>637369.48975342663</v>
      </c>
      <c r="AH18" s="152"/>
      <c r="AI18" s="75"/>
      <c r="AJ18" s="76">
        <f>SUM(AJ9:AJ17)</f>
        <v>1430649.5999999999</v>
      </c>
      <c r="AK18" s="76">
        <f>SUM(AK9:AK17)</f>
        <v>1688166.5279999999</v>
      </c>
      <c r="AL18" s="119"/>
      <c r="AM18" s="24">
        <f>SUM(AM9:AM17)</f>
        <v>94840</v>
      </c>
      <c r="AN18" s="24">
        <f>SUM(AN9:AN17)</f>
        <v>80372.881355932215</v>
      </c>
      <c r="AO18" s="152"/>
      <c r="AP18" s="97"/>
      <c r="AQ18" s="98">
        <f>SUM(AQ9:AQ17)</f>
        <v>299687.52</v>
      </c>
      <c r="AR18" s="98">
        <f>SUM(AR9:AR17)</f>
        <v>353631.27359999996</v>
      </c>
      <c r="AS18" s="119"/>
      <c r="AT18" s="152">
        <f>SUM(AT9:AT17)</f>
        <v>489110</v>
      </c>
      <c r="AU18" s="152">
        <f>SUM(AU9:AU17)</f>
        <v>414500</v>
      </c>
      <c r="AV18" s="152"/>
      <c r="AW18" s="211"/>
      <c r="AX18" s="212">
        <f>SUM(AX9:AX17)</f>
        <v>0</v>
      </c>
      <c r="AY18" s="212">
        <f>SUM(AY9:AY17)</f>
        <v>0</v>
      </c>
      <c r="AZ18" s="119"/>
      <c r="BA18" s="152">
        <f>SUM(BA9:BA17)</f>
        <v>1062000</v>
      </c>
      <c r="BB18" s="152">
        <f>SUM(BB9:BB17)</f>
        <v>900000</v>
      </c>
      <c r="BC18" s="152"/>
      <c r="BD18" s="75"/>
      <c r="BE18" s="76">
        <f>SUM(BE9:BE17)</f>
        <v>388651.19999999995</v>
      </c>
      <c r="BF18" s="76">
        <f>SUM(BF9:BF17)</f>
        <v>458608.41599999991</v>
      </c>
      <c r="BG18" s="119"/>
      <c r="BH18" s="152">
        <f>SUM(BH9:BH17)</f>
        <v>489110</v>
      </c>
      <c r="BI18" s="152">
        <f>SUM(BI9:BI17)</f>
        <v>414500</v>
      </c>
      <c r="BJ18" s="152"/>
      <c r="BK18" s="211"/>
      <c r="BL18" s="212">
        <f>SUM(BL9:BL17)</f>
        <v>0</v>
      </c>
      <c r="BM18" s="212">
        <f>SUM(BM9:BM17)</f>
        <v>0</v>
      </c>
      <c r="BN18" s="119"/>
      <c r="BO18" s="152">
        <f>SUM(BO9:BO17)</f>
        <v>1897440</v>
      </c>
      <c r="BP18" s="152">
        <f>SUM(BP9:BP17)</f>
        <v>1608000</v>
      </c>
      <c r="BQ18" s="152"/>
      <c r="BR18" s="97"/>
      <c r="BS18" s="98">
        <f>SUM(BS9:BS17)</f>
        <v>1438074</v>
      </c>
      <c r="BT18" s="98">
        <f>SUM(BT9:BT17)</f>
        <v>1696927.3199999998</v>
      </c>
      <c r="BU18" s="119"/>
      <c r="BV18" s="152">
        <f>SUM(BV9:BV17)</f>
        <v>87556.246732880289</v>
      </c>
      <c r="BW18" s="152">
        <f>SUM(BW9:BW17)</f>
        <v>74200.209095661266</v>
      </c>
      <c r="BX18" s="152"/>
      <c r="BY18" s="75"/>
      <c r="BZ18" s="76">
        <f>SUM(BZ9:BZ17)</f>
        <v>188300</v>
      </c>
      <c r="CA18" s="76">
        <f>SUM(CA9:CA17)</f>
        <v>222194</v>
      </c>
      <c r="CB18" s="119"/>
      <c r="CC18" s="152">
        <f>SUM(CC9:CC17)</f>
        <v>1062000</v>
      </c>
      <c r="CD18" s="152">
        <f>SUM(CD9:CD17)</f>
        <v>900000</v>
      </c>
      <c r="CE18" s="152"/>
      <c r="CF18" s="97"/>
      <c r="CG18" s="98">
        <f>SUM(CG9:CG17)</f>
        <v>357770</v>
      </c>
      <c r="CH18" s="98">
        <f>SUM(CH9:CH17)</f>
        <v>422168.6</v>
      </c>
      <c r="CI18" s="119"/>
      <c r="CJ18" s="152">
        <f>SUM(CJ9:CJ17)</f>
        <v>489110</v>
      </c>
      <c r="CK18" s="152">
        <f>SUM(CK9:CK17)</f>
        <v>414500</v>
      </c>
      <c r="CL18" s="152"/>
      <c r="CM18" s="211"/>
      <c r="CN18" s="212">
        <f>SUM(CN9:CN17)</f>
        <v>0</v>
      </c>
      <c r="CO18" s="212">
        <f>SUM(CO9:CO17)</f>
        <v>0</v>
      </c>
      <c r="CP18" s="119"/>
      <c r="CQ18" s="152">
        <f>SUM(CQ9:CQ17)</f>
        <v>59000</v>
      </c>
      <c r="CR18" s="152">
        <f>SUM(CR9:CR17)</f>
        <v>50000</v>
      </c>
      <c r="CS18" s="152"/>
      <c r="CT18" s="75"/>
      <c r="CU18" s="76">
        <f>SUM(CU9:CU17)</f>
        <v>265804.27999999997</v>
      </c>
      <c r="CV18" s="76">
        <f>SUM(CV9:CV17)</f>
        <v>313649.05039999995</v>
      </c>
      <c r="CW18" s="119"/>
      <c r="CX18" s="152">
        <f>SUM(CX9:CX17)</f>
        <v>87556.246732880289</v>
      </c>
      <c r="CY18" s="152">
        <f>SUM(CY9:CY17)</f>
        <v>74200.209095661266</v>
      </c>
      <c r="CZ18" s="152"/>
      <c r="DA18" s="97"/>
      <c r="DB18" s="98">
        <f>SUM(DB9:DB17)</f>
        <v>246726.8</v>
      </c>
      <c r="DC18" s="98">
        <f>SUM(DC9:DC17)</f>
        <v>291137.62399999995</v>
      </c>
      <c r="DD18" s="123"/>
      <c r="DE18" s="152">
        <f>SUM(DE9:DE17)</f>
        <v>752095.99790904345</v>
      </c>
      <c r="DF18" s="152">
        <f>SUM(DF9:DF17)</f>
        <v>637369.48975342663</v>
      </c>
      <c r="DG18" s="152"/>
      <c r="DH18" s="75"/>
      <c r="DI18" s="76">
        <f>SUM(DI9:DI17)</f>
        <v>537408.19999999995</v>
      </c>
      <c r="DJ18" s="76">
        <f>SUM(DJ9:DJ17)</f>
        <v>634141.67599999986</v>
      </c>
      <c r="DK18" s="119"/>
      <c r="DL18" s="152">
        <f>SUM(DL9:DL17)</f>
        <v>1062000</v>
      </c>
      <c r="DM18" s="152">
        <f>SUM(DM9:DM17)</f>
        <v>900000</v>
      </c>
      <c r="DN18" s="152"/>
      <c r="DO18" s="97"/>
      <c r="DP18" s="98">
        <f>SUM(DP9:DP17)</f>
        <v>497036.67999999993</v>
      </c>
      <c r="DQ18" s="98">
        <f>SUM(DQ9:DQ17)</f>
        <v>586503.28239999991</v>
      </c>
      <c r="DR18" s="119"/>
      <c r="DS18" s="152">
        <f>SUM(DS9:DS17)</f>
        <v>489110</v>
      </c>
      <c r="DT18" s="152">
        <f>SUM(DT9:DT17)</f>
        <v>414500</v>
      </c>
      <c r="DU18" s="152"/>
      <c r="DV18" s="211"/>
      <c r="DW18" s="212">
        <f>SUM(DW9:DW17)</f>
        <v>0</v>
      </c>
      <c r="DX18" s="212">
        <f>SUM(DX9:DX17)</f>
        <v>0</v>
      </c>
      <c r="DY18" s="119"/>
      <c r="DZ18" s="152">
        <f>SUM(DZ9:DZ17)</f>
        <v>94840</v>
      </c>
      <c r="EA18" s="152">
        <f>SUM(EA9:EA17)</f>
        <v>80372.881355932215</v>
      </c>
      <c r="EB18" s="152"/>
      <c r="EC18" s="75"/>
      <c r="ED18" s="76">
        <f>SUM(ED9:ED17)</f>
        <v>387360</v>
      </c>
      <c r="EE18" s="76">
        <f>SUM(EE9:EE17)</f>
        <v>457084.80000000005</v>
      </c>
      <c r="EF18" s="119"/>
      <c r="EG18" s="152">
        <f>SUM(EG9:EG17)</f>
        <v>62700</v>
      </c>
      <c r="EH18" s="152">
        <f>SUM(EH9:EH17)</f>
        <v>53135.593220338982</v>
      </c>
      <c r="EI18" s="152"/>
      <c r="EJ18" s="97"/>
      <c r="EK18" s="98">
        <f>SUM(EK9:EK17)</f>
        <v>1244135.76</v>
      </c>
      <c r="EL18" s="98">
        <f>SUM(EL9:EL17)</f>
        <v>1468080.1968</v>
      </c>
      <c r="EM18" s="123"/>
      <c r="EN18" s="152">
        <f>SUM(EN9:EN17)</f>
        <v>1897440</v>
      </c>
      <c r="EO18" s="152">
        <f>SUM(EO9:EO17)</f>
        <v>1608000</v>
      </c>
      <c r="EP18" s="152"/>
      <c r="EQ18" s="75"/>
      <c r="ER18" s="76">
        <f>SUM(ER9:ER17)</f>
        <v>2341881.7200000002</v>
      </c>
      <c r="ES18" s="76">
        <f>SUM(ES9:ES17)</f>
        <v>2763420.4295999999</v>
      </c>
      <c r="ET18" s="119"/>
      <c r="EU18" s="152">
        <f>SUM(EU9:EU17)</f>
        <v>149003.84</v>
      </c>
      <c r="EV18" s="152">
        <f>SUM(EV9:EV17)</f>
        <v>126274.44067796611</v>
      </c>
      <c r="EW18" s="152"/>
      <c r="EX18" s="97"/>
      <c r="EY18" s="98">
        <f>SUM(EY9:EY17)</f>
        <v>430400</v>
      </c>
      <c r="EZ18" s="98">
        <f>SUM(EZ9:EZ17)</f>
        <v>507872</v>
      </c>
      <c r="FA18" s="119"/>
      <c r="FB18" s="152">
        <f>SUM(FB9:FB17)</f>
        <v>62700</v>
      </c>
      <c r="FC18" s="152">
        <f>SUM(FC9:FC17)</f>
        <v>53135.593220338982</v>
      </c>
      <c r="FD18" s="152"/>
      <c r="FE18" s="75"/>
      <c r="FF18" s="76">
        <f>SUM(FF9:FF17)</f>
        <v>1282925.5599999998</v>
      </c>
      <c r="FG18" s="76">
        <f>SUM(FG9:FG17)</f>
        <v>1513852.1607999997</v>
      </c>
      <c r="FH18" s="119"/>
      <c r="FI18" s="152">
        <f>SUM(FI9:FI17)</f>
        <v>59000</v>
      </c>
      <c r="FJ18" s="152">
        <f>SUM(FJ9:FJ17)</f>
        <v>50000</v>
      </c>
      <c r="FK18" s="152"/>
      <c r="FL18" s="97"/>
      <c r="FM18" s="98">
        <f>SUM(FM9:FM17)</f>
        <v>131810</v>
      </c>
      <c r="FN18" s="98">
        <f>SUM(FN9:FN17)</f>
        <v>155535.79999999996</v>
      </c>
      <c r="FO18" s="119"/>
      <c r="FP18" s="152">
        <f>SUM(FP9:FP17)</f>
        <v>0</v>
      </c>
      <c r="FQ18" s="152">
        <f>SUM(FQ9:FQ17)</f>
        <v>0</v>
      </c>
      <c r="FR18" s="152"/>
      <c r="FS18" s="75"/>
      <c r="FT18" s="76">
        <f>SUM(FT9:FT17)</f>
        <v>0</v>
      </c>
      <c r="FU18" s="76">
        <f>SUM(FU9:FU17)</f>
        <v>0</v>
      </c>
      <c r="FV18" s="119"/>
      <c r="FW18" s="152">
        <f>SUM(FW9:FW17)</f>
        <v>0</v>
      </c>
      <c r="FX18" s="152">
        <f>SUM(FX9:FX17)</f>
        <v>0</v>
      </c>
      <c r="FY18" s="152"/>
      <c r="FZ18" s="97"/>
      <c r="GA18" s="98">
        <f>SUM(GA9:GA17)</f>
        <v>0</v>
      </c>
      <c r="GB18" s="98">
        <f>SUM(GB9:GB17)</f>
        <v>0</v>
      </c>
      <c r="GC18" s="119"/>
      <c r="GD18" s="152">
        <f>SUM(GD9:GD17)</f>
        <v>0</v>
      </c>
      <c r="GE18" s="152">
        <f>SUM(GE9:GE17)</f>
        <v>0</v>
      </c>
      <c r="GF18" s="152"/>
      <c r="GG18" s="75"/>
      <c r="GH18" s="76">
        <f>SUM(GH9:GH17)</f>
        <v>0</v>
      </c>
      <c r="GI18" s="76">
        <f>SUM(GI9:GI17)</f>
        <v>0</v>
      </c>
      <c r="GJ18" s="119"/>
      <c r="GK18" s="152">
        <f>SUM(GK9:GK17)</f>
        <v>59000</v>
      </c>
      <c r="GL18" s="152">
        <f>SUM(GL9:GL17)</f>
        <v>50000</v>
      </c>
      <c r="GM18" s="152"/>
      <c r="GN18" s="75"/>
      <c r="GO18" s="76">
        <f>SUM(GO9:GO17)</f>
        <v>112980</v>
      </c>
      <c r="GP18" s="76">
        <f>SUM(GP9:GP17)</f>
        <v>133316.4</v>
      </c>
      <c r="GQ18" s="119"/>
      <c r="GR18" s="152">
        <f>SUM(GR9:GR17)</f>
        <v>0</v>
      </c>
      <c r="GS18" s="152">
        <f>SUM(GS9:GS17)</f>
        <v>0</v>
      </c>
      <c r="GT18" s="152"/>
      <c r="GU18" s="97"/>
      <c r="GV18" s="98">
        <f>SUM(GV9:GV17)</f>
        <v>0</v>
      </c>
      <c r="GW18" s="98">
        <f>SUM(GW9:GW17)</f>
        <v>0</v>
      </c>
      <c r="GX18" s="123"/>
      <c r="GY18" s="152">
        <f>SUM(GY9:GY17)</f>
        <v>10620</v>
      </c>
      <c r="GZ18" s="152">
        <f>SUM(GZ9:GZ17)</f>
        <v>9000</v>
      </c>
      <c r="HA18" s="152"/>
      <c r="HB18" s="75"/>
      <c r="HC18" s="76">
        <f>SUM(HC9:HC17)</f>
        <v>331321.91999999993</v>
      </c>
      <c r="HD18" s="76">
        <f>SUM(HD9:HD17)</f>
        <v>390959.86559999996</v>
      </c>
      <c r="HE18" s="119"/>
      <c r="HF18" s="152">
        <f>SUM(HF9:HF17)</f>
        <v>489110</v>
      </c>
      <c r="HG18" s="152">
        <f>SUM(HG9:HG17)</f>
        <v>414500</v>
      </c>
      <c r="HH18" s="152"/>
      <c r="HI18" s="211"/>
      <c r="HJ18" s="212">
        <f>SUM(HJ9:HJ17)</f>
        <v>0</v>
      </c>
      <c r="HK18" s="212">
        <f>SUM(HK9:HK17)</f>
        <v>0</v>
      </c>
      <c r="HL18" s="119"/>
      <c r="HM18" s="152">
        <f>SUM(HM9:HM17)</f>
        <v>59000</v>
      </c>
      <c r="HN18" s="152">
        <f>SUM(HN9:HN17)</f>
        <v>50000</v>
      </c>
      <c r="HO18" s="152"/>
      <c r="HP18" s="75"/>
      <c r="HQ18" s="76">
        <f>SUM(HQ9:HQ17)</f>
        <v>129120</v>
      </c>
      <c r="HR18" s="76">
        <f>SUM(HR9:HR17)</f>
        <v>152361.60000000001</v>
      </c>
      <c r="HS18" s="119"/>
      <c r="HT18" s="152">
        <f>SUM(HT9:HT17)</f>
        <v>1062000</v>
      </c>
      <c r="HU18" s="152">
        <f>SUM(HU9:HU17)</f>
        <v>900000</v>
      </c>
      <c r="HV18" s="152"/>
      <c r="HW18" s="97"/>
      <c r="HX18" s="98">
        <f>SUM(HX9:HX17)</f>
        <v>383615.52</v>
      </c>
      <c r="HY18" s="98">
        <f>SUM(HY9:HY17)</f>
        <v>452666.31359999999</v>
      </c>
      <c r="HZ18" s="123"/>
      <c r="IA18" s="25"/>
    </row>
    <row r="19" spans="1:235" ht="15">
      <c r="A19" s="12"/>
      <c r="B19" s="23"/>
      <c r="C19" s="118"/>
      <c r="D19" s="161"/>
      <c r="E19" s="149"/>
      <c r="F19" s="161"/>
      <c r="G19" s="74"/>
      <c r="H19" s="159"/>
      <c r="I19" s="73"/>
      <c r="J19" s="118"/>
      <c r="K19" s="161"/>
      <c r="L19" s="149"/>
      <c r="M19" s="161"/>
      <c r="N19" s="96"/>
      <c r="O19" s="96"/>
      <c r="P19" s="96"/>
      <c r="Q19" s="118"/>
      <c r="R19" s="105"/>
      <c r="S19" s="105"/>
      <c r="T19" s="161"/>
      <c r="U19" s="74"/>
      <c r="V19" s="159"/>
      <c r="W19" s="73"/>
      <c r="X19" s="118"/>
      <c r="Y19" s="105"/>
      <c r="Z19" s="105"/>
      <c r="AA19" s="161"/>
      <c r="AB19" s="96"/>
      <c r="AC19" s="96"/>
      <c r="AD19" s="96"/>
      <c r="AE19" s="118"/>
      <c r="AF19" s="105"/>
      <c r="AG19" s="11"/>
      <c r="AH19" s="161"/>
      <c r="AI19" s="74"/>
      <c r="AJ19" s="159"/>
      <c r="AK19" s="73"/>
      <c r="AL19" s="118"/>
      <c r="AM19" s="105"/>
      <c r="AN19" s="105"/>
      <c r="AO19" s="161"/>
      <c r="AP19" s="96"/>
      <c r="AQ19" s="96"/>
      <c r="AR19" s="96"/>
      <c r="AS19" s="118"/>
      <c r="AT19" s="161"/>
      <c r="AU19" s="161"/>
      <c r="AV19" s="161"/>
      <c r="AW19" s="210"/>
      <c r="AX19" s="210"/>
      <c r="AY19" s="210"/>
      <c r="AZ19" s="118"/>
      <c r="BA19" s="149"/>
      <c r="BB19" s="161"/>
      <c r="BC19" s="161"/>
      <c r="BD19" s="74"/>
      <c r="BE19" s="159"/>
      <c r="BF19" s="73"/>
      <c r="BG19" s="118"/>
      <c r="BH19" s="161"/>
      <c r="BI19" s="161"/>
      <c r="BJ19" s="161"/>
      <c r="BK19" s="210"/>
      <c r="BL19" s="210"/>
      <c r="BM19" s="210"/>
      <c r="BN19" s="118"/>
      <c r="BO19" s="149"/>
      <c r="BP19" s="161"/>
      <c r="BQ19" s="161"/>
      <c r="BR19" s="96"/>
      <c r="BS19" s="96"/>
      <c r="BT19" s="96"/>
      <c r="BU19" s="118"/>
      <c r="BV19" s="161"/>
      <c r="BW19" s="149"/>
      <c r="BX19" s="161"/>
      <c r="BY19" s="74"/>
      <c r="BZ19" s="159"/>
      <c r="CA19" s="73"/>
      <c r="CB19" s="118"/>
      <c r="CC19" s="149"/>
      <c r="CD19" s="161"/>
      <c r="CE19" s="161"/>
      <c r="CF19" s="96"/>
      <c r="CG19" s="96"/>
      <c r="CH19" s="96"/>
      <c r="CI19" s="118"/>
      <c r="CJ19" s="161"/>
      <c r="CK19" s="161"/>
      <c r="CL19" s="161"/>
      <c r="CM19" s="210"/>
      <c r="CN19" s="210"/>
      <c r="CO19" s="210"/>
      <c r="CP19" s="118"/>
      <c r="CQ19" s="161"/>
      <c r="CR19" s="161"/>
      <c r="CS19" s="161"/>
      <c r="CT19" s="74"/>
      <c r="CU19" s="159"/>
      <c r="CV19" s="159"/>
      <c r="CW19" s="118"/>
      <c r="CX19" s="161"/>
      <c r="CY19" s="149"/>
      <c r="CZ19" s="161"/>
      <c r="DA19" s="96"/>
      <c r="DB19" s="96"/>
      <c r="DC19" s="96"/>
      <c r="DD19" s="118"/>
      <c r="DE19" s="161"/>
      <c r="DF19" s="149"/>
      <c r="DG19" s="161"/>
      <c r="DH19" s="74"/>
      <c r="DI19" s="159"/>
      <c r="DJ19" s="159"/>
      <c r="DK19" s="118"/>
      <c r="DL19" s="149"/>
      <c r="DM19" s="161"/>
      <c r="DN19" s="161"/>
      <c r="DO19" s="96"/>
      <c r="DP19" s="96"/>
      <c r="DQ19" s="96"/>
      <c r="DR19" s="118"/>
      <c r="DS19" s="161"/>
      <c r="DT19" s="161"/>
      <c r="DU19" s="161"/>
      <c r="DV19" s="210"/>
      <c r="DW19" s="210"/>
      <c r="DX19" s="210"/>
      <c r="DY19" s="118"/>
      <c r="DZ19" s="161"/>
      <c r="EA19" s="161"/>
      <c r="EB19" s="161"/>
      <c r="EC19" s="74"/>
      <c r="ED19" s="159"/>
      <c r="EE19" s="159"/>
      <c r="EF19" s="118"/>
      <c r="EG19" s="161"/>
      <c r="EH19" s="161"/>
      <c r="EI19" s="161"/>
      <c r="EJ19" s="96"/>
      <c r="EK19" s="96"/>
      <c r="EL19" s="96"/>
      <c r="EM19" s="118"/>
      <c r="EN19" s="149"/>
      <c r="EO19" s="161"/>
      <c r="EP19" s="161"/>
      <c r="EQ19" s="74"/>
      <c r="ER19" s="159"/>
      <c r="ES19" s="159"/>
      <c r="ET19" s="118"/>
      <c r="EU19" s="161"/>
      <c r="EV19" s="161"/>
      <c r="EW19" s="161"/>
      <c r="EX19" s="96"/>
      <c r="EY19" s="96"/>
      <c r="EZ19" s="96"/>
      <c r="FA19" s="118"/>
      <c r="FB19" s="161"/>
      <c r="FC19" s="161"/>
      <c r="FD19" s="161"/>
      <c r="FE19" s="74"/>
      <c r="FF19" s="159"/>
      <c r="FG19" s="159"/>
      <c r="FH19" s="118"/>
      <c r="FI19" s="161"/>
      <c r="FJ19" s="161"/>
      <c r="FK19" s="161"/>
      <c r="FL19" s="96"/>
      <c r="FM19" s="96"/>
      <c r="FN19" s="96"/>
      <c r="FO19" s="118"/>
      <c r="FP19" s="161"/>
      <c r="FQ19" s="161"/>
      <c r="FR19" s="161"/>
      <c r="FS19" s="74"/>
      <c r="FT19" s="159"/>
      <c r="FU19" s="159"/>
      <c r="FV19" s="118"/>
      <c r="FW19" s="161"/>
      <c r="FX19" s="161"/>
      <c r="FY19" s="161"/>
      <c r="FZ19" s="96"/>
      <c r="GA19" s="96"/>
      <c r="GB19" s="96"/>
      <c r="GC19" s="118"/>
      <c r="GD19" s="161"/>
      <c r="GE19" s="161"/>
      <c r="GF19" s="161"/>
      <c r="GG19" s="74"/>
      <c r="GH19" s="159"/>
      <c r="GI19" s="159"/>
      <c r="GJ19" s="118"/>
      <c r="GK19" s="161"/>
      <c r="GL19" s="161"/>
      <c r="GM19" s="161"/>
      <c r="GN19" s="74"/>
      <c r="GO19" s="159"/>
      <c r="GP19" s="159"/>
      <c r="GQ19" s="118"/>
      <c r="GR19" s="161"/>
      <c r="GS19" s="161"/>
      <c r="GT19" s="161"/>
      <c r="GU19" s="96"/>
      <c r="GV19" s="96"/>
      <c r="GW19" s="96"/>
      <c r="GX19" s="118"/>
      <c r="GY19" s="161"/>
      <c r="GZ19" s="161"/>
      <c r="HA19" s="161"/>
      <c r="HB19" s="74"/>
      <c r="HC19" s="159"/>
      <c r="HD19" s="159"/>
      <c r="HE19" s="118"/>
      <c r="HF19" s="161"/>
      <c r="HG19" s="161"/>
      <c r="HH19" s="161"/>
      <c r="HI19" s="210"/>
      <c r="HJ19" s="210"/>
      <c r="HK19" s="210"/>
      <c r="HL19" s="118"/>
      <c r="HM19" s="161"/>
      <c r="HN19" s="161"/>
      <c r="HO19" s="161"/>
      <c r="HP19" s="74"/>
      <c r="HQ19" s="159"/>
      <c r="HR19" s="159"/>
      <c r="HS19" s="118"/>
      <c r="HT19" s="149"/>
      <c r="HU19" s="161"/>
      <c r="HV19" s="161"/>
      <c r="HW19" s="96"/>
      <c r="HX19" s="96"/>
      <c r="HY19" s="96"/>
      <c r="HZ19" s="118"/>
      <c r="IA19" s="21"/>
    </row>
    <row r="20" spans="1:235" ht="15">
      <c r="A20" s="13" t="s">
        <v>22</v>
      </c>
      <c r="B20" s="14" t="s">
        <v>23</v>
      </c>
      <c r="C20" s="120"/>
      <c r="D20" s="150"/>
      <c r="E20" s="150"/>
      <c r="F20" s="153"/>
      <c r="G20" s="27"/>
      <c r="H20" s="153"/>
      <c r="I20" s="27"/>
      <c r="J20" s="120"/>
      <c r="K20" s="150"/>
      <c r="L20" s="150"/>
      <c r="M20" s="153"/>
      <c r="N20" s="27"/>
      <c r="O20" s="153"/>
      <c r="P20" s="27"/>
      <c r="Q20" s="120"/>
      <c r="R20" s="15"/>
      <c r="S20" s="15"/>
      <c r="T20" s="153"/>
      <c r="U20" s="27"/>
      <c r="V20" s="153"/>
      <c r="W20" s="27"/>
      <c r="X20" s="120"/>
      <c r="Y20" s="15"/>
      <c r="Z20" s="15"/>
      <c r="AA20" s="153"/>
      <c r="AB20" s="27"/>
      <c r="AC20" s="153"/>
      <c r="AD20" s="27"/>
      <c r="AE20" s="120"/>
      <c r="AF20" s="130"/>
      <c r="AG20" s="130"/>
      <c r="AH20" s="153"/>
      <c r="AI20" s="27"/>
      <c r="AJ20" s="153"/>
      <c r="AK20" s="27"/>
      <c r="AL20" s="120"/>
      <c r="AM20" s="15"/>
      <c r="AN20" s="15"/>
      <c r="AO20" s="153"/>
      <c r="AP20" s="27"/>
      <c r="AQ20" s="153"/>
      <c r="AR20" s="27"/>
      <c r="AS20" s="120"/>
      <c r="AT20" s="150"/>
      <c r="AU20" s="150"/>
      <c r="AV20" s="153"/>
      <c r="AW20" s="27"/>
      <c r="AX20" s="153"/>
      <c r="AY20" s="27"/>
      <c r="AZ20" s="120"/>
      <c r="BA20" s="150"/>
      <c r="BB20" s="150"/>
      <c r="BC20" s="153"/>
      <c r="BD20" s="27"/>
      <c r="BE20" s="153"/>
      <c r="BF20" s="27"/>
      <c r="BG20" s="120"/>
      <c r="BH20" s="150"/>
      <c r="BI20" s="150"/>
      <c r="BJ20" s="153"/>
      <c r="BK20" s="27"/>
      <c r="BL20" s="153"/>
      <c r="BM20" s="27"/>
      <c r="BN20" s="120"/>
      <c r="BO20" s="150"/>
      <c r="BP20" s="150"/>
      <c r="BQ20" s="153"/>
      <c r="BR20" s="27"/>
      <c r="BS20" s="153"/>
      <c r="BT20" s="27"/>
      <c r="BU20" s="120"/>
      <c r="BV20" s="150"/>
      <c r="BW20" s="150"/>
      <c r="BX20" s="153"/>
      <c r="BY20" s="27"/>
      <c r="BZ20" s="153"/>
      <c r="CA20" s="27"/>
      <c r="CB20" s="120"/>
      <c r="CC20" s="150"/>
      <c r="CD20" s="150"/>
      <c r="CE20" s="153"/>
      <c r="CF20" s="27"/>
      <c r="CG20" s="153"/>
      <c r="CH20" s="27"/>
      <c r="CI20" s="120"/>
      <c r="CJ20" s="150"/>
      <c r="CK20" s="150"/>
      <c r="CL20" s="153"/>
      <c r="CM20" s="27"/>
      <c r="CN20" s="153"/>
      <c r="CO20" s="27"/>
      <c r="CP20" s="120"/>
      <c r="CQ20" s="150"/>
      <c r="CR20" s="150"/>
      <c r="CS20" s="153"/>
      <c r="CT20" s="27"/>
      <c r="CU20" s="153"/>
      <c r="CV20" s="27"/>
      <c r="CW20" s="120"/>
      <c r="CX20" s="150"/>
      <c r="CY20" s="150"/>
      <c r="CZ20" s="153"/>
      <c r="DA20" s="27"/>
      <c r="DB20" s="153"/>
      <c r="DC20" s="27"/>
      <c r="DD20" s="120"/>
      <c r="DE20" s="150"/>
      <c r="DF20" s="150"/>
      <c r="DG20" s="153"/>
      <c r="DH20" s="27"/>
      <c r="DI20" s="153"/>
      <c r="DJ20" s="27"/>
      <c r="DK20" s="120"/>
      <c r="DL20" s="150"/>
      <c r="DM20" s="150"/>
      <c r="DN20" s="153"/>
      <c r="DO20" s="27"/>
      <c r="DP20" s="153"/>
      <c r="DQ20" s="27"/>
      <c r="DR20" s="120"/>
      <c r="DS20" s="150"/>
      <c r="DT20" s="150"/>
      <c r="DU20" s="153"/>
      <c r="DV20" s="27"/>
      <c r="DW20" s="153"/>
      <c r="DX20" s="27"/>
      <c r="DY20" s="120"/>
      <c r="DZ20" s="150"/>
      <c r="EA20" s="150"/>
      <c r="EB20" s="153"/>
      <c r="EC20" s="27"/>
      <c r="ED20" s="153"/>
      <c r="EE20" s="27"/>
      <c r="EF20" s="120"/>
      <c r="EG20" s="150"/>
      <c r="EH20" s="150"/>
      <c r="EI20" s="153"/>
      <c r="EJ20" s="27"/>
      <c r="EK20" s="153"/>
      <c r="EL20" s="27"/>
      <c r="EM20" s="120"/>
      <c r="EN20" s="150"/>
      <c r="EO20" s="150"/>
      <c r="EP20" s="153"/>
      <c r="EQ20" s="27"/>
      <c r="ER20" s="153"/>
      <c r="ES20" s="27"/>
      <c r="ET20" s="120"/>
      <c r="EU20" s="150"/>
      <c r="EV20" s="150"/>
      <c r="EW20" s="153"/>
      <c r="EX20" s="27"/>
      <c r="EY20" s="153"/>
      <c r="EZ20" s="27"/>
      <c r="FA20" s="120"/>
      <c r="FB20" s="150"/>
      <c r="FC20" s="150"/>
      <c r="FD20" s="153"/>
      <c r="FE20" s="27"/>
      <c r="FF20" s="153"/>
      <c r="FG20" s="27"/>
      <c r="FH20" s="120"/>
      <c r="FI20" s="150"/>
      <c r="FJ20" s="150"/>
      <c r="FK20" s="153"/>
      <c r="FL20" s="27"/>
      <c r="FM20" s="153"/>
      <c r="FN20" s="27"/>
      <c r="FO20" s="120"/>
      <c r="FP20" s="150"/>
      <c r="FQ20" s="150"/>
      <c r="FR20" s="153"/>
      <c r="FS20" s="27"/>
      <c r="FT20" s="153"/>
      <c r="FU20" s="27"/>
      <c r="FV20" s="120"/>
      <c r="FW20" s="150"/>
      <c r="FX20" s="150"/>
      <c r="FY20" s="153"/>
      <c r="FZ20" s="27"/>
      <c r="GA20" s="153"/>
      <c r="GB20" s="27"/>
      <c r="GC20" s="120"/>
      <c r="GD20" s="150"/>
      <c r="GE20" s="150"/>
      <c r="GF20" s="153"/>
      <c r="GG20" s="27"/>
      <c r="GH20" s="153"/>
      <c r="GI20" s="27"/>
      <c r="GJ20" s="120"/>
      <c r="GK20" s="150"/>
      <c r="GL20" s="150"/>
      <c r="GM20" s="153"/>
      <c r="GN20" s="27"/>
      <c r="GO20" s="153"/>
      <c r="GP20" s="27"/>
      <c r="GQ20" s="120"/>
      <c r="GR20" s="150"/>
      <c r="GS20" s="150"/>
      <c r="GT20" s="153"/>
      <c r="GU20" s="27"/>
      <c r="GV20" s="153"/>
      <c r="GW20" s="27"/>
      <c r="GX20" s="120"/>
      <c r="GY20" s="150"/>
      <c r="GZ20" s="150"/>
      <c r="HA20" s="153"/>
      <c r="HB20" s="27"/>
      <c r="HC20" s="153"/>
      <c r="HD20" s="27"/>
      <c r="HE20" s="120"/>
      <c r="HF20" s="150"/>
      <c r="HG20" s="150"/>
      <c r="HH20" s="153"/>
      <c r="HI20" s="27"/>
      <c r="HJ20" s="153"/>
      <c r="HK20" s="27"/>
      <c r="HL20" s="120"/>
      <c r="HM20" s="150"/>
      <c r="HN20" s="150"/>
      <c r="HO20" s="153"/>
      <c r="HP20" s="27"/>
      <c r="HQ20" s="153"/>
      <c r="HR20" s="27"/>
      <c r="HS20" s="120"/>
      <c r="HT20" s="150"/>
      <c r="HU20" s="150"/>
      <c r="HV20" s="153"/>
      <c r="HW20" s="27"/>
      <c r="HX20" s="153"/>
      <c r="HY20" s="27"/>
      <c r="HZ20" s="120"/>
      <c r="IA20" s="29"/>
    </row>
    <row r="21" spans="1:235">
      <c r="A21" s="18">
        <v>1</v>
      </c>
      <c r="B21" s="19" t="s">
        <v>24</v>
      </c>
      <c r="C21" s="118"/>
      <c r="D21" s="151"/>
      <c r="E21" s="151">
        <f t="shared" ref="E21:E26" si="66">D21/118%</f>
        <v>0</v>
      </c>
      <c r="F21" s="151">
        <f>E21/E2</f>
        <v>0</v>
      </c>
      <c r="G21" s="73">
        <v>200</v>
      </c>
      <c r="H21" s="159">
        <f>G21*H2</f>
        <v>203148.80000000002</v>
      </c>
      <c r="I21" s="73">
        <f t="shared" ref="I21:I26" si="67">H21*118%</f>
        <v>239715.584</v>
      </c>
      <c r="J21" s="118"/>
      <c r="K21" s="151"/>
      <c r="L21" s="151">
        <f t="shared" ref="L21:L26" si="68">K21/118%</f>
        <v>0</v>
      </c>
      <c r="M21" s="151">
        <f>L21/L2</f>
        <v>0</v>
      </c>
      <c r="N21" s="96">
        <v>200</v>
      </c>
      <c r="O21" s="96">
        <f>N21*O2</f>
        <v>55392.480000000003</v>
      </c>
      <c r="P21" s="96">
        <f t="shared" ref="P21:P26" si="69">O21*118%</f>
        <v>65363.126400000001</v>
      </c>
      <c r="Q21" s="118"/>
      <c r="R21" s="20"/>
      <c r="S21" s="20">
        <f t="shared" ref="S21:S26" si="70">R21/118%</f>
        <v>0</v>
      </c>
      <c r="T21" s="151">
        <f>S21/S2</f>
        <v>0</v>
      </c>
      <c r="U21" s="159"/>
      <c r="V21" s="159">
        <f>U21*V2</f>
        <v>0</v>
      </c>
      <c r="W21" s="73">
        <f t="shared" ref="W21:W26" si="71">V21*118%</f>
        <v>0</v>
      </c>
      <c r="X21" s="118"/>
      <c r="Y21" s="20"/>
      <c r="Z21" s="20">
        <f t="shared" ref="Z21:Z26" si="72">Y21/118%</f>
        <v>0</v>
      </c>
      <c r="AA21" s="151">
        <f>Z21/Z2</f>
        <v>0</v>
      </c>
      <c r="AB21" s="96">
        <v>200</v>
      </c>
      <c r="AC21" s="96">
        <f>AB21*AC2</f>
        <v>76912.48000000001</v>
      </c>
      <c r="AD21" s="96">
        <f t="shared" ref="AD21:AD26" si="73">AC21*118%</f>
        <v>90756.726400000014</v>
      </c>
      <c r="AE21" s="118"/>
      <c r="AF21" s="131"/>
      <c r="AG21" s="131">
        <f t="shared" ref="AG21:AG26" si="74">AF21/118%</f>
        <v>0</v>
      </c>
      <c r="AH21" s="151">
        <f>AG21/AG2</f>
        <v>0</v>
      </c>
      <c r="AI21" s="159">
        <v>200</v>
      </c>
      <c r="AJ21" s="159">
        <f>AI21*AJ2</f>
        <v>715324.79999999993</v>
      </c>
      <c r="AK21" s="73">
        <f t="shared" ref="AK21:AK26" si="75">AJ21*118%</f>
        <v>844083.26399999985</v>
      </c>
      <c r="AL21" s="118"/>
      <c r="AM21" s="20"/>
      <c r="AN21" s="20">
        <f t="shared" ref="AN21:AN26" si="76">AM21/118%</f>
        <v>0</v>
      </c>
      <c r="AO21" s="151">
        <f>AN21/AN2</f>
        <v>0</v>
      </c>
      <c r="AP21" s="96">
        <v>200</v>
      </c>
      <c r="AQ21" s="96">
        <f>AP21*AQ2</f>
        <v>149843.76</v>
      </c>
      <c r="AR21" s="96">
        <f t="shared" ref="AR21:AR26" si="77">AQ21*118%</f>
        <v>176815.63680000001</v>
      </c>
      <c r="AS21" s="118"/>
      <c r="AT21" s="151"/>
      <c r="AU21" s="151">
        <f t="shared" ref="AU21:AU26" si="78">AT21/118%</f>
        <v>0</v>
      </c>
      <c r="AV21" s="151">
        <f>AU21/AU2</f>
        <v>0</v>
      </c>
      <c r="AW21" s="210"/>
      <c r="AX21" s="210">
        <f>AW21*AX2</f>
        <v>0</v>
      </c>
      <c r="AY21" s="210">
        <f t="shared" ref="AY21:AY26" si="79">AX21*118%</f>
        <v>0</v>
      </c>
      <c r="AZ21" s="118"/>
      <c r="BA21" s="151"/>
      <c r="BB21" s="151">
        <f t="shared" ref="BB21:BB26" si="80">BA21/118%</f>
        <v>0</v>
      </c>
      <c r="BC21" s="151">
        <f>BB21/BB2</f>
        <v>0</v>
      </c>
      <c r="BD21" s="159">
        <v>200</v>
      </c>
      <c r="BE21" s="159">
        <f>BD21*BE2</f>
        <v>194325.59999999998</v>
      </c>
      <c r="BF21" s="73">
        <f t="shared" ref="BF21:BF26" si="81">BE21*118%</f>
        <v>229304.20799999996</v>
      </c>
      <c r="BG21" s="118"/>
      <c r="BH21" s="151"/>
      <c r="BI21" s="151">
        <f t="shared" ref="BI21:BI26" si="82">BH21/118%</f>
        <v>0</v>
      </c>
      <c r="BJ21" s="151">
        <f>BI21/BI2</f>
        <v>0</v>
      </c>
      <c r="BK21" s="210"/>
      <c r="BL21" s="210">
        <f>BK21*BL2</f>
        <v>0</v>
      </c>
      <c r="BM21" s="210">
        <f t="shared" ref="BM21:BM26" si="83">BL21*118%</f>
        <v>0</v>
      </c>
      <c r="BN21" s="118"/>
      <c r="BO21" s="151"/>
      <c r="BP21" s="151">
        <f t="shared" ref="BP21:BP26" si="84">BO21/118%</f>
        <v>0</v>
      </c>
      <c r="BQ21" s="151">
        <f>BP21/BP2</f>
        <v>0</v>
      </c>
      <c r="BR21" s="96">
        <v>100</v>
      </c>
      <c r="BS21" s="96">
        <f>BR21*BS2</f>
        <v>319572</v>
      </c>
      <c r="BT21" s="96">
        <f t="shared" ref="BT21:BT26" si="85">BS21*118%</f>
        <v>377094.95999999996</v>
      </c>
      <c r="BU21" s="118"/>
      <c r="BV21" s="151"/>
      <c r="BW21" s="151">
        <f t="shared" ref="BW21:BW26" si="86">BV21/118%</f>
        <v>0</v>
      </c>
      <c r="BX21" s="151">
        <f>BW21/BW2</f>
        <v>0</v>
      </c>
      <c r="BY21" s="159">
        <v>500</v>
      </c>
      <c r="BZ21" s="159">
        <f>BY21*BZ2</f>
        <v>134500</v>
      </c>
      <c r="CA21" s="73">
        <f t="shared" ref="CA21:CA26" si="87">BZ21*118%</f>
        <v>158710</v>
      </c>
      <c r="CB21" s="118"/>
      <c r="CC21" s="151"/>
      <c r="CD21" s="151">
        <f t="shared" ref="CD21:CD26" si="88">CC21/118%</f>
        <v>0</v>
      </c>
      <c r="CE21" s="151">
        <f>CD21/CD2</f>
        <v>0</v>
      </c>
      <c r="CF21" s="96">
        <v>200</v>
      </c>
      <c r="CG21" s="96">
        <f>CF21*CG2</f>
        <v>143108</v>
      </c>
      <c r="CH21" s="96">
        <f t="shared" ref="CH21:CH26" si="89">CG21*118%</f>
        <v>168867.44</v>
      </c>
      <c r="CI21" s="118"/>
      <c r="CJ21" s="151"/>
      <c r="CK21" s="151">
        <f t="shared" ref="CK21:CK26" si="90">CJ21/118%</f>
        <v>0</v>
      </c>
      <c r="CL21" s="151">
        <f>CK21/CK2</f>
        <v>0</v>
      </c>
      <c r="CM21" s="210"/>
      <c r="CN21" s="210">
        <f>CM21*CN2</f>
        <v>0</v>
      </c>
      <c r="CO21" s="210">
        <f t="shared" ref="CO21:CO26" si="91">CN21*118%</f>
        <v>0</v>
      </c>
      <c r="CP21" s="118"/>
      <c r="CQ21" s="151"/>
      <c r="CR21" s="151">
        <f t="shared" ref="CR21:CR26" si="92">CQ21/118%</f>
        <v>0</v>
      </c>
      <c r="CS21" s="151">
        <f>CR21/CR2</f>
        <v>0</v>
      </c>
      <c r="CT21" s="159">
        <v>500</v>
      </c>
      <c r="CU21" s="159">
        <f>CT21*CU2</f>
        <v>189860.19999999998</v>
      </c>
      <c r="CV21" s="159">
        <f t="shared" ref="CV21:CV26" si="93">CU21*118%</f>
        <v>224035.03599999996</v>
      </c>
      <c r="CW21" s="118"/>
      <c r="CX21" s="151"/>
      <c r="CY21" s="151">
        <f t="shared" ref="CY21:CY26" si="94">CX21/118%</f>
        <v>0</v>
      </c>
      <c r="CZ21" s="151">
        <f>CY21/CY2</f>
        <v>0</v>
      </c>
      <c r="DA21" s="96">
        <v>200</v>
      </c>
      <c r="DB21" s="96">
        <f>DA21*DB2</f>
        <v>98690.72</v>
      </c>
      <c r="DC21" s="96">
        <f t="shared" ref="DC21:DC26" si="95">DB21*118%</f>
        <v>116455.0496</v>
      </c>
      <c r="DD21" s="118"/>
      <c r="DE21" s="151"/>
      <c r="DF21" s="151">
        <f t="shared" ref="DF21:DF26" si="96">DE21/118%</f>
        <v>0</v>
      </c>
      <c r="DG21" s="151">
        <f>DF21/DF2</f>
        <v>0</v>
      </c>
      <c r="DH21" s="159">
        <v>200</v>
      </c>
      <c r="DI21" s="159">
        <f>DH21*DI2</f>
        <v>153545.19999999998</v>
      </c>
      <c r="DJ21" s="159">
        <f t="shared" ref="DJ21:DJ26" si="97">DI21*118%</f>
        <v>181183.33599999998</v>
      </c>
      <c r="DK21" s="118"/>
      <c r="DL21" s="151"/>
      <c r="DM21" s="151">
        <f t="shared" ref="DM21:DM26" si="98">DL21/118%</f>
        <v>0</v>
      </c>
      <c r="DN21" s="151">
        <f>DM21/DM2</f>
        <v>0</v>
      </c>
      <c r="DO21" s="96">
        <v>200</v>
      </c>
      <c r="DP21" s="96">
        <f>DO21*DP2</f>
        <v>142010.47999999998</v>
      </c>
      <c r="DQ21" s="96">
        <f t="shared" ref="DQ21:DQ26" si="99">DP21*118%</f>
        <v>167572.36639999997</v>
      </c>
      <c r="DR21" s="118"/>
      <c r="DS21" s="151"/>
      <c r="DT21" s="151">
        <f t="shared" ref="DT21:DT26" si="100">DS21/118%</f>
        <v>0</v>
      </c>
      <c r="DU21" s="151">
        <f>DT21/DT2</f>
        <v>0</v>
      </c>
      <c r="DV21" s="210"/>
      <c r="DW21" s="210">
        <f>DV21*DW2</f>
        <v>0</v>
      </c>
      <c r="DX21" s="210">
        <f t="shared" ref="DX21:DX26" si="101">DW21*118%</f>
        <v>0</v>
      </c>
      <c r="DY21" s="118"/>
      <c r="DZ21" s="151"/>
      <c r="EA21" s="151">
        <f t="shared" ref="EA21:EA26" si="102">DZ21/118%</f>
        <v>0</v>
      </c>
      <c r="EB21" s="151">
        <f>EA21/EA2</f>
        <v>0</v>
      </c>
      <c r="EC21" s="159">
        <v>200</v>
      </c>
      <c r="ED21" s="159">
        <f>EC21*ED2</f>
        <v>129120</v>
      </c>
      <c r="EE21" s="159">
        <f t="shared" ref="EE21:EE26" si="103">ED21*118%</f>
        <v>152361.60000000001</v>
      </c>
      <c r="EF21" s="118"/>
      <c r="EG21" s="151">
        <v>59472</v>
      </c>
      <c r="EH21" s="151">
        <f t="shared" ref="EH21:EH26" si="104">EG21/118%</f>
        <v>50400</v>
      </c>
      <c r="EI21" s="151">
        <f>EH21/EH2</f>
        <v>336</v>
      </c>
      <c r="EJ21" s="96">
        <v>100</v>
      </c>
      <c r="EK21" s="96">
        <f>EJ21*EK2</f>
        <v>177733.68</v>
      </c>
      <c r="EL21" s="96">
        <f t="shared" ref="EL21:EL26" si="105">EK21*118%</f>
        <v>209725.74239999999</v>
      </c>
      <c r="EM21" s="118"/>
      <c r="EN21" s="151"/>
      <c r="EO21" s="151">
        <f t="shared" ref="EO21:EO26" si="106">EN21/118%</f>
        <v>0</v>
      </c>
      <c r="EP21" s="151">
        <f>EO21/EO2</f>
        <v>0</v>
      </c>
      <c r="EQ21" s="159">
        <v>100</v>
      </c>
      <c r="ER21" s="159">
        <f>EQ21*ER2</f>
        <v>520418.16</v>
      </c>
      <c r="ES21" s="159">
        <f t="shared" ref="ES21:ES26" si="107">ER21*118%</f>
        <v>614093.42879999999</v>
      </c>
      <c r="ET21" s="118"/>
      <c r="EU21" s="151"/>
      <c r="EV21" s="151">
        <f t="shared" ref="EV21:EV26" si="108">EU21/118%</f>
        <v>0</v>
      </c>
      <c r="EW21" s="151">
        <f>EV21/EV2</f>
        <v>0</v>
      </c>
      <c r="EX21" s="96">
        <v>200</v>
      </c>
      <c r="EY21" s="96">
        <f>EX21*EY2</f>
        <v>215200</v>
      </c>
      <c r="EZ21" s="96">
        <f t="shared" ref="EZ21:EZ26" si="109">EY21*118%</f>
        <v>253936</v>
      </c>
      <c r="FA21" s="118"/>
      <c r="FB21" s="151">
        <v>59472</v>
      </c>
      <c r="FC21" s="151">
        <f t="shared" ref="FC21:FC26" si="110">FB21/118%</f>
        <v>50400</v>
      </c>
      <c r="FD21" s="151">
        <f>FC21/FC2</f>
        <v>336</v>
      </c>
      <c r="FE21" s="159">
        <v>100</v>
      </c>
      <c r="FF21" s="159">
        <f>FE21*FF2</f>
        <v>183275.08</v>
      </c>
      <c r="FG21" s="159">
        <f t="shared" ref="FG21:FG26" si="111">FF21*118%</f>
        <v>216264.59439999997</v>
      </c>
      <c r="FH21" s="118"/>
      <c r="FI21" s="151"/>
      <c r="FJ21" s="151">
        <f t="shared" ref="FJ21:FJ26" si="112">FI21/118%</f>
        <v>0</v>
      </c>
      <c r="FK21" s="151">
        <f>FJ21/FJ2</f>
        <v>0</v>
      </c>
      <c r="FL21" s="96">
        <v>500</v>
      </c>
      <c r="FM21" s="96">
        <f>FL21*FM2</f>
        <v>94149.999999999985</v>
      </c>
      <c r="FN21" s="96">
        <f t="shared" ref="FN21:FN26" si="113">FM21*118%</f>
        <v>111096.99999999997</v>
      </c>
      <c r="FO21" s="118"/>
      <c r="FP21" s="151"/>
      <c r="FQ21" s="151">
        <f t="shared" ref="FQ21:FQ26" si="114">FP21/118%</f>
        <v>0</v>
      </c>
      <c r="FR21" s="151">
        <f>FQ21/FQ2</f>
        <v>0</v>
      </c>
      <c r="FS21" s="159"/>
      <c r="FT21" s="159">
        <f>FS21*FT2</f>
        <v>0</v>
      </c>
      <c r="FU21" s="159">
        <f t="shared" ref="FU21:FU26" si="115">FT21*118%</f>
        <v>0</v>
      </c>
      <c r="FV21" s="118"/>
      <c r="FW21" s="151"/>
      <c r="FX21" s="151">
        <f t="shared" ref="FX21:FX26" si="116">FW21/118%</f>
        <v>0</v>
      </c>
      <c r="FY21" s="151">
        <f>FX21/FX2</f>
        <v>0</v>
      </c>
      <c r="FZ21" s="96"/>
      <c r="GA21" s="96">
        <f>FZ21*GA2</f>
        <v>0</v>
      </c>
      <c r="GB21" s="96">
        <f t="shared" ref="GB21:GB26" si="117">GA21*118%</f>
        <v>0</v>
      </c>
      <c r="GC21" s="118"/>
      <c r="GD21" s="151"/>
      <c r="GE21" s="151">
        <f t="shared" ref="GE21:GE26" si="118">GD21/118%</f>
        <v>0</v>
      </c>
      <c r="GF21" s="151">
        <f>GE21/GE2</f>
        <v>0</v>
      </c>
      <c r="GG21" s="159"/>
      <c r="GH21" s="159">
        <f>GG21*GH2</f>
        <v>0</v>
      </c>
      <c r="GI21" s="159">
        <f t="shared" ref="GI21:GI26" si="119">GH21*118%</f>
        <v>0</v>
      </c>
      <c r="GJ21" s="118"/>
      <c r="GK21" s="151"/>
      <c r="GL21" s="151">
        <f t="shared" ref="GL21:GL26" si="120">GK21/118%</f>
        <v>0</v>
      </c>
      <c r="GM21" s="151">
        <f>GL21/GL2</f>
        <v>0</v>
      </c>
      <c r="GN21" s="159">
        <v>500</v>
      </c>
      <c r="GO21" s="159">
        <f>GN21*GO2</f>
        <v>80700</v>
      </c>
      <c r="GP21" s="159">
        <f t="shared" ref="GP21:GP26" si="121">GO21*118%</f>
        <v>95226</v>
      </c>
      <c r="GQ21" s="118"/>
      <c r="GR21" s="151"/>
      <c r="GS21" s="151">
        <f t="shared" ref="GS21:GS26" si="122">GR21/118%</f>
        <v>0</v>
      </c>
      <c r="GT21" s="151">
        <f>GS21/GS2</f>
        <v>0</v>
      </c>
      <c r="GU21" s="96"/>
      <c r="GV21" s="96">
        <f>GU21*GV2</f>
        <v>0</v>
      </c>
      <c r="GW21" s="96">
        <f t="shared" ref="GW21:GW26" si="123">GV21*118%</f>
        <v>0</v>
      </c>
      <c r="GX21" s="118"/>
      <c r="GY21" s="151"/>
      <c r="GZ21" s="151">
        <f t="shared" ref="GZ21:GZ26" si="124">GY21/118%</f>
        <v>0</v>
      </c>
      <c r="HA21" s="151">
        <f>GZ21/GZ2</f>
        <v>0</v>
      </c>
      <c r="HB21" s="159">
        <v>500</v>
      </c>
      <c r="HC21" s="159">
        <f>HB21*HC2</f>
        <v>138050.79999999999</v>
      </c>
      <c r="HD21" s="159">
        <f t="shared" ref="HD21:HD26" si="125">HC21*118%</f>
        <v>162899.94399999999</v>
      </c>
      <c r="HE21" s="118"/>
      <c r="HF21" s="151"/>
      <c r="HG21" s="151">
        <f t="shared" ref="HG21:HG26" si="126">HF21/118%</f>
        <v>0</v>
      </c>
      <c r="HH21" s="151">
        <f>HG21/HG2</f>
        <v>0</v>
      </c>
      <c r="HI21" s="210"/>
      <c r="HJ21" s="210">
        <f>HI21*HJ2</f>
        <v>0</v>
      </c>
      <c r="HK21" s="210">
        <f t="shared" ref="HK21:HK26" si="127">HJ21*118%</f>
        <v>0</v>
      </c>
      <c r="HL21" s="118"/>
      <c r="HM21" s="151"/>
      <c r="HN21" s="151">
        <f t="shared" ref="HN21:HN26" si="128">HM21/118%</f>
        <v>0</v>
      </c>
      <c r="HO21" s="151">
        <f>HN21/HN2</f>
        <v>0</v>
      </c>
      <c r="HP21" s="159">
        <v>500</v>
      </c>
      <c r="HQ21" s="159">
        <f>HP21*HQ2</f>
        <v>80700</v>
      </c>
      <c r="HR21" s="159">
        <f t="shared" ref="HR21:HR26" si="129">HQ21*118%</f>
        <v>95226</v>
      </c>
      <c r="HS21" s="118"/>
      <c r="HT21" s="151"/>
      <c r="HU21" s="151">
        <f t="shared" ref="HU21:HU26" si="130">HT21/118%</f>
        <v>0</v>
      </c>
      <c r="HV21" s="151">
        <f>HU21/HU2</f>
        <v>0</v>
      </c>
      <c r="HW21" s="96">
        <v>200</v>
      </c>
      <c r="HX21" s="96">
        <f>HW21*HX2</f>
        <v>127871.84</v>
      </c>
      <c r="HY21" s="96">
        <f t="shared" ref="HY21:HY26" si="131">HX21*118%</f>
        <v>150888.77119999999</v>
      </c>
      <c r="HZ21" s="118"/>
      <c r="IA21" s="21"/>
    </row>
    <row r="22" spans="1:235">
      <c r="A22" s="18">
        <v>2</v>
      </c>
      <c r="B22" s="19" t="s">
        <v>25</v>
      </c>
      <c r="C22" s="118"/>
      <c r="D22" s="151"/>
      <c r="E22" s="151">
        <f t="shared" si="66"/>
        <v>0</v>
      </c>
      <c r="F22" s="151">
        <f>E22/E2</f>
        <v>0</v>
      </c>
      <c r="G22" s="73"/>
      <c r="H22" s="159">
        <f>G22*H2</f>
        <v>0</v>
      </c>
      <c r="I22" s="73">
        <f t="shared" si="67"/>
        <v>0</v>
      </c>
      <c r="J22" s="118"/>
      <c r="K22" s="151"/>
      <c r="L22" s="151">
        <f t="shared" si="68"/>
        <v>0</v>
      </c>
      <c r="M22" s="151">
        <f>L22/L2</f>
        <v>0</v>
      </c>
      <c r="N22" s="96"/>
      <c r="O22" s="96">
        <f>N22*O2</f>
        <v>0</v>
      </c>
      <c r="P22" s="96">
        <f t="shared" si="69"/>
        <v>0</v>
      </c>
      <c r="Q22" s="118"/>
      <c r="R22" s="20"/>
      <c r="S22" s="20">
        <f t="shared" si="70"/>
        <v>0</v>
      </c>
      <c r="T22" s="151">
        <f>S22/S2</f>
        <v>0</v>
      </c>
      <c r="U22" s="159"/>
      <c r="V22" s="159">
        <f>U22*V2</f>
        <v>0</v>
      </c>
      <c r="W22" s="73">
        <f t="shared" si="71"/>
        <v>0</v>
      </c>
      <c r="X22" s="118"/>
      <c r="Y22" s="20"/>
      <c r="Z22" s="20">
        <f t="shared" si="72"/>
        <v>0</v>
      </c>
      <c r="AA22" s="151">
        <f>Z22/Z2</f>
        <v>0</v>
      </c>
      <c r="AB22" s="96"/>
      <c r="AC22" s="96">
        <f>AB22*AC2</f>
        <v>0</v>
      </c>
      <c r="AD22" s="96">
        <f t="shared" si="73"/>
        <v>0</v>
      </c>
      <c r="AE22" s="118"/>
      <c r="AF22" s="131"/>
      <c r="AG22" s="131">
        <f t="shared" si="74"/>
        <v>0</v>
      </c>
      <c r="AH22" s="151">
        <f>AG22/AG2</f>
        <v>0</v>
      </c>
      <c r="AI22" s="159"/>
      <c r="AJ22" s="159">
        <f>AI22*AJ2</f>
        <v>0</v>
      </c>
      <c r="AK22" s="73">
        <f t="shared" si="75"/>
        <v>0</v>
      </c>
      <c r="AL22" s="118"/>
      <c r="AM22" s="20"/>
      <c r="AN22" s="20">
        <f t="shared" si="76"/>
        <v>0</v>
      </c>
      <c r="AO22" s="151">
        <f>AN22/AN2</f>
        <v>0</v>
      </c>
      <c r="AP22" s="96"/>
      <c r="AQ22" s="96">
        <f>AP22*AQ2</f>
        <v>0</v>
      </c>
      <c r="AR22" s="96">
        <f t="shared" si="77"/>
        <v>0</v>
      </c>
      <c r="AS22" s="118"/>
      <c r="AT22" s="151"/>
      <c r="AU22" s="151">
        <f t="shared" si="78"/>
        <v>0</v>
      </c>
      <c r="AV22" s="151">
        <f>AU22/AU2</f>
        <v>0</v>
      </c>
      <c r="AW22" s="210"/>
      <c r="AX22" s="210">
        <f>AW22*AX2</f>
        <v>0</v>
      </c>
      <c r="AY22" s="210">
        <f t="shared" si="79"/>
        <v>0</v>
      </c>
      <c r="AZ22" s="118"/>
      <c r="BA22" s="151"/>
      <c r="BB22" s="151">
        <f t="shared" si="80"/>
        <v>0</v>
      </c>
      <c r="BC22" s="151">
        <f>BB22/BB2</f>
        <v>0</v>
      </c>
      <c r="BD22" s="159"/>
      <c r="BE22" s="159">
        <f>BD22*BE2</f>
        <v>0</v>
      </c>
      <c r="BF22" s="73">
        <f t="shared" si="81"/>
        <v>0</v>
      </c>
      <c r="BG22" s="118"/>
      <c r="BH22" s="151"/>
      <c r="BI22" s="151">
        <f t="shared" si="82"/>
        <v>0</v>
      </c>
      <c r="BJ22" s="151">
        <f>BI22/BI2</f>
        <v>0</v>
      </c>
      <c r="BK22" s="210"/>
      <c r="BL22" s="210">
        <f>BK22*BL2</f>
        <v>0</v>
      </c>
      <c r="BM22" s="210">
        <f t="shared" si="83"/>
        <v>0</v>
      </c>
      <c r="BN22" s="118"/>
      <c r="BO22" s="151">
        <v>102717.38</v>
      </c>
      <c r="BP22" s="151">
        <f t="shared" si="84"/>
        <v>87048.627118644072</v>
      </c>
      <c r="BQ22" s="151">
        <f>BP22/BP2</f>
        <v>19.344139359698683</v>
      </c>
      <c r="BR22" s="96"/>
      <c r="BS22" s="96">
        <f>BR22*BS2</f>
        <v>0</v>
      </c>
      <c r="BT22" s="96">
        <f t="shared" si="85"/>
        <v>0</v>
      </c>
      <c r="BU22" s="118"/>
      <c r="BV22" s="151"/>
      <c r="BW22" s="151">
        <f t="shared" si="86"/>
        <v>0</v>
      </c>
      <c r="BX22" s="151">
        <f>BW22/BW2</f>
        <v>0</v>
      </c>
      <c r="BY22" s="159"/>
      <c r="BZ22" s="159">
        <f>BY22*BZ2</f>
        <v>0</v>
      </c>
      <c r="CA22" s="73">
        <f t="shared" si="87"/>
        <v>0</v>
      </c>
      <c r="CB22" s="118"/>
      <c r="CC22" s="151"/>
      <c r="CD22" s="151">
        <f t="shared" si="88"/>
        <v>0</v>
      </c>
      <c r="CE22" s="151">
        <f>CD22/CD2</f>
        <v>0</v>
      </c>
      <c r="CF22" s="96"/>
      <c r="CG22" s="96">
        <f>CF22*CG2</f>
        <v>0</v>
      </c>
      <c r="CH22" s="96">
        <f t="shared" si="89"/>
        <v>0</v>
      </c>
      <c r="CI22" s="118"/>
      <c r="CJ22" s="151"/>
      <c r="CK22" s="151">
        <f t="shared" si="90"/>
        <v>0</v>
      </c>
      <c r="CL22" s="151">
        <f>CK22/CK2</f>
        <v>0</v>
      </c>
      <c r="CM22" s="210"/>
      <c r="CN22" s="210">
        <f>CM22*CN2</f>
        <v>0</v>
      </c>
      <c r="CO22" s="210">
        <f t="shared" si="91"/>
        <v>0</v>
      </c>
      <c r="CP22" s="118"/>
      <c r="CQ22" s="151"/>
      <c r="CR22" s="151">
        <f t="shared" si="92"/>
        <v>0</v>
      </c>
      <c r="CS22" s="151">
        <f>CR22/CR2</f>
        <v>0</v>
      </c>
      <c r="CT22" s="159"/>
      <c r="CU22" s="159">
        <f>CT22*CU2</f>
        <v>0</v>
      </c>
      <c r="CV22" s="159">
        <f t="shared" si="93"/>
        <v>0</v>
      </c>
      <c r="CW22" s="118"/>
      <c r="CX22" s="151"/>
      <c r="CY22" s="151">
        <f t="shared" si="94"/>
        <v>0</v>
      </c>
      <c r="CZ22" s="151">
        <f>CY22/CY2</f>
        <v>0</v>
      </c>
      <c r="DA22" s="96"/>
      <c r="DB22" s="96">
        <f>DA22*DB2</f>
        <v>0</v>
      </c>
      <c r="DC22" s="96">
        <f t="shared" si="95"/>
        <v>0</v>
      </c>
      <c r="DD22" s="118"/>
      <c r="DE22" s="151"/>
      <c r="DF22" s="151">
        <f t="shared" si="96"/>
        <v>0</v>
      </c>
      <c r="DG22" s="151">
        <f>DF22/DF2</f>
        <v>0</v>
      </c>
      <c r="DH22" s="159"/>
      <c r="DI22" s="159">
        <f>DH22*DI2</f>
        <v>0</v>
      </c>
      <c r="DJ22" s="159">
        <f t="shared" si="97"/>
        <v>0</v>
      </c>
      <c r="DK22" s="118"/>
      <c r="DL22" s="151"/>
      <c r="DM22" s="151">
        <f t="shared" si="98"/>
        <v>0</v>
      </c>
      <c r="DN22" s="151">
        <f>DM22/DM2</f>
        <v>0</v>
      </c>
      <c r="DO22" s="96"/>
      <c r="DP22" s="96">
        <f>DO22*DP2</f>
        <v>0</v>
      </c>
      <c r="DQ22" s="96">
        <f t="shared" si="99"/>
        <v>0</v>
      </c>
      <c r="DR22" s="118"/>
      <c r="DS22" s="151"/>
      <c r="DT22" s="151">
        <f t="shared" si="100"/>
        <v>0</v>
      </c>
      <c r="DU22" s="151">
        <f>DT22/DT2</f>
        <v>0</v>
      </c>
      <c r="DV22" s="210"/>
      <c r="DW22" s="210">
        <f>DV22*DW2</f>
        <v>0</v>
      </c>
      <c r="DX22" s="210">
        <f t="shared" si="101"/>
        <v>0</v>
      </c>
      <c r="DY22" s="118"/>
      <c r="DZ22" s="151"/>
      <c r="EA22" s="151">
        <f t="shared" si="102"/>
        <v>0</v>
      </c>
      <c r="EB22" s="151">
        <f>EA22/EA2</f>
        <v>0</v>
      </c>
      <c r="EC22" s="159"/>
      <c r="ED22" s="159">
        <f>EC22*ED2</f>
        <v>0</v>
      </c>
      <c r="EE22" s="159">
        <f t="shared" si="103"/>
        <v>0</v>
      </c>
      <c r="EF22" s="118"/>
      <c r="EG22" s="151"/>
      <c r="EH22" s="151">
        <f t="shared" si="104"/>
        <v>0</v>
      </c>
      <c r="EI22" s="151">
        <f>EH22/EH2</f>
        <v>0</v>
      </c>
      <c r="EJ22" s="96"/>
      <c r="EK22" s="96">
        <f>EJ22*EK2</f>
        <v>0</v>
      </c>
      <c r="EL22" s="96">
        <f t="shared" si="105"/>
        <v>0</v>
      </c>
      <c r="EM22" s="118"/>
      <c r="EN22" s="151">
        <v>102717.38</v>
      </c>
      <c r="EO22" s="151">
        <f t="shared" si="106"/>
        <v>87048.627118644072</v>
      </c>
      <c r="EP22" s="151">
        <f>EO22/EO2</f>
        <v>19.344139359698683</v>
      </c>
      <c r="EQ22" s="159"/>
      <c r="ER22" s="159">
        <f>EQ22*ER2</f>
        <v>0</v>
      </c>
      <c r="ES22" s="159">
        <f t="shared" si="107"/>
        <v>0</v>
      </c>
      <c r="ET22" s="118"/>
      <c r="EU22" s="151"/>
      <c r="EV22" s="151">
        <f t="shared" si="108"/>
        <v>0</v>
      </c>
      <c r="EW22" s="151">
        <f>EV22/EV2</f>
        <v>0</v>
      </c>
      <c r="EX22" s="96"/>
      <c r="EY22" s="96">
        <f>EX22*EY2</f>
        <v>0</v>
      </c>
      <c r="EZ22" s="96">
        <f t="shared" si="109"/>
        <v>0</v>
      </c>
      <c r="FA22" s="118"/>
      <c r="FB22" s="151"/>
      <c r="FC22" s="151">
        <f t="shared" si="110"/>
        <v>0</v>
      </c>
      <c r="FD22" s="151">
        <f>FC22/FC2</f>
        <v>0</v>
      </c>
      <c r="FE22" s="159"/>
      <c r="FF22" s="159">
        <f>FE22*FF2</f>
        <v>0</v>
      </c>
      <c r="FG22" s="159">
        <f t="shared" si="111"/>
        <v>0</v>
      </c>
      <c r="FH22" s="118"/>
      <c r="FI22" s="151"/>
      <c r="FJ22" s="151">
        <f t="shared" si="112"/>
        <v>0</v>
      </c>
      <c r="FK22" s="151">
        <f>FJ22/FJ2</f>
        <v>0</v>
      </c>
      <c r="FL22" s="96"/>
      <c r="FM22" s="96">
        <f>FL22*FM2</f>
        <v>0</v>
      </c>
      <c r="FN22" s="96">
        <f t="shared" si="113"/>
        <v>0</v>
      </c>
      <c r="FO22" s="118"/>
      <c r="FP22" s="151"/>
      <c r="FQ22" s="151">
        <f t="shared" si="114"/>
        <v>0</v>
      </c>
      <c r="FR22" s="151">
        <f>FQ22/FQ2</f>
        <v>0</v>
      </c>
      <c r="FS22" s="159"/>
      <c r="FT22" s="159">
        <f>FS22*FT2</f>
        <v>0</v>
      </c>
      <c r="FU22" s="159">
        <f t="shared" si="115"/>
        <v>0</v>
      </c>
      <c r="FV22" s="118"/>
      <c r="FW22" s="151"/>
      <c r="FX22" s="151">
        <f t="shared" si="116"/>
        <v>0</v>
      </c>
      <c r="FY22" s="151">
        <f>FX22/FX2</f>
        <v>0</v>
      </c>
      <c r="FZ22" s="96"/>
      <c r="GA22" s="96">
        <f>FZ22*GA2</f>
        <v>0</v>
      </c>
      <c r="GB22" s="96">
        <f t="shared" si="117"/>
        <v>0</v>
      </c>
      <c r="GC22" s="118"/>
      <c r="GD22" s="151"/>
      <c r="GE22" s="151">
        <f t="shared" si="118"/>
        <v>0</v>
      </c>
      <c r="GF22" s="151">
        <f>GE22/GE2</f>
        <v>0</v>
      </c>
      <c r="GG22" s="159"/>
      <c r="GH22" s="159">
        <f>GG22*GH2</f>
        <v>0</v>
      </c>
      <c r="GI22" s="159">
        <f t="shared" si="119"/>
        <v>0</v>
      </c>
      <c r="GJ22" s="118"/>
      <c r="GK22" s="151"/>
      <c r="GL22" s="151">
        <f t="shared" si="120"/>
        <v>0</v>
      </c>
      <c r="GM22" s="151">
        <f>GL22/GL2</f>
        <v>0</v>
      </c>
      <c r="GN22" s="159"/>
      <c r="GO22" s="159">
        <f>GN22*GO2</f>
        <v>0</v>
      </c>
      <c r="GP22" s="159">
        <f t="shared" si="121"/>
        <v>0</v>
      </c>
      <c r="GQ22" s="118"/>
      <c r="GR22" s="151"/>
      <c r="GS22" s="151">
        <f t="shared" si="122"/>
        <v>0</v>
      </c>
      <c r="GT22" s="151">
        <f>GS22/GS2</f>
        <v>0</v>
      </c>
      <c r="GU22" s="96"/>
      <c r="GV22" s="96">
        <f>GU22*GV2</f>
        <v>0</v>
      </c>
      <c r="GW22" s="96">
        <f t="shared" si="123"/>
        <v>0</v>
      </c>
      <c r="GX22" s="118"/>
      <c r="GY22" s="151"/>
      <c r="GZ22" s="151">
        <f t="shared" si="124"/>
        <v>0</v>
      </c>
      <c r="HA22" s="151">
        <f>GZ22/GZ2</f>
        <v>0</v>
      </c>
      <c r="HB22" s="159"/>
      <c r="HC22" s="159">
        <f>HB22*HC2</f>
        <v>0</v>
      </c>
      <c r="HD22" s="159">
        <f t="shared" si="125"/>
        <v>0</v>
      </c>
      <c r="HE22" s="118"/>
      <c r="HF22" s="151"/>
      <c r="HG22" s="151">
        <f t="shared" si="126"/>
        <v>0</v>
      </c>
      <c r="HH22" s="151">
        <f>HG22/HG2</f>
        <v>0</v>
      </c>
      <c r="HI22" s="210"/>
      <c r="HJ22" s="210">
        <f>HI22*HJ2</f>
        <v>0</v>
      </c>
      <c r="HK22" s="210">
        <f t="shared" si="127"/>
        <v>0</v>
      </c>
      <c r="HL22" s="118"/>
      <c r="HM22" s="151"/>
      <c r="HN22" s="151">
        <f t="shared" si="128"/>
        <v>0</v>
      </c>
      <c r="HO22" s="151">
        <f>HN22/HN2</f>
        <v>0</v>
      </c>
      <c r="HP22" s="159"/>
      <c r="HQ22" s="159">
        <f>HP22*HQ2</f>
        <v>0</v>
      </c>
      <c r="HR22" s="159">
        <f t="shared" si="129"/>
        <v>0</v>
      </c>
      <c r="HS22" s="118"/>
      <c r="HT22" s="151"/>
      <c r="HU22" s="151">
        <f t="shared" si="130"/>
        <v>0</v>
      </c>
      <c r="HV22" s="151">
        <f>HU22/HU2</f>
        <v>0</v>
      </c>
      <c r="HW22" s="96"/>
      <c r="HX22" s="96">
        <f>HW22*HX2</f>
        <v>0</v>
      </c>
      <c r="HY22" s="96">
        <f t="shared" si="131"/>
        <v>0</v>
      </c>
      <c r="HZ22" s="118"/>
      <c r="IA22" s="21"/>
    </row>
    <row r="23" spans="1:235">
      <c r="A23" s="18">
        <v>3</v>
      </c>
      <c r="B23" s="19" t="s">
        <v>26</v>
      </c>
      <c r="C23" s="118"/>
      <c r="D23" s="151"/>
      <c r="E23" s="151">
        <f t="shared" si="66"/>
        <v>0</v>
      </c>
      <c r="F23" s="151">
        <f>E23/E2</f>
        <v>0</v>
      </c>
      <c r="G23" s="73"/>
      <c r="H23" s="159">
        <f>G23*H2</f>
        <v>0</v>
      </c>
      <c r="I23" s="73">
        <f t="shared" si="67"/>
        <v>0</v>
      </c>
      <c r="J23" s="118"/>
      <c r="K23" s="151"/>
      <c r="L23" s="151">
        <f t="shared" si="68"/>
        <v>0</v>
      </c>
      <c r="M23" s="151">
        <f>L23/L2</f>
        <v>0</v>
      </c>
      <c r="N23" s="96"/>
      <c r="O23" s="96">
        <f>N23*O2</f>
        <v>0</v>
      </c>
      <c r="P23" s="96">
        <f t="shared" si="69"/>
        <v>0</v>
      </c>
      <c r="Q23" s="118"/>
      <c r="R23" s="20"/>
      <c r="S23" s="20">
        <f t="shared" si="70"/>
        <v>0</v>
      </c>
      <c r="T23" s="151">
        <f>S23/S2</f>
        <v>0</v>
      </c>
      <c r="U23" s="159"/>
      <c r="V23" s="159">
        <f>U23*V2</f>
        <v>0</v>
      </c>
      <c r="W23" s="73">
        <f t="shared" si="71"/>
        <v>0</v>
      </c>
      <c r="X23" s="118"/>
      <c r="Y23" s="20"/>
      <c r="Z23" s="20">
        <f t="shared" si="72"/>
        <v>0</v>
      </c>
      <c r="AA23" s="151">
        <f>Z23/Z2</f>
        <v>0</v>
      </c>
      <c r="AB23" s="96"/>
      <c r="AC23" s="96">
        <f>AB23*AC2</f>
        <v>0</v>
      </c>
      <c r="AD23" s="96">
        <f t="shared" si="73"/>
        <v>0</v>
      </c>
      <c r="AE23" s="118"/>
      <c r="AF23" s="131"/>
      <c r="AG23" s="131">
        <f t="shared" si="74"/>
        <v>0</v>
      </c>
      <c r="AH23" s="151">
        <f>AG23/AG2</f>
        <v>0</v>
      </c>
      <c r="AI23" s="159"/>
      <c r="AJ23" s="159">
        <f>AI23*AJ2</f>
        <v>0</v>
      </c>
      <c r="AK23" s="73">
        <f t="shared" si="75"/>
        <v>0</v>
      </c>
      <c r="AL23" s="118"/>
      <c r="AM23" s="20"/>
      <c r="AN23" s="20">
        <f t="shared" si="76"/>
        <v>0</v>
      </c>
      <c r="AO23" s="151">
        <f>AN23/AN2</f>
        <v>0</v>
      </c>
      <c r="AP23" s="96"/>
      <c r="AQ23" s="96">
        <f>AP23*AQ2</f>
        <v>0</v>
      </c>
      <c r="AR23" s="96">
        <f t="shared" si="77"/>
        <v>0</v>
      </c>
      <c r="AS23" s="118"/>
      <c r="AT23" s="151"/>
      <c r="AU23" s="151">
        <f t="shared" si="78"/>
        <v>0</v>
      </c>
      <c r="AV23" s="151">
        <f>AU23/AU2</f>
        <v>0</v>
      </c>
      <c r="AW23" s="210"/>
      <c r="AX23" s="210">
        <f>AW23*AX2</f>
        <v>0</v>
      </c>
      <c r="AY23" s="210">
        <f t="shared" si="79"/>
        <v>0</v>
      </c>
      <c r="AZ23" s="118"/>
      <c r="BA23" s="151"/>
      <c r="BB23" s="151">
        <f t="shared" si="80"/>
        <v>0</v>
      </c>
      <c r="BC23" s="151">
        <f>BB23/BB2</f>
        <v>0</v>
      </c>
      <c r="BD23" s="159"/>
      <c r="BE23" s="159">
        <f>BD23*BE2</f>
        <v>0</v>
      </c>
      <c r="BF23" s="73">
        <f t="shared" si="81"/>
        <v>0</v>
      </c>
      <c r="BG23" s="118"/>
      <c r="BH23" s="151"/>
      <c r="BI23" s="151">
        <f t="shared" si="82"/>
        <v>0</v>
      </c>
      <c r="BJ23" s="151">
        <f>BI23/BI2</f>
        <v>0</v>
      </c>
      <c r="BK23" s="210"/>
      <c r="BL23" s="210">
        <f>BK23*BL2</f>
        <v>0</v>
      </c>
      <c r="BM23" s="210">
        <f t="shared" si="83"/>
        <v>0</v>
      </c>
      <c r="BN23" s="118"/>
      <c r="BO23" s="151"/>
      <c r="BP23" s="151">
        <f t="shared" si="84"/>
        <v>0</v>
      </c>
      <c r="BQ23" s="151">
        <f>BP23/BP2</f>
        <v>0</v>
      </c>
      <c r="BR23" s="96"/>
      <c r="BS23" s="96">
        <f>BR23*BS2</f>
        <v>0</v>
      </c>
      <c r="BT23" s="96">
        <f t="shared" si="85"/>
        <v>0</v>
      </c>
      <c r="BU23" s="118"/>
      <c r="BV23" s="151"/>
      <c r="BW23" s="151">
        <f t="shared" si="86"/>
        <v>0</v>
      </c>
      <c r="BX23" s="151">
        <f>BW23/BW2</f>
        <v>0</v>
      </c>
      <c r="BY23" s="159"/>
      <c r="BZ23" s="159">
        <f>BY23*BZ2</f>
        <v>0</v>
      </c>
      <c r="CA23" s="73">
        <f t="shared" si="87"/>
        <v>0</v>
      </c>
      <c r="CB23" s="118"/>
      <c r="CC23" s="151"/>
      <c r="CD23" s="151">
        <f t="shared" si="88"/>
        <v>0</v>
      </c>
      <c r="CE23" s="151">
        <f>CD23/CD2</f>
        <v>0</v>
      </c>
      <c r="CF23" s="96"/>
      <c r="CG23" s="96">
        <f>CF23*CG2</f>
        <v>0</v>
      </c>
      <c r="CH23" s="96">
        <f t="shared" si="89"/>
        <v>0</v>
      </c>
      <c r="CI23" s="118"/>
      <c r="CJ23" s="151"/>
      <c r="CK23" s="151">
        <f t="shared" si="90"/>
        <v>0</v>
      </c>
      <c r="CL23" s="151">
        <f>CK23/CK2</f>
        <v>0</v>
      </c>
      <c r="CM23" s="210"/>
      <c r="CN23" s="210">
        <f>CM23*CN2</f>
        <v>0</v>
      </c>
      <c r="CO23" s="210">
        <f t="shared" si="91"/>
        <v>0</v>
      </c>
      <c r="CP23" s="118"/>
      <c r="CQ23" s="151"/>
      <c r="CR23" s="151">
        <f t="shared" si="92"/>
        <v>0</v>
      </c>
      <c r="CS23" s="151">
        <f>CR23/CR2</f>
        <v>0</v>
      </c>
      <c r="CT23" s="159"/>
      <c r="CU23" s="159">
        <f>CT23*CU2</f>
        <v>0</v>
      </c>
      <c r="CV23" s="159">
        <f t="shared" si="93"/>
        <v>0</v>
      </c>
      <c r="CW23" s="118"/>
      <c r="CX23" s="151"/>
      <c r="CY23" s="151">
        <f t="shared" si="94"/>
        <v>0</v>
      </c>
      <c r="CZ23" s="151">
        <f>CY23/CY2</f>
        <v>0</v>
      </c>
      <c r="DA23" s="96"/>
      <c r="DB23" s="96">
        <f>DA23*DB2</f>
        <v>0</v>
      </c>
      <c r="DC23" s="96">
        <f t="shared" si="95"/>
        <v>0</v>
      </c>
      <c r="DD23" s="118"/>
      <c r="DE23" s="151"/>
      <c r="DF23" s="151">
        <f t="shared" si="96"/>
        <v>0</v>
      </c>
      <c r="DG23" s="151">
        <f>DF23/DF2</f>
        <v>0</v>
      </c>
      <c r="DH23" s="159"/>
      <c r="DI23" s="159">
        <f>DH23*DI2</f>
        <v>0</v>
      </c>
      <c r="DJ23" s="159">
        <f t="shared" si="97"/>
        <v>0</v>
      </c>
      <c r="DK23" s="118"/>
      <c r="DL23" s="151"/>
      <c r="DM23" s="151">
        <f t="shared" si="98"/>
        <v>0</v>
      </c>
      <c r="DN23" s="151">
        <f>DM23/DM2</f>
        <v>0</v>
      </c>
      <c r="DO23" s="96"/>
      <c r="DP23" s="96">
        <f>DO23*DP2</f>
        <v>0</v>
      </c>
      <c r="DQ23" s="96">
        <f t="shared" si="99"/>
        <v>0</v>
      </c>
      <c r="DR23" s="118"/>
      <c r="DS23" s="151"/>
      <c r="DT23" s="151">
        <f t="shared" si="100"/>
        <v>0</v>
      </c>
      <c r="DU23" s="151">
        <f>DT23/DT2</f>
        <v>0</v>
      </c>
      <c r="DV23" s="210"/>
      <c r="DW23" s="210">
        <f>DV23*DW2</f>
        <v>0</v>
      </c>
      <c r="DX23" s="210">
        <f t="shared" si="101"/>
        <v>0</v>
      </c>
      <c r="DY23" s="118"/>
      <c r="DZ23" s="151"/>
      <c r="EA23" s="151">
        <f t="shared" si="102"/>
        <v>0</v>
      </c>
      <c r="EB23" s="151">
        <f>EA23/EA2</f>
        <v>0</v>
      </c>
      <c r="EC23" s="159"/>
      <c r="ED23" s="159">
        <f>EC23*ED2</f>
        <v>0</v>
      </c>
      <c r="EE23" s="159">
        <f t="shared" si="103"/>
        <v>0</v>
      </c>
      <c r="EF23" s="118"/>
      <c r="EG23" s="151"/>
      <c r="EH23" s="151">
        <f t="shared" si="104"/>
        <v>0</v>
      </c>
      <c r="EI23" s="151">
        <f>EH23/EH2</f>
        <v>0</v>
      </c>
      <c r="EJ23" s="96"/>
      <c r="EK23" s="96">
        <f>EJ23*EK2</f>
        <v>0</v>
      </c>
      <c r="EL23" s="96">
        <f t="shared" si="105"/>
        <v>0</v>
      </c>
      <c r="EM23" s="118"/>
      <c r="EN23" s="151"/>
      <c r="EO23" s="151">
        <f t="shared" si="106"/>
        <v>0</v>
      </c>
      <c r="EP23" s="151">
        <f>EO23/EO2</f>
        <v>0</v>
      </c>
      <c r="EQ23" s="159"/>
      <c r="ER23" s="159">
        <f>EQ23*ER2</f>
        <v>0</v>
      </c>
      <c r="ES23" s="159">
        <f t="shared" si="107"/>
        <v>0</v>
      </c>
      <c r="ET23" s="118"/>
      <c r="EU23" s="151"/>
      <c r="EV23" s="151">
        <f t="shared" si="108"/>
        <v>0</v>
      </c>
      <c r="EW23" s="151">
        <f>EV23/EV2</f>
        <v>0</v>
      </c>
      <c r="EX23" s="96"/>
      <c r="EY23" s="96">
        <f>EX23*EY2</f>
        <v>0</v>
      </c>
      <c r="EZ23" s="96">
        <f t="shared" si="109"/>
        <v>0</v>
      </c>
      <c r="FA23" s="118"/>
      <c r="FB23" s="151"/>
      <c r="FC23" s="151">
        <f t="shared" si="110"/>
        <v>0</v>
      </c>
      <c r="FD23" s="151">
        <f>FC23/FC2</f>
        <v>0</v>
      </c>
      <c r="FE23" s="159"/>
      <c r="FF23" s="159">
        <f>FE23*FF2</f>
        <v>0</v>
      </c>
      <c r="FG23" s="159">
        <f t="shared" si="111"/>
        <v>0</v>
      </c>
      <c r="FH23" s="118"/>
      <c r="FI23" s="151"/>
      <c r="FJ23" s="151">
        <f t="shared" si="112"/>
        <v>0</v>
      </c>
      <c r="FK23" s="151">
        <f>FJ23/FJ2</f>
        <v>0</v>
      </c>
      <c r="FL23" s="96"/>
      <c r="FM23" s="96">
        <f>FL23*FM2</f>
        <v>0</v>
      </c>
      <c r="FN23" s="96">
        <f t="shared" si="113"/>
        <v>0</v>
      </c>
      <c r="FO23" s="118"/>
      <c r="FP23" s="151"/>
      <c r="FQ23" s="151">
        <f t="shared" si="114"/>
        <v>0</v>
      </c>
      <c r="FR23" s="151">
        <f>FQ23/FQ2</f>
        <v>0</v>
      </c>
      <c r="FS23" s="159"/>
      <c r="FT23" s="159">
        <f>FS23*FT2</f>
        <v>0</v>
      </c>
      <c r="FU23" s="159">
        <f t="shared" si="115"/>
        <v>0</v>
      </c>
      <c r="FV23" s="118"/>
      <c r="FW23" s="151"/>
      <c r="FX23" s="151">
        <f t="shared" si="116"/>
        <v>0</v>
      </c>
      <c r="FY23" s="151">
        <f>FX23/FX2</f>
        <v>0</v>
      </c>
      <c r="FZ23" s="96"/>
      <c r="GA23" s="96">
        <f>FZ23*GA2</f>
        <v>0</v>
      </c>
      <c r="GB23" s="96">
        <f t="shared" si="117"/>
        <v>0</v>
      </c>
      <c r="GC23" s="118"/>
      <c r="GD23" s="151"/>
      <c r="GE23" s="151">
        <f t="shared" si="118"/>
        <v>0</v>
      </c>
      <c r="GF23" s="151">
        <f>GE23/GE2</f>
        <v>0</v>
      </c>
      <c r="GG23" s="159"/>
      <c r="GH23" s="159">
        <f>GG23*GH2</f>
        <v>0</v>
      </c>
      <c r="GI23" s="159">
        <f t="shared" si="119"/>
        <v>0</v>
      </c>
      <c r="GJ23" s="118"/>
      <c r="GK23" s="151"/>
      <c r="GL23" s="151">
        <f t="shared" si="120"/>
        <v>0</v>
      </c>
      <c r="GM23" s="151">
        <f>GL23/GL2</f>
        <v>0</v>
      </c>
      <c r="GN23" s="159"/>
      <c r="GO23" s="159">
        <f>GN23*GO2</f>
        <v>0</v>
      </c>
      <c r="GP23" s="159">
        <f t="shared" si="121"/>
        <v>0</v>
      </c>
      <c r="GQ23" s="118"/>
      <c r="GR23" s="151"/>
      <c r="GS23" s="151">
        <f t="shared" si="122"/>
        <v>0</v>
      </c>
      <c r="GT23" s="151">
        <f>GS23/GS2</f>
        <v>0</v>
      </c>
      <c r="GU23" s="96"/>
      <c r="GV23" s="96">
        <f>GU23*GV2</f>
        <v>0</v>
      </c>
      <c r="GW23" s="96">
        <f t="shared" si="123"/>
        <v>0</v>
      </c>
      <c r="GX23" s="118"/>
      <c r="GY23" s="151"/>
      <c r="GZ23" s="151">
        <f t="shared" si="124"/>
        <v>0</v>
      </c>
      <c r="HA23" s="151">
        <f>GZ23/GZ2</f>
        <v>0</v>
      </c>
      <c r="HB23" s="159"/>
      <c r="HC23" s="159">
        <f>HB23*HC2</f>
        <v>0</v>
      </c>
      <c r="HD23" s="159">
        <f t="shared" si="125"/>
        <v>0</v>
      </c>
      <c r="HE23" s="118"/>
      <c r="HF23" s="151"/>
      <c r="HG23" s="151">
        <f t="shared" si="126"/>
        <v>0</v>
      </c>
      <c r="HH23" s="151">
        <f>HG23/HG2</f>
        <v>0</v>
      </c>
      <c r="HI23" s="210"/>
      <c r="HJ23" s="210">
        <f>HI23*HJ2</f>
        <v>0</v>
      </c>
      <c r="HK23" s="210">
        <f t="shared" si="127"/>
        <v>0</v>
      </c>
      <c r="HL23" s="118"/>
      <c r="HM23" s="151"/>
      <c r="HN23" s="151">
        <f t="shared" si="128"/>
        <v>0</v>
      </c>
      <c r="HO23" s="151">
        <f>HN23/HN2</f>
        <v>0</v>
      </c>
      <c r="HP23" s="159"/>
      <c r="HQ23" s="159">
        <f>HP23*HQ2</f>
        <v>0</v>
      </c>
      <c r="HR23" s="159">
        <f t="shared" si="129"/>
        <v>0</v>
      </c>
      <c r="HS23" s="118"/>
      <c r="HT23" s="151"/>
      <c r="HU23" s="151">
        <f t="shared" si="130"/>
        <v>0</v>
      </c>
      <c r="HV23" s="151">
        <f>HU23/HU2</f>
        <v>0</v>
      </c>
      <c r="HW23" s="96"/>
      <c r="HX23" s="96">
        <f>HW23*HX2</f>
        <v>0</v>
      </c>
      <c r="HY23" s="96">
        <f t="shared" si="131"/>
        <v>0</v>
      </c>
      <c r="HZ23" s="118"/>
      <c r="IA23" s="21"/>
    </row>
    <row r="24" spans="1:235">
      <c r="A24" s="18">
        <v>4</v>
      </c>
      <c r="B24" s="19" t="s">
        <v>208</v>
      </c>
      <c r="C24" s="118"/>
      <c r="D24" s="151">
        <v>1647049.13</v>
      </c>
      <c r="E24" s="151">
        <f t="shared" si="66"/>
        <v>1395804.3474576271</v>
      </c>
      <c r="F24" s="151">
        <f>E24/E2</f>
        <v>9243.7374003816367</v>
      </c>
      <c r="G24" s="73">
        <v>4000</v>
      </c>
      <c r="H24" s="159">
        <f>G24*(H2*20%)</f>
        <v>812595.20000000007</v>
      </c>
      <c r="I24" s="73">
        <f t="shared" si="67"/>
        <v>958862.33600000001</v>
      </c>
      <c r="J24" s="118"/>
      <c r="K24" s="151">
        <v>1647049.13</v>
      </c>
      <c r="L24" s="151">
        <f t="shared" si="68"/>
        <v>1395804.3474576271</v>
      </c>
      <c r="M24" s="151">
        <f>L24/L2</f>
        <v>9243.7374003816367</v>
      </c>
      <c r="N24" s="96">
        <v>4000</v>
      </c>
      <c r="O24" s="96">
        <f>N24*O2</f>
        <v>1107849.6000000001</v>
      </c>
      <c r="P24" s="96">
        <f t="shared" si="69"/>
        <v>1307262.5279999999</v>
      </c>
      <c r="Q24" s="118"/>
      <c r="R24" s="20"/>
      <c r="S24" s="20">
        <f t="shared" si="70"/>
        <v>0</v>
      </c>
      <c r="T24" s="151">
        <f>S24/S2</f>
        <v>0</v>
      </c>
      <c r="U24" s="159"/>
      <c r="V24" s="159">
        <f>U24*V2</f>
        <v>0</v>
      </c>
      <c r="W24" s="73">
        <f t="shared" si="71"/>
        <v>0</v>
      </c>
      <c r="X24" s="118"/>
      <c r="Y24" s="151">
        <v>999359</v>
      </c>
      <c r="Z24" s="20">
        <f t="shared" si="72"/>
        <v>846914.40677966108</v>
      </c>
      <c r="AA24" s="151">
        <f>Z24/Z2</f>
        <v>12098.777239709443</v>
      </c>
      <c r="AB24" s="96">
        <v>4000</v>
      </c>
      <c r="AC24" s="96">
        <f>AB24*AC2</f>
        <v>1538249.6</v>
      </c>
      <c r="AD24" s="96">
        <f t="shared" si="73"/>
        <v>1815134.5279999999</v>
      </c>
      <c r="AE24" s="118"/>
      <c r="AF24" s="131">
        <v>5193774.17</v>
      </c>
      <c r="AG24" s="131">
        <f t="shared" si="74"/>
        <v>4401503.5338983051</v>
      </c>
      <c r="AH24" s="151">
        <f>AG24/AG2</f>
        <v>2985.8515818917763</v>
      </c>
      <c r="AI24" s="159">
        <v>2000</v>
      </c>
      <c r="AJ24" s="159">
        <f>AI24*(AJ2*30%)</f>
        <v>2145974.3999999994</v>
      </c>
      <c r="AK24" s="73">
        <f t="shared" si="75"/>
        <v>2532249.7919999994</v>
      </c>
      <c r="AL24" s="118"/>
      <c r="AM24" s="151">
        <v>421968</v>
      </c>
      <c r="AN24" s="20">
        <f t="shared" si="76"/>
        <v>357600</v>
      </c>
      <c r="AO24" s="151">
        <f>AN24/AN2</f>
        <v>1661.7100371747213</v>
      </c>
      <c r="AP24" s="96">
        <v>4000</v>
      </c>
      <c r="AQ24" s="96">
        <f>AP24*AQ2</f>
        <v>2996875.1999999997</v>
      </c>
      <c r="AR24" s="96">
        <f t="shared" si="77"/>
        <v>3536312.7359999996</v>
      </c>
      <c r="AS24" s="118"/>
      <c r="AT24" s="151">
        <v>4489750.1399999997</v>
      </c>
      <c r="AU24" s="151">
        <f t="shared" si="78"/>
        <v>3804873</v>
      </c>
      <c r="AV24" s="151">
        <f>AU24/AU2</f>
        <v>585.36507692307691</v>
      </c>
      <c r="AW24" s="210"/>
      <c r="AX24" s="210">
        <f>AW24*AX2</f>
        <v>0</v>
      </c>
      <c r="AY24" s="210">
        <f t="shared" si="79"/>
        <v>0</v>
      </c>
      <c r="AZ24" s="118"/>
      <c r="BA24" s="151">
        <v>10974000</v>
      </c>
      <c r="BB24" s="151">
        <f t="shared" si="80"/>
        <v>9300000</v>
      </c>
      <c r="BC24" s="151">
        <f>BB24/BB2</f>
        <v>5025.0713235929798</v>
      </c>
      <c r="BD24" s="159">
        <v>4000</v>
      </c>
      <c r="BE24" s="159">
        <f>BD24*BE2</f>
        <v>3886511.9999999995</v>
      </c>
      <c r="BF24" s="73">
        <f t="shared" si="81"/>
        <v>4586084.1599999992</v>
      </c>
      <c r="BG24" s="118"/>
      <c r="BH24" s="151">
        <v>4489750.1399999997</v>
      </c>
      <c r="BI24" s="151">
        <f t="shared" si="82"/>
        <v>3804873</v>
      </c>
      <c r="BJ24" s="151">
        <f>BI24/BI2</f>
        <v>585.36507692307691</v>
      </c>
      <c r="BK24" s="210"/>
      <c r="BL24" s="210">
        <f>BK24*BL2</f>
        <v>0</v>
      </c>
      <c r="BM24" s="210">
        <f t="shared" si="83"/>
        <v>0</v>
      </c>
      <c r="BN24" s="118"/>
      <c r="BO24" s="151"/>
      <c r="BP24" s="151">
        <f t="shared" si="84"/>
        <v>0</v>
      </c>
      <c r="BQ24" s="151">
        <f>BP24/BP2</f>
        <v>0</v>
      </c>
      <c r="BR24" s="96">
        <v>2000</v>
      </c>
      <c r="BS24" s="96">
        <f>BR24*(BS2*20%)</f>
        <v>1278288</v>
      </c>
      <c r="BT24" s="96">
        <f t="shared" si="85"/>
        <v>1508379.8399999999</v>
      </c>
      <c r="BU24" s="118"/>
      <c r="BV24" s="151">
        <v>1647049.13</v>
      </c>
      <c r="BW24" s="151">
        <f t="shared" si="86"/>
        <v>1395804.3474576271</v>
      </c>
      <c r="BX24" s="151">
        <f>BW24/BW2</f>
        <v>9243.7374003816367</v>
      </c>
      <c r="BY24" s="159">
        <v>6000</v>
      </c>
      <c r="BZ24" s="159">
        <f>BY24*BZ2</f>
        <v>1614000</v>
      </c>
      <c r="CA24" s="73">
        <f t="shared" si="87"/>
        <v>1904520</v>
      </c>
      <c r="CB24" s="118"/>
      <c r="CC24" s="151">
        <v>10974000</v>
      </c>
      <c r="CD24" s="151">
        <f t="shared" si="88"/>
        <v>9300000</v>
      </c>
      <c r="CE24" s="151">
        <f>CD24/CD2</f>
        <v>5025.0713235929798</v>
      </c>
      <c r="CF24" s="96">
        <v>4000</v>
      </c>
      <c r="CG24" s="96">
        <f>CF24*CG2</f>
        <v>2862160</v>
      </c>
      <c r="CH24" s="96">
        <f t="shared" si="89"/>
        <v>3377348.8</v>
      </c>
      <c r="CI24" s="118"/>
      <c r="CJ24" s="151">
        <v>4489750.1399999997</v>
      </c>
      <c r="CK24" s="151">
        <f t="shared" si="90"/>
        <v>3804873</v>
      </c>
      <c r="CL24" s="151">
        <f>CK24/CK2</f>
        <v>585.36507692307691</v>
      </c>
      <c r="CM24" s="210"/>
      <c r="CN24" s="210">
        <f>CM24*CN2</f>
        <v>0</v>
      </c>
      <c r="CO24" s="210">
        <f t="shared" si="91"/>
        <v>0</v>
      </c>
      <c r="CP24" s="118"/>
      <c r="CQ24" s="151">
        <v>999359</v>
      </c>
      <c r="CR24" s="151">
        <f t="shared" si="92"/>
        <v>846914.40677966108</v>
      </c>
      <c r="CS24" s="151">
        <f>CR24/CR2</f>
        <v>12098.777239709443</v>
      </c>
      <c r="CT24" s="159">
        <v>6000</v>
      </c>
      <c r="CU24" s="159">
        <f>CT24*CU2</f>
        <v>2278322.4</v>
      </c>
      <c r="CV24" s="159">
        <f t="shared" si="93"/>
        <v>2688420.4319999996</v>
      </c>
      <c r="CW24" s="118"/>
      <c r="CX24" s="151">
        <v>1647049.13</v>
      </c>
      <c r="CY24" s="151">
        <f t="shared" si="94"/>
        <v>1395804.3474576271</v>
      </c>
      <c r="CZ24" s="151">
        <f>CY24/CY2</f>
        <v>9243.7374003816367</v>
      </c>
      <c r="DA24" s="96">
        <v>2000</v>
      </c>
      <c r="DB24" s="96">
        <f>DA24*(DB2*30%)</f>
        <v>296072.15999999997</v>
      </c>
      <c r="DC24" s="96">
        <f t="shared" si="95"/>
        <v>349365.14879999997</v>
      </c>
      <c r="DD24" s="118"/>
      <c r="DE24" s="151">
        <v>5193774.17</v>
      </c>
      <c r="DF24" s="151">
        <f t="shared" si="96"/>
        <v>4401503.5338983051</v>
      </c>
      <c r="DG24" s="151">
        <f>DF24/DF2</f>
        <v>2985.8515818917763</v>
      </c>
      <c r="DH24" s="159">
        <v>2000</v>
      </c>
      <c r="DI24" s="159">
        <f>DH24*(DI2*20%)</f>
        <v>307090.39999999997</v>
      </c>
      <c r="DJ24" s="159">
        <f t="shared" si="97"/>
        <v>362366.67199999996</v>
      </c>
      <c r="DK24" s="118"/>
      <c r="DL24" s="151">
        <v>10974000</v>
      </c>
      <c r="DM24" s="151">
        <f t="shared" si="98"/>
        <v>9300000</v>
      </c>
      <c r="DN24" s="151">
        <f>DM24/DM2</f>
        <v>5025.0713235929798</v>
      </c>
      <c r="DO24" s="96">
        <v>4000</v>
      </c>
      <c r="DP24" s="96">
        <f>DO24*DP2</f>
        <v>2840209.5999999996</v>
      </c>
      <c r="DQ24" s="96">
        <f t="shared" si="99"/>
        <v>3351447.3279999993</v>
      </c>
      <c r="DR24" s="118"/>
      <c r="DS24" s="151">
        <v>4489750.1399999997</v>
      </c>
      <c r="DT24" s="151">
        <f t="shared" si="100"/>
        <v>3804873</v>
      </c>
      <c r="DU24" s="151">
        <f>DT24/DT2</f>
        <v>585.36507692307691</v>
      </c>
      <c r="DV24" s="210"/>
      <c r="DW24" s="210">
        <f>DV24*DW2</f>
        <v>0</v>
      </c>
      <c r="DX24" s="210">
        <f t="shared" si="101"/>
        <v>0</v>
      </c>
      <c r="DY24" s="118"/>
      <c r="DZ24" s="151">
        <v>421968</v>
      </c>
      <c r="EA24" s="151">
        <f t="shared" si="102"/>
        <v>357600</v>
      </c>
      <c r="EB24" s="151">
        <f>EA24/EA2</f>
        <v>1661.7100371747213</v>
      </c>
      <c r="EC24" s="159">
        <v>4000</v>
      </c>
      <c r="ED24" s="159">
        <f>EC24*ED2</f>
        <v>2582400</v>
      </c>
      <c r="EE24" s="159">
        <f t="shared" si="103"/>
        <v>3047232</v>
      </c>
      <c r="EF24" s="118"/>
      <c r="EG24" s="151">
        <v>816171</v>
      </c>
      <c r="EH24" s="151">
        <f t="shared" si="104"/>
        <v>691670.3389830509</v>
      </c>
      <c r="EI24" s="151">
        <f>EH24/EH2</f>
        <v>4611.1355932203396</v>
      </c>
      <c r="EJ24" s="96">
        <v>1000</v>
      </c>
      <c r="EK24" s="96">
        <f>EJ24*(EK2*30%)</f>
        <v>533201.04</v>
      </c>
      <c r="EL24" s="96">
        <f t="shared" si="105"/>
        <v>629177.22719999996</v>
      </c>
      <c r="EM24" s="118"/>
      <c r="EN24" s="151"/>
      <c r="EO24" s="151">
        <f t="shared" si="106"/>
        <v>0</v>
      </c>
      <c r="EP24" s="151">
        <f>EO24/EO2</f>
        <v>0</v>
      </c>
      <c r="EQ24" s="159">
        <v>2000</v>
      </c>
      <c r="ER24" s="159">
        <f>EQ24*(ER2*30%)</f>
        <v>3122508.9599999995</v>
      </c>
      <c r="ES24" s="159">
        <f t="shared" si="107"/>
        <v>3684560.5727999993</v>
      </c>
      <c r="ET24" s="118"/>
      <c r="EU24" s="151">
        <v>3749864.5720000002</v>
      </c>
      <c r="EV24" s="151">
        <f t="shared" si="108"/>
        <v>3177851.3322033901</v>
      </c>
      <c r="EW24" s="151">
        <f>EV24/EV2</f>
        <v>3108.8351909639896</v>
      </c>
      <c r="EX24" s="96">
        <v>3000</v>
      </c>
      <c r="EY24" s="96">
        <f>EX24*EY2</f>
        <v>3228000</v>
      </c>
      <c r="EZ24" s="96">
        <f t="shared" si="109"/>
        <v>3809040</v>
      </c>
      <c r="FA24" s="118"/>
      <c r="FB24" s="151">
        <v>816171</v>
      </c>
      <c r="FC24" s="151">
        <f t="shared" si="110"/>
        <v>691670.3389830509</v>
      </c>
      <c r="FD24" s="151">
        <f>FC24/FC2</f>
        <v>4611.1355932203396</v>
      </c>
      <c r="FE24" s="159">
        <v>1000</v>
      </c>
      <c r="FF24" s="159">
        <f>FE24*FF2</f>
        <v>1832750.7999999998</v>
      </c>
      <c r="FG24" s="159">
        <f t="shared" si="111"/>
        <v>2162645.9439999997</v>
      </c>
      <c r="FH24" s="118"/>
      <c r="FI24" s="151">
        <v>999359</v>
      </c>
      <c r="FJ24" s="151">
        <f t="shared" si="112"/>
        <v>846914.40677966108</v>
      </c>
      <c r="FK24" s="151">
        <f>FJ24/FJ2</f>
        <v>12098.777239709443</v>
      </c>
      <c r="FL24" s="96">
        <v>7000</v>
      </c>
      <c r="FM24" s="96">
        <f>FL24*FM2</f>
        <v>1318099.9999999998</v>
      </c>
      <c r="FN24" s="96">
        <f t="shared" si="113"/>
        <v>1555357.9999999995</v>
      </c>
      <c r="FO24" s="118"/>
      <c r="FP24" s="151"/>
      <c r="FQ24" s="151">
        <f t="shared" si="114"/>
        <v>0</v>
      </c>
      <c r="FR24" s="151">
        <f>FQ24/FQ2</f>
        <v>0</v>
      </c>
      <c r="FS24" s="159"/>
      <c r="FT24" s="159">
        <f>FS24*FT2</f>
        <v>0</v>
      </c>
      <c r="FU24" s="159">
        <f t="shared" si="115"/>
        <v>0</v>
      </c>
      <c r="FV24" s="118"/>
      <c r="FW24" s="151"/>
      <c r="FX24" s="151">
        <f t="shared" si="116"/>
        <v>0</v>
      </c>
      <c r="FY24" s="151">
        <f>FX24/FX2</f>
        <v>0</v>
      </c>
      <c r="FZ24" s="96"/>
      <c r="GA24" s="96">
        <f>FZ24*GA2</f>
        <v>0</v>
      </c>
      <c r="GB24" s="96">
        <f t="shared" si="117"/>
        <v>0</v>
      </c>
      <c r="GC24" s="118"/>
      <c r="GD24" s="151"/>
      <c r="GE24" s="151">
        <f t="shared" si="118"/>
        <v>0</v>
      </c>
      <c r="GF24" s="151">
        <f>GE24/GE2</f>
        <v>0</v>
      </c>
      <c r="GG24" s="159"/>
      <c r="GH24" s="159">
        <f>GG24*GH2</f>
        <v>0</v>
      </c>
      <c r="GI24" s="159">
        <f t="shared" si="119"/>
        <v>0</v>
      </c>
      <c r="GJ24" s="118"/>
      <c r="GK24" s="151">
        <v>861860</v>
      </c>
      <c r="GL24" s="151">
        <f t="shared" si="120"/>
        <v>730389.83050847461</v>
      </c>
      <c r="GM24" s="151">
        <f>GL24/GL2</f>
        <v>10434.140435835352</v>
      </c>
      <c r="GN24" s="159">
        <v>7000</v>
      </c>
      <c r="GO24" s="159">
        <f>GN24*GO2</f>
        <v>1129800</v>
      </c>
      <c r="GP24" s="159">
        <f t="shared" si="121"/>
        <v>1333164</v>
      </c>
      <c r="GQ24" s="118"/>
      <c r="GR24" s="151"/>
      <c r="GS24" s="151">
        <f t="shared" si="122"/>
        <v>0</v>
      </c>
      <c r="GT24" s="151">
        <f>GS24/GS2</f>
        <v>0</v>
      </c>
      <c r="GU24" s="96"/>
      <c r="GV24" s="96">
        <f>GU24*GV2</f>
        <v>0</v>
      </c>
      <c r="GW24" s="96">
        <f t="shared" si="123"/>
        <v>0</v>
      </c>
      <c r="GX24" s="118"/>
      <c r="GY24" s="151">
        <v>600000</v>
      </c>
      <c r="GZ24" s="151">
        <f t="shared" si="124"/>
        <v>508474.57627118647</v>
      </c>
      <c r="HA24" s="151">
        <f>GZ24/GZ2</f>
        <v>4725.6001512192051</v>
      </c>
      <c r="HB24" s="159">
        <v>7000</v>
      </c>
      <c r="HC24" s="159">
        <f>HB24*HC2</f>
        <v>1932711.1999999997</v>
      </c>
      <c r="HD24" s="159">
        <f t="shared" si="125"/>
        <v>2280599.2159999995</v>
      </c>
      <c r="HE24" s="118"/>
      <c r="HF24" s="151">
        <v>4489750.1399999997</v>
      </c>
      <c r="HG24" s="151">
        <f t="shared" si="126"/>
        <v>3804873</v>
      </c>
      <c r="HH24" s="151">
        <f>HG24/HG2</f>
        <v>585.36507692307691</v>
      </c>
      <c r="HI24" s="210"/>
      <c r="HJ24" s="210">
        <f>HI24*HJ2</f>
        <v>0</v>
      </c>
      <c r="HK24" s="210">
        <f t="shared" si="127"/>
        <v>0</v>
      </c>
      <c r="HL24" s="118"/>
      <c r="HM24" s="151">
        <v>861860</v>
      </c>
      <c r="HN24" s="151">
        <f t="shared" si="128"/>
        <v>730389.83050847461</v>
      </c>
      <c r="HO24" s="151">
        <f>HN24/HN2</f>
        <v>10434.140435835352</v>
      </c>
      <c r="HP24" s="159">
        <v>7000</v>
      </c>
      <c r="HQ24" s="159">
        <f>HP24*HQ2</f>
        <v>1129800</v>
      </c>
      <c r="HR24" s="159">
        <f t="shared" si="129"/>
        <v>1333164</v>
      </c>
      <c r="HS24" s="118"/>
      <c r="HT24" s="151">
        <v>10974000</v>
      </c>
      <c r="HU24" s="151">
        <f t="shared" si="130"/>
        <v>9300000</v>
      </c>
      <c r="HV24" s="151">
        <f>HU24/HU2</f>
        <v>5025.0713235929798</v>
      </c>
      <c r="HW24" s="96">
        <v>2000</v>
      </c>
      <c r="HX24" s="96">
        <f>HW24*(HX2*30%)</f>
        <v>383615.52</v>
      </c>
      <c r="HY24" s="96">
        <f t="shared" si="131"/>
        <v>452666.31359999999</v>
      </c>
      <c r="HZ24" s="118"/>
      <c r="IA24" s="22"/>
    </row>
    <row r="25" spans="1:235">
      <c r="A25" s="18">
        <v>5</v>
      </c>
      <c r="B25" s="19" t="s">
        <v>209</v>
      </c>
      <c r="C25" s="118"/>
      <c r="D25" s="151"/>
      <c r="E25" s="151">
        <f t="shared" si="66"/>
        <v>0</v>
      </c>
      <c r="F25" s="151">
        <f>E25/E2</f>
        <v>0</v>
      </c>
      <c r="G25" s="159">
        <v>500</v>
      </c>
      <c r="H25" s="159">
        <f>G25*(H2*80%)</f>
        <v>406297.60000000003</v>
      </c>
      <c r="I25" s="159">
        <f>H25*118%</f>
        <v>479431.16800000001</v>
      </c>
      <c r="J25" s="118"/>
      <c r="K25" s="151"/>
      <c r="L25" s="151">
        <f t="shared" si="68"/>
        <v>0</v>
      </c>
      <c r="M25" s="151">
        <f>L25/L2</f>
        <v>0</v>
      </c>
      <c r="N25" s="96"/>
      <c r="O25" s="96">
        <f>N25*O2</f>
        <v>0</v>
      </c>
      <c r="P25" s="96">
        <f>O25*118%</f>
        <v>0</v>
      </c>
      <c r="Q25" s="118"/>
      <c r="R25" s="151"/>
      <c r="S25" s="151">
        <f>R25/118%</f>
        <v>0</v>
      </c>
      <c r="T25" s="151">
        <f>S25/S2</f>
        <v>0</v>
      </c>
      <c r="U25" s="159"/>
      <c r="V25" s="159">
        <f>U25*V2</f>
        <v>0</v>
      </c>
      <c r="W25" s="159">
        <f>V25*118%</f>
        <v>0</v>
      </c>
      <c r="X25" s="118"/>
      <c r="Y25" s="151"/>
      <c r="Z25" s="151">
        <f>Y25/118%</f>
        <v>0</v>
      </c>
      <c r="AA25" s="151">
        <f>Z25/Z2</f>
        <v>0</v>
      </c>
      <c r="AB25" s="96"/>
      <c r="AC25" s="96">
        <f>AB25*AC2</f>
        <v>0</v>
      </c>
      <c r="AD25" s="96">
        <f>AC25*118%</f>
        <v>0</v>
      </c>
      <c r="AE25" s="118"/>
      <c r="AF25" s="151"/>
      <c r="AG25" s="151">
        <f>AF25/118%</f>
        <v>0</v>
      </c>
      <c r="AH25" s="151">
        <f>AG25/AG2</f>
        <v>0</v>
      </c>
      <c r="AI25" s="159">
        <v>5000</v>
      </c>
      <c r="AJ25" s="159">
        <f>AI25*(AJ2*70%)</f>
        <v>12518183.999999998</v>
      </c>
      <c r="AK25" s="159">
        <f>AJ25*118%</f>
        <v>14771457.119999997</v>
      </c>
      <c r="AL25" s="118"/>
      <c r="AM25" s="151"/>
      <c r="AN25" s="151">
        <f>AM25/118%</f>
        <v>0</v>
      </c>
      <c r="AO25" s="151">
        <f>AN25/AN2</f>
        <v>0</v>
      </c>
      <c r="AP25" s="96"/>
      <c r="AQ25" s="96">
        <f>AP25*AQ2</f>
        <v>0</v>
      </c>
      <c r="AR25" s="96">
        <f>AQ25*118%</f>
        <v>0</v>
      </c>
      <c r="AS25" s="118"/>
      <c r="AT25" s="151"/>
      <c r="AU25" s="151">
        <f t="shared" si="78"/>
        <v>0</v>
      </c>
      <c r="AV25" s="151">
        <f>AU25/AU2</f>
        <v>0</v>
      </c>
      <c r="AW25" s="210">
        <v>500</v>
      </c>
      <c r="AX25" s="210">
        <f>AW25*AX2</f>
        <v>478927.6</v>
      </c>
      <c r="AY25" s="210">
        <f t="shared" si="79"/>
        <v>565134.56799999997</v>
      </c>
      <c r="AZ25" s="118"/>
      <c r="BA25" s="151"/>
      <c r="BB25" s="151">
        <f t="shared" si="80"/>
        <v>0</v>
      </c>
      <c r="BC25" s="151">
        <f>BB25/BB2</f>
        <v>0</v>
      </c>
      <c r="BD25" s="159"/>
      <c r="BE25" s="159">
        <f>BD25*BE2</f>
        <v>0</v>
      </c>
      <c r="BF25" s="159">
        <f>BE25*118%</f>
        <v>0</v>
      </c>
      <c r="BG25" s="118"/>
      <c r="BH25" s="151"/>
      <c r="BI25" s="151">
        <f t="shared" si="82"/>
        <v>0</v>
      </c>
      <c r="BJ25" s="151">
        <f>BI25/BI2</f>
        <v>0</v>
      </c>
      <c r="BK25" s="210">
        <v>500</v>
      </c>
      <c r="BL25" s="210">
        <f>BK25*BL2</f>
        <v>542680.6</v>
      </c>
      <c r="BM25" s="210">
        <f t="shared" si="83"/>
        <v>640363.10799999989</v>
      </c>
      <c r="BN25" s="118"/>
      <c r="BO25" s="151">
        <v>18536454.759999998</v>
      </c>
      <c r="BP25" s="151">
        <f>BO25/118%</f>
        <v>15708859.966101695</v>
      </c>
      <c r="BQ25" s="151">
        <f>BP25/BP2</f>
        <v>3490.857770244821</v>
      </c>
      <c r="BR25" s="96">
        <v>5000</v>
      </c>
      <c r="BS25" s="96">
        <f>BR25*(BS2*80%)</f>
        <v>12782880</v>
      </c>
      <c r="BT25" s="96">
        <f>BS25*118%</f>
        <v>15083798.399999999</v>
      </c>
      <c r="BU25" s="118"/>
      <c r="BV25" s="151"/>
      <c r="BW25" s="151">
        <f t="shared" si="86"/>
        <v>0</v>
      </c>
      <c r="BX25" s="151">
        <f>BW25/BW2</f>
        <v>0</v>
      </c>
      <c r="BY25" s="159"/>
      <c r="BZ25" s="159">
        <f>BY25*BZ2</f>
        <v>0</v>
      </c>
      <c r="CA25" s="159">
        <f>BZ25*118%</f>
        <v>0</v>
      </c>
      <c r="CB25" s="118"/>
      <c r="CC25" s="151"/>
      <c r="CD25" s="151">
        <f t="shared" si="88"/>
        <v>0</v>
      </c>
      <c r="CE25" s="151">
        <f>CD25/CD2</f>
        <v>0</v>
      </c>
      <c r="CF25" s="96"/>
      <c r="CG25" s="96">
        <f>CF25*CG2</f>
        <v>0</v>
      </c>
      <c r="CH25" s="96">
        <f>CG25*118%</f>
        <v>0</v>
      </c>
      <c r="CI25" s="118"/>
      <c r="CJ25" s="151"/>
      <c r="CK25" s="151">
        <f t="shared" si="90"/>
        <v>0</v>
      </c>
      <c r="CL25" s="151">
        <f>CK25/CK2</f>
        <v>0</v>
      </c>
      <c r="CM25" s="210">
        <v>500</v>
      </c>
      <c r="CN25" s="210">
        <f>CM25*CN2</f>
        <v>320271.39999999997</v>
      </c>
      <c r="CO25" s="210">
        <f t="shared" si="91"/>
        <v>377920.25199999992</v>
      </c>
      <c r="CP25" s="118"/>
      <c r="CQ25" s="151"/>
      <c r="CR25" s="151">
        <f t="shared" si="92"/>
        <v>0</v>
      </c>
      <c r="CS25" s="151">
        <f>CR25/CR2</f>
        <v>0</v>
      </c>
      <c r="CT25" s="159"/>
      <c r="CU25" s="159">
        <f>CT25*CU2</f>
        <v>0</v>
      </c>
      <c r="CV25" s="159">
        <f t="shared" si="93"/>
        <v>0</v>
      </c>
      <c r="CW25" s="118"/>
      <c r="CX25" s="151"/>
      <c r="CY25" s="151">
        <f t="shared" si="94"/>
        <v>0</v>
      </c>
      <c r="CZ25" s="151">
        <f>CY25/CY2</f>
        <v>0</v>
      </c>
      <c r="DA25" s="96">
        <v>5000</v>
      </c>
      <c r="DB25" s="96">
        <f>DA25*(DB2*70%)</f>
        <v>1727087.5999999999</v>
      </c>
      <c r="DC25" s="96">
        <f t="shared" si="95"/>
        <v>2037963.3679999998</v>
      </c>
      <c r="DD25" s="118"/>
      <c r="DE25" s="151"/>
      <c r="DF25" s="151">
        <f t="shared" si="96"/>
        <v>0</v>
      </c>
      <c r="DG25" s="151">
        <f>DF25/DF2</f>
        <v>0</v>
      </c>
      <c r="DH25" s="159">
        <v>5000</v>
      </c>
      <c r="DI25" s="159">
        <f>DH25*(DI2*80%)</f>
        <v>3070904</v>
      </c>
      <c r="DJ25" s="159">
        <f t="shared" si="97"/>
        <v>3623666.7199999997</v>
      </c>
      <c r="DK25" s="118"/>
      <c r="DL25" s="151"/>
      <c r="DM25" s="151">
        <f t="shared" si="98"/>
        <v>0</v>
      </c>
      <c r="DN25" s="151">
        <f>DM25/DM2</f>
        <v>0</v>
      </c>
      <c r="DO25" s="96"/>
      <c r="DP25" s="96">
        <f>DO25*DP2</f>
        <v>0</v>
      </c>
      <c r="DQ25" s="96">
        <f t="shared" si="99"/>
        <v>0</v>
      </c>
      <c r="DR25" s="118"/>
      <c r="DS25" s="151"/>
      <c r="DT25" s="151">
        <f t="shared" si="100"/>
        <v>0</v>
      </c>
      <c r="DU25" s="151">
        <f>DT25/DT2</f>
        <v>0</v>
      </c>
      <c r="DV25" s="210">
        <v>700</v>
      </c>
      <c r="DW25" s="210">
        <f>DV25*DW2</f>
        <v>514510.92000000004</v>
      </c>
      <c r="DX25" s="210">
        <f t="shared" si="101"/>
        <v>607122.88560000004</v>
      </c>
      <c r="DY25" s="118"/>
      <c r="DZ25" s="151"/>
      <c r="EA25" s="151">
        <f t="shared" si="102"/>
        <v>0</v>
      </c>
      <c r="EB25" s="151">
        <f>EA25/EA2</f>
        <v>0</v>
      </c>
      <c r="EC25" s="159"/>
      <c r="ED25" s="159">
        <f>EC25*ED2</f>
        <v>0</v>
      </c>
      <c r="EE25" s="159">
        <f t="shared" si="103"/>
        <v>0</v>
      </c>
      <c r="EF25" s="118"/>
      <c r="EG25" s="151"/>
      <c r="EH25" s="151">
        <f t="shared" si="104"/>
        <v>0</v>
      </c>
      <c r="EI25" s="151">
        <f>EH25/EH2</f>
        <v>0</v>
      </c>
      <c r="EJ25" s="96">
        <v>3000</v>
      </c>
      <c r="EK25" s="96">
        <f>EJ25*(EK2*70%)</f>
        <v>3732407.28</v>
      </c>
      <c r="EL25" s="96">
        <f t="shared" si="105"/>
        <v>4404240.5903999992</v>
      </c>
      <c r="EM25" s="118"/>
      <c r="EN25" s="151">
        <v>18536454.759999998</v>
      </c>
      <c r="EO25" s="151">
        <f t="shared" si="106"/>
        <v>15708859.966101695</v>
      </c>
      <c r="EP25" s="151">
        <f>EO25/EO2</f>
        <v>3490.857770244821</v>
      </c>
      <c r="EQ25" s="159">
        <v>5000</v>
      </c>
      <c r="ER25" s="159">
        <f>EQ25*(ER2*70%)</f>
        <v>18214635.599999998</v>
      </c>
      <c r="ES25" s="159">
        <f t="shared" si="107"/>
        <v>21493270.007999998</v>
      </c>
      <c r="ET25" s="118"/>
      <c r="EU25" s="151"/>
      <c r="EV25" s="151">
        <f t="shared" si="108"/>
        <v>0</v>
      </c>
      <c r="EW25" s="151">
        <f>EV25/EV2</f>
        <v>0</v>
      </c>
      <c r="EX25" s="96"/>
      <c r="EY25" s="96">
        <f>EX25*EY2</f>
        <v>0</v>
      </c>
      <c r="EZ25" s="96">
        <f t="shared" si="109"/>
        <v>0</v>
      </c>
      <c r="FA25" s="118"/>
      <c r="FB25" s="151"/>
      <c r="FC25" s="151">
        <f t="shared" si="110"/>
        <v>0</v>
      </c>
      <c r="FD25" s="151">
        <f>FC25/FC2</f>
        <v>0</v>
      </c>
      <c r="FE25" s="159">
        <v>3000</v>
      </c>
      <c r="FF25" s="159">
        <f>FE25*FF2</f>
        <v>5498252.3999999994</v>
      </c>
      <c r="FG25" s="159">
        <f t="shared" si="111"/>
        <v>6487937.8319999985</v>
      </c>
      <c r="FH25" s="118"/>
      <c r="FI25" s="151"/>
      <c r="FJ25" s="151">
        <f t="shared" si="112"/>
        <v>0</v>
      </c>
      <c r="FK25" s="151">
        <f>FJ25/FJ2</f>
        <v>0</v>
      </c>
      <c r="FL25" s="96"/>
      <c r="FM25" s="96">
        <f>FL25*FM2</f>
        <v>0</v>
      </c>
      <c r="FN25" s="96">
        <f t="shared" si="113"/>
        <v>0</v>
      </c>
      <c r="FO25" s="118"/>
      <c r="FP25" s="151"/>
      <c r="FQ25" s="151">
        <f t="shared" si="114"/>
        <v>0</v>
      </c>
      <c r="FR25" s="151">
        <f>FQ25/FQ2</f>
        <v>0</v>
      </c>
      <c r="FS25" s="159"/>
      <c r="FT25" s="159">
        <f>FS25*FT2</f>
        <v>0</v>
      </c>
      <c r="FU25" s="159">
        <f t="shared" si="115"/>
        <v>0</v>
      </c>
      <c r="FV25" s="118"/>
      <c r="FW25" s="151"/>
      <c r="FX25" s="151">
        <f t="shared" si="116"/>
        <v>0</v>
      </c>
      <c r="FY25" s="151">
        <f>FX25/FX2</f>
        <v>0</v>
      </c>
      <c r="FZ25" s="96"/>
      <c r="GA25" s="96">
        <f>FZ25*GA2</f>
        <v>0</v>
      </c>
      <c r="GB25" s="96">
        <f t="shared" si="117"/>
        <v>0</v>
      </c>
      <c r="GC25" s="118"/>
      <c r="GD25" s="151"/>
      <c r="GE25" s="151">
        <f t="shared" si="118"/>
        <v>0</v>
      </c>
      <c r="GF25" s="151">
        <f>GE25/GE2</f>
        <v>0</v>
      </c>
      <c r="GG25" s="159"/>
      <c r="GH25" s="159">
        <f>GG25*GH2</f>
        <v>0</v>
      </c>
      <c r="GI25" s="159">
        <f t="shared" si="119"/>
        <v>0</v>
      </c>
      <c r="GJ25" s="118"/>
      <c r="GK25" s="151"/>
      <c r="GL25" s="151">
        <f t="shared" si="120"/>
        <v>0</v>
      </c>
      <c r="GM25" s="151">
        <f>GL25/GL2</f>
        <v>0</v>
      </c>
      <c r="GN25" s="159"/>
      <c r="GO25" s="159">
        <f>GN25*GO2</f>
        <v>0</v>
      </c>
      <c r="GP25" s="159">
        <f t="shared" si="121"/>
        <v>0</v>
      </c>
      <c r="GQ25" s="118"/>
      <c r="GR25" s="151"/>
      <c r="GS25" s="151">
        <f t="shared" si="122"/>
        <v>0</v>
      </c>
      <c r="GT25" s="151">
        <f>GS25/GS2</f>
        <v>0</v>
      </c>
      <c r="GU25" s="96"/>
      <c r="GV25" s="96">
        <f>GU25*GV2</f>
        <v>0</v>
      </c>
      <c r="GW25" s="96">
        <f t="shared" si="123"/>
        <v>0</v>
      </c>
      <c r="GX25" s="118"/>
      <c r="GY25" s="151"/>
      <c r="GZ25" s="151">
        <f t="shared" si="124"/>
        <v>0</v>
      </c>
      <c r="HA25" s="151">
        <f>GZ25/GZ2</f>
        <v>0</v>
      </c>
      <c r="HB25" s="159"/>
      <c r="HC25" s="159">
        <f>HB25*HC2</f>
        <v>0</v>
      </c>
      <c r="HD25" s="159">
        <f t="shared" si="125"/>
        <v>0</v>
      </c>
      <c r="HE25" s="118"/>
      <c r="HF25" s="151"/>
      <c r="HG25" s="151">
        <f t="shared" si="126"/>
        <v>0</v>
      </c>
      <c r="HH25" s="151">
        <f>HG25/HG2</f>
        <v>0</v>
      </c>
      <c r="HI25" s="210">
        <v>700</v>
      </c>
      <c r="HJ25" s="210">
        <f>HI25*HJ2</f>
        <v>688801.4</v>
      </c>
      <c r="HK25" s="210">
        <f t="shared" si="127"/>
        <v>812785.652</v>
      </c>
      <c r="HL25" s="118"/>
      <c r="HM25" s="151"/>
      <c r="HN25" s="151">
        <f t="shared" si="128"/>
        <v>0</v>
      </c>
      <c r="HO25" s="151">
        <f>HN25/HN2</f>
        <v>0</v>
      </c>
      <c r="HP25" s="159"/>
      <c r="HQ25" s="159">
        <f>HP25*HQ2</f>
        <v>0</v>
      </c>
      <c r="HR25" s="159">
        <f t="shared" si="129"/>
        <v>0</v>
      </c>
      <c r="HS25" s="118"/>
      <c r="HT25" s="151"/>
      <c r="HU25" s="151">
        <f t="shared" si="130"/>
        <v>0</v>
      </c>
      <c r="HV25" s="151">
        <f>HU25/HU2</f>
        <v>0</v>
      </c>
      <c r="HW25" s="96">
        <v>5000</v>
      </c>
      <c r="HX25" s="96">
        <f>HW25*(HX2*70%)</f>
        <v>2237757.1999999997</v>
      </c>
      <c r="HY25" s="96">
        <f t="shared" si="131"/>
        <v>2640553.4959999993</v>
      </c>
      <c r="HZ25" s="118"/>
      <c r="IA25" s="22"/>
    </row>
    <row r="26" spans="1:235">
      <c r="A26" s="18">
        <v>6</v>
      </c>
      <c r="B26" s="19" t="s">
        <v>27</v>
      </c>
      <c r="C26" s="118"/>
      <c r="D26" s="151"/>
      <c r="E26" s="151">
        <f t="shared" si="66"/>
        <v>0</v>
      </c>
      <c r="F26" s="151">
        <f>E26/E2</f>
        <v>0</v>
      </c>
      <c r="G26" s="73"/>
      <c r="H26" s="159">
        <f>G26*H2</f>
        <v>0</v>
      </c>
      <c r="I26" s="73">
        <f t="shared" si="67"/>
        <v>0</v>
      </c>
      <c r="J26" s="118"/>
      <c r="K26" s="151"/>
      <c r="L26" s="151">
        <f t="shared" si="68"/>
        <v>0</v>
      </c>
      <c r="M26" s="151">
        <f>L26/L2</f>
        <v>0</v>
      </c>
      <c r="N26" s="96"/>
      <c r="O26" s="96">
        <f>N26*O2</f>
        <v>0</v>
      </c>
      <c r="P26" s="96">
        <f t="shared" si="69"/>
        <v>0</v>
      </c>
      <c r="Q26" s="118"/>
      <c r="R26" s="20"/>
      <c r="S26" s="20">
        <f t="shared" si="70"/>
        <v>0</v>
      </c>
      <c r="T26" s="151">
        <f>S26/S2</f>
        <v>0</v>
      </c>
      <c r="U26" s="159"/>
      <c r="V26" s="159">
        <f>U26*V2</f>
        <v>0</v>
      </c>
      <c r="W26" s="73">
        <f t="shared" si="71"/>
        <v>0</v>
      </c>
      <c r="X26" s="118"/>
      <c r="Y26" s="20"/>
      <c r="Z26" s="20">
        <f t="shared" si="72"/>
        <v>0</v>
      </c>
      <c r="AA26" s="151">
        <f>Z26/Z2</f>
        <v>0</v>
      </c>
      <c r="AB26" s="96"/>
      <c r="AC26" s="96">
        <f>AB26*AC2</f>
        <v>0</v>
      </c>
      <c r="AD26" s="96">
        <f t="shared" si="73"/>
        <v>0</v>
      </c>
      <c r="AE26" s="118"/>
      <c r="AF26" s="131"/>
      <c r="AG26" s="131">
        <f t="shared" si="74"/>
        <v>0</v>
      </c>
      <c r="AH26" s="151">
        <f>AG26/AG2</f>
        <v>0</v>
      </c>
      <c r="AI26" s="159"/>
      <c r="AJ26" s="159">
        <f>AI26*AJ2</f>
        <v>0</v>
      </c>
      <c r="AK26" s="73">
        <f t="shared" si="75"/>
        <v>0</v>
      </c>
      <c r="AL26" s="118"/>
      <c r="AM26" s="20"/>
      <c r="AN26" s="20">
        <f t="shared" si="76"/>
        <v>0</v>
      </c>
      <c r="AO26" s="151">
        <f>AN26/AN2</f>
        <v>0</v>
      </c>
      <c r="AP26" s="96"/>
      <c r="AQ26" s="96">
        <f>AP26*AQ2</f>
        <v>0</v>
      </c>
      <c r="AR26" s="96">
        <f t="shared" si="77"/>
        <v>0</v>
      </c>
      <c r="AS26" s="118"/>
      <c r="AT26" s="151"/>
      <c r="AU26" s="151">
        <f t="shared" si="78"/>
        <v>0</v>
      </c>
      <c r="AV26" s="151">
        <f>AU26/AU2</f>
        <v>0</v>
      </c>
      <c r="AW26" s="210"/>
      <c r="AX26" s="210">
        <f>AW26*AX2</f>
        <v>0</v>
      </c>
      <c r="AY26" s="210">
        <f t="shared" si="79"/>
        <v>0</v>
      </c>
      <c r="AZ26" s="118"/>
      <c r="BA26" s="151"/>
      <c r="BB26" s="151">
        <f t="shared" si="80"/>
        <v>0</v>
      </c>
      <c r="BC26" s="151">
        <f>BB26/BB2</f>
        <v>0</v>
      </c>
      <c r="BD26" s="159"/>
      <c r="BE26" s="159">
        <f>BD26*BE2</f>
        <v>0</v>
      </c>
      <c r="BF26" s="73">
        <f t="shared" si="81"/>
        <v>0</v>
      </c>
      <c r="BG26" s="118"/>
      <c r="BH26" s="151"/>
      <c r="BI26" s="151">
        <f t="shared" si="82"/>
        <v>0</v>
      </c>
      <c r="BJ26" s="151">
        <f>BI26/BI2</f>
        <v>0</v>
      </c>
      <c r="BK26" s="210"/>
      <c r="BL26" s="210">
        <f>BK26*BL2</f>
        <v>0</v>
      </c>
      <c r="BM26" s="210">
        <f t="shared" si="83"/>
        <v>0</v>
      </c>
      <c r="BN26" s="118"/>
      <c r="BO26" s="151"/>
      <c r="BP26" s="151">
        <f t="shared" si="84"/>
        <v>0</v>
      </c>
      <c r="BQ26" s="151">
        <f>BP26/BP2</f>
        <v>0</v>
      </c>
      <c r="BR26" s="96"/>
      <c r="BS26" s="96">
        <f>BR26*BS2</f>
        <v>0</v>
      </c>
      <c r="BT26" s="96">
        <f t="shared" si="85"/>
        <v>0</v>
      </c>
      <c r="BU26" s="118"/>
      <c r="BV26" s="151"/>
      <c r="BW26" s="151">
        <f t="shared" si="86"/>
        <v>0</v>
      </c>
      <c r="BX26" s="151">
        <f>BW26/BW2</f>
        <v>0</v>
      </c>
      <c r="BY26" s="159"/>
      <c r="BZ26" s="159">
        <f>BY26*BZ2</f>
        <v>0</v>
      </c>
      <c r="CA26" s="73">
        <f t="shared" si="87"/>
        <v>0</v>
      </c>
      <c r="CB26" s="118"/>
      <c r="CC26" s="151"/>
      <c r="CD26" s="151">
        <f t="shared" si="88"/>
        <v>0</v>
      </c>
      <c r="CE26" s="151">
        <f>CD26/CD2</f>
        <v>0</v>
      </c>
      <c r="CF26" s="96"/>
      <c r="CG26" s="96">
        <f>CF26*CG2</f>
        <v>0</v>
      </c>
      <c r="CH26" s="96">
        <f t="shared" si="89"/>
        <v>0</v>
      </c>
      <c r="CI26" s="118"/>
      <c r="CJ26" s="151"/>
      <c r="CK26" s="151">
        <f t="shared" si="90"/>
        <v>0</v>
      </c>
      <c r="CL26" s="151">
        <f>CK26/CK2</f>
        <v>0</v>
      </c>
      <c r="CM26" s="210"/>
      <c r="CN26" s="210">
        <f>CM26*CN2</f>
        <v>0</v>
      </c>
      <c r="CO26" s="210">
        <f t="shared" si="91"/>
        <v>0</v>
      </c>
      <c r="CP26" s="118"/>
      <c r="CQ26" s="151"/>
      <c r="CR26" s="151">
        <f t="shared" si="92"/>
        <v>0</v>
      </c>
      <c r="CS26" s="151">
        <f>CR26/CR2</f>
        <v>0</v>
      </c>
      <c r="CT26" s="159"/>
      <c r="CU26" s="159">
        <f>CT26*CU2</f>
        <v>0</v>
      </c>
      <c r="CV26" s="159">
        <f t="shared" si="93"/>
        <v>0</v>
      </c>
      <c r="CW26" s="118"/>
      <c r="CX26" s="151"/>
      <c r="CY26" s="151">
        <f t="shared" si="94"/>
        <v>0</v>
      </c>
      <c r="CZ26" s="151">
        <f>CY26/CY2</f>
        <v>0</v>
      </c>
      <c r="DA26" s="96"/>
      <c r="DB26" s="96">
        <f>DA26*DB2</f>
        <v>0</v>
      </c>
      <c r="DC26" s="96">
        <f t="shared" si="95"/>
        <v>0</v>
      </c>
      <c r="DD26" s="118"/>
      <c r="DE26" s="151"/>
      <c r="DF26" s="151">
        <f t="shared" si="96"/>
        <v>0</v>
      </c>
      <c r="DG26" s="151">
        <f>DF26/DF2</f>
        <v>0</v>
      </c>
      <c r="DH26" s="159"/>
      <c r="DI26" s="159">
        <f>DH26*DI2</f>
        <v>0</v>
      </c>
      <c r="DJ26" s="159">
        <f t="shared" si="97"/>
        <v>0</v>
      </c>
      <c r="DK26" s="118"/>
      <c r="DL26" s="151"/>
      <c r="DM26" s="151">
        <f t="shared" si="98"/>
        <v>0</v>
      </c>
      <c r="DN26" s="151">
        <f>DM26/DM2</f>
        <v>0</v>
      </c>
      <c r="DO26" s="96"/>
      <c r="DP26" s="96">
        <f>DO26*DP2</f>
        <v>0</v>
      </c>
      <c r="DQ26" s="96">
        <f t="shared" si="99"/>
        <v>0</v>
      </c>
      <c r="DR26" s="118"/>
      <c r="DS26" s="151"/>
      <c r="DT26" s="151">
        <f t="shared" si="100"/>
        <v>0</v>
      </c>
      <c r="DU26" s="151">
        <f>DT26/DT2</f>
        <v>0</v>
      </c>
      <c r="DV26" s="210"/>
      <c r="DW26" s="210">
        <f>DV26*DW2</f>
        <v>0</v>
      </c>
      <c r="DX26" s="210">
        <f t="shared" si="101"/>
        <v>0</v>
      </c>
      <c r="DY26" s="118"/>
      <c r="DZ26" s="151"/>
      <c r="EA26" s="151">
        <f t="shared" si="102"/>
        <v>0</v>
      </c>
      <c r="EB26" s="151">
        <f>EA26/EA2</f>
        <v>0</v>
      </c>
      <c r="EC26" s="159"/>
      <c r="ED26" s="159">
        <f>EC26*ED2</f>
        <v>0</v>
      </c>
      <c r="EE26" s="159">
        <f t="shared" si="103"/>
        <v>0</v>
      </c>
      <c r="EF26" s="118"/>
      <c r="EG26" s="151"/>
      <c r="EH26" s="151">
        <f t="shared" si="104"/>
        <v>0</v>
      </c>
      <c r="EI26" s="151">
        <f>EH26/EH2</f>
        <v>0</v>
      </c>
      <c r="EJ26" s="96"/>
      <c r="EK26" s="96">
        <f>EJ26*EK2</f>
        <v>0</v>
      </c>
      <c r="EL26" s="96">
        <f t="shared" si="105"/>
        <v>0</v>
      </c>
      <c r="EM26" s="118"/>
      <c r="EN26" s="151"/>
      <c r="EO26" s="151">
        <f t="shared" si="106"/>
        <v>0</v>
      </c>
      <c r="EP26" s="151">
        <f>EO26/EO2</f>
        <v>0</v>
      </c>
      <c r="EQ26" s="159"/>
      <c r="ER26" s="159">
        <f>EQ26*ER2</f>
        <v>0</v>
      </c>
      <c r="ES26" s="159">
        <f t="shared" si="107"/>
        <v>0</v>
      </c>
      <c r="ET26" s="118"/>
      <c r="EU26" s="151"/>
      <c r="EV26" s="151">
        <f t="shared" si="108"/>
        <v>0</v>
      </c>
      <c r="EW26" s="151">
        <f>EV26/EV2</f>
        <v>0</v>
      </c>
      <c r="EX26" s="96"/>
      <c r="EY26" s="96">
        <f>EX26*EY2</f>
        <v>0</v>
      </c>
      <c r="EZ26" s="96">
        <f t="shared" si="109"/>
        <v>0</v>
      </c>
      <c r="FA26" s="118"/>
      <c r="FB26" s="151"/>
      <c r="FC26" s="151">
        <f t="shared" si="110"/>
        <v>0</v>
      </c>
      <c r="FD26" s="151">
        <f>FC26/FC2</f>
        <v>0</v>
      </c>
      <c r="FE26" s="159"/>
      <c r="FF26" s="159">
        <f>FE26*FF2</f>
        <v>0</v>
      </c>
      <c r="FG26" s="159">
        <f t="shared" si="111"/>
        <v>0</v>
      </c>
      <c r="FH26" s="118"/>
      <c r="FI26" s="151"/>
      <c r="FJ26" s="151">
        <f t="shared" si="112"/>
        <v>0</v>
      </c>
      <c r="FK26" s="151">
        <f>FJ26/FJ2</f>
        <v>0</v>
      </c>
      <c r="FL26" s="96"/>
      <c r="FM26" s="96">
        <f>FL26*FM2</f>
        <v>0</v>
      </c>
      <c r="FN26" s="96">
        <f t="shared" si="113"/>
        <v>0</v>
      </c>
      <c r="FO26" s="118"/>
      <c r="FP26" s="151"/>
      <c r="FQ26" s="151">
        <f t="shared" si="114"/>
        <v>0</v>
      </c>
      <c r="FR26" s="151">
        <f>FQ26/FQ2</f>
        <v>0</v>
      </c>
      <c r="FS26" s="159"/>
      <c r="FT26" s="159">
        <f>FS26*FT2</f>
        <v>0</v>
      </c>
      <c r="FU26" s="159">
        <f t="shared" si="115"/>
        <v>0</v>
      </c>
      <c r="FV26" s="118"/>
      <c r="FW26" s="151"/>
      <c r="FX26" s="151">
        <f t="shared" si="116"/>
        <v>0</v>
      </c>
      <c r="FY26" s="151">
        <f>FX26/FX2</f>
        <v>0</v>
      </c>
      <c r="FZ26" s="96"/>
      <c r="GA26" s="96">
        <f>FZ26*GA2</f>
        <v>0</v>
      </c>
      <c r="GB26" s="96">
        <f t="shared" si="117"/>
        <v>0</v>
      </c>
      <c r="GC26" s="118"/>
      <c r="GD26" s="151"/>
      <c r="GE26" s="151">
        <f t="shared" si="118"/>
        <v>0</v>
      </c>
      <c r="GF26" s="151">
        <f>GE26/GE2</f>
        <v>0</v>
      </c>
      <c r="GG26" s="159"/>
      <c r="GH26" s="159">
        <f>GG26*GH2</f>
        <v>0</v>
      </c>
      <c r="GI26" s="159">
        <f t="shared" si="119"/>
        <v>0</v>
      </c>
      <c r="GJ26" s="118"/>
      <c r="GK26" s="151"/>
      <c r="GL26" s="151">
        <f t="shared" si="120"/>
        <v>0</v>
      </c>
      <c r="GM26" s="151">
        <f>GL26/GL2</f>
        <v>0</v>
      </c>
      <c r="GN26" s="159"/>
      <c r="GO26" s="159">
        <f>GN26*GO2</f>
        <v>0</v>
      </c>
      <c r="GP26" s="159">
        <f t="shared" si="121"/>
        <v>0</v>
      </c>
      <c r="GQ26" s="118"/>
      <c r="GR26" s="151"/>
      <c r="GS26" s="151">
        <f t="shared" si="122"/>
        <v>0</v>
      </c>
      <c r="GT26" s="151">
        <f>GS26/GS2</f>
        <v>0</v>
      </c>
      <c r="GU26" s="96"/>
      <c r="GV26" s="96">
        <f>GU26*GV2</f>
        <v>0</v>
      </c>
      <c r="GW26" s="96">
        <f t="shared" si="123"/>
        <v>0</v>
      </c>
      <c r="GX26" s="118"/>
      <c r="GY26" s="151"/>
      <c r="GZ26" s="151">
        <f t="shared" si="124"/>
        <v>0</v>
      </c>
      <c r="HA26" s="151">
        <f>GZ26/GZ2</f>
        <v>0</v>
      </c>
      <c r="HB26" s="159"/>
      <c r="HC26" s="159">
        <f>HB26*HC2</f>
        <v>0</v>
      </c>
      <c r="HD26" s="159">
        <f t="shared" si="125"/>
        <v>0</v>
      </c>
      <c r="HE26" s="118"/>
      <c r="HF26" s="151"/>
      <c r="HG26" s="151">
        <f t="shared" si="126"/>
        <v>0</v>
      </c>
      <c r="HH26" s="151">
        <f>HG26/HG2</f>
        <v>0</v>
      </c>
      <c r="HI26" s="210"/>
      <c r="HJ26" s="210">
        <f>HI26*HJ2</f>
        <v>0</v>
      </c>
      <c r="HK26" s="210">
        <f t="shared" si="127"/>
        <v>0</v>
      </c>
      <c r="HL26" s="118"/>
      <c r="HM26" s="151"/>
      <c r="HN26" s="151">
        <f t="shared" si="128"/>
        <v>0</v>
      </c>
      <c r="HO26" s="151">
        <f>HN26/HN2</f>
        <v>0</v>
      </c>
      <c r="HP26" s="159"/>
      <c r="HQ26" s="159">
        <f>HP26*HQ2</f>
        <v>0</v>
      </c>
      <c r="HR26" s="159">
        <f t="shared" si="129"/>
        <v>0</v>
      </c>
      <c r="HS26" s="118"/>
      <c r="HT26" s="151"/>
      <c r="HU26" s="151">
        <f t="shared" si="130"/>
        <v>0</v>
      </c>
      <c r="HV26" s="151">
        <f>HU26/HU2</f>
        <v>0</v>
      </c>
      <c r="HW26" s="96"/>
      <c r="HX26" s="96">
        <f>HW26*HX2</f>
        <v>0</v>
      </c>
      <c r="HY26" s="96">
        <f t="shared" si="131"/>
        <v>0</v>
      </c>
      <c r="HZ26" s="118"/>
      <c r="IA26" s="21"/>
    </row>
    <row r="27" spans="1:235" s="26" customFormat="1" ht="15">
      <c r="A27" s="12"/>
      <c r="B27" s="23" t="s">
        <v>28</v>
      </c>
      <c r="C27" s="121"/>
      <c r="D27" s="154">
        <f>SUM(D21:D26)</f>
        <v>1647049.13</v>
      </c>
      <c r="E27" s="154">
        <f>SUM(E21:E26)</f>
        <v>1395804.3474576271</v>
      </c>
      <c r="F27" s="152"/>
      <c r="G27" s="77"/>
      <c r="H27" s="78">
        <f>SUM(H21:H26)</f>
        <v>1422041.6</v>
      </c>
      <c r="I27" s="78">
        <f>SUM(I21:I26)</f>
        <v>1678009.088</v>
      </c>
      <c r="J27" s="121"/>
      <c r="K27" s="154">
        <f>SUM(K21:K26)</f>
        <v>1647049.13</v>
      </c>
      <c r="L27" s="154">
        <f>SUM(L21:L26)</f>
        <v>1395804.3474576271</v>
      </c>
      <c r="M27" s="152"/>
      <c r="N27" s="99"/>
      <c r="O27" s="100">
        <f>SUM(O21:O26)</f>
        <v>1163242.08</v>
      </c>
      <c r="P27" s="100">
        <f>SUM(P21:P26)</f>
        <v>1372625.6543999999</v>
      </c>
      <c r="Q27" s="121"/>
      <c r="R27" s="30">
        <f>SUM(R21:R26)</f>
        <v>0</v>
      </c>
      <c r="S27" s="30">
        <f>SUM(S21:S26)</f>
        <v>0</v>
      </c>
      <c r="T27" s="152"/>
      <c r="U27" s="77"/>
      <c r="V27" s="78">
        <f>SUM(V21:V26)</f>
        <v>0</v>
      </c>
      <c r="W27" s="78">
        <f>SUM(W21:W26)</f>
        <v>0</v>
      </c>
      <c r="X27" s="121"/>
      <c r="Y27" s="30">
        <f>SUM(Y21:Y26)</f>
        <v>999359</v>
      </c>
      <c r="Z27" s="30">
        <f>SUM(Z21:Z26)</f>
        <v>846914.40677966108</v>
      </c>
      <c r="AA27" s="152"/>
      <c r="AB27" s="99"/>
      <c r="AC27" s="100">
        <f>SUM(AC21:AC26)</f>
        <v>1615162.08</v>
      </c>
      <c r="AD27" s="100">
        <f>SUM(AD21:AD26)</f>
        <v>1905891.2544</v>
      </c>
      <c r="AE27" s="121"/>
      <c r="AF27" s="137">
        <f>SUM(AF21:AF26)</f>
        <v>5193774.17</v>
      </c>
      <c r="AG27" s="137">
        <f>SUM(AG21:AG26)</f>
        <v>4401503.5338983051</v>
      </c>
      <c r="AH27" s="152"/>
      <c r="AI27" s="77"/>
      <c r="AJ27" s="78">
        <f>SUM(AJ21:AJ26)</f>
        <v>15379483.199999997</v>
      </c>
      <c r="AK27" s="78">
        <f>SUM(AK21:AK26)</f>
        <v>18147790.175999995</v>
      </c>
      <c r="AL27" s="121"/>
      <c r="AM27" s="30">
        <f>SUM(AM21:AM26)</f>
        <v>421968</v>
      </c>
      <c r="AN27" s="30">
        <f>SUM(AN21:AN26)</f>
        <v>357600</v>
      </c>
      <c r="AO27" s="152"/>
      <c r="AP27" s="99"/>
      <c r="AQ27" s="100">
        <f>SUM(AQ21:AQ26)</f>
        <v>3146718.96</v>
      </c>
      <c r="AR27" s="100">
        <f>SUM(AR21:AR26)</f>
        <v>3713128.3727999995</v>
      </c>
      <c r="AS27" s="121"/>
      <c r="AT27" s="154">
        <f>SUM(AT21:AT26)</f>
        <v>4489750.1399999997</v>
      </c>
      <c r="AU27" s="154">
        <f>SUM(AU21:AU26)</f>
        <v>3804873</v>
      </c>
      <c r="AV27" s="152"/>
      <c r="AW27" s="213"/>
      <c r="AX27" s="214">
        <f>SUM(AX21:AX26)</f>
        <v>478927.6</v>
      </c>
      <c r="AY27" s="214">
        <f>SUM(AY21:AY26)</f>
        <v>565134.56799999997</v>
      </c>
      <c r="AZ27" s="121"/>
      <c r="BA27" s="154">
        <f>SUM(BA21:BA26)</f>
        <v>10974000</v>
      </c>
      <c r="BB27" s="154">
        <f>SUM(BB21:BB26)</f>
        <v>9300000</v>
      </c>
      <c r="BC27" s="152"/>
      <c r="BD27" s="77"/>
      <c r="BE27" s="78">
        <f>SUM(BE21:BE26)</f>
        <v>4080837.5999999996</v>
      </c>
      <c r="BF27" s="78">
        <f>SUM(BF21:BF26)</f>
        <v>4815388.3679999989</v>
      </c>
      <c r="BG27" s="121"/>
      <c r="BH27" s="154">
        <f>SUM(BH21:BH26)</f>
        <v>4489750.1399999997</v>
      </c>
      <c r="BI27" s="154">
        <f>SUM(BI21:BI26)</f>
        <v>3804873</v>
      </c>
      <c r="BJ27" s="152"/>
      <c r="BK27" s="213"/>
      <c r="BL27" s="214">
        <f>SUM(BL21:BL26)</f>
        <v>542680.6</v>
      </c>
      <c r="BM27" s="214">
        <f>SUM(BM21:BM26)</f>
        <v>640363.10799999989</v>
      </c>
      <c r="BN27" s="121"/>
      <c r="BO27" s="154">
        <f>SUM(BO21:BO26)</f>
        <v>18639172.139999997</v>
      </c>
      <c r="BP27" s="154">
        <f>SUM(BP21:BP26)</f>
        <v>15795908.593220338</v>
      </c>
      <c r="BQ27" s="152"/>
      <c r="BR27" s="99"/>
      <c r="BS27" s="100">
        <f>SUM(BS21:BS26)</f>
        <v>14380740</v>
      </c>
      <c r="BT27" s="100">
        <f>SUM(BT21:BT26)</f>
        <v>16969273.199999999</v>
      </c>
      <c r="BU27" s="121"/>
      <c r="BV27" s="154">
        <f>SUM(BV21:BV26)</f>
        <v>1647049.13</v>
      </c>
      <c r="BW27" s="154">
        <f>SUM(BW21:BW26)</f>
        <v>1395804.3474576271</v>
      </c>
      <c r="BX27" s="152"/>
      <c r="BY27" s="77"/>
      <c r="BZ27" s="78">
        <f>SUM(BZ21:BZ26)</f>
        <v>1748500</v>
      </c>
      <c r="CA27" s="78">
        <f>SUM(CA21:CA26)</f>
        <v>2063230</v>
      </c>
      <c r="CB27" s="121"/>
      <c r="CC27" s="154">
        <f>SUM(CC21:CC26)</f>
        <v>10974000</v>
      </c>
      <c r="CD27" s="154">
        <f>SUM(CD21:CD26)</f>
        <v>9300000</v>
      </c>
      <c r="CE27" s="152"/>
      <c r="CF27" s="99"/>
      <c r="CG27" s="100">
        <f>SUM(CG21:CG26)</f>
        <v>3005268</v>
      </c>
      <c r="CH27" s="100">
        <f>SUM(CH21:CH26)</f>
        <v>3546216.2399999998</v>
      </c>
      <c r="CI27" s="121"/>
      <c r="CJ27" s="154">
        <f>SUM(CJ21:CJ26)</f>
        <v>4489750.1399999997</v>
      </c>
      <c r="CK27" s="154">
        <f>SUM(CK21:CK26)</f>
        <v>3804873</v>
      </c>
      <c r="CL27" s="152"/>
      <c r="CM27" s="213"/>
      <c r="CN27" s="214">
        <f>SUM(CN21:CN26)</f>
        <v>320271.39999999997</v>
      </c>
      <c r="CO27" s="214">
        <f>SUM(CO21:CO26)</f>
        <v>377920.25199999992</v>
      </c>
      <c r="CP27" s="121"/>
      <c r="CQ27" s="154">
        <f>SUM(CQ21:CQ26)</f>
        <v>999359</v>
      </c>
      <c r="CR27" s="154">
        <f>SUM(CR21:CR26)</f>
        <v>846914.40677966108</v>
      </c>
      <c r="CS27" s="152"/>
      <c r="CT27" s="77"/>
      <c r="CU27" s="78">
        <f>SUM(CU21:CU26)</f>
        <v>2468182.6</v>
      </c>
      <c r="CV27" s="78">
        <f>SUM(CV21:CV26)</f>
        <v>2912455.4679999994</v>
      </c>
      <c r="CW27" s="121"/>
      <c r="CX27" s="154">
        <f>SUM(CX21:CX26)</f>
        <v>1647049.13</v>
      </c>
      <c r="CY27" s="154">
        <f>SUM(CY21:CY26)</f>
        <v>1395804.3474576271</v>
      </c>
      <c r="CZ27" s="152"/>
      <c r="DA27" s="99"/>
      <c r="DB27" s="100">
        <f>SUM(DB21:DB26)</f>
        <v>2121850.48</v>
      </c>
      <c r="DC27" s="100">
        <f>SUM(DC21:DC26)</f>
        <v>2503783.5663999999</v>
      </c>
      <c r="DD27" s="122"/>
      <c r="DE27" s="154">
        <f>SUM(DE21:DE26)</f>
        <v>5193774.17</v>
      </c>
      <c r="DF27" s="154">
        <f>SUM(DF21:DF26)</f>
        <v>4401503.5338983051</v>
      </c>
      <c r="DG27" s="152"/>
      <c r="DH27" s="77"/>
      <c r="DI27" s="78">
        <f>SUM(DI21:DI26)</f>
        <v>3531539.6</v>
      </c>
      <c r="DJ27" s="78">
        <f>SUM(DJ21:DJ26)</f>
        <v>4167216.7279999997</v>
      </c>
      <c r="DK27" s="121"/>
      <c r="DL27" s="154">
        <f>SUM(DL21:DL26)</f>
        <v>10974000</v>
      </c>
      <c r="DM27" s="154">
        <f>SUM(DM21:DM26)</f>
        <v>9300000</v>
      </c>
      <c r="DN27" s="152"/>
      <c r="DO27" s="99"/>
      <c r="DP27" s="100">
        <f>SUM(DP21:DP26)</f>
        <v>2982220.0799999996</v>
      </c>
      <c r="DQ27" s="100">
        <f>SUM(DQ21:DQ26)</f>
        <v>3519019.6943999995</v>
      </c>
      <c r="DR27" s="121"/>
      <c r="DS27" s="154">
        <f>SUM(DS21:DS26)</f>
        <v>4489750.1399999997</v>
      </c>
      <c r="DT27" s="154">
        <f>SUM(DT21:DT26)</f>
        <v>3804873</v>
      </c>
      <c r="DU27" s="152"/>
      <c r="DV27" s="213"/>
      <c r="DW27" s="214">
        <f>SUM(DW21:DW26)</f>
        <v>514510.92000000004</v>
      </c>
      <c r="DX27" s="214">
        <f>SUM(DX21:DX26)</f>
        <v>607122.88560000004</v>
      </c>
      <c r="DY27" s="121"/>
      <c r="DZ27" s="154">
        <f>SUM(DZ21:DZ26)</f>
        <v>421968</v>
      </c>
      <c r="EA27" s="154">
        <f>SUM(EA21:EA26)</f>
        <v>357600</v>
      </c>
      <c r="EB27" s="152"/>
      <c r="EC27" s="77"/>
      <c r="ED27" s="78">
        <f>SUM(ED21:ED26)</f>
        <v>2711520</v>
      </c>
      <c r="EE27" s="78">
        <f>SUM(EE21:EE26)</f>
        <v>3199593.6</v>
      </c>
      <c r="EF27" s="121"/>
      <c r="EG27" s="154">
        <f>SUM(EG21:EG26)</f>
        <v>875643</v>
      </c>
      <c r="EH27" s="154">
        <f>SUM(EH21:EH26)</f>
        <v>742070.3389830509</v>
      </c>
      <c r="EI27" s="152"/>
      <c r="EJ27" s="99"/>
      <c r="EK27" s="100">
        <f>SUM(EK21:EK26)</f>
        <v>4443342</v>
      </c>
      <c r="EL27" s="100">
        <f>SUM(EL21:EL26)</f>
        <v>5243143.5599999987</v>
      </c>
      <c r="EM27" s="122"/>
      <c r="EN27" s="154">
        <f>SUM(EN21:EN26)</f>
        <v>18639172.139999997</v>
      </c>
      <c r="EO27" s="154">
        <f>SUM(EO21:EO26)</f>
        <v>15795908.593220338</v>
      </c>
      <c r="EP27" s="152"/>
      <c r="EQ27" s="77"/>
      <c r="ER27" s="78">
        <f>SUM(ER21:ER26)</f>
        <v>21857562.719999999</v>
      </c>
      <c r="ES27" s="78">
        <f>SUM(ES21:ES26)</f>
        <v>25791924.009599999</v>
      </c>
      <c r="ET27" s="121"/>
      <c r="EU27" s="154">
        <f>SUM(EU21:EU26)</f>
        <v>3749864.5720000002</v>
      </c>
      <c r="EV27" s="154">
        <f>SUM(EV21:EV26)</f>
        <v>3177851.3322033901</v>
      </c>
      <c r="EW27" s="152"/>
      <c r="EX27" s="99"/>
      <c r="EY27" s="100">
        <f>SUM(EY21:EY26)</f>
        <v>3443200</v>
      </c>
      <c r="EZ27" s="100">
        <f>SUM(EZ21:EZ26)</f>
        <v>4062976</v>
      </c>
      <c r="FA27" s="121"/>
      <c r="FB27" s="154">
        <f>SUM(FB21:FB26)</f>
        <v>875643</v>
      </c>
      <c r="FC27" s="154">
        <f>SUM(FC21:FC26)</f>
        <v>742070.3389830509</v>
      </c>
      <c r="FD27" s="152"/>
      <c r="FE27" s="77"/>
      <c r="FF27" s="78">
        <f>SUM(FF21:FF26)</f>
        <v>7514278.2799999993</v>
      </c>
      <c r="FG27" s="78">
        <f>SUM(FG21:FG26)</f>
        <v>8866848.3703999985</v>
      </c>
      <c r="FH27" s="121"/>
      <c r="FI27" s="154">
        <f>SUM(FI21:FI26)</f>
        <v>999359</v>
      </c>
      <c r="FJ27" s="154">
        <f>SUM(FJ21:FJ26)</f>
        <v>846914.40677966108</v>
      </c>
      <c r="FK27" s="152"/>
      <c r="FL27" s="99"/>
      <c r="FM27" s="100">
        <f>SUM(FM21:FM26)</f>
        <v>1412249.9999999998</v>
      </c>
      <c r="FN27" s="100">
        <f>SUM(FN21:FN26)</f>
        <v>1666454.9999999995</v>
      </c>
      <c r="FO27" s="121"/>
      <c r="FP27" s="154">
        <f>SUM(FP21:FP26)</f>
        <v>0</v>
      </c>
      <c r="FQ27" s="154">
        <f>SUM(FQ21:FQ26)</f>
        <v>0</v>
      </c>
      <c r="FR27" s="152"/>
      <c r="FS27" s="77"/>
      <c r="FT27" s="78">
        <f>SUM(FT21:FT26)</f>
        <v>0</v>
      </c>
      <c r="FU27" s="78">
        <f>SUM(FU21:FU26)</f>
        <v>0</v>
      </c>
      <c r="FV27" s="121"/>
      <c r="FW27" s="154">
        <f>SUM(FW21:FW26)</f>
        <v>0</v>
      </c>
      <c r="FX27" s="154">
        <f>SUM(FX21:FX26)</f>
        <v>0</v>
      </c>
      <c r="FY27" s="152"/>
      <c r="FZ27" s="99"/>
      <c r="GA27" s="100">
        <f>SUM(GA21:GA26)</f>
        <v>0</v>
      </c>
      <c r="GB27" s="100">
        <f>SUM(GB21:GB26)</f>
        <v>0</v>
      </c>
      <c r="GC27" s="121"/>
      <c r="GD27" s="154">
        <f>SUM(GD21:GD26)</f>
        <v>0</v>
      </c>
      <c r="GE27" s="154">
        <f>SUM(GE21:GE26)</f>
        <v>0</v>
      </c>
      <c r="GF27" s="152"/>
      <c r="GG27" s="77"/>
      <c r="GH27" s="78">
        <f>SUM(GH21:GH26)</f>
        <v>0</v>
      </c>
      <c r="GI27" s="78">
        <f>SUM(GI21:GI26)</f>
        <v>0</v>
      </c>
      <c r="GJ27" s="121"/>
      <c r="GK27" s="154">
        <f>SUM(GK21:GK26)</f>
        <v>861860</v>
      </c>
      <c r="GL27" s="154">
        <f>SUM(GL21:GL26)</f>
        <v>730389.83050847461</v>
      </c>
      <c r="GM27" s="152"/>
      <c r="GN27" s="77"/>
      <c r="GO27" s="78">
        <f>SUM(GO21:GO26)</f>
        <v>1210500</v>
      </c>
      <c r="GP27" s="78">
        <f>SUM(GP21:GP26)</f>
        <v>1428390</v>
      </c>
      <c r="GQ27" s="121"/>
      <c r="GR27" s="154">
        <f>SUM(GR21:GR26)</f>
        <v>0</v>
      </c>
      <c r="GS27" s="154">
        <f>SUM(GS21:GS26)</f>
        <v>0</v>
      </c>
      <c r="GT27" s="152"/>
      <c r="GU27" s="99"/>
      <c r="GV27" s="100">
        <f>SUM(GV21:GV26)</f>
        <v>0</v>
      </c>
      <c r="GW27" s="100">
        <f>SUM(GW21:GW26)</f>
        <v>0</v>
      </c>
      <c r="GX27" s="122"/>
      <c r="GY27" s="154">
        <f>SUM(GY21:GY26)</f>
        <v>600000</v>
      </c>
      <c r="GZ27" s="154">
        <f>SUM(GZ21:GZ26)</f>
        <v>508474.57627118647</v>
      </c>
      <c r="HA27" s="152"/>
      <c r="HB27" s="77"/>
      <c r="HC27" s="78">
        <f>SUM(HC21:HC26)</f>
        <v>2070761.9999999998</v>
      </c>
      <c r="HD27" s="78">
        <f>SUM(HD21:HD26)</f>
        <v>2443499.1599999997</v>
      </c>
      <c r="HE27" s="121"/>
      <c r="HF27" s="154">
        <f>SUM(HF21:HF26)</f>
        <v>4489750.1399999997</v>
      </c>
      <c r="HG27" s="154">
        <f>SUM(HG21:HG26)</f>
        <v>3804873</v>
      </c>
      <c r="HH27" s="152"/>
      <c r="HI27" s="213"/>
      <c r="HJ27" s="214">
        <f>SUM(HJ21:HJ26)</f>
        <v>688801.4</v>
      </c>
      <c r="HK27" s="214">
        <f>SUM(HK21:HK26)</f>
        <v>812785.652</v>
      </c>
      <c r="HL27" s="121"/>
      <c r="HM27" s="154">
        <f>SUM(HM21:HM26)</f>
        <v>861860</v>
      </c>
      <c r="HN27" s="154">
        <f>SUM(HN21:HN26)</f>
        <v>730389.83050847461</v>
      </c>
      <c r="HO27" s="152"/>
      <c r="HP27" s="77"/>
      <c r="HQ27" s="78">
        <f>SUM(HQ21:HQ26)</f>
        <v>1210500</v>
      </c>
      <c r="HR27" s="78">
        <f>SUM(HR21:HR26)</f>
        <v>1428390</v>
      </c>
      <c r="HS27" s="121"/>
      <c r="HT27" s="154">
        <f>SUM(HT21:HT26)</f>
        <v>10974000</v>
      </c>
      <c r="HU27" s="154">
        <f>SUM(HU21:HU26)</f>
        <v>9300000</v>
      </c>
      <c r="HV27" s="152"/>
      <c r="HW27" s="99"/>
      <c r="HX27" s="100">
        <f>SUM(HX21:HX26)</f>
        <v>2749244.5599999996</v>
      </c>
      <c r="HY27" s="100">
        <f>SUM(HY21:HY26)</f>
        <v>3244108.5807999992</v>
      </c>
      <c r="HZ27" s="122"/>
      <c r="IA27" s="31"/>
    </row>
    <row r="28" spans="1:235" ht="15">
      <c r="A28" s="18"/>
      <c r="B28" s="23"/>
      <c r="C28" s="122"/>
      <c r="D28" s="161"/>
      <c r="E28" s="149"/>
      <c r="F28" s="161"/>
      <c r="G28" s="106"/>
      <c r="H28" s="106"/>
      <c r="I28" s="106"/>
      <c r="J28" s="122"/>
      <c r="K28" s="161"/>
      <c r="L28" s="149"/>
      <c r="M28" s="161"/>
      <c r="N28" s="107"/>
      <c r="O28" s="107"/>
      <c r="P28" s="107"/>
      <c r="Q28" s="122"/>
      <c r="R28" s="105"/>
      <c r="S28" s="105"/>
      <c r="T28" s="161"/>
      <c r="U28" s="106"/>
      <c r="V28" s="106"/>
      <c r="W28" s="106"/>
      <c r="X28" s="122"/>
      <c r="Y28" s="105"/>
      <c r="Z28" s="105"/>
      <c r="AA28" s="161"/>
      <c r="AB28" s="107"/>
      <c r="AC28" s="107"/>
      <c r="AD28" s="107"/>
      <c r="AE28" s="122"/>
      <c r="AF28" s="105"/>
      <c r="AG28" s="11"/>
      <c r="AH28" s="161"/>
      <c r="AI28" s="106"/>
      <c r="AJ28" s="106"/>
      <c r="AK28" s="106"/>
      <c r="AL28" s="122"/>
      <c r="AM28" s="105"/>
      <c r="AN28" s="105"/>
      <c r="AO28" s="161"/>
      <c r="AP28" s="107"/>
      <c r="AQ28" s="107"/>
      <c r="AR28" s="107"/>
      <c r="AS28" s="122"/>
      <c r="AT28" s="161"/>
      <c r="AU28" s="161"/>
      <c r="AV28" s="161"/>
      <c r="AW28" s="215"/>
      <c r="AX28" s="215"/>
      <c r="AY28" s="215"/>
      <c r="AZ28" s="122"/>
      <c r="BA28" s="149"/>
      <c r="BB28" s="161"/>
      <c r="BC28" s="161"/>
      <c r="BD28" s="106"/>
      <c r="BE28" s="106"/>
      <c r="BF28" s="106"/>
      <c r="BG28" s="122"/>
      <c r="BH28" s="161"/>
      <c r="BI28" s="161"/>
      <c r="BJ28" s="161"/>
      <c r="BK28" s="215"/>
      <c r="BL28" s="215"/>
      <c r="BM28" s="215"/>
      <c r="BN28" s="122"/>
      <c r="BO28" s="149"/>
      <c r="BP28" s="161"/>
      <c r="BQ28" s="161"/>
      <c r="BR28" s="107"/>
      <c r="BS28" s="107"/>
      <c r="BT28" s="107"/>
      <c r="BU28" s="122"/>
      <c r="BV28" s="161"/>
      <c r="BW28" s="149"/>
      <c r="BX28" s="161"/>
      <c r="BY28" s="106"/>
      <c r="BZ28" s="106"/>
      <c r="CA28" s="106"/>
      <c r="CB28" s="122"/>
      <c r="CC28" s="149"/>
      <c r="CD28" s="161"/>
      <c r="CE28" s="161"/>
      <c r="CF28" s="107"/>
      <c r="CG28" s="107"/>
      <c r="CH28" s="107"/>
      <c r="CI28" s="122"/>
      <c r="CJ28" s="161"/>
      <c r="CK28" s="161"/>
      <c r="CL28" s="161"/>
      <c r="CM28" s="215"/>
      <c r="CN28" s="215"/>
      <c r="CO28" s="215"/>
      <c r="CP28" s="122"/>
      <c r="CQ28" s="161"/>
      <c r="CR28" s="161"/>
      <c r="CS28" s="161"/>
      <c r="CT28" s="106"/>
      <c r="CU28" s="106"/>
      <c r="CV28" s="106"/>
      <c r="CW28" s="122"/>
      <c r="CX28" s="161"/>
      <c r="CY28" s="149"/>
      <c r="CZ28" s="161"/>
      <c r="DA28" s="107"/>
      <c r="DB28" s="107"/>
      <c r="DC28" s="107"/>
      <c r="DD28" s="122"/>
      <c r="DE28" s="161"/>
      <c r="DF28" s="149"/>
      <c r="DG28" s="161"/>
      <c r="DH28" s="106"/>
      <c r="DI28" s="106"/>
      <c r="DJ28" s="106"/>
      <c r="DK28" s="122"/>
      <c r="DL28" s="149"/>
      <c r="DM28" s="161"/>
      <c r="DN28" s="161"/>
      <c r="DO28" s="107"/>
      <c r="DP28" s="107"/>
      <c r="DQ28" s="107"/>
      <c r="DR28" s="122"/>
      <c r="DS28" s="161"/>
      <c r="DT28" s="161"/>
      <c r="DU28" s="161"/>
      <c r="DV28" s="215"/>
      <c r="DW28" s="215"/>
      <c r="DX28" s="215"/>
      <c r="DY28" s="122"/>
      <c r="DZ28" s="161"/>
      <c r="EA28" s="161"/>
      <c r="EB28" s="161"/>
      <c r="EC28" s="106"/>
      <c r="ED28" s="106"/>
      <c r="EE28" s="106"/>
      <c r="EF28" s="122"/>
      <c r="EG28" s="161"/>
      <c r="EH28" s="161"/>
      <c r="EI28" s="161"/>
      <c r="EJ28" s="107"/>
      <c r="EK28" s="107"/>
      <c r="EL28" s="107"/>
      <c r="EM28" s="122"/>
      <c r="EN28" s="149"/>
      <c r="EO28" s="161"/>
      <c r="EP28" s="161"/>
      <c r="EQ28" s="106"/>
      <c r="ER28" s="106"/>
      <c r="ES28" s="106"/>
      <c r="ET28" s="122"/>
      <c r="EU28" s="161"/>
      <c r="EV28" s="161"/>
      <c r="EW28" s="161"/>
      <c r="EX28" s="107"/>
      <c r="EY28" s="107"/>
      <c r="EZ28" s="107"/>
      <c r="FA28" s="122"/>
      <c r="FB28" s="161"/>
      <c r="FC28" s="161"/>
      <c r="FD28" s="161"/>
      <c r="FE28" s="106"/>
      <c r="FF28" s="106"/>
      <c r="FG28" s="106"/>
      <c r="FH28" s="122"/>
      <c r="FI28" s="161"/>
      <c r="FJ28" s="161"/>
      <c r="FK28" s="161"/>
      <c r="FL28" s="107"/>
      <c r="FM28" s="107"/>
      <c r="FN28" s="107"/>
      <c r="FO28" s="122"/>
      <c r="FP28" s="161"/>
      <c r="FQ28" s="161"/>
      <c r="FR28" s="161"/>
      <c r="FS28" s="106"/>
      <c r="FT28" s="106"/>
      <c r="FU28" s="106"/>
      <c r="FV28" s="122"/>
      <c r="FW28" s="161"/>
      <c r="FX28" s="161"/>
      <c r="FY28" s="161"/>
      <c r="FZ28" s="107"/>
      <c r="GA28" s="107"/>
      <c r="GB28" s="107"/>
      <c r="GC28" s="122"/>
      <c r="GD28" s="161"/>
      <c r="GE28" s="161"/>
      <c r="GF28" s="161"/>
      <c r="GG28" s="106"/>
      <c r="GH28" s="106"/>
      <c r="GI28" s="106"/>
      <c r="GJ28" s="122"/>
      <c r="GK28" s="161"/>
      <c r="GL28" s="161"/>
      <c r="GM28" s="161"/>
      <c r="GN28" s="106"/>
      <c r="GO28" s="106"/>
      <c r="GP28" s="106"/>
      <c r="GQ28" s="122"/>
      <c r="GR28" s="161"/>
      <c r="GS28" s="161"/>
      <c r="GT28" s="161"/>
      <c r="GU28" s="107"/>
      <c r="GV28" s="107"/>
      <c r="GW28" s="107"/>
      <c r="GX28" s="122"/>
      <c r="GY28" s="161"/>
      <c r="GZ28" s="161"/>
      <c r="HA28" s="161"/>
      <c r="HB28" s="106"/>
      <c r="HC28" s="106"/>
      <c r="HD28" s="106"/>
      <c r="HE28" s="122"/>
      <c r="HF28" s="161"/>
      <c r="HG28" s="161"/>
      <c r="HH28" s="161"/>
      <c r="HI28" s="215"/>
      <c r="HJ28" s="215"/>
      <c r="HK28" s="215"/>
      <c r="HL28" s="122"/>
      <c r="HM28" s="161"/>
      <c r="HN28" s="161"/>
      <c r="HO28" s="161"/>
      <c r="HP28" s="106"/>
      <c r="HQ28" s="106"/>
      <c r="HR28" s="106"/>
      <c r="HS28" s="122"/>
      <c r="HT28" s="149"/>
      <c r="HU28" s="161"/>
      <c r="HV28" s="161"/>
      <c r="HW28" s="107"/>
      <c r="HX28" s="107"/>
      <c r="HY28" s="107"/>
      <c r="HZ28" s="122"/>
      <c r="IA28" s="31"/>
    </row>
    <row r="29" spans="1:235" ht="15">
      <c r="A29" s="13" t="s">
        <v>29</v>
      </c>
      <c r="B29" s="14" t="s">
        <v>30</v>
      </c>
      <c r="C29" s="120"/>
      <c r="D29" s="150"/>
      <c r="E29" s="150"/>
      <c r="F29" s="153"/>
      <c r="G29" s="27"/>
      <c r="H29" s="153"/>
      <c r="I29" s="27"/>
      <c r="J29" s="120"/>
      <c r="K29" s="150"/>
      <c r="L29" s="150"/>
      <c r="M29" s="153"/>
      <c r="N29" s="27"/>
      <c r="O29" s="153"/>
      <c r="P29" s="27"/>
      <c r="Q29" s="120"/>
      <c r="R29" s="15"/>
      <c r="S29" s="15"/>
      <c r="T29" s="153"/>
      <c r="U29" s="27"/>
      <c r="V29" s="153"/>
      <c r="W29" s="27"/>
      <c r="X29" s="120"/>
      <c r="Y29" s="15"/>
      <c r="Z29" s="15"/>
      <c r="AA29" s="153"/>
      <c r="AB29" s="27"/>
      <c r="AC29" s="153"/>
      <c r="AD29" s="27"/>
      <c r="AE29" s="120"/>
      <c r="AF29" s="130"/>
      <c r="AG29" s="130"/>
      <c r="AH29" s="153"/>
      <c r="AI29" s="27"/>
      <c r="AJ29" s="153"/>
      <c r="AK29" s="27"/>
      <c r="AL29" s="120"/>
      <c r="AM29" s="15"/>
      <c r="AN29" s="15"/>
      <c r="AO29" s="153"/>
      <c r="AP29" s="27"/>
      <c r="AQ29" s="153"/>
      <c r="AR29" s="27"/>
      <c r="AS29" s="120"/>
      <c r="AT29" s="150"/>
      <c r="AU29" s="150"/>
      <c r="AV29" s="153"/>
      <c r="AW29" s="27"/>
      <c r="AX29" s="153"/>
      <c r="AY29" s="27"/>
      <c r="AZ29" s="120"/>
      <c r="BA29" s="150"/>
      <c r="BB29" s="150"/>
      <c r="BC29" s="153"/>
      <c r="BD29" s="27"/>
      <c r="BE29" s="153"/>
      <c r="BF29" s="27"/>
      <c r="BG29" s="120"/>
      <c r="BH29" s="150"/>
      <c r="BI29" s="150"/>
      <c r="BJ29" s="153"/>
      <c r="BK29" s="27"/>
      <c r="BL29" s="153"/>
      <c r="BM29" s="27"/>
      <c r="BN29" s="120"/>
      <c r="BO29" s="150"/>
      <c r="BP29" s="150"/>
      <c r="BQ29" s="153"/>
      <c r="BR29" s="27"/>
      <c r="BS29" s="153"/>
      <c r="BT29" s="27"/>
      <c r="BU29" s="120"/>
      <c r="BV29" s="150"/>
      <c r="BW29" s="150"/>
      <c r="BX29" s="153"/>
      <c r="BY29" s="27"/>
      <c r="BZ29" s="153"/>
      <c r="CA29" s="27"/>
      <c r="CB29" s="120"/>
      <c r="CC29" s="150"/>
      <c r="CD29" s="150"/>
      <c r="CE29" s="153"/>
      <c r="CF29" s="27"/>
      <c r="CG29" s="153"/>
      <c r="CH29" s="27"/>
      <c r="CI29" s="120"/>
      <c r="CJ29" s="150"/>
      <c r="CK29" s="150"/>
      <c r="CL29" s="153"/>
      <c r="CM29" s="27"/>
      <c r="CN29" s="153"/>
      <c r="CO29" s="27"/>
      <c r="CP29" s="120"/>
      <c r="CQ29" s="150"/>
      <c r="CR29" s="150"/>
      <c r="CS29" s="153"/>
      <c r="CT29" s="27"/>
      <c r="CU29" s="153"/>
      <c r="CV29" s="27"/>
      <c r="CW29" s="120"/>
      <c r="CX29" s="150"/>
      <c r="CY29" s="150"/>
      <c r="CZ29" s="153"/>
      <c r="DA29" s="27"/>
      <c r="DB29" s="153"/>
      <c r="DC29" s="27"/>
      <c r="DD29" s="120"/>
      <c r="DE29" s="150"/>
      <c r="DF29" s="150"/>
      <c r="DG29" s="153"/>
      <c r="DH29" s="27"/>
      <c r="DI29" s="153"/>
      <c r="DJ29" s="27"/>
      <c r="DK29" s="120"/>
      <c r="DL29" s="150"/>
      <c r="DM29" s="150"/>
      <c r="DN29" s="153"/>
      <c r="DO29" s="27"/>
      <c r="DP29" s="153"/>
      <c r="DQ29" s="27"/>
      <c r="DR29" s="120"/>
      <c r="DS29" s="150"/>
      <c r="DT29" s="150"/>
      <c r="DU29" s="153"/>
      <c r="DV29" s="27"/>
      <c r="DW29" s="153"/>
      <c r="DX29" s="27"/>
      <c r="DY29" s="120"/>
      <c r="DZ29" s="150"/>
      <c r="EA29" s="150"/>
      <c r="EB29" s="153"/>
      <c r="EC29" s="27"/>
      <c r="ED29" s="153"/>
      <c r="EE29" s="27"/>
      <c r="EF29" s="120"/>
      <c r="EG29" s="150"/>
      <c r="EH29" s="150"/>
      <c r="EI29" s="153"/>
      <c r="EJ29" s="27"/>
      <c r="EK29" s="153"/>
      <c r="EL29" s="27"/>
      <c r="EM29" s="120"/>
      <c r="EN29" s="150"/>
      <c r="EO29" s="150"/>
      <c r="EP29" s="153"/>
      <c r="EQ29" s="27"/>
      <c r="ER29" s="153"/>
      <c r="ES29" s="27"/>
      <c r="ET29" s="120"/>
      <c r="EU29" s="150"/>
      <c r="EV29" s="150"/>
      <c r="EW29" s="153"/>
      <c r="EX29" s="27"/>
      <c r="EY29" s="153"/>
      <c r="EZ29" s="27"/>
      <c r="FA29" s="120"/>
      <c r="FB29" s="150"/>
      <c r="FC29" s="150"/>
      <c r="FD29" s="153"/>
      <c r="FE29" s="27"/>
      <c r="FF29" s="153"/>
      <c r="FG29" s="27"/>
      <c r="FH29" s="120"/>
      <c r="FI29" s="150"/>
      <c r="FJ29" s="150"/>
      <c r="FK29" s="153"/>
      <c r="FL29" s="27"/>
      <c r="FM29" s="153"/>
      <c r="FN29" s="27"/>
      <c r="FO29" s="120"/>
      <c r="FP29" s="150"/>
      <c r="FQ29" s="150"/>
      <c r="FR29" s="153"/>
      <c r="FS29" s="27"/>
      <c r="FT29" s="153"/>
      <c r="FU29" s="27"/>
      <c r="FV29" s="120"/>
      <c r="FW29" s="150"/>
      <c r="FX29" s="150"/>
      <c r="FY29" s="153"/>
      <c r="FZ29" s="27"/>
      <c r="GA29" s="153"/>
      <c r="GB29" s="27"/>
      <c r="GC29" s="120"/>
      <c r="GD29" s="150"/>
      <c r="GE29" s="150"/>
      <c r="GF29" s="153"/>
      <c r="GG29" s="27"/>
      <c r="GH29" s="153"/>
      <c r="GI29" s="27"/>
      <c r="GJ29" s="120"/>
      <c r="GK29" s="150"/>
      <c r="GL29" s="150"/>
      <c r="GM29" s="153"/>
      <c r="GN29" s="27"/>
      <c r="GO29" s="153"/>
      <c r="GP29" s="27"/>
      <c r="GQ29" s="120"/>
      <c r="GR29" s="150"/>
      <c r="GS29" s="150"/>
      <c r="GT29" s="153"/>
      <c r="GU29" s="27"/>
      <c r="GV29" s="153"/>
      <c r="GW29" s="27"/>
      <c r="GX29" s="120"/>
      <c r="GY29" s="150"/>
      <c r="GZ29" s="150"/>
      <c r="HA29" s="153"/>
      <c r="HB29" s="27"/>
      <c r="HC29" s="153"/>
      <c r="HD29" s="27"/>
      <c r="HE29" s="120"/>
      <c r="HF29" s="150"/>
      <c r="HG29" s="150"/>
      <c r="HH29" s="153"/>
      <c r="HI29" s="27"/>
      <c r="HJ29" s="153"/>
      <c r="HK29" s="27"/>
      <c r="HL29" s="120"/>
      <c r="HM29" s="150"/>
      <c r="HN29" s="150"/>
      <c r="HO29" s="153"/>
      <c r="HP29" s="27"/>
      <c r="HQ29" s="153"/>
      <c r="HR29" s="27"/>
      <c r="HS29" s="120"/>
      <c r="HT29" s="150"/>
      <c r="HU29" s="150"/>
      <c r="HV29" s="153"/>
      <c r="HW29" s="27"/>
      <c r="HX29" s="153"/>
      <c r="HY29" s="27"/>
      <c r="HZ29" s="120"/>
      <c r="IA29" s="29"/>
    </row>
    <row r="30" spans="1:235">
      <c r="A30" s="18">
        <v>1</v>
      </c>
      <c r="B30" s="19" t="s">
        <v>31</v>
      </c>
      <c r="C30" s="118"/>
      <c r="D30" s="151"/>
      <c r="E30" s="151">
        <f t="shared" ref="E30:E39" si="132">D30/118%</f>
        <v>0</v>
      </c>
      <c r="F30" s="151">
        <f>E30/E2</f>
        <v>0</v>
      </c>
      <c r="G30" s="73"/>
      <c r="H30" s="159">
        <f>G30*H2</f>
        <v>0</v>
      </c>
      <c r="I30" s="73">
        <f t="shared" ref="I30:I42" si="133">H30*118%</f>
        <v>0</v>
      </c>
      <c r="J30" s="118"/>
      <c r="K30" s="151"/>
      <c r="L30" s="151">
        <f t="shared" ref="L30:L39" si="134">K30/118%</f>
        <v>0</v>
      </c>
      <c r="M30" s="151">
        <f>L30/L2</f>
        <v>0</v>
      </c>
      <c r="N30" s="96"/>
      <c r="O30" s="96">
        <f>N30*O2</f>
        <v>0</v>
      </c>
      <c r="P30" s="96">
        <f t="shared" ref="P30:P42" si="135">O30*118%</f>
        <v>0</v>
      </c>
      <c r="Q30" s="118"/>
      <c r="R30" s="20"/>
      <c r="S30" s="20">
        <f t="shared" ref="S30:S42" si="136">R30/118%</f>
        <v>0</v>
      </c>
      <c r="T30" s="151">
        <f>S30/S2</f>
        <v>0</v>
      </c>
      <c r="U30" s="159"/>
      <c r="V30" s="159">
        <f>U30*V2</f>
        <v>0</v>
      </c>
      <c r="W30" s="73">
        <f t="shared" ref="W30:W42" si="137">V30*118%</f>
        <v>0</v>
      </c>
      <c r="X30" s="118"/>
      <c r="Y30" s="20"/>
      <c r="Z30" s="20">
        <f t="shared" ref="Z30:Z42" si="138">Y30/118%</f>
        <v>0</v>
      </c>
      <c r="AA30" s="151">
        <f>Z30/Z2</f>
        <v>0</v>
      </c>
      <c r="AB30" s="96"/>
      <c r="AC30" s="96">
        <f>AB30*AC2</f>
        <v>0</v>
      </c>
      <c r="AD30" s="96">
        <f t="shared" ref="AD30:AD42" si="139">AC30*118%</f>
        <v>0</v>
      </c>
      <c r="AE30" s="118"/>
      <c r="AF30" s="131"/>
      <c r="AG30" s="131">
        <f t="shared" ref="AG30:AG39" si="140">AF30/118%</f>
        <v>0</v>
      </c>
      <c r="AH30" s="151">
        <f>AG30/AG2</f>
        <v>0</v>
      </c>
      <c r="AI30" s="159">
        <v>200</v>
      </c>
      <c r="AJ30" s="159">
        <f>AI30*AJ2</f>
        <v>715324.79999999993</v>
      </c>
      <c r="AK30" s="73">
        <f t="shared" ref="AK30:AK42" si="141">AJ30*118%</f>
        <v>844083.26399999985</v>
      </c>
      <c r="AL30" s="118"/>
      <c r="AM30" s="20"/>
      <c r="AN30" s="20">
        <f t="shared" ref="AN30:AN42" si="142">AM30/118%</f>
        <v>0</v>
      </c>
      <c r="AO30" s="151">
        <f>AN30/AN2</f>
        <v>0</v>
      </c>
      <c r="AP30" s="96">
        <v>200</v>
      </c>
      <c r="AQ30" s="96">
        <f>AP30*AQ2</f>
        <v>149843.76</v>
      </c>
      <c r="AR30" s="96">
        <f t="shared" ref="AR30:AR42" si="143">AQ30*118%</f>
        <v>176815.63680000001</v>
      </c>
      <c r="AS30" s="118"/>
      <c r="AT30" s="151"/>
      <c r="AU30" s="151">
        <f t="shared" ref="AU30:AU39" si="144">AT30/118%</f>
        <v>0</v>
      </c>
      <c r="AV30" s="151">
        <f>AU30/AU2</f>
        <v>0</v>
      </c>
      <c r="AW30" s="210"/>
      <c r="AX30" s="210">
        <f>AW30*AX2</f>
        <v>0</v>
      </c>
      <c r="AY30" s="210">
        <f t="shared" ref="AY30:AY42" si="145">AX30*118%</f>
        <v>0</v>
      </c>
      <c r="AZ30" s="118"/>
      <c r="BA30" s="151">
        <v>413000</v>
      </c>
      <c r="BB30" s="151">
        <f t="shared" ref="BB30:BB39" si="146">BA30/118%</f>
        <v>350000</v>
      </c>
      <c r="BC30" s="151">
        <f>BB30/BB2</f>
        <v>189.11558744704763</v>
      </c>
      <c r="BD30" s="159">
        <v>200</v>
      </c>
      <c r="BE30" s="159">
        <f>BD30*BE2</f>
        <v>194325.59999999998</v>
      </c>
      <c r="BF30" s="73">
        <f t="shared" ref="BF30:BF42" si="147">BE30*118%</f>
        <v>229304.20799999996</v>
      </c>
      <c r="BG30" s="118"/>
      <c r="BH30" s="151"/>
      <c r="BI30" s="151">
        <f t="shared" ref="BI30:BI39" si="148">BH30/118%</f>
        <v>0</v>
      </c>
      <c r="BJ30" s="151">
        <f>BI30/BI2</f>
        <v>0</v>
      </c>
      <c r="BK30" s="210"/>
      <c r="BL30" s="210">
        <f>BK30*BL2</f>
        <v>0</v>
      </c>
      <c r="BM30" s="210">
        <f t="shared" ref="BM30:BM42" si="149">BL30*118%</f>
        <v>0</v>
      </c>
      <c r="BN30" s="118"/>
      <c r="BO30" s="151">
        <v>360592</v>
      </c>
      <c r="BP30" s="151">
        <f t="shared" ref="BP30:BP39" si="150">BO30/118%</f>
        <v>305586.44067796611</v>
      </c>
      <c r="BQ30" s="151">
        <f>BP30/BP2</f>
        <v>67.908097928436916</v>
      </c>
      <c r="BR30" s="96">
        <v>200</v>
      </c>
      <c r="BS30" s="96">
        <f>BR30*BS2</f>
        <v>639144</v>
      </c>
      <c r="BT30" s="96">
        <f t="shared" ref="BT30:BT42" si="151">BS30*118%</f>
        <v>754189.91999999993</v>
      </c>
      <c r="BU30" s="118"/>
      <c r="BV30" s="151"/>
      <c r="BW30" s="151">
        <f t="shared" ref="BW30:BW39" si="152">BV30/118%</f>
        <v>0</v>
      </c>
      <c r="BX30" s="151">
        <f>BW30/BW2</f>
        <v>0</v>
      </c>
      <c r="BY30" s="159">
        <v>200</v>
      </c>
      <c r="BZ30" s="159">
        <f>BY30*BZ2</f>
        <v>53800</v>
      </c>
      <c r="CA30" s="73">
        <f t="shared" ref="CA30:CA42" si="153">BZ30*118%</f>
        <v>63484</v>
      </c>
      <c r="CB30" s="118"/>
      <c r="CC30" s="151">
        <v>413000</v>
      </c>
      <c r="CD30" s="151">
        <f t="shared" ref="CD30:CD39" si="154">CC30/118%</f>
        <v>350000</v>
      </c>
      <c r="CE30" s="151">
        <f>CD30/CD2</f>
        <v>189.11558744704763</v>
      </c>
      <c r="CF30" s="96">
        <v>200</v>
      </c>
      <c r="CG30" s="96">
        <f>CF30*CG2</f>
        <v>143108</v>
      </c>
      <c r="CH30" s="96">
        <f t="shared" ref="CH30:CH42" si="155">CG30*118%</f>
        <v>168867.44</v>
      </c>
      <c r="CI30" s="118"/>
      <c r="CJ30" s="151"/>
      <c r="CK30" s="151">
        <f t="shared" ref="CK30:CK39" si="156">CJ30/118%</f>
        <v>0</v>
      </c>
      <c r="CL30" s="151">
        <f>CK30/CK2</f>
        <v>0</v>
      </c>
      <c r="CM30" s="210"/>
      <c r="CN30" s="210">
        <f>CM30*CN2</f>
        <v>0</v>
      </c>
      <c r="CO30" s="210">
        <f t="shared" ref="CO30:CO42" si="157">CN30*118%</f>
        <v>0</v>
      </c>
      <c r="CP30" s="118"/>
      <c r="CQ30" s="151"/>
      <c r="CR30" s="151">
        <f t="shared" ref="CR30:CR39" si="158">CQ30/118%</f>
        <v>0</v>
      </c>
      <c r="CS30" s="151">
        <f>CR30/CR2</f>
        <v>0</v>
      </c>
      <c r="CT30" s="159">
        <v>200</v>
      </c>
      <c r="CU30" s="159">
        <f>CT30*CU2</f>
        <v>75944.08</v>
      </c>
      <c r="CV30" s="159">
        <f t="shared" ref="CV30:CV42" si="159">CU30*118%</f>
        <v>89614.0144</v>
      </c>
      <c r="CW30" s="118"/>
      <c r="CX30" s="151"/>
      <c r="CY30" s="151">
        <f t="shared" ref="CY30:CY39" si="160">CX30/118%</f>
        <v>0</v>
      </c>
      <c r="CZ30" s="151">
        <f>CY30/CY2</f>
        <v>0</v>
      </c>
      <c r="DA30" s="96">
        <v>200</v>
      </c>
      <c r="DB30" s="96">
        <f>DA30*DB2</f>
        <v>98690.72</v>
      </c>
      <c r="DC30" s="96">
        <f t="shared" ref="DC30:DC42" si="161">DB30*118%</f>
        <v>116455.0496</v>
      </c>
      <c r="DD30" s="118"/>
      <c r="DE30" s="151"/>
      <c r="DF30" s="151">
        <f t="shared" ref="DF30:DF39" si="162">DE30/118%</f>
        <v>0</v>
      </c>
      <c r="DG30" s="151">
        <f>DF30/DF2</f>
        <v>0</v>
      </c>
      <c r="DH30" s="159">
        <v>200</v>
      </c>
      <c r="DI30" s="159">
        <f>DH30*DI2</f>
        <v>153545.19999999998</v>
      </c>
      <c r="DJ30" s="159">
        <f t="shared" ref="DJ30:DJ42" si="163">DI30*118%</f>
        <v>181183.33599999998</v>
      </c>
      <c r="DK30" s="118"/>
      <c r="DL30" s="151">
        <v>413000</v>
      </c>
      <c r="DM30" s="151">
        <f t="shared" ref="DM30:DM39" si="164">DL30/118%</f>
        <v>350000</v>
      </c>
      <c r="DN30" s="151">
        <f>DM30/DM2</f>
        <v>189.11558744704763</v>
      </c>
      <c r="DO30" s="96">
        <v>200</v>
      </c>
      <c r="DP30" s="96">
        <f>DO30*DP2</f>
        <v>142010.47999999998</v>
      </c>
      <c r="DQ30" s="96">
        <f t="shared" ref="DQ30:DQ42" si="165">DP30*118%</f>
        <v>167572.36639999997</v>
      </c>
      <c r="DR30" s="118"/>
      <c r="DS30" s="151"/>
      <c r="DT30" s="151">
        <f t="shared" ref="DT30:DT39" si="166">DS30/118%</f>
        <v>0</v>
      </c>
      <c r="DU30" s="151">
        <f>DT30/DT2</f>
        <v>0</v>
      </c>
      <c r="DV30" s="210"/>
      <c r="DW30" s="210">
        <f>DV30*DW2</f>
        <v>0</v>
      </c>
      <c r="DX30" s="210">
        <f t="shared" ref="DX30:DX42" si="167">DW30*118%</f>
        <v>0</v>
      </c>
      <c r="DY30" s="118"/>
      <c r="DZ30" s="151"/>
      <c r="EA30" s="151">
        <f t="shared" ref="EA30:EA39" si="168">DZ30/118%</f>
        <v>0</v>
      </c>
      <c r="EB30" s="151">
        <f>EA30/EA2</f>
        <v>0</v>
      </c>
      <c r="EC30" s="159">
        <v>200</v>
      </c>
      <c r="ED30" s="159">
        <f>EC30*ED2</f>
        <v>129120</v>
      </c>
      <c r="EE30" s="159">
        <f t="shared" ref="EE30:EE42" si="169">ED30*118%</f>
        <v>152361.60000000001</v>
      </c>
      <c r="EF30" s="118"/>
      <c r="EG30" s="151"/>
      <c r="EH30" s="151">
        <f t="shared" ref="EH30:EH42" si="170">EG30/118%</f>
        <v>0</v>
      </c>
      <c r="EI30" s="151">
        <f>EH30/EH2</f>
        <v>0</v>
      </c>
      <c r="EJ30" s="96">
        <v>200</v>
      </c>
      <c r="EK30" s="96">
        <f>EJ30*EK2</f>
        <v>355467.36</v>
      </c>
      <c r="EL30" s="96">
        <f t="shared" ref="EL30:EL42" si="171">EK30*118%</f>
        <v>419451.48479999998</v>
      </c>
      <c r="EM30" s="118"/>
      <c r="EN30" s="151">
        <v>360592</v>
      </c>
      <c r="EO30" s="151">
        <f t="shared" ref="EO30:EO39" si="172">EN30/118%</f>
        <v>305586.44067796611</v>
      </c>
      <c r="EP30" s="151">
        <f>EO30/EO2</f>
        <v>67.908097928436916</v>
      </c>
      <c r="EQ30" s="159">
        <v>200</v>
      </c>
      <c r="ER30" s="159">
        <f>EQ30*ER2</f>
        <v>1040836.32</v>
      </c>
      <c r="ES30" s="159">
        <f t="shared" ref="ES30:ES42" si="173">ER30*118%</f>
        <v>1228186.8576</v>
      </c>
      <c r="ET30" s="118"/>
      <c r="EU30" s="151"/>
      <c r="EV30" s="151">
        <f t="shared" ref="EV30:EV39" si="174">EU30/118%</f>
        <v>0</v>
      </c>
      <c r="EW30" s="151">
        <f>EV30/EV2</f>
        <v>0</v>
      </c>
      <c r="EX30" s="96">
        <v>200</v>
      </c>
      <c r="EY30" s="96">
        <f>EX30*EY2</f>
        <v>215200</v>
      </c>
      <c r="EZ30" s="96">
        <f t="shared" ref="EZ30:EZ42" si="175">EY30*118%</f>
        <v>253936</v>
      </c>
      <c r="FA30" s="118"/>
      <c r="FB30" s="151"/>
      <c r="FC30" s="151">
        <f t="shared" ref="FC30:FC42" si="176">FB30/118%</f>
        <v>0</v>
      </c>
      <c r="FD30" s="151">
        <f>FC30/FC2</f>
        <v>0</v>
      </c>
      <c r="FE30" s="159">
        <v>200</v>
      </c>
      <c r="FF30" s="159">
        <f>FE30*FF2</f>
        <v>366550.16</v>
      </c>
      <c r="FG30" s="159">
        <f t="shared" ref="FG30:FG42" si="177">FF30*118%</f>
        <v>432529.18879999995</v>
      </c>
      <c r="FH30" s="118"/>
      <c r="FI30" s="151"/>
      <c r="FJ30" s="151">
        <f t="shared" ref="FJ30:FJ39" si="178">FI30/118%</f>
        <v>0</v>
      </c>
      <c r="FK30" s="151">
        <f>FJ30/FJ2</f>
        <v>0</v>
      </c>
      <c r="FL30" s="96">
        <v>200</v>
      </c>
      <c r="FM30" s="96">
        <f>FL30*FM2</f>
        <v>37660</v>
      </c>
      <c r="FN30" s="96">
        <f t="shared" ref="FN30:FN42" si="179">FM30*118%</f>
        <v>44438.799999999996</v>
      </c>
      <c r="FO30" s="118"/>
      <c r="FP30" s="151"/>
      <c r="FQ30" s="151">
        <f t="shared" ref="FQ30:FQ39" si="180">FP30/118%</f>
        <v>0</v>
      </c>
      <c r="FR30" s="151">
        <f>FQ30/FQ2</f>
        <v>0</v>
      </c>
      <c r="FS30" s="159"/>
      <c r="FT30" s="159">
        <f>FS30*FT2</f>
        <v>0</v>
      </c>
      <c r="FU30" s="159">
        <f t="shared" ref="FU30:FU42" si="181">FT30*118%</f>
        <v>0</v>
      </c>
      <c r="FV30" s="118"/>
      <c r="FW30" s="151"/>
      <c r="FX30" s="151">
        <f t="shared" ref="FX30:FX39" si="182">FW30/118%</f>
        <v>0</v>
      </c>
      <c r="FY30" s="151">
        <f>FX30/FX2</f>
        <v>0</v>
      </c>
      <c r="FZ30" s="96"/>
      <c r="GA30" s="96">
        <f>FZ30*GA2</f>
        <v>0</v>
      </c>
      <c r="GB30" s="96">
        <f t="shared" ref="GB30:GB42" si="183">GA30*118%</f>
        <v>0</v>
      </c>
      <c r="GC30" s="118"/>
      <c r="GD30" s="151"/>
      <c r="GE30" s="151">
        <f t="shared" ref="GE30:GE39" si="184">GD30/118%</f>
        <v>0</v>
      </c>
      <c r="GF30" s="151">
        <f>GE30/GE2</f>
        <v>0</v>
      </c>
      <c r="GG30" s="159"/>
      <c r="GH30" s="159">
        <f>GG30*GH2</f>
        <v>0</v>
      </c>
      <c r="GI30" s="159">
        <f t="shared" ref="GI30:GI42" si="185">GH30*118%</f>
        <v>0</v>
      </c>
      <c r="GJ30" s="118"/>
      <c r="GK30" s="151"/>
      <c r="GL30" s="151">
        <f t="shared" ref="GL30:GL39" si="186">GK30/118%</f>
        <v>0</v>
      </c>
      <c r="GM30" s="151">
        <f>GL30/GL2</f>
        <v>0</v>
      </c>
      <c r="GN30" s="159">
        <v>200</v>
      </c>
      <c r="GO30" s="159">
        <f>GN30*GO2</f>
        <v>32280</v>
      </c>
      <c r="GP30" s="159">
        <f t="shared" ref="GP30:GP42" si="187">GO30*118%</f>
        <v>38090.400000000001</v>
      </c>
      <c r="GQ30" s="118"/>
      <c r="GR30" s="151"/>
      <c r="GS30" s="151">
        <f t="shared" ref="GS30:GS39" si="188">GR30/118%</f>
        <v>0</v>
      </c>
      <c r="GT30" s="151">
        <f>GS30/GS2</f>
        <v>0</v>
      </c>
      <c r="GU30" s="96"/>
      <c r="GV30" s="96">
        <f>GU30*GV2</f>
        <v>0</v>
      </c>
      <c r="GW30" s="96">
        <f t="shared" ref="GW30:GW42" si="189">GV30*118%</f>
        <v>0</v>
      </c>
      <c r="GX30" s="118"/>
      <c r="GY30" s="151"/>
      <c r="GZ30" s="151">
        <f t="shared" ref="GZ30:GZ39" si="190">GY30/118%</f>
        <v>0</v>
      </c>
      <c r="HA30" s="151">
        <f>GZ30/GZ2</f>
        <v>0</v>
      </c>
      <c r="HB30" s="159">
        <v>200</v>
      </c>
      <c r="HC30" s="159">
        <f>HB30*HC2</f>
        <v>55220.319999999992</v>
      </c>
      <c r="HD30" s="159">
        <f t="shared" ref="HD30:HD42" si="191">HC30*118%</f>
        <v>65159.977599999991</v>
      </c>
      <c r="HE30" s="118"/>
      <c r="HF30" s="151"/>
      <c r="HG30" s="151">
        <f t="shared" ref="HG30:HG39" si="192">HF30/118%</f>
        <v>0</v>
      </c>
      <c r="HH30" s="151">
        <f>HG30/HG2</f>
        <v>0</v>
      </c>
      <c r="HI30" s="210"/>
      <c r="HJ30" s="210">
        <f>HI30*HJ2</f>
        <v>0</v>
      </c>
      <c r="HK30" s="210">
        <f t="shared" ref="HK30:HK42" si="193">HJ30*118%</f>
        <v>0</v>
      </c>
      <c r="HL30" s="118"/>
      <c r="HM30" s="151"/>
      <c r="HN30" s="151">
        <f t="shared" ref="HN30:HN39" si="194">HM30/118%</f>
        <v>0</v>
      </c>
      <c r="HO30" s="151">
        <f>HN30/HN2</f>
        <v>0</v>
      </c>
      <c r="HP30" s="159"/>
      <c r="HQ30" s="159">
        <f>HP30*HQ2</f>
        <v>0</v>
      </c>
      <c r="HR30" s="159">
        <f t="shared" ref="HR30:HR42" si="195">HQ30*118%</f>
        <v>0</v>
      </c>
      <c r="HS30" s="118"/>
      <c r="HT30" s="151">
        <v>413000</v>
      </c>
      <c r="HU30" s="151">
        <f t="shared" ref="HU30:HU39" si="196">HT30/118%</f>
        <v>350000</v>
      </c>
      <c r="HV30" s="151">
        <f>HU30/HU2</f>
        <v>189.11558744704763</v>
      </c>
      <c r="HW30" s="96"/>
      <c r="HX30" s="96">
        <f>HW30*HX2</f>
        <v>0</v>
      </c>
      <c r="HY30" s="96">
        <f t="shared" ref="HY30:HY42" si="197">HX30*118%</f>
        <v>0</v>
      </c>
      <c r="HZ30" s="118"/>
      <c r="IA30" s="21"/>
    </row>
    <row r="31" spans="1:235">
      <c r="A31" s="18">
        <v>2</v>
      </c>
      <c r="B31" s="19" t="s">
        <v>32</v>
      </c>
      <c r="C31" s="118"/>
      <c r="D31" s="151"/>
      <c r="E31" s="151">
        <f t="shared" si="132"/>
        <v>0</v>
      </c>
      <c r="F31" s="151">
        <f>E31/E2</f>
        <v>0</v>
      </c>
      <c r="G31" s="73"/>
      <c r="H31" s="159">
        <f>G31*H2</f>
        <v>0</v>
      </c>
      <c r="I31" s="73">
        <f t="shared" si="133"/>
        <v>0</v>
      </c>
      <c r="J31" s="118"/>
      <c r="K31" s="151"/>
      <c r="L31" s="151">
        <f t="shared" si="134"/>
        <v>0</v>
      </c>
      <c r="M31" s="151">
        <f>L31/L2</f>
        <v>0</v>
      </c>
      <c r="N31" s="96"/>
      <c r="O31" s="96">
        <f>N31*O2</f>
        <v>0</v>
      </c>
      <c r="P31" s="96">
        <f t="shared" si="135"/>
        <v>0</v>
      </c>
      <c r="Q31" s="118"/>
      <c r="R31" s="20"/>
      <c r="S31" s="20">
        <f t="shared" si="136"/>
        <v>0</v>
      </c>
      <c r="T31" s="151">
        <f>S31/S2</f>
        <v>0</v>
      </c>
      <c r="U31" s="159"/>
      <c r="V31" s="159">
        <f>U31*V2</f>
        <v>0</v>
      </c>
      <c r="W31" s="73">
        <f t="shared" si="137"/>
        <v>0</v>
      </c>
      <c r="X31" s="118"/>
      <c r="Y31" s="20"/>
      <c r="Z31" s="20">
        <f t="shared" si="138"/>
        <v>0</v>
      </c>
      <c r="AA31" s="151">
        <f>Z31/Z2</f>
        <v>0</v>
      </c>
      <c r="AB31" s="96"/>
      <c r="AC31" s="96">
        <f>AB31*AC2</f>
        <v>0</v>
      </c>
      <c r="AD31" s="96">
        <f t="shared" si="139"/>
        <v>0</v>
      </c>
      <c r="AE31" s="118"/>
      <c r="AF31" s="131"/>
      <c r="AG31" s="131">
        <f t="shared" si="140"/>
        <v>0</v>
      </c>
      <c r="AH31" s="151">
        <f>AG31/AG2</f>
        <v>0</v>
      </c>
      <c r="AI31" s="159">
        <v>200</v>
      </c>
      <c r="AJ31" s="159">
        <f>AI31*AJ2</f>
        <v>715324.79999999993</v>
      </c>
      <c r="AK31" s="73">
        <f t="shared" si="141"/>
        <v>844083.26399999985</v>
      </c>
      <c r="AL31" s="118"/>
      <c r="AM31" s="20"/>
      <c r="AN31" s="20">
        <f t="shared" si="142"/>
        <v>0</v>
      </c>
      <c r="AO31" s="151">
        <f>AN31/AN2</f>
        <v>0</v>
      </c>
      <c r="AP31" s="96">
        <v>200</v>
      </c>
      <c r="AQ31" s="96">
        <f>AP31*AQ2</f>
        <v>149843.76</v>
      </c>
      <c r="AR31" s="96">
        <f t="shared" si="143"/>
        <v>176815.63680000001</v>
      </c>
      <c r="AS31" s="118"/>
      <c r="AT31" s="151"/>
      <c r="AU31" s="151">
        <f t="shared" si="144"/>
        <v>0</v>
      </c>
      <c r="AV31" s="151">
        <f>AU31/AU2</f>
        <v>0</v>
      </c>
      <c r="AW31" s="210"/>
      <c r="AX31" s="210">
        <f>AW31*AX2</f>
        <v>0</v>
      </c>
      <c r="AY31" s="210">
        <f t="shared" si="145"/>
        <v>0</v>
      </c>
      <c r="AZ31" s="118"/>
      <c r="BA31" s="151">
        <v>236000</v>
      </c>
      <c r="BB31" s="151">
        <f t="shared" si="146"/>
        <v>200000</v>
      </c>
      <c r="BC31" s="151">
        <f>BB31/BB2</f>
        <v>108.0660499697415</v>
      </c>
      <c r="BD31" s="159">
        <v>200</v>
      </c>
      <c r="BE31" s="159">
        <f>BD31*BE2</f>
        <v>194325.59999999998</v>
      </c>
      <c r="BF31" s="73">
        <f t="shared" si="147"/>
        <v>229304.20799999996</v>
      </c>
      <c r="BG31" s="118"/>
      <c r="BH31" s="151"/>
      <c r="BI31" s="151">
        <f t="shared" si="148"/>
        <v>0</v>
      </c>
      <c r="BJ31" s="151">
        <f>BI31/BI2</f>
        <v>0</v>
      </c>
      <c r="BK31" s="210"/>
      <c r="BL31" s="210">
        <f>BK31*BL2</f>
        <v>0</v>
      </c>
      <c r="BM31" s="210">
        <f t="shared" si="149"/>
        <v>0</v>
      </c>
      <c r="BN31" s="118"/>
      <c r="BO31" s="151">
        <v>302197</v>
      </c>
      <c r="BP31" s="151">
        <f t="shared" si="150"/>
        <v>256099.1525423729</v>
      </c>
      <c r="BQ31" s="151">
        <f>BP31/BP2</f>
        <v>56.910922787193975</v>
      </c>
      <c r="BR31" s="96">
        <v>200</v>
      </c>
      <c r="BS31" s="96">
        <f>BR31*BS2</f>
        <v>639144</v>
      </c>
      <c r="BT31" s="96">
        <f t="shared" si="151"/>
        <v>754189.91999999993</v>
      </c>
      <c r="BU31" s="118"/>
      <c r="BV31" s="151"/>
      <c r="BW31" s="151">
        <f t="shared" si="152"/>
        <v>0</v>
      </c>
      <c r="BX31" s="151">
        <f>BW31/BW2</f>
        <v>0</v>
      </c>
      <c r="BY31" s="159">
        <v>200</v>
      </c>
      <c r="BZ31" s="159">
        <f>BY31*BZ2</f>
        <v>53800</v>
      </c>
      <c r="CA31" s="73">
        <f t="shared" si="153"/>
        <v>63484</v>
      </c>
      <c r="CB31" s="118"/>
      <c r="CC31" s="151">
        <v>236000</v>
      </c>
      <c r="CD31" s="151">
        <f t="shared" si="154"/>
        <v>200000</v>
      </c>
      <c r="CE31" s="151">
        <f>CD31/CD2</f>
        <v>108.0660499697415</v>
      </c>
      <c r="CF31" s="96">
        <v>200</v>
      </c>
      <c r="CG31" s="96">
        <f>CF31*CG2</f>
        <v>143108</v>
      </c>
      <c r="CH31" s="96">
        <f t="shared" si="155"/>
        <v>168867.44</v>
      </c>
      <c r="CI31" s="118"/>
      <c r="CJ31" s="151"/>
      <c r="CK31" s="151">
        <f t="shared" si="156"/>
        <v>0</v>
      </c>
      <c r="CL31" s="151">
        <f>CK31/CK2</f>
        <v>0</v>
      </c>
      <c r="CM31" s="210"/>
      <c r="CN31" s="210">
        <f>CM31*CN2</f>
        <v>0</v>
      </c>
      <c r="CO31" s="210">
        <f t="shared" si="157"/>
        <v>0</v>
      </c>
      <c r="CP31" s="118"/>
      <c r="CQ31" s="151"/>
      <c r="CR31" s="151">
        <f t="shared" si="158"/>
        <v>0</v>
      </c>
      <c r="CS31" s="151">
        <f>CR31/CR2</f>
        <v>0</v>
      </c>
      <c r="CT31" s="159">
        <v>200</v>
      </c>
      <c r="CU31" s="159">
        <f>CT31*CU2</f>
        <v>75944.08</v>
      </c>
      <c r="CV31" s="159">
        <f t="shared" si="159"/>
        <v>89614.0144</v>
      </c>
      <c r="CW31" s="118"/>
      <c r="CX31" s="151"/>
      <c r="CY31" s="151">
        <f t="shared" si="160"/>
        <v>0</v>
      </c>
      <c r="CZ31" s="151">
        <f>CY31/CY2</f>
        <v>0</v>
      </c>
      <c r="DA31" s="96">
        <v>200</v>
      </c>
      <c r="DB31" s="96">
        <f>DA31*DB2</f>
        <v>98690.72</v>
      </c>
      <c r="DC31" s="96">
        <f t="shared" si="161"/>
        <v>116455.0496</v>
      </c>
      <c r="DD31" s="118"/>
      <c r="DE31" s="151"/>
      <c r="DF31" s="151">
        <f t="shared" si="162"/>
        <v>0</v>
      </c>
      <c r="DG31" s="151">
        <f>DF31/DF2</f>
        <v>0</v>
      </c>
      <c r="DH31" s="159">
        <v>200</v>
      </c>
      <c r="DI31" s="159">
        <f>DH31*DI2</f>
        <v>153545.19999999998</v>
      </c>
      <c r="DJ31" s="159">
        <f t="shared" si="163"/>
        <v>181183.33599999998</v>
      </c>
      <c r="DK31" s="118"/>
      <c r="DL31" s="151">
        <v>236000</v>
      </c>
      <c r="DM31" s="151">
        <f t="shared" si="164"/>
        <v>200000</v>
      </c>
      <c r="DN31" s="151">
        <f>DM31/DM2</f>
        <v>108.0660499697415</v>
      </c>
      <c r="DO31" s="96">
        <v>200</v>
      </c>
      <c r="DP31" s="96">
        <f>DO31*DP2</f>
        <v>142010.47999999998</v>
      </c>
      <c r="DQ31" s="96">
        <f t="shared" si="165"/>
        <v>167572.36639999997</v>
      </c>
      <c r="DR31" s="118"/>
      <c r="DS31" s="151"/>
      <c r="DT31" s="151">
        <f t="shared" si="166"/>
        <v>0</v>
      </c>
      <c r="DU31" s="151">
        <f>DT31/DT2</f>
        <v>0</v>
      </c>
      <c r="DV31" s="210"/>
      <c r="DW31" s="210">
        <f>DV31*DW2</f>
        <v>0</v>
      </c>
      <c r="DX31" s="210">
        <f t="shared" si="167"/>
        <v>0</v>
      </c>
      <c r="DY31" s="118"/>
      <c r="DZ31" s="151"/>
      <c r="EA31" s="151">
        <f t="shared" si="168"/>
        <v>0</v>
      </c>
      <c r="EB31" s="151">
        <f>EA31/EA2</f>
        <v>0</v>
      </c>
      <c r="EC31" s="159">
        <v>200</v>
      </c>
      <c r="ED31" s="159">
        <f>EC31*ED2</f>
        <v>129120</v>
      </c>
      <c r="EE31" s="159">
        <f t="shared" si="169"/>
        <v>152361.60000000001</v>
      </c>
      <c r="EF31" s="118"/>
      <c r="EG31" s="151"/>
      <c r="EH31" s="151">
        <f t="shared" si="170"/>
        <v>0</v>
      </c>
      <c r="EI31" s="151">
        <f>EH31/EH2</f>
        <v>0</v>
      </c>
      <c r="EJ31" s="96">
        <v>200</v>
      </c>
      <c r="EK31" s="96">
        <f>EJ31*EK2</f>
        <v>355467.36</v>
      </c>
      <c r="EL31" s="96">
        <f t="shared" si="171"/>
        <v>419451.48479999998</v>
      </c>
      <c r="EM31" s="118"/>
      <c r="EN31" s="151">
        <v>302197</v>
      </c>
      <c r="EO31" s="151">
        <f t="shared" si="172"/>
        <v>256099.1525423729</v>
      </c>
      <c r="EP31" s="151">
        <f>EO31/EO2</f>
        <v>56.910922787193975</v>
      </c>
      <c r="EQ31" s="159">
        <v>200</v>
      </c>
      <c r="ER31" s="159">
        <f>EQ31*ER2</f>
        <v>1040836.32</v>
      </c>
      <c r="ES31" s="159">
        <f t="shared" si="173"/>
        <v>1228186.8576</v>
      </c>
      <c r="ET31" s="118"/>
      <c r="EU31" s="151"/>
      <c r="EV31" s="151">
        <f t="shared" si="174"/>
        <v>0</v>
      </c>
      <c r="EW31" s="151">
        <f>EV31/EV2</f>
        <v>0</v>
      </c>
      <c r="EX31" s="96">
        <v>200</v>
      </c>
      <c r="EY31" s="96">
        <f>EX31*EY2</f>
        <v>215200</v>
      </c>
      <c r="EZ31" s="96">
        <f t="shared" si="175"/>
        <v>253936</v>
      </c>
      <c r="FA31" s="118"/>
      <c r="FB31" s="151"/>
      <c r="FC31" s="151">
        <f t="shared" si="176"/>
        <v>0</v>
      </c>
      <c r="FD31" s="151">
        <f>FC31/FC2</f>
        <v>0</v>
      </c>
      <c r="FE31" s="159">
        <v>200</v>
      </c>
      <c r="FF31" s="159">
        <f>FE31*FF2</f>
        <v>366550.16</v>
      </c>
      <c r="FG31" s="159">
        <f t="shared" si="177"/>
        <v>432529.18879999995</v>
      </c>
      <c r="FH31" s="118"/>
      <c r="FI31" s="151"/>
      <c r="FJ31" s="151">
        <f t="shared" si="178"/>
        <v>0</v>
      </c>
      <c r="FK31" s="151">
        <f>FJ31/FJ2</f>
        <v>0</v>
      </c>
      <c r="FL31" s="96">
        <v>200</v>
      </c>
      <c r="FM31" s="96">
        <f>FL31*FM2</f>
        <v>37660</v>
      </c>
      <c r="FN31" s="96">
        <f t="shared" si="179"/>
        <v>44438.799999999996</v>
      </c>
      <c r="FO31" s="118"/>
      <c r="FP31" s="151"/>
      <c r="FQ31" s="151">
        <f t="shared" si="180"/>
        <v>0</v>
      </c>
      <c r="FR31" s="151">
        <f>FQ31/FQ2</f>
        <v>0</v>
      </c>
      <c r="FS31" s="159"/>
      <c r="FT31" s="159">
        <f>FS31*FT2</f>
        <v>0</v>
      </c>
      <c r="FU31" s="159">
        <f t="shared" si="181"/>
        <v>0</v>
      </c>
      <c r="FV31" s="118"/>
      <c r="FW31" s="151"/>
      <c r="FX31" s="151">
        <f t="shared" si="182"/>
        <v>0</v>
      </c>
      <c r="FY31" s="151">
        <f>FX31/FX2</f>
        <v>0</v>
      </c>
      <c r="FZ31" s="96"/>
      <c r="GA31" s="96">
        <f>FZ31*GA2</f>
        <v>0</v>
      </c>
      <c r="GB31" s="96">
        <f t="shared" si="183"/>
        <v>0</v>
      </c>
      <c r="GC31" s="118"/>
      <c r="GD31" s="151"/>
      <c r="GE31" s="151">
        <f t="shared" si="184"/>
        <v>0</v>
      </c>
      <c r="GF31" s="151">
        <f>GE31/GE2</f>
        <v>0</v>
      </c>
      <c r="GG31" s="159"/>
      <c r="GH31" s="159">
        <f>GG31*GH2</f>
        <v>0</v>
      </c>
      <c r="GI31" s="159">
        <f t="shared" si="185"/>
        <v>0</v>
      </c>
      <c r="GJ31" s="118"/>
      <c r="GK31" s="151"/>
      <c r="GL31" s="151">
        <f t="shared" si="186"/>
        <v>0</v>
      </c>
      <c r="GM31" s="151">
        <f>GL31/GL2</f>
        <v>0</v>
      </c>
      <c r="GN31" s="159">
        <v>200</v>
      </c>
      <c r="GO31" s="159">
        <f>GN31*GO2</f>
        <v>32280</v>
      </c>
      <c r="GP31" s="159">
        <f t="shared" si="187"/>
        <v>38090.400000000001</v>
      </c>
      <c r="GQ31" s="118"/>
      <c r="GR31" s="151"/>
      <c r="GS31" s="151">
        <f t="shared" si="188"/>
        <v>0</v>
      </c>
      <c r="GT31" s="151">
        <f>GS31/GS2</f>
        <v>0</v>
      </c>
      <c r="GU31" s="96"/>
      <c r="GV31" s="96">
        <f>GU31*GV2</f>
        <v>0</v>
      </c>
      <c r="GW31" s="96">
        <f t="shared" si="189"/>
        <v>0</v>
      </c>
      <c r="GX31" s="118"/>
      <c r="GY31" s="151"/>
      <c r="GZ31" s="151">
        <f t="shared" si="190"/>
        <v>0</v>
      </c>
      <c r="HA31" s="151">
        <f>GZ31/GZ2</f>
        <v>0</v>
      </c>
      <c r="HB31" s="159">
        <v>200</v>
      </c>
      <c r="HC31" s="159">
        <f>HB31*HC2</f>
        <v>55220.319999999992</v>
      </c>
      <c r="HD31" s="159">
        <f t="shared" si="191"/>
        <v>65159.977599999991</v>
      </c>
      <c r="HE31" s="118"/>
      <c r="HF31" s="151"/>
      <c r="HG31" s="151">
        <f t="shared" si="192"/>
        <v>0</v>
      </c>
      <c r="HH31" s="151">
        <f>HG31/HG2</f>
        <v>0</v>
      </c>
      <c r="HI31" s="210"/>
      <c r="HJ31" s="210">
        <f>HI31*HJ2</f>
        <v>0</v>
      </c>
      <c r="HK31" s="210">
        <f t="shared" si="193"/>
        <v>0</v>
      </c>
      <c r="HL31" s="118"/>
      <c r="HM31" s="151"/>
      <c r="HN31" s="151">
        <f t="shared" si="194"/>
        <v>0</v>
      </c>
      <c r="HO31" s="151">
        <f>HN31/HN2</f>
        <v>0</v>
      </c>
      <c r="HP31" s="159"/>
      <c r="HQ31" s="159">
        <f>HP31*HQ2</f>
        <v>0</v>
      </c>
      <c r="HR31" s="159">
        <f t="shared" si="195"/>
        <v>0</v>
      </c>
      <c r="HS31" s="118"/>
      <c r="HT31" s="151">
        <v>236000</v>
      </c>
      <c r="HU31" s="151">
        <f t="shared" si="196"/>
        <v>200000</v>
      </c>
      <c r="HV31" s="151">
        <f>HU31/HU2</f>
        <v>108.0660499697415</v>
      </c>
      <c r="HW31" s="96"/>
      <c r="HX31" s="96">
        <f>HW31*HX2</f>
        <v>0</v>
      </c>
      <c r="HY31" s="96">
        <f t="shared" si="197"/>
        <v>0</v>
      </c>
      <c r="HZ31" s="118"/>
      <c r="IA31" s="21"/>
    </row>
    <row r="32" spans="1:235">
      <c r="A32" s="18">
        <v>3</v>
      </c>
      <c r="B32" s="19" t="s">
        <v>33</v>
      </c>
      <c r="C32" s="118"/>
      <c r="D32" s="151">
        <v>47082</v>
      </c>
      <c r="E32" s="151">
        <f t="shared" si="132"/>
        <v>39900</v>
      </c>
      <c r="F32" s="151">
        <f>E32/E2</f>
        <v>264.23841059602648</v>
      </c>
      <c r="G32" s="73">
        <v>200</v>
      </c>
      <c r="H32" s="159">
        <f>G32*H2</f>
        <v>203148.80000000002</v>
      </c>
      <c r="I32" s="73">
        <f t="shared" si="133"/>
        <v>239715.584</v>
      </c>
      <c r="J32" s="118"/>
      <c r="K32" s="151">
        <v>47082</v>
      </c>
      <c r="L32" s="151">
        <f t="shared" si="134"/>
        <v>39900</v>
      </c>
      <c r="M32" s="151">
        <f>L32/L2</f>
        <v>264.23841059602648</v>
      </c>
      <c r="N32" s="96">
        <v>200</v>
      </c>
      <c r="O32" s="96">
        <f>N32*O2</f>
        <v>55392.480000000003</v>
      </c>
      <c r="P32" s="96">
        <f t="shared" si="135"/>
        <v>65363.126400000001</v>
      </c>
      <c r="Q32" s="118"/>
      <c r="R32" s="20"/>
      <c r="S32" s="20">
        <f t="shared" si="136"/>
        <v>0</v>
      </c>
      <c r="T32" s="151">
        <f>S32/S2</f>
        <v>0</v>
      </c>
      <c r="U32" s="159">
        <v>400</v>
      </c>
      <c r="V32" s="159">
        <f>U32*V2</f>
        <v>43040</v>
      </c>
      <c r="W32" s="73">
        <f t="shared" si="137"/>
        <v>50787.199999999997</v>
      </c>
      <c r="X32" s="118"/>
      <c r="Y32" s="20"/>
      <c r="Z32" s="20">
        <f t="shared" si="138"/>
        <v>0</v>
      </c>
      <c r="AA32" s="151">
        <f>Z32/Z2</f>
        <v>0</v>
      </c>
      <c r="AB32" s="96">
        <v>200</v>
      </c>
      <c r="AC32" s="96">
        <f>AB32*AC2</f>
        <v>76912.48000000001</v>
      </c>
      <c r="AD32" s="96">
        <f t="shared" si="139"/>
        <v>90756.726400000014</v>
      </c>
      <c r="AE32" s="118"/>
      <c r="AF32" s="131"/>
      <c r="AG32" s="131">
        <f t="shared" si="140"/>
        <v>0</v>
      </c>
      <c r="AH32" s="151">
        <f>AG32/AG2</f>
        <v>0</v>
      </c>
      <c r="AI32" s="159">
        <v>200</v>
      </c>
      <c r="AJ32" s="159">
        <f>AI32*AJ2</f>
        <v>715324.79999999993</v>
      </c>
      <c r="AK32" s="73">
        <f t="shared" si="141"/>
        <v>844083.26399999985</v>
      </c>
      <c r="AL32" s="118"/>
      <c r="AM32" s="20"/>
      <c r="AN32" s="20">
        <f t="shared" si="142"/>
        <v>0</v>
      </c>
      <c r="AO32" s="151">
        <f>AN32/AN2</f>
        <v>0</v>
      </c>
      <c r="AP32" s="96">
        <v>200</v>
      </c>
      <c r="AQ32" s="96">
        <f>AP32*AQ2</f>
        <v>149843.76</v>
      </c>
      <c r="AR32" s="96">
        <f t="shared" si="143"/>
        <v>176815.63680000001</v>
      </c>
      <c r="AS32" s="118"/>
      <c r="AT32" s="151"/>
      <c r="AU32" s="151">
        <f t="shared" si="144"/>
        <v>0</v>
      </c>
      <c r="AV32" s="151">
        <f>AU32/AU2</f>
        <v>0</v>
      </c>
      <c r="AW32" s="210"/>
      <c r="AX32" s="210">
        <f>AW32*AX2</f>
        <v>0</v>
      </c>
      <c r="AY32" s="210">
        <f t="shared" si="145"/>
        <v>0</v>
      </c>
      <c r="AZ32" s="118"/>
      <c r="BA32" s="151"/>
      <c r="BB32" s="151">
        <f t="shared" si="146"/>
        <v>0</v>
      </c>
      <c r="BC32" s="151">
        <f>BB32/BB2</f>
        <v>0</v>
      </c>
      <c r="BD32" s="159">
        <v>200</v>
      </c>
      <c r="BE32" s="159">
        <f>BD32*BE2</f>
        <v>194325.59999999998</v>
      </c>
      <c r="BF32" s="73">
        <f t="shared" si="147"/>
        <v>229304.20799999996</v>
      </c>
      <c r="BG32" s="118"/>
      <c r="BH32" s="151"/>
      <c r="BI32" s="151">
        <f t="shared" si="148"/>
        <v>0</v>
      </c>
      <c r="BJ32" s="151">
        <f>BI32/BI2</f>
        <v>0</v>
      </c>
      <c r="BK32" s="210"/>
      <c r="BL32" s="210">
        <f>BK32*BL2</f>
        <v>0</v>
      </c>
      <c r="BM32" s="210">
        <f t="shared" si="149"/>
        <v>0</v>
      </c>
      <c r="BN32" s="118"/>
      <c r="BO32" s="151">
        <v>233350</v>
      </c>
      <c r="BP32" s="151">
        <f t="shared" si="150"/>
        <v>197754.2372881356</v>
      </c>
      <c r="BQ32" s="151">
        <f>BP32/BP2</f>
        <v>43.945386064030131</v>
      </c>
      <c r="BR32" s="96">
        <v>200</v>
      </c>
      <c r="BS32" s="96">
        <f>BR32*BS2</f>
        <v>639144</v>
      </c>
      <c r="BT32" s="96">
        <f t="shared" si="151"/>
        <v>754189.91999999993</v>
      </c>
      <c r="BU32" s="118"/>
      <c r="BV32" s="151">
        <v>47082</v>
      </c>
      <c r="BW32" s="151">
        <f t="shared" si="152"/>
        <v>39900</v>
      </c>
      <c r="BX32" s="151">
        <f>BW32/BW2</f>
        <v>264.23841059602648</v>
      </c>
      <c r="BY32" s="159">
        <v>300</v>
      </c>
      <c r="BZ32" s="159">
        <f>BY32*BZ2</f>
        <v>80700</v>
      </c>
      <c r="CA32" s="73">
        <f t="shared" si="153"/>
        <v>95226</v>
      </c>
      <c r="CB32" s="118"/>
      <c r="CC32" s="151"/>
      <c r="CD32" s="151">
        <f t="shared" si="154"/>
        <v>0</v>
      </c>
      <c r="CE32" s="151">
        <f>CD32/CD2</f>
        <v>0</v>
      </c>
      <c r="CF32" s="96">
        <v>200</v>
      </c>
      <c r="CG32" s="96">
        <f>CF32*CG2</f>
        <v>143108</v>
      </c>
      <c r="CH32" s="96">
        <f t="shared" si="155"/>
        <v>168867.44</v>
      </c>
      <c r="CI32" s="118"/>
      <c r="CJ32" s="151"/>
      <c r="CK32" s="151">
        <f t="shared" si="156"/>
        <v>0</v>
      </c>
      <c r="CL32" s="151">
        <f>CK32/CK2</f>
        <v>0</v>
      </c>
      <c r="CM32" s="210"/>
      <c r="CN32" s="210">
        <f>CM32*CN2</f>
        <v>0</v>
      </c>
      <c r="CO32" s="210">
        <f t="shared" si="157"/>
        <v>0</v>
      </c>
      <c r="CP32" s="118"/>
      <c r="CQ32" s="151"/>
      <c r="CR32" s="151">
        <f t="shared" si="158"/>
        <v>0</v>
      </c>
      <c r="CS32" s="151">
        <f>CR32/CR2</f>
        <v>0</v>
      </c>
      <c r="CT32" s="159">
        <v>300</v>
      </c>
      <c r="CU32" s="159">
        <f>CT32*CU2</f>
        <v>113916.12</v>
      </c>
      <c r="CV32" s="159">
        <f t="shared" si="159"/>
        <v>134421.02159999998</v>
      </c>
      <c r="CW32" s="118"/>
      <c r="CX32" s="151">
        <v>47082</v>
      </c>
      <c r="CY32" s="151">
        <f t="shared" si="160"/>
        <v>39900</v>
      </c>
      <c r="CZ32" s="151">
        <f>CY32/CY2</f>
        <v>264.23841059602648</v>
      </c>
      <c r="DA32" s="96">
        <v>200</v>
      </c>
      <c r="DB32" s="96">
        <f>DA32*DB2</f>
        <v>98690.72</v>
      </c>
      <c r="DC32" s="96">
        <f t="shared" si="161"/>
        <v>116455.0496</v>
      </c>
      <c r="DD32" s="118"/>
      <c r="DE32" s="151"/>
      <c r="DF32" s="151">
        <f t="shared" si="162"/>
        <v>0</v>
      </c>
      <c r="DG32" s="151">
        <f>DF32/DF2</f>
        <v>0</v>
      </c>
      <c r="DH32" s="159">
        <v>200</v>
      </c>
      <c r="DI32" s="159">
        <f>DH32*DI2</f>
        <v>153545.19999999998</v>
      </c>
      <c r="DJ32" s="159">
        <f t="shared" si="163"/>
        <v>181183.33599999998</v>
      </c>
      <c r="DK32" s="118"/>
      <c r="DL32" s="151"/>
      <c r="DM32" s="151">
        <f t="shared" si="164"/>
        <v>0</v>
      </c>
      <c r="DN32" s="151">
        <f>DM32/DM2</f>
        <v>0</v>
      </c>
      <c r="DO32" s="96">
        <v>200</v>
      </c>
      <c r="DP32" s="96">
        <f>DO32*DP2</f>
        <v>142010.47999999998</v>
      </c>
      <c r="DQ32" s="96">
        <f t="shared" si="165"/>
        <v>167572.36639999997</v>
      </c>
      <c r="DR32" s="118"/>
      <c r="DS32" s="151"/>
      <c r="DT32" s="151">
        <f t="shared" si="166"/>
        <v>0</v>
      </c>
      <c r="DU32" s="151">
        <f>DT32/DT2</f>
        <v>0</v>
      </c>
      <c r="DV32" s="210"/>
      <c r="DW32" s="210">
        <f>DV32*DW2</f>
        <v>0</v>
      </c>
      <c r="DX32" s="210">
        <f t="shared" si="167"/>
        <v>0</v>
      </c>
      <c r="DY32" s="118"/>
      <c r="DZ32" s="151"/>
      <c r="EA32" s="151">
        <f t="shared" si="168"/>
        <v>0</v>
      </c>
      <c r="EB32" s="151">
        <f>EA32/EA2</f>
        <v>0</v>
      </c>
      <c r="EC32" s="159">
        <v>200</v>
      </c>
      <c r="ED32" s="159">
        <f>EC32*ED2</f>
        <v>129120</v>
      </c>
      <c r="EE32" s="159">
        <f t="shared" si="169"/>
        <v>152361.60000000001</v>
      </c>
      <c r="EF32" s="118"/>
      <c r="EG32" s="151"/>
      <c r="EH32" s="151">
        <f t="shared" si="170"/>
        <v>0</v>
      </c>
      <c r="EI32" s="151">
        <f>EH32/EH2</f>
        <v>0</v>
      </c>
      <c r="EJ32" s="96">
        <v>200</v>
      </c>
      <c r="EK32" s="96">
        <f>EJ32*EK2</f>
        <v>355467.36</v>
      </c>
      <c r="EL32" s="96">
        <f t="shared" si="171"/>
        <v>419451.48479999998</v>
      </c>
      <c r="EM32" s="118"/>
      <c r="EN32" s="151">
        <v>233350</v>
      </c>
      <c r="EO32" s="151">
        <f t="shared" si="172"/>
        <v>197754.2372881356</v>
      </c>
      <c r="EP32" s="151">
        <f>EO32/EO2</f>
        <v>43.945386064030131</v>
      </c>
      <c r="EQ32" s="159">
        <v>100</v>
      </c>
      <c r="ER32" s="159">
        <f>EQ32*ER2</f>
        <v>520418.16</v>
      </c>
      <c r="ES32" s="159">
        <f t="shared" si="173"/>
        <v>614093.42879999999</v>
      </c>
      <c r="ET32" s="118"/>
      <c r="EU32" s="151"/>
      <c r="EV32" s="151">
        <f t="shared" si="174"/>
        <v>0</v>
      </c>
      <c r="EW32" s="151">
        <f>EV32/EV2</f>
        <v>0</v>
      </c>
      <c r="EX32" s="96">
        <v>200</v>
      </c>
      <c r="EY32" s="96">
        <f>EX32*EY2</f>
        <v>215200</v>
      </c>
      <c r="EZ32" s="96">
        <f t="shared" si="175"/>
        <v>253936</v>
      </c>
      <c r="FA32" s="118"/>
      <c r="FB32" s="151"/>
      <c r="FC32" s="151">
        <f t="shared" si="176"/>
        <v>0</v>
      </c>
      <c r="FD32" s="151">
        <f>FC32/FC2</f>
        <v>0</v>
      </c>
      <c r="FE32" s="159">
        <v>200</v>
      </c>
      <c r="FF32" s="159">
        <f>FE32*FF2</f>
        <v>366550.16</v>
      </c>
      <c r="FG32" s="159">
        <f t="shared" si="177"/>
        <v>432529.18879999995</v>
      </c>
      <c r="FH32" s="118"/>
      <c r="FI32" s="151"/>
      <c r="FJ32" s="151">
        <f t="shared" si="178"/>
        <v>0</v>
      </c>
      <c r="FK32" s="151">
        <f>FJ32/FJ2</f>
        <v>0</v>
      </c>
      <c r="FL32" s="96">
        <v>300</v>
      </c>
      <c r="FM32" s="96">
        <f>FL32*FM2</f>
        <v>56489.999999999993</v>
      </c>
      <c r="FN32" s="96">
        <f t="shared" si="179"/>
        <v>66658.199999999983</v>
      </c>
      <c r="FO32" s="118"/>
      <c r="FP32" s="151"/>
      <c r="FQ32" s="151">
        <f t="shared" si="180"/>
        <v>0</v>
      </c>
      <c r="FR32" s="151">
        <f>FQ32/FQ2</f>
        <v>0</v>
      </c>
      <c r="FS32" s="159"/>
      <c r="FT32" s="159">
        <f>FS32*FT2</f>
        <v>0</v>
      </c>
      <c r="FU32" s="159">
        <f t="shared" si="181"/>
        <v>0</v>
      </c>
      <c r="FV32" s="118"/>
      <c r="FW32" s="151"/>
      <c r="FX32" s="151">
        <f t="shared" si="182"/>
        <v>0</v>
      </c>
      <c r="FY32" s="151">
        <f>FX32/FX2</f>
        <v>0</v>
      </c>
      <c r="FZ32" s="96"/>
      <c r="GA32" s="96">
        <f>FZ32*GA2</f>
        <v>0</v>
      </c>
      <c r="GB32" s="96">
        <f t="shared" si="183"/>
        <v>0</v>
      </c>
      <c r="GC32" s="118"/>
      <c r="GD32" s="151"/>
      <c r="GE32" s="151">
        <f t="shared" si="184"/>
        <v>0</v>
      </c>
      <c r="GF32" s="151">
        <f>GE32/GE2</f>
        <v>0</v>
      </c>
      <c r="GG32" s="159"/>
      <c r="GH32" s="159">
        <f>GG32*GH2</f>
        <v>0</v>
      </c>
      <c r="GI32" s="159">
        <f t="shared" si="185"/>
        <v>0</v>
      </c>
      <c r="GJ32" s="118"/>
      <c r="GK32" s="151"/>
      <c r="GL32" s="151">
        <f t="shared" si="186"/>
        <v>0</v>
      </c>
      <c r="GM32" s="151">
        <f>GL32/GL2</f>
        <v>0</v>
      </c>
      <c r="GN32" s="159">
        <v>300</v>
      </c>
      <c r="GO32" s="159">
        <f>GN32*GO2</f>
        <v>48420</v>
      </c>
      <c r="GP32" s="159">
        <f t="shared" si="187"/>
        <v>57135.6</v>
      </c>
      <c r="GQ32" s="118"/>
      <c r="GR32" s="151"/>
      <c r="GS32" s="151">
        <f t="shared" si="188"/>
        <v>0</v>
      </c>
      <c r="GT32" s="151">
        <f>GS32/GS2</f>
        <v>0</v>
      </c>
      <c r="GU32" s="96">
        <v>400</v>
      </c>
      <c r="GV32" s="96">
        <f>GU32*GV2</f>
        <v>43040</v>
      </c>
      <c r="GW32" s="96">
        <f t="shared" si="189"/>
        <v>50787.199999999997</v>
      </c>
      <c r="GX32" s="118"/>
      <c r="GY32" s="151"/>
      <c r="GZ32" s="151">
        <f t="shared" si="190"/>
        <v>0</v>
      </c>
      <c r="HA32" s="151">
        <f>GZ32/GZ2</f>
        <v>0</v>
      </c>
      <c r="HB32" s="159">
        <v>300</v>
      </c>
      <c r="HC32" s="159">
        <f>HB32*HC2</f>
        <v>82830.479999999981</v>
      </c>
      <c r="HD32" s="159">
        <f t="shared" si="191"/>
        <v>97739.966399999976</v>
      </c>
      <c r="HE32" s="118"/>
      <c r="HF32" s="151"/>
      <c r="HG32" s="151">
        <f t="shared" si="192"/>
        <v>0</v>
      </c>
      <c r="HH32" s="151">
        <f>HG32/HG2</f>
        <v>0</v>
      </c>
      <c r="HI32" s="210"/>
      <c r="HJ32" s="210">
        <f>HI32*HJ2</f>
        <v>0</v>
      </c>
      <c r="HK32" s="210">
        <f t="shared" si="193"/>
        <v>0</v>
      </c>
      <c r="HL32" s="118"/>
      <c r="HM32" s="151"/>
      <c r="HN32" s="151">
        <f t="shared" si="194"/>
        <v>0</v>
      </c>
      <c r="HO32" s="151">
        <f>HN32/HN2</f>
        <v>0</v>
      </c>
      <c r="HP32" s="159">
        <v>300</v>
      </c>
      <c r="HQ32" s="159">
        <f>HP32*HQ2</f>
        <v>48420</v>
      </c>
      <c r="HR32" s="159">
        <f t="shared" si="195"/>
        <v>57135.6</v>
      </c>
      <c r="HS32" s="118"/>
      <c r="HT32" s="151"/>
      <c r="HU32" s="151">
        <f t="shared" si="196"/>
        <v>0</v>
      </c>
      <c r="HV32" s="151">
        <f>HU32/HU2</f>
        <v>0</v>
      </c>
      <c r="HW32" s="96">
        <v>200</v>
      </c>
      <c r="HX32" s="96">
        <f>HW32*HX2</f>
        <v>127871.84</v>
      </c>
      <c r="HY32" s="96">
        <f t="shared" si="197"/>
        <v>150888.77119999999</v>
      </c>
      <c r="HZ32" s="118"/>
      <c r="IA32" s="21"/>
    </row>
    <row r="33" spans="1:235">
      <c r="A33" s="18">
        <v>4</v>
      </c>
      <c r="B33" s="19" t="s">
        <v>34</v>
      </c>
      <c r="C33" s="118"/>
      <c r="D33" s="151">
        <v>39176</v>
      </c>
      <c r="E33" s="151">
        <f t="shared" si="132"/>
        <v>33200</v>
      </c>
      <c r="F33" s="151">
        <f>E33/E2</f>
        <v>219.86754966887418</v>
      </c>
      <c r="G33" s="73">
        <v>500</v>
      </c>
      <c r="H33" s="159">
        <f>G33*H2</f>
        <v>507872</v>
      </c>
      <c r="I33" s="73">
        <f t="shared" si="133"/>
        <v>599288.96</v>
      </c>
      <c r="J33" s="118"/>
      <c r="K33" s="151">
        <v>39176</v>
      </c>
      <c r="L33" s="151">
        <f t="shared" si="134"/>
        <v>33200</v>
      </c>
      <c r="M33" s="151">
        <f>L33/L2</f>
        <v>219.86754966887418</v>
      </c>
      <c r="N33" s="96">
        <v>500</v>
      </c>
      <c r="O33" s="96">
        <f>N33*O2</f>
        <v>138481.20000000001</v>
      </c>
      <c r="P33" s="96">
        <f t="shared" si="135"/>
        <v>163407.81599999999</v>
      </c>
      <c r="Q33" s="118"/>
      <c r="R33" s="20"/>
      <c r="S33" s="20">
        <f t="shared" si="136"/>
        <v>0</v>
      </c>
      <c r="T33" s="151">
        <f>S33/S2</f>
        <v>0</v>
      </c>
      <c r="U33" s="159"/>
      <c r="V33" s="159">
        <f>U33*V2</f>
        <v>0</v>
      </c>
      <c r="W33" s="73">
        <f t="shared" si="137"/>
        <v>0</v>
      </c>
      <c r="X33" s="118"/>
      <c r="Y33" s="20"/>
      <c r="Z33" s="20">
        <f t="shared" si="138"/>
        <v>0</v>
      </c>
      <c r="AA33" s="151">
        <f>Z33/Z2</f>
        <v>0</v>
      </c>
      <c r="AB33" s="96">
        <v>500</v>
      </c>
      <c r="AC33" s="96">
        <f>AB33*AC2</f>
        <v>192281.2</v>
      </c>
      <c r="AD33" s="96">
        <f t="shared" si="139"/>
        <v>226891.81599999999</v>
      </c>
      <c r="AE33" s="118"/>
      <c r="AF33" s="131"/>
      <c r="AG33" s="131">
        <f t="shared" si="140"/>
        <v>0</v>
      </c>
      <c r="AH33" s="151">
        <f>AG33/AG2</f>
        <v>0</v>
      </c>
      <c r="AI33" s="159">
        <v>300</v>
      </c>
      <c r="AJ33" s="159">
        <f>AI33*AJ2</f>
        <v>1072987.2</v>
      </c>
      <c r="AK33" s="73">
        <f t="shared" si="141"/>
        <v>1266124.8959999999</v>
      </c>
      <c r="AL33" s="118"/>
      <c r="AM33" s="20">
        <v>237787</v>
      </c>
      <c r="AN33" s="20">
        <f t="shared" si="142"/>
        <v>201514.40677966102</v>
      </c>
      <c r="AO33" s="151">
        <f>AN33/AN2</f>
        <v>936.40523596496757</v>
      </c>
      <c r="AP33" s="96">
        <v>500</v>
      </c>
      <c r="AQ33" s="96">
        <f>AP33*AQ2</f>
        <v>374609.39999999997</v>
      </c>
      <c r="AR33" s="96">
        <f t="shared" si="143"/>
        <v>442039.09199999995</v>
      </c>
      <c r="AS33" s="118"/>
      <c r="AT33" s="151"/>
      <c r="AU33" s="151">
        <f t="shared" si="144"/>
        <v>0</v>
      </c>
      <c r="AV33" s="151">
        <f>AU33/AU2</f>
        <v>0</v>
      </c>
      <c r="AW33" s="210"/>
      <c r="AX33" s="210">
        <f>AW33*AX2</f>
        <v>0</v>
      </c>
      <c r="AY33" s="210">
        <f t="shared" si="145"/>
        <v>0</v>
      </c>
      <c r="AZ33" s="118"/>
      <c r="BA33" s="151">
        <v>826000</v>
      </c>
      <c r="BB33" s="151">
        <f t="shared" si="146"/>
        <v>700000</v>
      </c>
      <c r="BC33" s="151">
        <f>BB33/BB2</f>
        <v>378.23117489409526</v>
      </c>
      <c r="BD33" s="159">
        <v>500</v>
      </c>
      <c r="BE33" s="159">
        <f>BD33*BE2</f>
        <v>485813.99999999994</v>
      </c>
      <c r="BF33" s="73">
        <f t="shared" si="147"/>
        <v>573260.5199999999</v>
      </c>
      <c r="BG33" s="118"/>
      <c r="BH33" s="151"/>
      <c r="BI33" s="151">
        <f t="shared" si="148"/>
        <v>0</v>
      </c>
      <c r="BJ33" s="151">
        <f>BI33/BI2</f>
        <v>0</v>
      </c>
      <c r="BK33" s="210"/>
      <c r="BL33" s="210">
        <f>BK33*BL2</f>
        <v>0</v>
      </c>
      <c r="BM33" s="210">
        <f t="shared" si="149"/>
        <v>0</v>
      </c>
      <c r="BN33" s="118"/>
      <c r="BO33" s="151"/>
      <c r="BP33" s="151">
        <f t="shared" si="150"/>
        <v>0</v>
      </c>
      <c r="BQ33" s="151">
        <f>BP33/BP2</f>
        <v>0</v>
      </c>
      <c r="BR33" s="96">
        <v>200</v>
      </c>
      <c r="BS33" s="96">
        <f>BR33*BS2</f>
        <v>639144</v>
      </c>
      <c r="BT33" s="96">
        <f t="shared" si="151"/>
        <v>754189.91999999993</v>
      </c>
      <c r="BU33" s="118"/>
      <c r="BV33" s="151">
        <v>39176</v>
      </c>
      <c r="BW33" s="151">
        <f t="shared" si="152"/>
        <v>33200</v>
      </c>
      <c r="BX33" s="151">
        <f>BW33/BW2</f>
        <v>219.86754966887418</v>
      </c>
      <c r="BY33" s="159">
        <v>500</v>
      </c>
      <c r="BZ33" s="159">
        <f>BY33*BZ2</f>
        <v>134500</v>
      </c>
      <c r="CA33" s="73">
        <f t="shared" si="153"/>
        <v>158710</v>
      </c>
      <c r="CB33" s="118"/>
      <c r="CC33" s="151">
        <v>826000</v>
      </c>
      <c r="CD33" s="151">
        <f t="shared" si="154"/>
        <v>700000</v>
      </c>
      <c r="CE33" s="151">
        <f>CD33/CD2</f>
        <v>378.23117489409526</v>
      </c>
      <c r="CF33" s="96">
        <v>500</v>
      </c>
      <c r="CG33" s="96">
        <f>CF33*CG2</f>
        <v>357770</v>
      </c>
      <c r="CH33" s="96">
        <f t="shared" si="155"/>
        <v>422168.6</v>
      </c>
      <c r="CI33" s="118"/>
      <c r="CJ33" s="151"/>
      <c r="CK33" s="151">
        <f t="shared" si="156"/>
        <v>0</v>
      </c>
      <c r="CL33" s="151">
        <f>CK33/CK2</f>
        <v>0</v>
      </c>
      <c r="CM33" s="210"/>
      <c r="CN33" s="210">
        <f>CM33*CN2</f>
        <v>0</v>
      </c>
      <c r="CO33" s="210">
        <f t="shared" si="157"/>
        <v>0</v>
      </c>
      <c r="CP33" s="118"/>
      <c r="CQ33" s="151"/>
      <c r="CR33" s="151">
        <f t="shared" si="158"/>
        <v>0</v>
      </c>
      <c r="CS33" s="151">
        <f>CR33/CR2</f>
        <v>0</v>
      </c>
      <c r="CT33" s="159">
        <v>500</v>
      </c>
      <c r="CU33" s="159">
        <f>CT33*CU2</f>
        <v>189860.19999999998</v>
      </c>
      <c r="CV33" s="159">
        <f t="shared" si="159"/>
        <v>224035.03599999996</v>
      </c>
      <c r="CW33" s="118"/>
      <c r="CX33" s="151">
        <v>39176</v>
      </c>
      <c r="CY33" s="151">
        <f t="shared" si="160"/>
        <v>33200</v>
      </c>
      <c r="CZ33" s="151">
        <f>CY33/CY2</f>
        <v>219.86754966887418</v>
      </c>
      <c r="DA33" s="96">
        <v>500</v>
      </c>
      <c r="DB33" s="96">
        <f>DA33*DB2</f>
        <v>246726.8</v>
      </c>
      <c r="DC33" s="96">
        <f t="shared" si="161"/>
        <v>291137.62399999995</v>
      </c>
      <c r="DD33" s="118"/>
      <c r="DE33" s="151"/>
      <c r="DF33" s="151">
        <f t="shared" si="162"/>
        <v>0</v>
      </c>
      <c r="DG33" s="151">
        <f>DF33/DF2</f>
        <v>0</v>
      </c>
      <c r="DH33" s="159">
        <v>500</v>
      </c>
      <c r="DI33" s="159">
        <f>DH33*DI2</f>
        <v>383862.99999999994</v>
      </c>
      <c r="DJ33" s="159">
        <f t="shared" si="163"/>
        <v>452958.33999999991</v>
      </c>
      <c r="DK33" s="118"/>
      <c r="DL33" s="151">
        <v>826000</v>
      </c>
      <c r="DM33" s="151">
        <f t="shared" si="164"/>
        <v>700000</v>
      </c>
      <c r="DN33" s="151">
        <f>DM33/DM2</f>
        <v>378.23117489409526</v>
      </c>
      <c r="DO33" s="96">
        <v>500</v>
      </c>
      <c r="DP33" s="96">
        <f>DO33*DP2</f>
        <v>355026.19999999995</v>
      </c>
      <c r="DQ33" s="96">
        <f t="shared" si="165"/>
        <v>418930.91599999991</v>
      </c>
      <c r="DR33" s="118"/>
      <c r="DS33" s="151"/>
      <c r="DT33" s="151">
        <f t="shared" si="166"/>
        <v>0</v>
      </c>
      <c r="DU33" s="151">
        <f>DT33/DT2</f>
        <v>0</v>
      </c>
      <c r="DV33" s="210"/>
      <c r="DW33" s="210">
        <f>DV33*DW2</f>
        <v>0</v>
      </c>
      <c r="DX33" s="210">
        <f t="shared" si="167"/>
        <v>0</v>
      </c>
      <c r="DY33" s="118"/>
      <c r="DZ33" s="151">
        <v>237787</v>
      </c>
      <c r="EA33" s="151">
        <f t="shared" si="168"/>
        <v>201514.40677966102</v>
      </c>
      <c r="EB33" s="151">
        <f>EA33/EA2</f>
        <v>936.40523596496757</v>
      </c>
      <c r="EC33" s="159">
        <v>500</v>
      </c>
      <c r="ED33" s="159">
        <f>EC33*ED2</f>
        <v>322800</v>
      </c>
      <c r="EE33" s="159">
        <f t="shared" si="169"/>
        <v>380904</v>
      </c>
      <c r="EF33" s="118"/>
      <c r="EG33" s="151"/>
      <c r="EH33" s="151">
        <f t="shared" si="170"/>
        <v>0</v>
      </c>
      <c r="EI33" s="151">
        <f>EH33/EH2</f>
        <v>0</v>
      </c>
      <c r="EJ33" s="96">
        <v>500</v>
      </c>
      <c r="EK33" s="96">
        <f>EJ33*EK2</f>
        <v>888668.4</v>
      </c>
      <c r="EL33" s="96">
        <f t="shared" si="171"/>
        <v>1048628.7120000001</v>
      </c>
      <c r="EM33" s="118"/>
      <c r="EN33" s="151"/>
      <c r="EO33" s="151">
        <f t="shared" si="172"/>
        <v>0</v>
      </c>
      <c r="EP33" s="151">
        <f>EO33/EO2</f>
        <v>0</v>
      </c>
      <c r="EQ33" s="159">
        <v>200</v>
      </c>
      <c r="ER33" s="159">
        <f>EQ33*ER2</f>
        <v>1040836.32</v>
      </c>
      <c r="ES33" s="159">
        <f t="shared" si="173"/>
        <v>1228186.8576</v>
      </c>
      <c r="ET33" s="118"/>
      <c r="EU33" s="151">
        <v>383467</v>
      </c>
      <c r="EV33" s="151">
        <f t="shared" si="174"/>
        <v>324972.03389830509</v>
      </c>
      <c r="EW33" s="151">
        <f>EV33/EV2</f>
        <v>317.91433564694296</v>
      </c>
      <c r="EX33" s="96">
        <v>500</v>
      </c>
      <c r="EY33" s="96">
        <f>EX33*EY2</f>
        <v>538000</v>
      </c>
      <c r="EZ33" s="96">
        <f t="shared" si="175"/>
        <v>634840</v>
      </c>
      <c r="FA33" s="118"/>
      <c r="FB33" s="151"/>
      <c r="FC33" s="151">
        <f t="shared" si="176"/>
        <v>0</v>
      </c>
      <c r="FD33" s="151">
        <f>FC33/FC2</f>
        <v>0</v>
      </c>
      <c r="FE33" s="159">
        <v>500</v>
      </c>
      <c r="FF33" s="159">
        <f>FE33*FF2</f>
        <v>916375.39999999991</v>
      </c>
      <c r="FG33" s="159">
        <f t="shared" si="177"/>
        <v>1081322.9719999998</v>
      </c>
      <c r="FH33" s="118"/>
      <c r="FI33" s="151"/>
      <c r="FJ33" s="151">
        <f t="shared" si="178"/>
        <v>0</v>
      </c>
      <c r="FK33" s="151">
        <f>FJ33/FJ2</f>
        <v>0</v>
      </c>
      <c r="FL33" s="96">
        <v>500</v>
      </c>
      <c r="FM33" s="96">
        <f>FL33*FM2</f>
        <v>94149.999999999985</v>
      </c>
      <c r="FN33" s="96">
        <f t="shared" si="179"/>
        <v>111096.99999999997</v>
      </c>
      <c r="FO33" s="118"/>
      <c r="FP33" s="151"/>
      <c r="FQ33" s="151">
        <f t="shared" si="180"/>
        <v>0</v>
      </c>
      <c r="FR33" s="151">
        <f>FQ33/FQ2</f>
        <v>0</v>
      </c>
      <c r="FS33" s="159"/>
      <c r="FT33" s="159">
        <f>FS33*FT2</f>
        <v>0</v>
      </c>
      <c r="FU33" s="159">
        <f t="shared" si="181"/>
        <v>0</v>
      </c>
      <c r="FV33" s="118"/>
      <c r="FW33" s="151"/>
      <c r="FX33" s="151">
        <f t="shared" si="182"/>
        <v>0</v>
      </c>
      <c r="FY33" s="151">
        <f>FX33/FX2</f>
        <v>0</v>
      </c>
      <c r="FZ33" s="96"/>
      <c r="GA33" s="96">
        <f>FZ33*GA2</f>
        <v>0</v>
      </c>
      <c r="GB33" s="96">
        <f t="shared" si="183"/>
        <v>0</v>
      </c>
      <c r="GC33" s="118"/>
      <c r="GD33" s="151"/>
      <c r="GE33" s="151">
        <f t="shared" si="184"/>
        <v>0</v>
      </c>
      <c r="GF33" s="151">
        <f>GE33/GE2</f>
        <v>0</v>
      </c>
      <c r="GG33" s="159"/>
      <c r="GH33" s="159">
        <f>GG33*GH2</f>
        <v>0</v>
      </c>
      <c r="GI33" s="159">
        <f t="shared" si="185"/>
        <v>0</v>
      </c>
      <c r="GJ33" s="118"/>
      <c r="GK33" s="151"/>
      <c r="GL33" s="151">
        <f t="shared" si="186"/>
        <v>0</v>
      </c>
      <c r="GM33" s="151">
        <f>GL33/GL2</f>
        <v>0</v>
      </c>
      <c r="GN33" s="159">
        <v>500</v>
      </c>
      <c r="GO33" s="159">
        <f>GN33*GO2</f>
        <v>80700</v>
      </c>
      <c r="GP33" s="159">
        <f t="shared" si="187"/>
        <v>95226</v>
      </c>
      <c r="GQ33" s="118"/>
      <c r="GR33" s="151"/>
      <c r="GS33" s="151">
        <f t="shared" si="188"/>
        <v>0</v>
      </c>
      <c r="GT33" s="151">
        <f>GS33/GS2</f>
        <v>0</v>
      </c>
      <c r="GU33" s="96"/>
      <c r="GV33" s="96">
        <f>GU33*GV2</f>
        <v>0</v>
      </c>
      <c r="GW33" s="96">
        <f t="shared" si="189"/>
        <v>0</v>
      </c>
      <c r="GX33" s="118"/>
      <c r="GY33" s="151"/>
      <c r="GZ33" s="151">
        <f t="shared" si="190"/>
        <v>0</v>
      </c>
      <c r="HA33" s="151">
        <f>GZ33/GZ2</f>
        <v>0</v>
      </c>
      <c r="HB33" s="159">
        <v>500</v>
      </c>
      <c r="HC33" s="159">
        <f>HB33*HC2</f>
        <v>138050.79999999999</v>
      </c>
      <c r="HD33" s="159">
        <f t="shared" si="191"/>
        <v>162899.94399999999</v>
      </c>
      <c r="HE33" s="118"/>
      <c r="HF33" s="151"/>
      <c r="HG33" s="151">
        <f t="shared" si="192"/>
        <v>0</v>
      </c>
      <c r="HH33" s="151">
        <f>HG33/HG2</f>
        <v>0</v>
      </c>
      <c r="HI33" s="210"/>
      <c r="HJ33" s="210">
        <f>HI33*HJ2</f>
        <v>0</v>
      </c>
      <c r="HK33" s="210">
        <f t="shared" si="193"/>
        <v>0</v>
      </c>
      <c r="HL33" s="118"/>
      <c r="HM33" s="151"/>
      <c r="HN33" s="151">
        <f t="shared" si="194"/>
        <v>0</v>
      </c>
      <c r="HO33" s="151">
        <f>HN33/HN2</f>
        <v>0</v>
      </c>
      <c r="HP33" s="159">
        <v>500</v>
      </c>
      <c r="HQ33" s="159">
        <f>HP33*HQ2</f>
        <v>80700</v>
      </c>
      <c r="HR33" s="159">
        <f t="shared" si="195"/>
        <v>95226</v>
      </c>
      <c r="HS33" s="118"/>
      <c r="HT33" s="151">
        <v>826000</v>
      </c>
      <c r="HU33" s="151">
        <f t="shared" si="196"/>
        <v>700000</v>
      </c>
      <c r="HV33" s="151">
        <f>HU33/HU2</f>
        <v>378.23117489409526</v>
      </c>
      <c r="HW33" s="96">
        <v>500</v>
      </c>
      <c r="HX33" s="96">
        <f>HW33*HX2</f>
        <v>319679.59999999998</v>
      </c>
      <c r="HY33" s="96">
        <f t="shared" si="197"/>
        <v>377221.92799999996</v>
      </c>
      <c r="HZ33" s="118"/>
      <c r="IA33" s="32"/>
    </row>
    <row r="34" spans="1:235">
      <c r="A34" s="18">
        <v>5</v>
      </c>
      <c r="B34" s="19" t="s">
        <v>91</v>
      </c>
      <c r="C34" s="118"/>
      <c r="D34" s="151"/>
      <c r="E34" s="151">
        <f t="shared" si="132"/>
        <v>0</v>
      </c>
      <c r="F34" s="151">
        <f>E34/E2</f>
        <v>0</v>
      </c>
      <c r="G34" s="73">
        <v>50</v>
      </c>
      <c r="H34" s="159">
        <f>G34*H2</f>
        <v>50787.200000000004</v>
      </c>
      <c r="I34" s="73">
        <f t="shared" si="133"/>
        <v>59928.896000000001</v>
      </c>
      <c r="J34" s="118"/>
      <c r="K34" s="151"/>
      <c r="L34" s="151">
        <f t="shared" si="134"/>
        <v>0</v>
      </c>
      <c r="M34" s="151">
        <f>L34/L2</f>
        <v>0</v>
      </c>
      <c r="N34" s="96">
        <v>100</v>
      </c>
      <c r="O34" s="96">
        <f>N34*O2</f>
        <v>27696.240000000002</v>
      </c>
      <c r="P34" s="96">
        <f t="shared" si="135"/>
        <v>32681.563200000001</v>
      </c>
      <c r="Q34" s="118"/>
      <c r="R34" s="20"/>
      <c r="S34" s="20">
        <f t="shared" si="136"/>
        <v>0</v>
      </c>
      <c r="T34" s="151">
        <f>S34/S2</f>
        <v>0</v>
      </c>
      <c r="U34" s="159"/>
      <c r="V34" s="159">
        <f>U34*V2</f>
        <v>0</v>
      </c>
      <c r="W34" s="73">
        <f t="shared" si="137"/>
        <v>0</v>
      </c>
      <c r="X34" s="118"/>
      <c r="Y34" s="20"/>
      <c r="Z34" s="20">
        <f t="shared" si="138"/>
        <v>0</v>
      </c>
      <c r="AA34" s="151">
        <f>Z34/Z2</f>
        <v>0</v>
      </c>
      <c r="AB34" s="96">
        <v>100</v>
      </c>
      <c r="AC34" s="96">
        <f>AB34*AC2</f>
        <v>38456.240000000005</v>
      </c>
      <c r="AD34" s="96">
        <f t="shared" si="139"/>
        <v>45378.363200000007</v>
      </c>
      <c r="AE34" s="118"/>
      <c r="AF34" s="131"/>
      <c r="AG34" s="131">
        <f t="shared" si="140"/>
        <v>0</v>
      </c>
      <c r="AH34" s="151">
        <f>AG34/AG2</f>
        <v>0</v>
      </c>
      <c r="AI34" s="159">
        <v>50</v>
      </c>
      <c r="AJ34" s="159">
        <f>AI34*AJ2</f>
        <v>178831.19999999998</v>
      </c>
      <c r="AK34" s="73">
        <f t="shared" si="141"/>
        <v>211020.81599999996</v>
      </c>
      <c r="AL34" s="118"/>
      <c r="AM34" s="20"/>
      <c r="AN34" s="20">
        <f t="shared" si="142"/>
        <v>0</v>
      </c>
      <c r="AO34" s="151">
        <f>AN34/AN2</f>
        <v>0</v>
      </c>
      <c r="AP34" s="96">
        <v>100</v>
      </c>
      <c r="AQ34" s="96">
        <f>AP34*AQ2</f>
        <v>74921.88</v>
      </c>
      <c r="AR34" s="96">
        <f t="shared" si="143"/>
        <v>88407.818400000004</v>
      </c>
      <c r="AS34" s="118"/>
      <c r="AT34" s="151"/>
      <c r="AU34" s="151">
        <f t="shared" si="144"/>
        <v>0</v>
      </c>
      <c r="AV34" s="151">
        <f>AU34/AU2</f>
        <v>0</v>
      </c>
      <c r="AW34" s="210"/>
      <c r="AX34" s="210">
        <f>AW34*AX2</f>
        <v>0</v>
      </c>
      <c r="AY34" s="210">
        <f t="shared" si="145"/>
        <v>0</v>
      </c>
      <c r="AZ34" s="118"/>
      <c r="BA34" s="151"/>
      <c r="BB34" s="151">
        <f t="shared" si="146"/>
        <v>0</v>
      </c>
      <c r="BC34" s="151">
        <f>BB34/BB2</f>
        <v>0</v>
      </c>
      <c r="BD34" s="159">
        <v>100</v>
      </c>
      <c r="BE34" s="159">
        <f>BD34*BE2</f>
        <v>97162.799999999988</v>
      </c>
      <c r="BF34" s="73">
        <f t="shared" si="147"/>
        <v>114652.10399999998</v>
      </c>
      <c r="BG34" s="118"/>
      <c r="BH34" s="151"/>
      <c r="BI34" s="151">
        <f t="shared" si="148"/>
        <v>0</v>
      </c>
      <c r="BJ34" s="151">
        <f>BI34/BI2</f>
        <v>0</v>
      </c>
      <c r="BK34" s="210"/>
      <c r="BL34" s="210">
        <f>BK34*BL2</f>
        <v>0</v>
      </c>
      <c r="BM34" s="210">
        <f t="shared" si="149"/>
        <v>0</v>
      </c>
      <c r="BN34" s="118"/>
      <c r="BO34" s="151">
        <v>464892.15999999997</v>
      </c>
      <c r="BP34" s="151">
        <f t="shared" si="150"/>
        <v>393976.40677966102</v>
      </c>
      <c r="BQ34" s="151">
        <f>BP34/BP2</f>
        <v>87.550312617702446</v>
      </c>
      <c r="BR34" s="96">
        <v>50</v>
      </c>
      <c r="BS34" s="96">
        <f>BR34*BS2</f>
        <v>159786</v>
      </c>
      <c r="BT34" s="96">
        <f t="shared" si="151"/>
        <v>188547.47999999998</v>
      </c>
      <c r="BU34" s="118"/>
      <c r="BV34" s="151"/>
      <c r="BW34" s="151">
        <f t="shared" si="152"/>
        <v>0</v>
      </c>
      <c r="BX34" s="151">
        <f>BW34/BW2</f>
        <v>0</v>
      </c>
      <c r="BY34" s="159">
        <v>100</v>
      </c>
      <c r="BZ34" s="159">
        <f>BY34*BZ2</f>
        <v>26900</v>
      </c>
      <c r="CA34" s="73">
        <f t="shared" si="153"/>
        <v>31742</v>
      </c>
      <c r="CB34" s="118"/>
      <c r="CC34" s="151"/>
      <c r="CD34" s="151">
        <f t="shared" si="154"/>
        <v>0</v>
      </c>
      <c r="CE34" s="151">
        <f>CD34/CD2</f>
        <v>0</v>
      </c>
      <c r="CF34" s="96">
        <v>100</v>
      </c>
      <c r="CG34" s="96">
        <f>CF34*CG2</f>
        <v>71554</v>
      </c>
      <c r="CH34" s="96">
        <f t="shared" si="155"/>
        <v>84433.72</v>
      </c>
      <c r="CI34" s="118"/>
      <c r="CJ34" s="151"/>
      <c r="CK34" s="151">
        <f t="shared" si="156"/>
        <v>0</v>
      </c>
      <c r="CL34" s="151">
        <f>CK34/CK2</f>
        <v>0</v>
      </c>
      <c r="CM34" s="210"/>
      <c r="CN34" s="210">
        <f>CM34*CN2</f>
        <v>0</v>
      </c>
      <c r="CO34" s="210">
        <f t="shared" si="157"/>
        <v>0</v>
      </c>
      <c r="CP34" s="118"/>
      <c r="CQ34" s="151"/>
      <c r="CR34" s="151">
        <f t="shared" si="158"/>
        <v>0</v>
      </c>
      <c r="CS34" s="151">
        <f>CR34/CR2</f>
        <v>0</v>
      </c>
      <c r="CT34" s="159">
        <v>100</v>
      </c>
      <c r="CU34" s="159">
        <f>CT34*CU2</f>
        <v>37972.04</v>
      </c>
      <c r="CV34" s="159">
        <f t="shared" si="159"/>
        <v>44807.0072</v>
      </c>
      <c r="CW34" s="118"/>
      <c r="CX34" s="151"/>
      <c r="CY34" s="151">
        <f t="shared" si="160"/>
        <v>0</v>
      </c>
      <c r="CZ34" s="151">
        <f>CY34/CY2</f>
        <v>0</v>
      </c>
      <c r="DA34" s="96">
        <v>50</v>
      </c>
      <c r="DB34" s="96">
        <f>DA34*DB2</f>
        <v>24672.68</v>
      </c>
      <c r="DC34" s="96">
        <f t="shared" si="161"/>
        <v>29113.7624</v>
      </c>
      <c r="DD34" s="118"/>
      <c r="DE34" s="151"/>
      <c r="DF34" s="151">
        <f t="shared" si="162"/>
        <v>0</v>
      </c>
      <c r="DG34" s="151">
        <f>DF34/DF2</f>
        <v>0</v>
      </c>
      <c r="DH34" s="159">
        <v>50</v>
      </c>
      <c r="DI34" s="159">
        <f>DH34*DI2</f>
        <v>38386.299999999996</v>
      </c>
      <c r="DJ34" s="159">
        <f t="shared" si="163"/>
        <v>45295.833999999995</v>
      </c>
      <c r="DK34" s="118"/>
      <c r="DL34" s="151"/>
      <c r="DM34" s="151">
        <f t="shared" si="164"/>
        <v>0</v>
      </c>
      <c r="DN34" s="151">
        <f>DM34/DM2</f>
        <v>0</v>
      </c>
      <c r="DO34" s="96">
        <v>100</v>
      </c>
      <c r="DP34" s="96">
        <f>DO34*DP2</f>
        <v>71005.239999999991</v>
      </c>
      <c r="DQ34" s="96">
        <f t="shared" si="165"/>
        <v>83786.183199999985</v>
      </c>
      <c r="DR34" s="118"/>
      <c r="DS34" s="151"/>
      <c r="DT34" s="151">
        <f t="shared" si="166"/>
        <v>0</v>
      </c>
      <c r="DU34" s="151">
        <f>DT34/DT2</f>
        <v>0</v>
      </c>
      <c r="DV34" s="210"/>
      <c r="DW34" s="210">
        <f>DV34*DW2</f>
        <v>0</v>
      </c>
      <c r="DX34" s="210">
        <f t="shared" si="167"/>
        <v>0</v>
      </c>
      <c r="DY34" s="118"/>
      <c r="DZ34" s="151"/>
      <c r="EA34" s="151">
        <f t="shared" si="168"/>
        <v>0</v>
      </c>
      <c r="EB34" s="151">
        <f>EA34/EA2</f>
        <v>0</v>
      </c>
      <c r="EC34" s="159">
        <v>100</v>
      </c>
      <c r="ED34" s="159">
        <f>EC34*ED2</f>
        <v>64560</v>
      </c>
      <c r="EE34" s="159">
        <f t="shared" si="169"/>
        <v>76180.800000000003</v>
      </c>
      <c r="EF34" s="118"/>
      <c r="EG34" s="151"/>
      <c r="EH34" s="151">
        <f t="shared" si="170"/>
        <v>0</v>
      </c>
      <c r="EI34" s="151">
        <f>EH34/EH2</f>
        <v>0</v>
      </c>
      <c r="EJ34" s="96">
        <v>50</v>
      </c>
      <c r="EK34" s="96">
        <f>EJ34*EK2</f>
        <v>88866.84</v>
      </c>
      <c r="EL34" s="96">
        <f t="shared" si="171"/>
        <v>104862.87119999999</v>
      </c>
      <c r="EM34" s="118"/>
      <c r="EN34" s="151">
        <v>464892.15999999997</v>
      </c>
      <c r="EO34" s="151">
        <f t="shared" si="172"/>
        <v>393976.40677966102</v>
      </c>
      <c r="EP34" s="151">
        <f>EO34/EO2</f>
        <v>87.550312617702446</v>
      </c>
      <c r="EQ34" s="159">
        <v>50</v>
      </c>
      <c r="ER34" s="159">
        <f>EQ34*ER2</f>
        <v>260209.08</v>
      </c>
      <c r="ES34" s="159">
        <f t="shared" si="173"/>
        <v>307046.7144</v>
      </c>
      <c r="ET34" s="118"/>
      <c r="EU34" s="151"/>
      <c r="EV34" s="151">
        <f t="shared" si="174"/>
        <v>0</v>
      </c>
      <c r="EW34" s="151">
        <f>EV34/EV2</f>
        <v>0</v>
      </c>
      <c r="EX34" s="96">
        <v>100</v>
      </c>
      <c r="EY34" s="96">
        <f>EX34*EY2</f>
        <v>107600</v>
      </c>
      <c r="EZ34" s="96">
        <f t="shared" si="175"/>
        <v>126968</v>
      </c>
      <c r="FA34" s="118"/>
      <c r="FB34" s="151"/>
      <c r="FC34" s="151">
        <f t="shared" si="176"/>
        <v>0</v>
      </c>
      <c r="FD34" s="151">
        <f>FC34/FC2</f>
        <v>0</v>
      </c>
      <c r="FE34" s="159">
        <v>50</v>
      </c>
      <c r="FF34" s="159">
        <f>FE34*FF2</f>
        <v>91637.54</v>
      </c>
      <c r="FG34" s="159">
        <f t="shared" si="177"/>
        <v>108132.29719999999</v>
      </c>
      <c r="FH34" s="118"/>
      <c r="FI34" s="151"/>
      <c r="FJ34" s="151">
        <f t="shared" si="178"/>
        <v>0</v>
      </c>
      <c r="FK34" s="151">
        <f>FJ34/FJ2</f>
        <v>0</v>
      </c>
      <c r="FL34" s="96">
        <v>100</v>
      </c>
      <c r="FM34" s="96">
        <f>FL34*FM2</f>
        <v>18830</v>
      </c>
      <c r="FN34" s="96">
        <f t="shared" si="179"/>
        <v>22219.399999999998</v>
      </c>
      <c r="FO34" s="118"/>
      <c r="FP34" s="151"/>
      <c r="FQ34" s="151">
        <f t="shared" si="180"/>
        <v>0</v>
      </c>
      <c r="FR34" s="151">
        <f>FQ34/FQ2</f>
        <v>0</v>
      </c>
      <c r="FS34" s="159"/>
      <c r="FT34" s="159">
        <f>FS34*FT2</f>
        <v>0</v>
      </c>
      <c r="FU34" s="159">
        <f t="shared" si="181"/>
        <v>0</v>
      </c>
      <c r="FV34" s="118"/>
      <c r="FW34" s="151"/>
      <c r="FX34" s="151">
        <f t="shared" si="182"/>
        <v>0</v>
      </c>
      <c r="FY34" s="151">
        <f>FX34/FX2</f>
        <v>0</v>
      </c>
      <c r="FZ34" s="96"/>
      <c r="GA34" s="96">
        <f>FZ34*GA2</f>
        <v>0</v>
      </c>
      <c r="GB34" s="96">
        <f t="shared" si="183"/>
        <v>0</v>
      </c>
      <c r="GC34" s="118"/>
      <c r="GD34" s="151"/>
      <c r="GE34" s="151">
        <f t="shared" si="184"/>
        <v>0</v>
      </c>
      <c r="GF34" s="151">
        <f>GE34/GE2</f>
        <v>0</v>
      </c>
      <c r="GG34" s="159"/>
      <c r="GH34" s="159">
        <f>GG34*GH2</f>
        <v>0</v>
      </c>
      <c r="GI34" s="159">
        <f t="shared" si="185"/>
        <v>0</v>
      </c>
      <c r="GJ34" s="118"/>
      <c r="GK34" s="151"/>
      <c r="GL34" s="151">
        <f t="shared" si="186"/>
        <v>0</v>
      </c>
      <c r="GM34" s="151">
        <f>GL34/GL2</f>
        <v>0</v>
      </c>
      <c r="GN34" s="159">
        <v>100</v>
      </c>
      <c r="GO34" s="159">
        <f>GN34*GO2</f>
        <v>16140</v>
      </c>
      <c r="GP34" s="159">
        <f t="shared" si="187"/>
        <v>19045.2</v>
      </c>
      <c r="GQ34" s="118"/>
      <c r="GR34" s="151"/>
      <c r="GS34" s="151">
        <f t="shared" si="188"/>
        <v>0</v>
      </c>
      <c r="GT34" s="151">
        <f>GS34/GS2</f>
        <v>0</v>
      </c>
      <c r="GU34" s="96"/>
      <c r="GV34" s="96">
        <f>GU34*GV2</f>
        <v>0</v>
      </c>
      <c r="GW34" s="96">
        <f t="shared" si="189"/>
        <v>0</v>
      </c>
      <c r="GX34" s="118"/>
      <c r="GY34" s="151"/>
      <c r="GZ34" s="151">
        <f t="shared" si="190"/>
        <v>0</v>
      </c>
      <c r="HA34" s="151">
        <f>GZ34/GZ2</f>
        <v>0</v>
      </c>
      <c r="HB34" s="159">
        <v>100</v>
      </c>
      <c r="HC34" s="159">
        <f>HB34*HC2</f>
        <v>27610.159999999996</v>
      </c>
      <c r="HD34" s="159">
        <f t="shared" si="191"/>
        <v>32579.988799999996</v>
      </c>
      <c r="HE34" s="118"/>
      <c r="HF34" s="151"/>
      <c r="HG34" s="151">
        <f t="shared" si="192"/>
        <v>0</v>
      </c>
      <c r="HH34" s="151">
        <f>HG34/HG2</f>
        <v>0</v>
      </c>
      <c r="HI34" s="210"/>
      <c r="HJ34" s="210">
        <f>HI34*HJ2</f>
        <v>0</v>
      </c>
      <c r="HK34" s="210">
        <f t="shared" si="193"/>
        <v>0</v>
      </c>
      <c r="HL34" s="118"/>
      <c r="HM34" s="151"/>
      <c r="HN34" s="151">
        <f t="shared" si="194"/>
        <v>0</v>
      </c>
      <c r="HO34" s="151">
        <f>HN34/HN2</f>
        <v>0</v>
      </c>
      <c r="HP34" s="159">
        <v>100</v>
      </c>
      <c r="HQ34" s="159">
        <f>HP34*HQ2</f>
        <v>16140</v>
      </c>
      <c r="HR34" s="159">
        <f t="shared" si="195"/>
        <v>19045.2</v>
      </c>
      <c r="HS34" s="118"/>
      <c r="HT34" s="151"/>
      <c r="HU34" s="151">
        <f t="shared" si="196"/>
        <v>0</v>
      </c>
      <c r="HV34" s="151">
        <f>HU34/HU2</f>
        <v>0</v>
      </c>
      <c r="HW34" s="96">
        <v>100</v>
      </c>
      <c r="HX34" s="96">
        <f>HW34*HX2</f>
        <v>63935.92</v>
      </c>
      <c r="HY34" s="96">
        <f t="shared" si="197"/>
        <v>75444.385599999994</v>
      </c>
      <c r="HZ34" s="118"/>
      <c r="IA34" s="22"/>
    </row>
    <row r="35" spans="1:235">
      <c r="A35" s="18">
        <v>6</v>
      </c>
      <c r="B35" s="19" t="s">
        <v>35</v>
      </c>
      <c r="C35" s="118"/>
      <c r="D35" s="151">
        <v>435501.94</v>
      </c>
      <c r="E35" s="151">
        <f t="shared" si="132"/>
        <v>369069.44067796611</v>
      </c>
      <c r="F35" s="151">
        <f>E35/E2</f>
        <v>2444.1684813110337</v>
      </c>
      <c r="G35" s="73">
        <v>1500</v>
      </c>
      <c r="H35" s="159">
        <f>G35*H2</f>
        <v>1523616</v>
      </c>
      <c r="I35" s="73">
        <f t="shared" si="133"/>
        <v>1797866.88</v>
      </c>
      <c r="J35" s="118"/>
      <c r="K35" s="151">
        <v>435501.94</v>
      </c>
      <c r="L35" s="151">
        <f t="shared" si="134"/>
        <v>369069.44067796611</v>
      </c>
      <c r="M35" s="151">
        <f>L35/L2</f>
        <v>2444.1684813110337</v>
      </c>
      <c r="N35" s="96">
        <v>1500</v>
      </c>
      <c r="O35" s="96">
        <f>N35*O2</f>
        <v>415443.6</v>
      </c>
      <c r="P35" s="96">
        <f t="shared" si="135"/>
        <v>490223.44799999997</v>
      </c>
      <c r="Q35" s="118"/>
      <c r="R35" s="20">
        <v>28810.879999999997</v>
      </c>
      <c r="S35" s="20">
        <f t="shared" si="136"/>
        <v>24416</v>
      </c>
      <c r="T35" s="151">
        <f>S35/S2</f>
        <v>302.55266418835191</v>
      </c>
      <c r="U35" s="159"/>
      <c r="V35" s="159">
        <f>U35*V2</f>
        <v>0</v>
      </c>
      <c r="W35" s="73">
        <f t="shared" si="137"/>
        <v>0</v>
      </c>
      <c r="X35" s="118"/>
      <c r="Y35" s="20"/>
      <c r="Z35" s="20">
        <f t="shared" si="138"/>
        <v>0</v>
      </c>
      <c r="AA35" s="151">
        <f>Z35/Z2</f>
        <v>0</v>
      </c>
      <c r="AB35" s="96">
        <v>1500</v>
      </c>
      <c r="AC35" s="96">
        <f>AB35*AC2</f>
        <v>576843.60000000009</v>
      </c>
      <c r="AD35" s="96">
        <f t="shared" si="139"/>
        <v>680675.44800000009</v>
      </c>
      <c r="AE35" s="118"/>
      <c r="AF35" s="131">
        <v>1262268.3</v>
      </c>
      <c r="AG35" s="131">
        <f t="shared" si="140"/>
        <v>1069718.8983050848</v>
      </c>
      <c r="AH35" s="151">
        <f>AG35/AG2</f>
        <v>725.66609116292079</v>
      </c>
      <c r="AI35" s="159">
        <v>1000</v>
      </c>
      <c r="AJ35" s="159">
        <f>AI35*AJ2</f>
        <v>3576624</v>
      </c>
      <c r="AK35" s="73">
        <f t="shared" si="141"/>
        <v>4220416.3199999994</v>
      </c>
      <c r="AL35" s="118"/>
      <c r="AM35" s="20">
        <v>216795.5</v>
      </c>
      <c r="AN35" s="20">
        <f t="shared" si="142"/>
        <v>183725</v>
      </c>
      <c r="AO35" s="151">
        <f>AN35/AN2</f>
        <v>853.74070631970267</v>
      </c>
      <c r="AP35" s="96">
        <v>1500</v>
      </c>
      <c r="AQ35" s="96">
        <f>AP35*AQ2</f>
        <v>1123828.2</v>
      </c>
      <c r="AR35" s="96">
        <f t="shared" si="143"/>
        <v>1326117.2759999998</v>
      </c>
      <c r="AS35" s="118"/>
      <c r="AT35" s="151"/>
      <c r="AU35" s="151">
        <f t="shared" si="144"/>
        <v>0</v>
      </c>
      <c r="AV35" s="151">
        <f>AU35/AU2</f>
        <v>0</v>
      </c>
      <c r="AW35" s="210"/>
      <c r="AX35" s="210">
        <f>AW35*AX2</f>
        <v>0</v>
      </c>
      <c r="AY35" s="210">
        <f t="shared" si="145"/>
        <v>0</v>
      </c>
      <c r="AZ35" s="118"/>
      <c r="BA35" s="151">
        <v>2832000</v>
      </c>
      <c r="BB35" s="151">
        <f t="shared" si="146"/>
        <v>2400000</v>
      </c>
      <c r="BC35" s="151">
        <f>BB35/BB2</f>
        <v>1296.7925996368981</v>
      </c>
      <c r="BD35" s="159">
        <v>1500</v>
      </c>
      <c r="BE35" s="159">
        <f>BD35*BE2</f>
        <v>1457442</v>
      </c>
      <c r="BF35" s="73">
        <f t="shared" si="147"/>
        <v>1719781.5599999998</v>
      </c>
      <c r="BG35" s="118"/>
      <c r="BH35" s="151"/>
      <c r="BI35" s="151">
        <f t="shared" si="148"/>
        <v>0</v>
      </c>
      <c r="BJ35" s="151">
        <f>BI35/BI2</f>
        <v>0</v>
      </c>
      <c r="BK35" s="210"/>
      <c r="BL35" s="210">
        <f>BK35*BL2</f>
        <v>0</v>
      </c>
      <c r="BM35" s="210">
        <f t="shared" si="149"/>
        <v>0</v>
      </c>
      <c r="BN35" s="118"/>
      <c r="BO35" s="151">
        <v>2635577</v>
      </c>
      <c r="BP35" s="151">
        <f t="shared" si="150"/>
        <v>2233539.8305084747</v>
      </c>
      <c r="BQ35" s="151">
        <f>BP35/BP2</f>
        <v>496.34218455743883</v>
      </c>
      <c r="BR35" s="96">
        <v>1000</v>
      </c>
      <c r="BS35" s="96">
        <f>BR35*BS2</f>
        <v>3195720</v>
      </c>
      <c r="BT35" s="96">
        <f t="shared" si="151"/>
        <v>3770949.5999999996</v>
      </c>
      <c r="BU35" s="118"/>
      <c r="BV35" s="151">
        <v>435501.94</v>
      </c>
      <c r="BW35" s="151">
        <f t="shared" si="152"/>
        <v>369069.44067796611</v>
      </c>
      <c r="BX35" s="151">
        <f>BW35/BW2</f>
        <v>2444.1684813110337</v>
      </c>
      <c r="BY35" s="159">
        <v>2000</v>
      </c>
      <c r="BZ35" s="159">
        <f>BY35*BZ2</f>
        <v>538000</v>
      </c>
      <c r="CA35" s="73">
        <f t="shared" si="153"/>
        <v>634840</v>
      </c>
      <c r="CB35" s="118"/>
      <c r="CC35" s="151">
        <v>2832000</v>
      </c>
      <c r="CD35" s="151">
        <f t="shared" si="154"/>
        <v>2400000</v>
      </c>
      <c r="CE35" s="151">
        <f>CD35/CD2</f>
        <v>1296.7925996368981</v>
      </c>
      <c r="CF35" s="96">
        <v>2000</v>
      </c>
      <c r="CG35" s="96">
        <f>CF35*CG2</f>
        <v>1431080</v>
      </c>
      <c r="CH35" s="96">
        <f t="shared" si="155"/>
        <v>1688674.4</v>
      </c>
      <c r="CI35" s="118"/>
      <c r="CJ35" s="151"/>
      <c r="CK35" s="151">
        <f t="shared" si="156"/>
        <v>0</v>
      </c>
      <c r="CL35" s="151">
        <f>CK35/CK2</f>
        <v>0</v>
      </c>
      <c r="CM35" s="210"/>
      <c r="CN35" s="210">
        <f>CM35*CN2</f>
        <v>0</v>
      </c>
      <c r="CO35" s="210">
        <f t="shared" si="157"/>
        <v>0</v>
      </c>
      <c r="CP35" s="118"/>
      <c r="CQ35" s="151"/>
      <c r="CR35" s="151">
        <f t="shared" si="158"/>
        <v>0</v>
      </c>
      <c r="CS35" s="151">
        <f>CR35/CR2</f>
        <v>0</v>
      </c>
      <c r="CT35" s="159">
        <v>2000</v>
      </c>
      <c r="CU35" s="159">
        <f>CT35*CU2</f>
        <v>759440.79999999993</v>
      </c>
      <c r="CV35" s="159">
        <f t="shared" si="159"/>
        <v>896140.14399999985</v>
      </c>
      <c r="CW35" s="118"/>
      <c r="CX35" s="151">
        <v>435501.94</v>
      </c>
      <c r="CY35" s="151">
        <f t="shared" si="160"/>
        <v>369069.44067796611</v>
      </c>
      <c r="CZ35" s="151">
        <f>CY35/CY2</f>
        <v>2444.1684813110337</v>
      </c>
      <c r="DA35" s="96">
        <v>2000</v>
      </c>
      <c r="DB35" s="96">
        <f>DA35*DB2</f>
        <v>986907.2</v>
      </c>
      <c r="DC35" s="96">
        <f t="shared" si="161"/>
        <v>1164550.4959999998</v>
      </c>
      <c r="DD35" s="118"/>
      <c r="DE35" s="151">
        <v>1262268.3</v>
      </c>
      <c r="DF35" s="151">
        <f t="shared" si="162"/>
        <v>1069718.8983050848</v>
      </c>
      <c r="DG35" s="151">
        <f>DF35/DF2</f>
        <v>725.66609116292079</v>
      </c>
      <c r="DH35" s="159">
        <v>1500</v>
      </c>
      <c r="DI35" s="159">
        <f>DH35*DI2</f>
        <v>1151588.9999999998</v>
      </c>
      <c r="DJ35" s="159">
        <f t="shared" si="163"/>
        <v>1358875.0199999996</v>
      </c>
      <c r="DK35" s="118"/>
      <c r="DL35" s="151">
        <v>2832000</v>
      </c>
      <c r="DM35" s="151">
        <f t="shared" si="164"/>
        <v>2400000</v>
      </c>
      <c r="DN35" s="151">
        <f>DM35/DM2</f>
        <v>1296.7925996368981</v>
      </c>
      <c r="DO35" s="96">
        <v>2000</v>
      </c>
      <c r="DP35" s="96">
        <f>DO35*DP2</f>
        <v>1420104.7999999998</v>
      </c>
      <c r="DQ35" s="96">
        <f t="shared" si="165"/>
        <v>1675723.6639999996</v>
      </c>
      <c r="DR35" s="118"/>
      <c r="DS35" s="151"/>
      <c r="DT35" s="151">
        <f t="shared" si="166"/>
        <v>0</v>
      </c>
      <c r="DU35" s="151">
        <f>DT35/DT2</f>
        <v>0</v>
      </c>
      <c r="DV35" s="210"/>
      <c r="DW35" s="210">
        <f>DV35*DW2</f>
        <v>0</v>
      </c>
      <c r="DX35" s="210">
        <f t="shared" si="167"/>
        <v>0</v>
      </c>
      <c r="DY35" s="118"/>
      <c r="DZ35" s="151">
        <v>216795.5</v>
      </c>
      <c r="EA35" s="151">
        <f t="shared" si="168"/>
        <v>183725</v>
      </c>
      <c r="EB35" s="151">
        <f>EA35/EA2</f>
        <v>853.74070631970267</v>
      </c>
      <c r="EC35" s="159">
        <v>2000</v>
      </c>
      <c r="ED35" s="159">
        <f>EC35*ED2</f>
        <v>1291200</v>
      </c>
      <c r="EE35" s="159">
        <f t="shared" si="169"/>
        <v>1523616</v>
      </c>
      <c r="EF35" s="118"/>
      <c r="EG35" s="151"/>
      <c r="EH35" s="151">
        <f t="shared" si="170"/>
        <v>0</v>
      </c>
      <c r="EI35" s="151">
        <f>EH35/EH2</f>
        <v>0</v>
      </c>
      <c r="EJ35" s="96">
        <v>1000</v>
      </c>
      <c r="EK35" s="96">
        <f>EJ35*EK2</f>
        <v>1777336.8</v>
      </c>
      <c r="EL35" s="96">
        <f t="shared" si="171"/>
        <v>2097257.4240000001</v>
      </c>
      <c r="EM35" s="118"/>
      <c r="EN35" s="151">
        <v>2635577</v>
      </c>
      <c r="EO35" s="151">
        <f t="shared" si="172"/>
        <v>2233539.8305084747</v>
      </c>
      <c r="EP35" s="151">
        <f>EO35/EO2</f>
        <v>496.34218455743883</v>
      </c>
      <c r="EQ35" s="159">
        <v>700</v>
      </c>
      <c r="ER35" s="159">
        <f>EQ35*ER2</f>
        <v>3642927.12</v>
      </c>
      <c r="ES35" s="159">
        <f t="shared" si="173"/>
        <v>4298654.0016000001</v>
      </c>
      <c r="ET35" s="118"/>
      <c r="EU35" s="151">
        <v>1238185.5</v>
      </c>
      <c r="EV35" s="151">
        <f t="shared" si="174"/>
        <v>1049309.7457627119</v>
      </c>
      <c r="EW35" s="151">
        <f>EV35/EV2</f>
        <v>1026.5209800065661</v>
      </c>
      <c r="EX35" s="96">
        <v>1500</v>
      </c>
      <c r="EY35" s="96">
        <f>EX35*EY2</f>
        <v>1614000</v>
      </c>
      <c r="EZ35" s="96">
        <f t="shared" si="175"/>
        <v>1904520</v>
      </c>
      <c r="FA35" s="118"/>
      <c r="FB35" s="151"/>
      <c r="FC35" s="151">
        <f t="shared" si="176"/>
        <v>0</v>
      </c>
      <c r="FD35" s="151">
        <f>FC35/FC2</f>
        <v>0</v>
      </c>
      <c r="FE35" s="159">
        <v>1000</v>
      </c>
      <c r="FF35" s="159">
        <f>FE35*FF2</f>
        <v>1832750.7999999998</v>
      </c>
      <c r="FG35" s="159">
        <f t="shared" si="177"/>
        <v>2162645.9439999997</v>
      </c>
      <c r="FH35" s="118"/>
      <c r="FI35" s="151"/>
      <c r="FJ35" s="151">
        <f t="shared" si="178"/>
        <v>0</v>
      </c>
      <c r="FK35" s="151">
        <f>FJ35/FJ2</f>
        <v>0</v>
      </c>
      <c r="FL35" s="96">
        <v>2000</v>
      </c>
      <c r="FM35" s="96">
        <f>FL35*FM2</f>
        <v>376599.99999999994</v>
      </c>
      <c r="FN35" s="96">
        <f t="shared" si="179"/>
        <v>444387.99999999988</v>
      </c>
      <c r="FO35" s="118"/>
      <c r="FP35" s="151"/>
      <c r="FQ35" s="151">
        <f t="shared" si="180"/>
        <v>0</v>
      </c>
      <c r="FR35" s="151">
        <f>FQ35/FQ2</f>
        <v>0</v>
      </c>
      <c r="FS35" s="159"/>
      <c r="FT35" s="159">
        <f>FS35*FT2</f>
        <v>0</v>
      </c>
      <c r="FU35" s="159">
        <f t="shared" si="181"/>
        <v>0</v>
      </c>
      <c r="FV35" s="118"/>
      <c r="FW35" s="151"/>
      <c r="FX35" s="151">
        <f t="shared" si="182"/>
        <v>0</v>
      </c>
      <c r="FY35" s="151">
        <f>FX35/FX2</f>
        <v>0</v>
      </c>
      <c r="FZ35" s="96"/>
      <c r="GA35" s="96">
        <f>FZ35*GA2</f>
        <v>0</v>
      </c>
      <c r="GB35" s="96">
        <f t="shared" si="183"/>
        <v>0</v>
      </c>
      <c r="GC35" s="118"/>
      <c r="GD35" s="151"/>
      <c r="GE35" s="151">
        <f t="shared" si="184"/>
        <v>0</v>
      </c>
      <c r="GF35" s="151">
        <f>GE35/GE2</f>
        <v>0</v>
      </c>
      <c r="GG35" s="159"/>
      <c r="GH35" s="159">
        <f>GG35*GH2</f>
        <v>0</v>
      </c>
      <c r="GI35" s="159">
        <f t="shared" si="185"/>
        <v>0</v>
      </c>
      <c r="GJ35" s="118"/>
      <c r="GK35" s="151"/>
      <c r="GL35" s="151">
        <f t="shared" si="186"/>
        <v>0</v>
      </c>
      <c r="GM35" s="151">
        <f>GL35/GL2</f>
        <v>0</v>
      </c>
      <c r="GN35" s="159">
        <v>2000</v>
      </c>
      <c r="GO35" s="159">
        <f>GN35*GO2</f>
        <v>322800</v>
      </c>
      <c r="GP35" s="159">
        <f t="shared" si="187"/>
        <v>380904</v>
      </c>
      <c r="GQ35" s="118"/>
      <c r="GR35" s="151">
        <v>28810.879999999997</v>
      </c>
      <c r="GS35" s="151">
        <f t="shared" si="188"/>
        <v>24416</v>
      </c>
      <c r="GT35" s="151">
        <f>GS35/GS2</f>
        <v>302.55266418835191</v>
      </c>
      <c r="GU35" s="96"/>
      <c r="GV35" s="96">
        <f>GU35*GV2</f>
        <v>0</v>
      </c>
      <c r="GW35" s="96">
        <f t="shared" si="189"/>
        <v>0</v>
      </c>
      <c r="GX35" s="118"/>
      <c r="GY35" s="151">
        <v>119862.04</v>
      </c>
      <c r="GZ35" s="151">
        <f t="shared" si="190"/>
        <v>101578</v>
      </c>
      <c r="HA35" s="151">
        <f>GZ35/GZ2</f>
        <v>944.03345724907069</v>
      </c>
      <c r="HB35" s="159">
        <v>2000</v>
      </c>
      <c r="HC35" s="159">
        <f>HB35*HC2</f>
        <v>552203.19999999995</v>
      </c>
      <c r="HD35" s="159">
        <f t="shared" si="191"/>
        <v>651599.77599999995</v>
      </c>
      <c r="HE35" s="118"/>
      <c r="HF35" s="151"/>
      <c r="HG35" s="151">
        <f t="shared" si="192"/>
        <v>0</v>
      </c>
      <c r="HH35" s="151">
        <f>HG35/HG2</f>
        <v>0</v>
      </c>
      <c r="HI35" s="210"/>
      <c r="HJ35" s="210">
        <f>HI35*HJ2</f>
        <v>0</v>
      </c>
      <c r="HK35" s="210">
        <f t="shared" si="193"/>
        <v>0</v>
      </c>
      <c r="HL35" s="118"/>
      <c r="HM35" s="151"/>
      <c r="HN35" s="151">
        <f t="shared" si="194"/>
        <v>0</v>
      </c>
      <c r="HO35" s="151">
        <f>HN35/HN2</f>
        <v>0</v>
      </c>
      <c r="HP35" s="159">
        <v>3000</v>
      </c>
      <c r="HQ35" s="159">
        <f>HP35*HQ2</f>
        <v>484200</v>
      </c>
      <c r="HR35" s="159">
        <f t="shared" si="195"/>
        <v>571356</v>
      </c>
      <c r="HS35" s="118"/>
      <c r="HT35" s="151">
        <v>2832000</v>
      </c>
      <c r="HU35" s="151">
        <f t="shared" si="196"/>
        <v>2400000</v>
      </c>
      <c r="HV35" s="151">
        <f>HU35/HU2</f>
        <v>1296.7925996368981</v>
      </c>
      <c r="HW35" s="96">
        <v>2000</v>
      </c>
      <c r="HX35" s="96">
        <f>HW35*HX2</f>
        <v>1278718.3999999999</v>
      </c>
      <c r="HY35" s="96">
        <f t="shared" si="197"/>
        <v>1508887.7119999998</v>
      </c>
      <c r="HZ35" s="118"/>
      <c r="IA35" s="21"/>
    </row>
    <row r="36" spans="1:235">
      <c r="A36" s="18">
        <v>7</v>
      </c>
      <c r="B36" s="19" t="s">
        <v>36</v>
      </c>
      <c r="C36" s="118"/>
      <c r="D36" s="151"/>
      <c r="E36" s="151">
        <f t="shared" si="132"/>
        <v>0</v>
      </c>
      <c r="F36" s="151">
        <f>E36/E2</f>
        <v>0</v>
      </c>
      <c r="G36" s="73"/>
      <c r="H36" s="159">
        <f>G36*H2</f>
        <v>0</v>
      </c>
      <c r="I36" s="73">
        <f t="shared" si="133"/>
        <v>0</v>
      </c>
      <c r="J36" s="118"/>
      <c r="K36" s="151"/>
      <c r="L36" s="151">
        <f t="shared" si="134"/>
        <v>0</v>
      </c>
      <c r="M36" s="151">
        <f>L36/L2</f>
        <v>0</v>
      </c>
      <c r="N36" s="96"/>
      <c r="O36" s="96">
        <f>N36*O2</f>
        <v>0</v>
      </c>
      <c r="P36" s="96">
        <f t="shared" si="135"/>
        <v>0</v>
      </c>
      <c r="Q36" s="118"/>
      <c r="R36" s="20"/>
      <c r="S36" s="20">
        <f t="shared" si="136"/>
        <v>0</v>
      </c>
      <c r="T36" s="151">
        <f>S36/S2</f>
        <v>0</v>
      </c>
      <c r="U36" s="159"/>
      <c r="V36" s="159">
        <f>U36*V2</f>
        <v>0</v>
      </c>
      <c r="W36" s="73">
        <f t="shared" si="137"/>
        <v>0</v>
      </c>
      <c r="X36" s="118"/>
      <c r="Y36" s="20"/>
      <c r="Z36" s="20">
        <f t="shared" si="138"/>
        <v>0</v>
      </c>
      <c r="AA36" s="151">
        <f>Z36/Z2</f>
        <v>0</v>
      </c>
      <c r="AB36" s="96"/>
      <c r="AC36" s="96">
        <f>AB36*AC2</f>
        <v>0</v>
      </c>
      <c r="AD36" s="96">
        <f t="shared" si="139"/>
        <v>0</v>
      </c>
      <c r="AE36" s="118"/>
      <c r="AF36" s="131">
        <v>859072.6</v>
      </c>
      <c r="AG36" s="131">
        <f t="shared" si="140"/>
        <v>728027.62711864407</v>
      </c>
      <c r="AH36" s="151">
        <f>AG36/AG2</f>
        <v>493.87270176013089</v>
      </c>
      <c r="AI36" s="159">
        <v>500</v>
      </c>
      <c r="AJ36" s="159">
        <f>AI36*AJ2</f>
        <v>1788312</v>
      </c>
      <c r="AK36" s="73">
        <f t="shared" si="141"/>
        <v>2110208.1599999997</v>
      </c>
      <c r="AL36" s="118"/>
      <c r="AM36" s="20"/>
      <c r="AN36" s="20">
        <f t="shared" si="142"/>
        <v>0</v>
      </c>
      <c r="AO36" s="151">
        <f>AN36/AN2</f>
        <v>0</v>
      </c>
      <c r="AP36" s="96"/>
      <c r="AQ36" s="96">
        <f>AP36*AQ2</f>
        <v>0</v>
      </c>
      <c r="AR36" s="96">
        <f t="shared" si="143"/>
        <v>0</v>
      </c>
      <c r="AS36" s="118"/>
      <c r="AT36" s="151"/>
      <c r="AU36" s="151">
        <f t="shared" si="144"/>
        <v>0</v>
      </c>
      <c r="AV36" s="151">
        <f>AU36/AU2</f>
        <v>0</v>
      </c>
      <c r="AW36" s="210"/>
      <c r="AX36" s="210">
        <f>AW36*AX2</f>
        <v>0</v>
      </c>
      <c r="AY36" s="210">
        <f t="shared" si="145"/>
        <v>0</v>
      </c>
      <c r="AZ36" s="118"/>
      <c r="BA36" s="151">
        <v>1534000</v>
      </c>
      <c r="BB36" s="151">
        <f t="shared" si="146"/>
        <v>1300000</v>
      </c>
      <c r="BC36" s="151">
        <f>BB36/BB2</f>
        <v>702.42932480331979</v>
      </c>
      <c r="BD36" s="159"/>
      <c r="BE36" s="159">
        <f>BD36*BE2</f>
        <v>0</v>
      </c>
      <c r="BF36" s="73">
        <f t="shared" si="147"/>
        <v>0</v>
      </c>
      <c r="BG36" s="118"/>
      <c r="BH36" s="151"/>
      <c r="BI36" s="151">
        <f t="shared" si="148"/>
        <v>0</v>
      </c>
      <c r="BJ36" s="151">
        <f>BI36/BI2</f>
        <v>0</v>
      </c>
      <c r="BK36" s="210"/>
      <c r="BL36" s="210">
        <f>BK36*BL2</f>
        <v>0</v>
      </c>
      <c r="BM36" s="210">
        <f t="shared" si="149"/>
        <v>0</v>
      </c>
      <c r="BN36" s="118"/>
      <c r="BO36" s="151">
        <v>1894472</v>
      </c>
      <c r="BP36" s="151">
        <f t="shared" si="150"/>
        <v>1605484.7457627119</v>
      </c>
      <c r="BQ36" s="151">
        <f>BP36/BP2</f>
        <v>356.7743879472693</v>
      </c>
      <c r="BR36" s="96">
        <v>500</v>
      </c>
      <c r="BS36" s="96">
        <f>BR36*BS2</f>
        <v>1597860</v>
      </c>
      <c r="BT36" s="96">
        <f t="shared" si="151"/>
        <v>1885474.7999999998</v>
      </c>
      <c r="BU36" s="118"/>
      <c r="BV36" s="151"/>
      <c r="BW36" s="151">
        <f t="shared" si="152"/>
        <v>0</v>
      </c>
      <c r="BX36" s="151">
        <f>BW36/BW2</f>
        <v>0</v>
      </c>
      <c r="BY36" s="159"/>
      <c r="BZ36" s="159">
        <f>BY36*BZ2</f>
        <v>0</v>
      </c>
      <c r="CA36" s="73">
        <f t="shared" si="153"/>
        <v>0</v>
      </c>
      <c r="CB36" s="118"/>
      <c r="CC36" s="151">
        <v>1534000</v>
      </c>
      <c r="CD36" s="151">
        <f t="shared" si="154"/>
        <v>1300000</v>
      </c>
      <c r="CE36" s="151">
        <f>CD36/CD2</f>
        <v>702.42932480331979</v>
      </c>
      <c r="CF36" s="96"/>
      <c r="CG36" s="96">
        <f>CF36*CG2</f>
        <v>0</v>
      </c>
      <c r="CH36" s="96">
        <f t="shared" si="155"/>
        <v>0</v>
      </c>
      <c r="CI36" s="118"/>
      <c r="CJ36" s="151"/>
      <c r="CK36" s="151">
        <f t="shared" si="156"/>
        <v>0</v>
      </c>
      <c r="CL36" s="151">
        <f>CK36/CK2</f>
        <v>0</v>
      </c>
      <c r="CM36" s="210"/>
      <c r="CN36" s="210">
        <f>CM36*CN2</f>
        <v>0</v>
      </c>
      <c r="CO36" s="210">
        <f t="shared" si="157"/>
        <v>0</v>
      </c>
      <c r="CP36" s="118"/>
      <c r="CQ36" s="151"/>
      <c r="CR36" s="151">
        <f t="shared" si="158"/>
        <v>0</v>
      </c>
      <c r="CS36" s="151">
        <f>CR36/CR2</f>
        <v>0</v>
      </c>
      <c r="CT36" s="159"/>
      <c r="CU36" s="159">
        <f>CT36*CU2</f>
        <v>0</v>
      </c>
      <c r="CV36" s="159">
        <f t="shared" si="159"/>
        <v>0</v>
      </c>
      <c r="CW36" s="118"/>
      <c r="CX36" s="151"/>
      <c r="CY36" s="151">
        <f t="shared" si="160"/>
        <v>0</v>
      </c>
      <c r="CZ36" s="151">
        <f>CY36/CY2</f>
        <v>0</v>
      </c>
      <c r="DA36" s="96">
        <v>500</v>
      </c>
      <c r="DB36" s="96">
        <f>DA36*DB2</f>
        <v>246726.8</v>
      </c>
      <c r="DC36" s="96">
        <f t="shared" si="161"/>
        <v>291137.62399999995</v>
      </c>
      <c r="DD36" s="118"/>
      <c r="DE36" s="151">
        <v>859072.6</v>
      </c>
      <c r="DF36" s="151">
        <f t="shared" si="162"/>
        <v>728027.62711864407</v>
      </c>
      <c r="DG36" s="151">
        <f>DF36/DF2</f>
        <v>493.87270176013089</v>
      </c>
      <c r="DH36" s="159">
        <v>500</v>
      </c>
      <c r="DI36" s="159">
        <f>DH36*DI2</f>
        <v>383862.99999999994</v>
      </c>
      <c r="DJ36" s="159">
        <f t="shared" si="163"/>
        <v>452958.33999999991</v>
      </c>
      <c r="DK36" s="118"/>
      <c r="DL36" s="151">
        <v>1534000</v>
      </c>
      <c r="DM36" s="151">
        <f t="shared" si="164"/>
        <v>1300000</v>
      </c>
      <c r="DN36" s="151">
        <f>DM36/DM2</f>
        <v>702.42932480331979</v>
      </c>
      <c r="DO36" s="96"/>
      <c r="DP36" s="96">
        <f>DO36*DP2</f>
        <v>0</v>
      </c>
      <c r="DQ36" s="96">
        <f t="shared" si="165"/>
        <v>0</v>
      </c>
      <c r="DR36" s="118"/>
      <c r="DS36" s="151"/>
      <c r="DT36" s="151">
        <f t="shared" si="166"/>
        <v>0</v>
      </c>
      <c r="DU36" s="151">
        <f>DT36/DT2</f>
        <v>0</v>
      </c>
      <c r="DV36" s="210"/>
      <c r="DW36" s="210">
        <f>DV36*DW2</f>
        <v>0</v>
      </c>
      <c r="DX36" s="210">
        <f t="shared" si="167"/>
        <v>0</v>
      </c>
      <c r="DY36" s="118"/>
      <c r="DZ36" s="151"/>
      <c r="EA36" s="151">
        <f t="shared" si="168"/>
        <v>0</v>
      </c>
      <c r="EB36" s="151">
        <f>EA36/EA2</f>
        <v>0</v>
      </c>
      <c r="EC36" s="159"/>
      <c r="ED36" s="159">
        <f>EC36*ED2</f>
        <v>0</v>
      </c>
      <c r="EE36" s="159">
        <f t="shared" si="169"/>
        <v>0</v>
      </c>
      <c r="EF36" s="118"/>
      <c r="EG36" s="151"/>
      <c r="EH36" s="151">
        <f t="shared" si="170"/>
        <v>0</v>
      </c>
      <c r="EI36" s="151">
        <f>EH36/EH2</f>
        <v>0</v>
      </c>
      <c r="EJ36" s="96">
        <v>500</v>
      </c>
      <c r="EK36" s="96">
        <f>EJ36*EK2</f>
        <v>888668.4</v>
      </c>
      <c r="EL36" s="96">
        <f t="shared" si="171"/>
        <v>1048628.7120000001</v>
      </c>
      <c r="EM36" s="118"/>
      <c r="EN36" s="151">
        <v>1894472</v>
      </c>
      <c r="EO36" s="151">
        <f t="shared" si="172"/>
        <v>1605484.7457627119</v>
      </c>
      <c r="EP36" s="151">
        <f>EO36/EO2</f>
        <v>356.7743879472693</v>
      </c>
      <c r="EQ36" s="159">
        <v>500</v>
      </c>
      <c r="ER36" s="159">
        <f>EQ36*ER2</f>
        <v>2602090.7999999998</v>
      </c>
      <c r="ES36" s="159">
        <f t="shared" si="173"/>
        <v>3070467.1439999994</v>
      </c>
      <c r="ET36" s="118"/>
      <c r="EU36" s="151">
        <v>1047070</v>
      </c>
      <c r="EV36" s="151">
        <f t="shared" si="174"/>
        <v>887347.45762711868</v>
      </c>
      <c r="EW36" s="151">
        <f>EV36/EV2</f>
        <v>868.07616672580582</v>
      </c>
      <c r="EX36" s="96">
        <v>500</v>
      </c>
      <c r="EY36" s="96">
        <f>EX36*EY2</f>
        <v>538000</v>
      </c>
      <c r="EZ36" s="96">
        <f t="shared" si="175"/>
        <v>634840</v>
      </c>
      <c r="FA36" s="118"/>
      <c r="FB36" s="151"/>
      <c r="FC36" s="151">
        <f t="shared" si="176"/>
        <v>0</v>
      </c>
      <c r="FD36" s="151">
        <f>FC36/FC2</f>
        <v>0</v>
      </c>
      <c r="FE36" s="159">
        <v>500</v>
      </c>
      <c r="FF36" s="159">
        <f>FE36*FF2</f>
        <v>916375.39999999991</v>
      </c>
      <c r="FG36" s="159">
        <f t="shared" si="177"/>
        <v>1081322.9719999998</v>
      </c>
      <c r="FH36" s="118"/>
      <c r="FI36" s="151"/>
      <c r="FJ36" s="151">
        <f t="shared" si="178"/>
        <v>0</v>
      </c>
      <c r="FK36" s="151">
        <f>FJ36/FJ2</f>
        <v>0</v>
      </c>
      <c r="FL36" s="96"/>
      <c r="FM36" s="96">
        <f>FL36*FM2</f>
        <v>0</v>
      </c>
      <c r="FN36" s="96">
        <f t="shared" si="179"/>
        <v>0</v>
      </c>
      <c r="FO36" s="118"/>
      <c r="FP36" s="151"/>
      <c r="FQ36" s="151">
        <f t="shared" si="180"/>
        <v>0</v>
      </c>
      <c r="FR36" s="151">
        <f>FQ36/FQ2</f>
        <v>0</v>
      </c>
      <c r="FS36" s="159"/>
      <c r="FT36" s="159">
        <f>FS36*FT2</f>
        <v>0</v>
      </c>
      <c r="FU36" s="159">
        <f t="shared" si="181"/>
        <v>0</v>
      </c>
      <c r="FV36" s="118"/>
      <c r="FW36" s="151"/>
      <c r="FX36" s="151">
        <f t="shared" si="182"/>
        <v>0</v>
      </c>
      <c r="FY36" s="151">
        <f>FX36/FX2</f>
        <v>0</v>
      </c>
      <c r="FZ36" s="96"/>
      <c r="GA36" s="96">
        <f>FZ36*GA2</f>
        <v>0</v>
      </c>
      <c r="GB36" s="96">
        <f t="shared" si="183"/>
        <v>0</v>
      </c>
      <c r="GC36" s="118"/>
      <c r="GD36" s="151"/>
      <c r="GE36" s="151">
        <f t="shared" si="184"/>
        <v>0</v>
      </c>
      <c r="GF36" s="151">
        <f>GE36/GE2</f>
        <v>0</v>
      </c>
      <c r="GG36" s="159"/>
      <c r="GH36" s="159">
        <f>GG36*GH2</f>
        <v>0</v>
      </c>
      <c r="GI36" s="159">
        <f t="shared" si="185"/>
        <v>0</v>
      </c>
      <c r="GJ36" s="118"/>
      <c r="GK36" s="151"/>
      <c r="GL36" s="151">
        <f t="shared" si="186"/>
        <v>0</v>
      </c>
      <c r="GM36" s="151">
        <f>GL36/GL2</f>
        <v>0</v>
      </c>
      <c r="GN36" s="159"/>
      <c r="GO36" s="159">
        <f>GN36*GO2</f>
        <v>0</v>
      </c>
      <c r="GP36" s="159">
        <f t="shared" si="187"/>
        <v>0</v>
      </c>
      <c r="GQ36" s="118"/>
      <c r="GR36" s="151"/>
      <c r="GS36" s="151">
        <f t="shared" si="188"/>
        <v>0</v>
      </c>
      <c r="GT36" s="151">
        <f>GS36/GS2</f>
        <v>0</v>
      </c>
      <c r="GU36" s="96"/>
      <c r="GV36" s="96">
        <f>GU36*GV2</f>
        <v>0</v>
      </c>
      <c r="GW36" s="96">
        <f t="shared" si="189"/>
        <v>0</v>
      </c>
      <c r="GX36" s="118"/>
      <c r="GY36" s="151"/>
      <c r="GZ36" s="151">
        <f t="shared" si="190"/>
        <v>0</v>
      </c>
      <c r="HA36" s="151">
        <f>GZ36/GZ2</f>
        <v>0</v>
      </c>
      <c r="HB36" s="159"/>
      <c r="HC36" s="159">
        <f>HB36*HC2</f>
        <v>0</v>
      </c>
      <c r="HD36" s="159">
        <f t="shared" si="191"/>
        <v>0</v>
      </c>
      <c r="HE36" s="118"/>
      <c r="HF36" s="151"/>
      <c r="HG36" s="151">
        <f t="shared" si="192"/>
        <v>0</v>
      </c>
      <c r="HH36" s="151">
        <f>HG36/HG2</f>
        <v>0</v>
      </c>
      <c r="HI36" s="210"/>
      <c r="HJ36" s="210">
        <f>HI36*HJ2</f>
        <v>0</v>
      </c>
      <c r="HK36" s="210">
        <f t="shared" si="193"/>
        <v>0</v>
      </c>
      <c r="HL36" s="118"/>
      <c r="HM36" s="151"/>
      <c r="HN36" s="151">
        <f t="shared" si="194"/>
        <v>0</v>
      </c>
      <c r="HO36" s="151">
        <f>HN36/HN2</f>
        <v>0</v>
      </c>
      <c r="HP36" s="159"/>
      <c r="HQ36" s="159">
        <f>HP36*HQ2</f>
        <v>0</v>
      </c>
      <c r="HR36" s="159">
        <f t="shared" si="195"/>
        <v>0</v>
      </c>
      <c r="HS36" s="118"/>
      <c r="HT36" s="151">
        <v>1534000</v>
      </c>
      <c r="HU36" s="151">
        <f t="shared" si="196"/>
        <v>1300000</v>
      </c>
      <c r="HV36" s="151">
        <f>HU36/HU2</f>
        <v>702.42932480331979</v>
      </c>
      <c r="HW36" s="96"/>
      <c r="HX36" s="96">
        <f>HW36*HX2</f>
        <v>0</v>
      </c>
      <c r="HY36" s="96">
        <f t="shared" si="197"/>
        <v>0</v>
      </c>
      <c r="HZ36" s="118"/>
      <c r="IA36" s="21"/>
    </row>
    <row r="37" spans="1:235">
      <c r="A37" s="18">
        <v>8</v>
      </c>
      <c r="B37" s="19" t="s">
        <v>37</v>
      </c>
      <c r="C37" s="118"/>
      <c r="D37" s="151"/>
      <c r="E37" s="151">
        <f t="shared" si="132"/>
        <v>0</v>
      </c>
      <c r="F37" s="151">
        <f>E37/E2</f>
        <v>0</v>
      </c>
      <c r="G37" s="73"/>
      <c r="H37" s="159">
        <f>G37*H2</f>
        <v>0</v>
      </c>
      <c r="I37" s="73">
        <f t="shared" si="133"/>
        <v>0</v>
      </c>
      <c r="J37" s="118"/>
      <c r="K37" s="151"/>
      <c r="L37" s="151">
        <f t="shared" si="134"/>
        <v>0</v>
      </c>
      <c r="M37" s="151">
        <f>L37/L2</f>
        <v>0</v>
      </c>
      <c r="N37" s="96"/>
      <c r="O37" s="96">
        <f>N37*O2</f>
        <v>0</v>
      </c>
      <c r="P37" s="96">
        <f t="shared" si="135"/>
        <v>0</v>
      </c>
      <c r="Q37" s="118"/>
      <c r="R37" s="20"/>
      <c r="S37" s="20">
        <f t="shared" si="136"/>
        <v>0</v>
      </c>
      <c r="T37" s="151">
        <f>S37/S2</f>
        <v>0</v>
      </c>
      <c r="U37" s="159"/>
      <c r="V37" s="159">
        <f>U37*V2</f>
        <v>0</v>
      </c>
      <c r="W37" s="73">
        <f t="shared" si="137"/>
        <v>0</v>
      </c>
      <c r="X37" s="118"/>
      <c r="Y37" s="20"/>
      <c r="Z37" s="20">
        <f t="shared" si="138"/>
        <v>0</v>
      </c>
      <c r="AA37" s="151">
        <f>Z37/Z2</f>
        <v>0</v>
      </c>
      <c r="AB37" s="96"/>
      <c r="AC37" s="96">
        <f>AB37*AC2</f>
        <v>0</v>
      </c>
      <c r="AD37" s="96">
        <f t="shared" si="139"/>
        <v>0</v>
      </c>
      <c r="AE37" s="118"/>
      <c r="AF37" s="131">
        <v>2242590</v>
      </c>
      <c r="AG37" s="131">
        <f t="shared" si="140"/>
        <v>1900500</v>
      </c>
      <c r="AH37" s="151">
        <f>AG37/AG2</f>
        <v>1289.2437522047053</v>
      </c>
      <c r="AI37" s="159">
        <v>800</v>
      </c>
      <c r="AJ37" s="159">
        <f>AI37*AJ2</f>
        <v>2861299.1999999997</v>
      </c>
      <c r="AK37" s="73">
        <f t="shared" si="141"/>
        <v>3376333.0559999994</v>
      </c>
      <c r="AL37" s="118"/>
      <c r="AM37" s="20"/>
      <c r="AN37" s="20">
        <f t="shared" si="142"/>
        <v>0</v>
      </c>
      <c r="AO37" s="151">
        <f>AN37/AN2</f>
        <v>0</v>
      </c>
      <c r="AP37" s="96">
        <v>1000</v>
      </c>
      <c r="AQ37" s="96">
        <f>AP37*AQ2</f>
        <v>749218.79999999993</v>
      </c>
      <c r="AR37" s="96">
        <f t="shared" si="143"/>
        <v>884078.18399999989</v>
      </c>
      <c r="AS37" s="118"/>
      <c r="AT37" s="151"/>
      <c r="AU37" s="151">
        <f t="shared" si="144"/>
        <v>0</v>
      </c>
      <c r="AV37" s="151">
        <f>AU37/AU2</f>
        <v>0</v>
      </c>
      <c r="AW37" s="210"/>
      <c r="AX37" s="210">
        <f>AW37*AX2</f>
        <v>0</v>
      </c>
      <c r="AY37" s="210">
        <f t="shared" si="145"/>
        <v>0</v>
      </c>
      <c r="AZ37" s="118"/>
      <c r="BA37" s="151">
        <v>1770000</v>
      </c>
      <c r="BB37" s="151">
        <f t="shared" si="146"/>
        <v>1500000</v>
      </c>
      <c r="BC37" s="151">
        <f>BB37/BB2</f>
        <v>810.49537477306126</v>
      </c>
      <c r="BD37" s="159">
        <v>2000</v>
      </c>
      <c r="BE37" s="159">
        <f>BD37*BE2</f>
        <v>1943255.9999999998</v>
      </c>
      <c r="BF37" s="73">
        <f t="shared" si="147"/>
        <v>2293042.0799999996</v>
      </c>
      <c r="BG37" s="118"/>
      <c r="BH37" s="151"/>
      <c r="BI37" s="151">
        <f t="shared" si="148"/>
        <v>0</v>
      </c>
      <c r="BJ37" s="151">
        <f>BI37/BI2</f>
        <v>0</v>
      </c>
      <c r="BK37" s="210"/>
      <c r="BL37" s="210">
        <f>BK37*BL2</f>
        <v>0</v>
      </c>
      <c r="BM37" s="210">
        <f t="shared" si="149"/>
        <v>0</v>
      </c>
      <c r="BN37" s="118"/>
      <c r="BO37" s="151">
        <v>1494930</v>
      </c>
      <c r="BP37" s="151">
        <f t="shared" si="150"/>
        <v>1266889.8305084747</v>
      </c>
      <c r="BQ37" s="151">
        <f>BP37/BP2</f>
        <v>281.5310734463277</v>
      </c>
      <c r="BR37" s="96">
        <v>800</v>
      </c>
      <c r="BS37" s="96">
        <f>BR37*BS2</f>
        <v>2556576</v>
      </c>
      <c r="BT37" s="96">
        <f t="shared" si="151"/>
        <v>3016759.6799999997</v>
      </c>
      <c r="BU37" s="118"/>
      <c r="BV37" s="151"/>
      <c r="BW37" s="151">
        <f t="shared" si="152"/>
        <v>0</v>
      </c>
      <c r="BX37" s="151">
        <f>BW37/BW2</f>
        <v>0</v>
      </c>
      <c r="BY37" s="159">
        <v>2000</v>
      </c>
      <c r="BZ37" s="159">
        <f>BY37*BZ2</f>
        <v>538000</v>
      </c>
      <c r="CA37" s="73">
        <f t="shared" si="153"/>
        <v>634840</v>
      </c>
      <c r="CB37" s="118"/>
      <c r="CC37" s="151">
        <v>1770000</v>
      </c>
      <c r="CD37" s="151">
        <f t="shared" si="154"/>
        <v>1500000</v>
      </c>
      <c r="CE37" s="151">
        <f>CD37/CD2</f>
        <v>810.49537477306126</v>
      </c>
      <c r="CF37" s="96">
        <v>2000</v>
      </c>
      <c r="CG37" s="96">
        <f>CF37*CG2</f>
        <v>1431080</v>
      </c>
      <c r="CH37" s="96">
        <f t="shared" si="155"/>
        <v>1688674.4</v>
      </c>
      <c r="CI37" s="118"/>
      <c r="CJ37" s="151"/>
      <c r="CK37" s="151">
        <f t="shared" si="156"/>
        <v>0</v>
      </c>
      <c r="CL37" s="151">
        <f>CK37/CK2</f>
        <v>0</v>
      </c>
      <c r="CM37" s="210"/>
      <c r="CN37" s="210">
        <f>CM37*CN2</f>
        <v>0</v>
      </c>
      <c r="CO37" s="210">
        <f t="shared" si="157"/>
        <v>0</v>
      </c>
      <c r="CP37" s="118"/>
      <c r="CQ37" s="151"/>
      <c r="CR37" s="151">
        <f t="shared" si="158"/>
        <v>0</v>
      </c>
      <c r="CS37" s="151">
        <f>CR37/CR2</f>
        <v>0</v>
      </c>
      <c r="CT37" s="159">
        <v>2000</v>
      </c>
      <c r="CU37" s="159">
        <f>CT37*CU2</f>
        <v>759440.79999999993</v>
      </c>
      <c r="CV37" s="159">
        <f t="shared" si="159"/>
        <v>896140.14399999985</v>
      </c>
      <c r="CW37" s="118"/>
      <c r="CX37" s="151"/>
      <c r="CY37" s="151">
        <f t="shared" si="160"/>
        <v>0</v>
      </c>
      <c r="CZ37" s="151">
        <f>CY37/CY2</f>
        <v>0</v>
      </c>
      <c r="DA37" s="96">
        <v>1500</v>
      </c>
      <c r="DB37" s="96">
        <f>DA37*DB2</f>
        <v>740180.4</v>
      </c>
      <c r="DC37" s="96">
        <f t="shared" si="161"/>
        <v>873412.87199999997</v>
      </c>
      <c r="DD37" s="118"/>
      <c r="DE37" s="151">
        <v>2242590</v>
      </c>
      <c r="DF37" s="151">
        <f t="shared" si="162"/>
        <v>1900500</v>
      </c>
      <c r="DG37" s="151">
        <f>DF37/DF2</f>
        <v>1289.2437522047053</v>
      </c>
      <c r="DH37" s="159">
        <v>800</v>
      </c>
      <c r="DI37" s="159">
        <f>DH37*DI2</f>
        <v>614180.79999999993</v>
      </c>
      <c r="DJ37" s="159">
        <f t="shared" si="163"/>
        <v>724733.34399999992</v>
      </c>
      <c r="DK37" s="118"/>
      <c r="DL37" s="151">
        <v>1770000</v>
      </c>
      <c r="DM37" s="151">
        <f t="shared" si="164"/>
        <v>1500000</v>
      </c>
      <c r="DN37" s="151">
        <f>DM37/DM2</f>
        <v>810.49537477306126</v>
      </c>
      <c r="DO37" s="96">
        <v>2000</v>
      </c>
      <c r="DP37" s="96">
        <f>DO37*DP2</f>
        <v>1420104.7999999998</v>
      </c>
      <c r="DQ37" s="96">
        <f t="shared" si="165"/>
        <v>1675723.6639999996</v>
      </c>
      <c r="DR37" s="118"/>
      <c r="DS37" s="151"/>
      <c r="DT37" s="151">
        <f t="shared" si="166"/>
        <v>0</v>
      </c>
      <c r="DU37" s="151">
        <f>DT37/DT2</f>
        <v>0</v>
      </c>
      <c r="DV37" s="210"/>
      <c r="DW37" s="210">
        <f>DV37*DW2</f>
        <v>0</v>
      </c>
      <c r="DX37" s="210">
        <f t="shared" si="167"/>
        <v>0</v>
      </c>
      <c r="DY37" s="118"/>
      <c r="DZ37" s="151"/>
      <c r="EA37" s="151">
        <f t="shared" si="168"/>
        <v>0</v>
      </c>
      <c r="EB37" s="151">
        <f>EA37/EA2</f>
        <v>0</v>
      </c>
      <c r="EC37" s="159">
        <v>2000</v>
      </c>
      <c r="ED37" s="159">
        <f>EC37*ED2</f>
        <v>1291200</v>
      </c>
      <c r="EE37" s="159">
        <f t="shared" si="169"/>
        <v>1523616</v>
      </c>
      <c r="EF37" s="118"/>
      <c r="EG37" s="151"/>
      <c r="EH37" s="151">
        <f t="shared" si="170"/>
        <v>0</v>
      </c>
      <c r="EI37" s="151">
        <f>EH37/EH2</f>
        <v>0</v>
      </c>
      <c r="EJ37" s="96">
        <v>1000</v>
      </c>
      <c r="EK37" s="96">
        <f>EJ37*EK2</f>
        <v>1777336.8</v>
      </c>
      <c r="EL37" s="96">
        <f t="shared" si="171"/>
        <v>2097257.4240000001</v>
      </c>
      <c r="EM37" s="118"/>
      <c r="EN37" s="151">
        <v>1494930</v>
      </c>
      <c r="EO37" s="151">
        <f t="shared" si="172"/>
        <v>1266889.8305084747</v>
      </c>
      <c r="EP37" s="151">
        <f>EO37/EO2</f>
        <v>281.5310734463277</v>
      </c>
      <c r="EQ37" s="159">
        <v>800</v>
      </c>
      <c r="ER37" s="159">
        <f>EQ37*ER2</f>
        <v>4163345.28</v>
      </c>
      <c r="ES37" s="159">
        <f t="shared" si="173"/>
        <v>4912747.4304</v>
      </c>
      <c r="ET37" s="118"/>
      <c r="EU37" s="151">
        <v>512474</v>
      </c>
      <c r="EV37" s="151">
        <f t="shared" si="174"/>
        <v>434300</v>
      </c>
      <c r="EW37" s="151">
        <f>EV37/EV2</f>
        <v>424.86793191156335</v>
      </c>
      <c r="EX37" s="96">
        <v>1200</v>
      </c>
      <c r="EY37" s="96">
        <f>EX37*EY2</f>
        <v>1291200</v>
      </c>
      <c r="EZ37" s="96">
        <f t="shared" si="175"/>
        <v>1523616</v>
      </c>
      <c r="FA37" s="118"/>
      <c r="FB37" s="151"/>
      <c r="FC37" s="151">
        <f t="shared" si="176"/>
        <v>0</v>
      </c>
      <c r="FD37" s="151">
        <f>FC37/FC2</f>
        <v>0</v>
      </c>
      <c r="FE37" s="159">
        <v>1000</v>
      </c>
      <c r="FF37" s="159">
        <f>FE37*FF2</f>
        <v>1832750.7999999998</v>
      </c>
      <c r="FG37" s="159">
        <f t="shared" si="177"/>
        <v>2162645.9439999997</v>
      </c>
      <c r="FH37" s="118"/>
      <c r="FI37" s="151"/>
      <c r="FJ37" s="151">
        <f t="shared" si="178"/>
        <v>0</v>
      </c>
      <c r="FK37" s="151">
        <f>FJ37/FJ2</f>
        <v>0</v>
      </c>
      <c r="FL37" s="96">
        <v>2000</v>
      </c>
      <c r="FM37" s="96">
        <f>FL37*FM2</f>
        <v>376599.99999999994</v>
      </c>
      <c r="FN37" s="96">
        <f t="shared" si="179"/>
        <v>444387.99999999988</v>
      </c>
      <c r="FO37" s="118"/>
      <c r="FP37" s="151"/>
      <c r="FQ37" s="151">
        <f t="shared" si="180"/>
        <v>0</v>
      </c>
      <c r="FR37" s="151">
        <f>FQ37/FQ2</f>
        <v>0</v>
      </c>
      <c r="FS37" s="159"/>
      <c r="FT37" s="159">
        <f>FS37*FT2</f>
        <v>0</v>
      </c>
      <c r="FU37" s="159">
        <f t="shared" si="181"/>
        <v>0</v>
      </c>
      <c r="FV37" s="118"/>
      <c r="FW37" s="151"/>
      <c r="FX37" s="151">
        <f t="shared" si="182"/>
        <v>0</v>
      </c>
      <c r="FY37" s="151">
        <f>FX37/FX2</f>
        <v>0</v>
      </c>
      <c r="FZ37" s="96"/>
      <c r="GA37" s="96">
        <f>FZ37*GA2</f>
        <v>0</v>
      </c>
      <c r="GB37" s="96">
        <f t="shared" si="183"/>
        <v>0</v>
      </c>
      <c r="GC37" s="118"/>
      <c r="GD37" s="151"/>
      <c r="GE37" s="151">
        <f t="shared" si="184"/>
        <v>0</v>
      </c>
      <c r="GF37" s="151">
        <f>GE37/GE2</f>
        <v>0</v>
      </c>
      <c r="GG37" s="159"/>
      <c r="GH37" s="159">
        <f>GG37*GH2</f>
        <v>0</v>
      </c>
      <c r="GI37" s="159">
        <f t="shared" si="185"/>
        <v>0</v>
      </c>
      <c r="GJ37" s="118"/>
      <c r="GK37" s="151"/>
      <c r="GL37" s="151">
        <f t="shared" si="186"/>
        <v>0</v>
      </c>
      <c r="GM37" s="151">
        <f>GL37/GL2</f>
        <v>0</v>
      </c>
      <c r="GN37" s="159">
        <v>2000</v>
      </c>
      <c r="GO37" s="159">
        <f>GN37*GO2</f>
        <v>322800</v>
      </c>
      <c r="GP37" s="159">
        <f t="shared" si="187"/>
        <v>380904</v>
      </c>
      <c r="GQ37" s="118"/>
      <c r="GR37" s="151"/>
      <c r="GS37" s="151">
        <f t="shared" si="188"/>
        <v>0</v>
      </c>
      <c r="GT37" s="151">
        <f>GS37/GS2</f>
        <v>0</v>
      </c>
      <c r="GU37" s="96"/>
      <c r="GV37" s="96">
        <f>GU37*GV2</f>
        <v>0</v>
      </c>
      <c r="GW37" s="96">
        <f t="shared" si="189"/>
        <v>0</v>
      </c>
      <c r="GX37" s="118"/>
      <c r="GY37" s="151"/>
      <c r="GZ37" s="151">
        <f t="shared" si="190"/>
        <v>0</v>
      </c>
      <c r="HA37" s="151">
        <f>GZ37/GZ2</f>
        <v>0</v>
      </c>
      <c r="HB37" s="159">
        <v>2000</v>
      </c>
      <c r="HC37" s="159">
        <f>HB37*HC2</f>
        <v>552203.19999999995</v>
      </c>
      <c r="HD37" s="159">
        <f t="shared" si="191"/>
        <v>651599.77599999995</v>
      </c>
      <c r="HE37" s="118"/>
      <c r="HF37" s="151"/>
      <c r="HG37" s="151">
        <f t="shared" si="192"/>
        <v>0</v>
      </c>
      <c r="HH37" s="151">
        <f>HG37/HG2</f>
        <v>0</v>
      </c>
      <c r="HI37" s="210"/>
      <c r="HJ37" s="210">
        <f>HI37*HJ2</f>
        <v>0</v>
      </c>
      <c r="HK37" s="210">
        <f t="shared" si="193"/>
        <v>0</v>
      </c>
      <c r="HL37" s="118"/>
      <c r="HM37" s="151"/>
      <c r="HN37" s="151">
        <f t="shared" si="194"/>
        <v>0</v>
      </c>
      <c r="HO37" s="151">
        <f>HN37/HN2</f>
        <v>0</v>
      </c>
      <c r="HP37" s="159"/>
      <c r="HQ37" s="159">
        <f>HP37*HQ2</f>
        <v>0</v>
      </c>
      <c r="HR37" s="159">
        <f t="shared" si="195"/>
        <v>0</v>
      </c>
      <c r="HS37" s="118"/>
      <c r="HT37" s="151">
        <v>1770000</v>
      </c>
      <c r="HU37" s="151">
        <f t="shared" si="196"/>
        <v>1500000</v>
      </c>
      <c r="HV37" s="151">
        <f>HU37/HU2</f>
        <v>810.49537477306126</v>
      </c>
      <c r="HW37" s="96"/>
      <c r="HX37" s="96">
        <f>HW37*HX2</f>
        <v>0</v>
      </c>
      <c r="HY37" s="96">
        <f t="shared" si="197"/>
        <v>0</v>
      </c>
      <c r="HZ37" s="118"/>
      <c r="IA37" s="21"/>
    </row>
    <row r="38" spans="1:235">
      <c r="A38" s="18">
        <v>9</v>
      </c>
      <c r="B38" s="19" t="s">
        <v>38</v>
      </c>
      <c r="C38" s="118"/>
      <c r="D38" s="151"/>
      <c r="E38" s="151">
        <f t="shared" si="132"/>
        <v>0</v>
      </c>
      <c r="F38" s="151">
        <f>E38/E2</f>
        <v>0</v>
      </c>
      <c r="G38" s="73"/>
      <c r="H38" s="159">
        <f>G38*H2</f>
        <v>0</v>
      </c>
      <c r="I38" s="73">
        <f t="shared" si="133"/>
        <v>0</v>
      </c>
      <c r="J38" s="118"/>
      <c r="K38" s="151"/>
      <c r="L38" s="151">
        <f t="shared" si="134"/>
        <v>0</v>
      </c>
      <c r="M38" s="151">
        <f>L38/L2</f>
        <v>0</v>
      </c>
      <c r="N38" s="96"/>
      <c r="O38" s="96">
        <f>N38*O2</f>
        <v>0</v>
      </c>
      <c r="P38" s="96">
        <f t="shared" si="135"/>
        <v>0</v>
      </c>
      <c r="Q38" s="118"/>
      <c r="R38" s="20"/>
      <c r="S38" s="20">
        <f t="shared" si="136"/>
        <v>0</v>
      </c>
      <c r="T38" s="151">
        <f>S38/S2</f>
        <v>0</v>
      </c>
      <c r="U38" s="159"/>
      <c r="V38" s="159">
        <f>U38*V2</f>
        <v>0</v>
      </c>
      <c r="W38" s="73">
        <f t="shared" si="137"/>
        <v>0</v>
      </c>
      <c r="X38" s="118"/>
      <c r="Y38" s="20"/>
      <c r="Z38" s="20">
        <f t="shared" si="138"/>
        <v>0</v>
      </c>
      <c r="AA38" s="151">
        <f>Z38/Z2</f>
        <v>0</v>
      </c>
      <c r="AB38" s="96"/>
      <c r="AC38" s="96">
        <f>AB38*AC2</f>
        <v>0</v>
      </c>
      <c r="AD38" s="96">
        <f t="shared" si="139"/>
        <v>0</v>
      </c>
      <c r="AE38" s="118"/>
      <c r="AF38" s="131"/>
      <c r="AG38" s="131">
        <f t="shared" si="140"/>
        <v>0</v>
      </c>
      <c r="AH38" s="151">
        <f>AG38/AG2</f>
        <v>0</v>
      </c>
      <c r="AI38" s="159"/>
      <c r="AJ38" s="159">
        <f>AI38*AJ2</f>
        <v>0</v>
      </c>
      <c r="AK38" s="73">
        <f t="shared" si="141"/>
        <v>0</v>
      </c>
      <c r="AL38" s="118"/>
      <c r="AM38" s="20"/>
      <c r="AN38" s="20">
        <f t="shared" si="142"/>
        <v>0</v>
      </c>
      <c r="AO38" s="151">
        <f>AN38/AN2</f>
        <v>0</v>
      </c>
      <c r="AP38" s="96"/>
      <c r="AQ38" s="96">
        <f>AP38*AQ2</f>
        <v>0</v>
      </c>
      <c r="AR38" s="96">
        <f t="shared" si="143"/>
        <v>0</v>
      </c>
      <c r="AS38" s="118"/>
      <c r="AT38" s="151"/>
      <c r="AU38" s="151">
        <f t="shared" si="144"/>
        <v>0</v>
      </c>
      <c r="AV38" s="151">
        <f>AU38/AU2</f>
        <v>0</v>
      </c>
      <c r="AW38" s="210"/>
      <c r="AX38" s="210">
        <f>AW38*AX2</f>
        <v>0</v>
      </c>
      <c r="AY38" s="210">
        <f t="shared" si="145"/>
        <v>0</v>
      </c>
      <c r="AZ38" s="118"/>
      <c r="BA38" s="151"/>
      <c r="BB38" s="151">
        <f t="shared" si="146"/>
        <v>0</v>
      </c>
      <c r="BC38" s="151">
        <f>BB38/BB2</f>
        <v>0</v>
      </c>
      <c r="BD38" s="159"/>
      <c r="BE38" s="159">
        <f>BD38*BE2</f>
        <v>0</v>
      </c>
      <c r="BF38" s="73">
        <f t="shared" si="147"/>
        <v>0</v>
      </c>
      <c r="BG38" s="118"/>
      <c r="BH38" s="151"/>
      <c r="BI38" s="151">
        <f t="shared" si="148"/>
        <v>0</v>
      </c>
      <c r="BJ38" s="151">
        <f>BI38/BI2</f>
        <v>0</v>
      </c>
      <c r="BK38" s="210"/>
      <c r="BL38" s="210">
        <f>BK38*BL2</f>
        <v>0</v>
      </c>
      <c r="BM38" s="210">
        <f t="shared" si="149"/>
        <v>0</v>
      </c>
      <c r="BN38" s="118"/>
      <c r="BO38" s="151"/>
      <c r="BP38" s="151">
        <f t="shared" si="150"/>
        <v>0</v>
      </c>
      <c r="BQ38" s="151">
        <f>BP38/BP2</f>
        <v>0</v>
      </c>
      <c r="BR38" s="96"/>
      <c r="BS38" s="96">
        <f>BR38*BS2</f>
        <v>0</v>
      </c>
      <c r="BT38" s="96">
        <f t="shared" si="151"/>
        <v>0</v>
      </c>
      <c r="BU38" s="118"/>
      <c r="BV38" s="151"/>
      <c r="BW38" s="151">
        <f t="shared" si="152"/>
        <v>0</v>
      </c>
      <c r="BX38" s="151">
        <f>BW38/BW2</f>
        <v>0</v>
      </c>
      <c r="BY38" s="159"/>
      <c r="BZ38" s="159">
        <f>BY38*BZ2</f>
        <v>0</v>
      </c>
      <c r="CA38" s="73">
        <f t="shared" si="153"/>
        <v>0</v>
      </c>
      <c r="CB38" s="118"/>
      <c r="CC38" s="151"/>
      <c r="CD38" s="151">
        <f t="shared" si="154"/>
        <v>0</v>
      </c>
      <c r="CE38" s="151">
        <f>CD38/CD2</f>
        <v>0</v>
      </c>
      <c r="CF38" s="96"/>
      <c r="CG38" s="96">
        <f>CF38*CG2</f>
        <v>0</v>
      </c>
      <c r="CH38" s="96">
        <f t="shared" si="155"/>
        <v>0</v>
      </c>
      <c r="CI38" s="118"/>
      <c r="CJ38" s="151"/>
      <c r="CK38" s="151">
        <f t="shared" si="156"/>
        <v>0</v>
      </c>
      <c r="CL38" s="151">
        <f>CK38/CK2</f>
        <v>0</v>
      </c>
      <c r="CM38" s="210"/>
      <c r="CN38" s="210">
        <f>CM38*CN2</f>
        <v>0</v>
      </c>
      <c r="CO38" s="210">
        <f t="shared" si="157"/>
        <v>0</v>
      </c>
      <c r="CP38" s="118"/>
      <c r="CQ38" s="151"/>
      <c r="CR38" s="151">
        <f t="shared" si="158"/>
        <v>0</v>
      </c>
      <c r="CS38" s="151">
        <f>CR38/CR2</f>
        <v>0</v>
      </c>
      <c r="CT38" s="159"/>
      <c r="CU38" s="159">
        <f>CT38*CU2</f>
        <v>0</v>
      </c>
      <c r="CV38" s="159">
        <f t="shared" si="159"/>
        <v>0</v>
      </c>
      <c r="CW38" s="118"/>
      <c r="CX38" s="151"/>
      <c r="CY38" s="151">
        <f t="shared" si="160"/>
        <v>0</v>
      </c>
      <c r="CZ38" s="151">
        <f>CY38/CY2</f>
        <v>0</v>
      </c>
      <c r="DA38" s="96"/>
      <c r="DB38" s="96">
        <f>DA38*DB2</f>
        <v>0</v>
      </c>
      <c r="DC38" s="96">
        <f t="shared" si="161"/>
        <v>0</v>
      </c>
      <c r="DD38" s="118"/>
      <c r="DE38" s="151"/>
      <c r="DF38" s="151">
        <f t="shared" si="162"/>
        <v>0</v>
      </c>
      <c r="DG38" s="151">
        <f>DF38/DF2</f>
        <v>0</v>
      </c>
      <c r="DH38" s="159"/>
      <c r="DI38" s="159">
        <f>DH38*DI2</f>
        <v>0</v>
      </c>
      <c r="DJ38" s="159">
        <f t="shared" si="163"/>
        <v>0</v>
      </c>
      <c r="DK38" s="118"/>
      <c r="DL38" s="151"/>
      <c r="DM38" s="151">
        <f t="shared" si="164"/>
        <v>0</v>
      </c>
      <c r="DN38" s="151">
        <f>DM38/DM2</f>
        <v>0</v>
      </c>
      <c r="DO38" s="96"/>
      <c r="DP38" s="96">
        <f>DO38*DP2</f>
        <v>0</v>
      </c>
      <c r="DQ38" s="96">
        <f t="shared" si="165"/>
        <v>0</v>
      </c>
      <c r="DR38" s="118"/>
      <c r="DS38" s="151"/>
      <c r="DT38" s="151">
        <f t="shared" si="166"/>
        <v>0</v>
      </c>
      <c r="DU38" s="151">
        <f>DT38/DT2</f>
        <v>0</v>
      </c>
      <c r="DV38" s="210"/>
      <c r="DW38" s="210">
        <f>DV38*DW2</f>
        <v>0</v>
      </c>
      <c r="DX38" s="210">
        <f t="shared" si="167"/>
        <v>0</v>
      </c>
      <c r="DY38" s="118"/>
      <c r="DZ38" s="151"/>
      <c r="EA38" s="151">
        <f t="shared" si="168"/>
        <v>0</v>
      </c>
      <c r="EB38" s="151">
        <f>EA38/EA2</f>
        <v>0</v>
      </c>
      <c r="EC38" s="159"/>
      <c r="ED38" s="159">
        <f>EC38*ED2</f>
        <v>0</v>
      </c>
      <c r="EE38" s="159">
        <f t="shared" si="169"/>
        <v>0</v>
      </c>
      <c r="EF38" s="118"/>
      <c r="EG38" s="151"/>
      <c r="EH38" s="151">
        <f t="shared" si="170"/>
        <v>0</v>
      </c>
      <c r="EI38" s="151">
        <f>EH38/EH2</f>
        <v>0</v>
      </c>
      <c r="EJ38" s="96"/>
      <c r="EK38" s="96">
        <f>EJ38*EK2</f>
        <v>0</v>
      </c>
      <c r="EL38" s="96">
        <f t="shared" si="171"/>
        <v>0</v>
      </c>
      <c r="EM38" s="118"/>
      <c r="EN38" s="151"/>
      <c r="EO38" s="151">
        <f t="shared" si="172"/>
        <v>0</v>
      </c>
      <c r="EP38" s="151">
        <f>EO38/EO2</f>
        <v>0</v>
      </c>
      <c r="EQ38" s="159"/>
      <c r="ER38" s="159">
        <f>EQ38*ER2</f>
        <v>0</v>
      </c>
      <c r="ES38" s="159">
        <f t="shared" si="173"/>
        <v>0</v>
      </c>
      <c r="ET38" s="118"/>
      <c r="EU38" s="151"/>
      <c r="EV38" s="151">
        <f t="shared" si="174"/>
        <v>0</v>
      </c>
      <c r="EW38" s="151">
        <f>EV38/EV2</f>
        <v>0</v>
      </c>
      <c r="EX38" s="96"/>
      <c r="EY38" s="96">
        <f>EX38*EY2</f>
        <v>0</v>
      </c>
      <c r="EZ38" s="96">
        <f t="shared" si="175"/>
        <v>0</v>
      </c>
      <c r="FA38" s="118"/>
      <c r="FB38" s="151"/>
      <c r="FC38" s="151">
        <f t="shared" si="176"/>
        <v>0</v>
      </c>
      <c r="FD38" s="151">
        <f>FC38/FC2</f>
        <v>0</v>
      </c>
      <c r="FE38" s="159"/>
      <c r="FF38" s="159">
        <f>FE38*FF2</f>
        <v>0</v>
      </c>
      <c r="FG38" s="159">
        <f t="shared" si="177"/>
        <v>0</v>
      </c>
      <c r="FH38" s="118"/>
      <c r="FI38" s="151"/>
      <c r="FJ38" s="151">
        <f t="shared" si="178"/>
        <v>0</v>
      </c>
      <c r="FK38" s="151">
        <f>FJ38/FJ2</f>
        <v>0</v>
      </c>
      <c r="FL38" s="96"/>
      <c r="FM38" s="96">
        <f>FL38*FM2</f>
        <v>0</v>
      </c>
      <c r="FN38" s="96">
        <f t="shared" si="179"/>
        <v>0</v>
      </c>
      <c r="FO38" s="118"/>
      <c r="FP38" s="151"/>
      <c r="FQ38" s="151">
        <f t="shared" si="180"/>
        <v>0</v>
      </c>
      <c r="FR38" s="151">
        <f>FQ38/FQ2</f>
        <v>0</v>
      </c>
      <c r="FS38" s="159"/>
      <c r="FT38" s="159">
        <f>FS38*FT2</f>
        <v>0</v>
      </c>
      <c r="FU38" s="159">
        <f t="shared" si="181"/>
        <v>0</v>
      </c>
      <c r="FV38" s="118"/>
      <c r="FW38" s="151"/>
      <c r="FX38" s="151">
        <f t="shared" si="182"/>
        <v>0</v>
      </c>
      <c r="FY38" s="151">
        <f>FX38/FX2</f>
        <v>0</v>
      </c>
      <c r="FZ38" s="96"/>
      <c r="GA38" s="96">
        <f>FZ38*GA2</f>
        <v>0</v>
      </c>
      <c r="GB38" s="96">
        <f t="shared" si="183"/>
        <v>0</v>
      </c>
      <c r="GC38" s="118"/>
      <c r="GD38" s="151"/>
      <c r="GE38" s="151">
        <f t="shared" si="184"/>
        <v>0</v>
      </c>
      <c r="GF38" s="151">
        <f>GE38/GE2</f>
        <v>0</v>
      </c>
      <c r="GG38" s="159"/>
      <c r="GH38" s="159">
        <f>GG38*GH2</f>
        <v>0</v>
      </c>
      <c r="GI38" s="159">
        <f t="shared" si="185"/>
        <v>0</v>
      </c>
      <c r="GJ38" s="118"/>
      <c r="GK38" s="151"/>
      <c r="GL38" s="151">
        <f t="shared" si="186"/>
        <v>0</v>
      </c>
      <c r="GM38" s="151">
        <f>GL38/GL2</f>
        <v>0</v>
      </c>
      <c r="GN38" s="159"/>
      <c r="GO38" s="159">
        <f>GN38*GO2</f>
        <v>0</v>
      </c>
      <c r="GP38" s="159">
        <f t="shared" si="187"/>
        <v>0</v>
      </c>
      <c r="GQ38" s="118"/>
      <c r="GR38" s="151"/>
      <c r="GS38" s="151">
        <f t="shared" si="188"/>
        <v>0</v>
      </c>
      <c r="GT38" s="151">
        <f>GS38/GS2</f>
        <v>0</v>
      </c>
      <c r="GU38" s="96"/>
      <c r="GV38" s="96">
        <f>GU38*GV2</f>
        <v>0</v>
      </c>
      <c r="GW38" s="96">
        <f t="shared" si="189"/>
        <v>0</v>
      </c>
      <c r="GX38" s="118"/>
      <c r="GY38" s="151"/>
      <c r="GZ38" s="151">
        <f t="shared" si="190"/>
        <v>0</v>
      </c>
      <c r="HA38" s="151">
        <f>GZ38/GZ2</f>
        <v>0</v>
      </c>
      <c r="HB38" s="159"/>
      <c r="HC38" s="159">
        <f>HB38*HC2</f>
        <v>0</v>
      </c>
      <c r="HD38" s="159">
        <f t="shared" si="191"/>
        <v>0</v>
      </c>
      <c r="HE38" s="118"/>
      <c r="HF38" s="151"/>
      <c r="HG38" s="151">
        <f t="shared" si="192"/>
        <v>0</v>
      </c>
      <c r="HH38" s="151">
        <f>HG38/HG2</f>
        <v>0</v>
      </c>
      <c r="HI38" s="210"/>
      <c r="HJ38" s="210">
        <f>HI38*HJ2</f>
        <v>0</v>
      </c>
      <c r="HK38" s="210">
        <f t="shared" si="193"/>
        <v>0</v>
      </c>
      <c r="HL38" s="118"/>
      <c r="HM38" s="151"/>
      <c r="HN38" s="151">
        <f t="shared" si="194"/>
        <v>0</v>
      </c>
      <c r="HO38" s="151">
        <f>HN38/HN2</f>
        <v>0</v>
      </c>
      <c r="HP38" s="159"/>
      <c r="HQ38" s="159">
        <f>HP38*HQ2</f>
        <v>0</v>
      </c>
      <c r="HR38" s="159">
        <f t="shared" si="195"/>
        <v>0</v>
      </c>
      <c r="HS38" s="118"/>
      <c r="HT38" s="151"/>
      <c r="HU38" s="151">
        <f t="shared" si="196"/>
        <v>0</v>
      </c>
      <c r="HV38" s="151">
        <f>HU38/HU2</f>
        <v>0</v>
      </c>
      <c r="HW38" s="96"/>
      <c r="HX38" s="96">
        <f>HW38*HX2</f>
        <v>0</v>
      </c>
      <c r="HY38" s="96">
        <f t="shared" si="197"/>
        <v>0</v>
      </c>
      <c r="HZ38" s="118"/>
      <c r="IA38" s="21"/>
    </row>
    <row r="39" spans="1:235">
      <c r="A39" s="18">
        <v>10</v>
      </c>
      <c r="B39" s="19" t="s">
        <v>39</v>
      </c>
      <c r="C39" s="118"/>
      <c r="D39" s="151"/>
      <c r="E39" s="151">
        <f t="shared" si="132"/>
        <v>0</v>
      </c>
      <c r="F39" s="151">
        <f>E39/E2</f>
        <v>0</v>
      </c>
      <c r="G39" s="73"/>
      <c r="H39" s="159">
        <f>G39*H2</f>
        <v>0</v>
      </c>
      <c r="I39" s="73">
        <f t="shared" si="133"/>
        <v>0</v>
      </c>
      <c r="J39" s="118"/>
      <c r="K39" s="151"/>
      <c r="L39" s="151">
        <f t="shared" si="134"/>
        <v>0</v>
      </c>
      <c r="M39" s="151">
        <f>L39/L2</f>
        <v>0</v>
      </c>
      <c r="N39" s="96"/>
      <c r="O39" s="96">
        <f>N39*O2</f>
        <v>0</v>
      </c>
      <c r="P39" s="96">
        <f t="shared" si="135"/>
        <v>0</v>
      </c>
      <c r="Q39" s="118"/>
      <c r="R39" s="20"/>
      <c r="S39" s="20">
        <f t="shared" si="136"/>
        <v>0</v>
      </c>
      <c r="T39" s="151">
        <f>S39/S2</f>
        <v>0</v>
      </c>
      <c r="U39" s="159"/>
      <c r="V39" s="159">
        <f>U39*V2</f>
        <v>0</v>
      </c>
      <c r="W39" s="73">
        <f t="shared" si="137"/>
        <v>0</v>
      </c>
      <c r="X39" s="118"/>
      <c r="Y39" s="20"/>
      <c r="Z39" s="20">
        <f t="shared" si="138"/>
        <v>0</v>
      </c>
      <c r="AA39" s="151">
        <f>Z39/Z2</f>
        <v>0</v>
      </c>
      <c r="AB39" s="96"/>
      <c r="AC39" s="96">
        <f>AB39*AC2</f>
        <v>0</v>
      </c>
      <c r="AD39" s="96">
        <f t="shared" si="139"/>
        <v>0</v>
      </c>
      <c r="AE39" s="118"/>
      <c r="AF39" s="131">
        <v>210274</v>
      </c>
      <c r="AG39" s="131">
        <f t="shared" si="140"/>
        <v>178198.30508474578</v>
      </c>
      <c r="AH39" s="151">
        <f>AG39/AG2</f>
        <v>120.88453116757509</v>
      </c>
      <c r="AI39" s="159">
        <v>300</v>
      </c>
      <c r="AJ39" s="159">
        <f>AI39*AJ2</f>
        <v>1072987.2</v>
      </c>
      <c r="AK39" s="73">
        <f t="shared" si="141"/>
        <v>1266124.8959999999</v>
      </c>
      <c r="AL39" s="118"/>
      <c r="AM39" s="20">
        <v>498369</v>
      </c>
      <c r="AN39" s="20">
        <f t="shared" si="142"/>
        <v>422346.61016949156</v>
      </c>
      <c r="AO39" s="151">
        <f>AN39/AN2</f>
        <v>1962.5771848024701</v>
      </c>
      <c r="AP39" s="96">
        <v>1000</v>
      </c>
      <c r="AQ39" s="96">
        <f>AP39*AQ2</f>
        <v>749218.79999999993</v>
      </c>
      <c r="AR39" s="96">
        <f t="shared" si="143"/>
        <v>884078.18399999989</v>
      </c>
      <c r="AS39" s="118"/>
      <c r="AT39" s="151"/>
      <c r="AU39" s="151">
        <f t="shared" si="144"/>
        <v>0</v>
      </c>
      <c r="AV39" s="151">
        <f>AU39/AU2</f>
        <v>0</v>
      </c>
      <c r="AW39" s="210"/>
      <c r="AX39" s="210">
        <f>AW39*AX2</f>
        <v>0</v>
      </c>
      <c r="AY39" s="210">
        <f t="shared" si="145"/>
        <v>0</v>
      </c>
      <c r="AZ39" s="118"/>
      <c r="BA39" s="151">
        <v>708000</v>
      </c>
      <c r="BB39" s="151">
        <f t="shared" si="146"/>
        <v>600000</v>
      </c>
      <c r="BC39" s="151">
        <f>BB39/BB2</f>
        <v>324.19814990922453</v>
      </c>
      <c r="BD39" s="159">
        <v>1000</v>
      </c>
      <c r="BE39" s="159">
        <f>BD39*BE2</f>
        <v>971627.99999999988</v>
      </c>
      <c r="BF39" s="73">
        <f t="shared" si="147"/>
        <v>1146521.0399999998</v>
      </c>
      <c r="BG39" s="118"/>
      <c r="BH39" s="151"/>
      <c r="BI39" s="151">
        <f t="shared" si="148"/>
        <v>0</v>
      </c>
      <c r="BJ39" s="151">
        <f>BI39/BI2</f>
        <v>0</v>
      </c>
      <c r="BK39" s="210"/>
      <c r="BL39" s="210">
        <f>BK39*BL2</f>
        <v>0</v>
      </c>
      <c r="BM39" s="210">
        <f t="shared" si="149"/>
        <v>0</v>
      </c>
      <c r="BN39" s="118"/>
      <c r="BO39" s="151"/>
      <c r="BP39" s="151">
        <f t="shared" si="150"/>
        <v>0</v>
      </c>
      <c r="BQ39" s="151">
        <f>BP39/BP2</f>
        <v>0</v>
      </c>
      <c r="BR39" s="96">
        <v>400</v>
      </c>
      <c r="BS39" s="96">
        <f>BR39*BS2</f>
        <v>1278288</v>
      </c>
      <c r="BT39" s="96">
        <f t="shared" si="151"/>
        <v>1508379.8399999999</v>
      </c>
      <c r="BU39" s="118"/>
      <c r="BV39" s="151"/>
      <c r="BW39" s="151">
        <f t="shared" si="152"/>
        <v>0</v>
      </c>
      <c r="BX39" s="151">
        <f>BW39/BW2</f>
        <v>0</v>
      </c>
      <c r="BY39" s="159"/>
      <c r="BZ39" s="159">
        <f>BY39*BZ2</f>
        <v>0</v>
      </c>
      <c r="CA39" s="73">
        <f t="shared" si="153"/>
        <v>0</v>
      </c>
      <c r="CB39" s="118"/>
      <c r="CC39" s="151">
        <v>708000</v>
      </c>
      <c r="CD39" s="151">
        <f t="shared" si="154"/>
        <v>600000</v>
      </c>
      <c r="CE39" s="151">
        <f>CD39/CD2</f>
        <v>324.19814990922453</v>
      </c>
      <c r="CF39" s="96">
        <v>1000</v>
      </c>
      <c r="CG39" s="96">
        <f>CF39*CG2</f>
        <v>715540</v>
      </c>
      <c r="CH39" s="96">
        <f t="shared" si="155"/>
        <v>844337.2</v>
      </c>
      <c r="CI39" s="118"/>
      <c r="CJ39" s="151"/>
      <c r="CK39" s="151">
        <f t="shared" si="156"/>
        <v>0</v>
      </c>
      <c r="CL39" s="151">
        <f>CK39/CK2</f>
        <v>0</v>
      </c>
      <c r="CM39" s="210"/>
      <c r="CN39" s="210">
        <f>CM39*CN2</f>
        <v>0</v>
      </c>
      <c r="CO39" s="210">
        <f t="shared" si="157"/>
        <v>0</v>
      </c>
      <c r="CP39" s="118"/>
      <c r="CQ39" s="151"/>
      <c r="CR39" s="151">
        <f t="shared" si="158"/>
        <v>0</v>
      </c>
      <c r="CS39" s="151">
        <f>CR39/CR2</f>
        <v>0</v>
      </c>
      <c r="CT39" s="159"/>
      <c r="CU39" s="159">
        <f>CT39*CU2</f>
        <v>0</v>
      </c>
      <c r="CV39" s="159">
        <f t="shared" si="159"/>
        <v>0</v>
      </c>
      <c r="CW39" s="118"/>
      <c r="CX39" s="151"/>
      <c r="CY39" s="151">
        <f t="shared" si="160"/>
        <v>0</v>
      </c>
      <c r="CZ39" s="151">
        <f>CY39/CY2</f>
        <v>0</v>
      </c>
      <c r="DA39" s="96"/>
      <c r="DB39" s="96">
        <f>DA39*DB2</f>
        <v>0</v>
      </c>
      <c r="DC39" s="96">
        <f t="shared" si="161"/>
        <v>0</v>
      </c>
      <c r="DD39" s="118"/>
      <c r="DE39" s="151">
        <v>210274</v>
      </c>
      <c r="DF39" s="151">
        <f t="shared" si="162"/>
        <v>178198.30508474578</v>
      </c>
      <c r="DG39" s="151">
        <f>DF39/DF2</f>
        <v>120.88453116757509</v>
      </c>
      <c r="DH39" s="159">
        <v>600</v>
      </c>
      <c r="DI39" s="159">
        <f>DH39*DI2</f>
        <v>460635.59999999992</v>
      </c>
      <c r="DJ39" s="159">
        <f t="shared" si="163"/>
        <v>543550.00799999991</v>
      </c>
      <c r="DK39" s="118"/>
      <c r="DL39" s="151">
        <v>708000</v>
      </c>
      <c r="DM39" s="151">
        <f t="shared" si="164"/>
        <v>600000</v>
      </c>
      <c r="DN39" s="151">
        <f>DM39/DM2</f>
        <v>324.19814990922453</v>
      </c>
      <c r="DO39" s="96">
        <v>1000</v>
      </c>
      <c r="DP39" s="96">
        <f>DO39*DP2</f>
        <v>710052.39999999991</v>
      </c>
      <c r="DQ39" s="96">
        <f t="shared" si="165"/>
        <v>837861.83199999982</v>
      </c>
      <c r="DR39" s="118"/>
      <c r="DS39" s="151"/>
      <c r="DT39" s="151">
        <f t="shared" si="166"/>
        <v>0</v>
      </c>
      <c r="DU39" s="151">
        <f>DT39/DT2</f>
        <v>0</v>
      </c>
      <c r="DV39" s="210"/>
      <c r="DW39" s="210">
        <f>DV39*DW2</f>
        <v>0</v>
      </c>
      <c r="DX39" s="210">
        <f t="shared" si="167"/>
        <v>0</v>
      </c>
      <c r="DY39" s="118"/>
      <c r="DZ39" s="151">
        <v>498369</v>
      </c>
      <c r="EA39" s="151">
        <f t="shared" si="168"/>
        <v>422346.61016949156</v>
      </c>
      <c r="EB39" s="151">
        <f>EA39/EA2</f>
        <v>1962.5771848024701</v>
      </c>
      <c r="EC39" s="159">
        <v>1000</v>
      </c>
      <c r="ED39" s="159">
        <f>EC39*ED2</f>
        <v>645600</v>
      </c>
      <c r="EE39" s="159">
        <f t="shared" si="169"/>
        <v>761808</v>
      </c>
      <c r="EF39" s="118"/>
      <c r="EG39" s="151"/>
      <c r="EH39" s="151">
        <f t="shared" si="170"/>
        <v>0</v>
      </c>
      <c r="EI39" s="151">
        <f>EH39/EH2</f>
        <v>0</v>
      </c>
      <c r="EJ39" s="96">
        <v>700</v>
      </c>
      <c r="EK39" s="96">
        <f>EJ39*EK2</f>
        <v>1244135.76</v>
      </c>
      <c r="EL39" s="96">
        <f t="shared" si="171"/>
        <v>1468080.1968</v>
      </c>
      <c r="EM39" s="118"/>
      <c r="EN39" s="151"/>
      <c r="EO39" s="151">
        <f t="shared" si="172"/>
        <v>0</v>
      </c>
      <c r="EP39" s="151">
        <f>EO39/EO2</f>
        <v>0</v>
      </c>
      <c r="EQ39" s="159">
        <v>200</v>
      </c>
      <c r="ER39" s="159">
        <f>EQ39*ER2</f>
        <v>1040836.32</v>
      </c>
      <c r="ES39" s="159">
        <f t="shared" si="173"/>
        <v>1228186.8576</v>
      </c>
      <c r="ET39" s="118"/>
      <c r="EU39" s="151">
        <v>329062</v>
      </c>
      <c r="EV39" s="151">
        <f t="shared" si="174"/>
        <v>278866.10169491527</v>
      </c>
      <c r="EW39" s="151">
        <f>EV39/EV2</f>
        <v>272.80972578254284</v>
      </c>
      <c r="EX39" s="96">
        <v>1000</v>
      </c>
      <c r="EY39" s="96">
        <f>EX39*EY2</f>
        <v>1076000</v>
      </c>
      <c r="EZ39" s="96">
        <f t="shared" si="175"/>
        <v>1269680</v>
      </c>
      <c r="FA39" s="118"/>
      <c r="FB39" s="151"/>
      <c r="FC39" s="151">
        <f t="shared" si="176"/>
        <v>0</v>
      </c>
      <c r="FD39" s="151">
        <f>FC39/FC2</f>
        <v>0</v>
      </c>
      <c r="FE39" s="159">
        <v>700</v>
      </c>
      <c r="FF39" s="159">
        <f>FE39*FF2</f>
        <v>1282925.5599999998</v>
      </c>
      <c r="FG39" s="159">
        <f t="shared" si="177"/>
        <v>1513852.1607999997</v>
      </c>
      <c r="FH39" s="118"/>
      <c r="FI39" s="151"/>
      <c r="FJ39" s="151">
        <f t="shared" si="178"/>
        <v>0</v>
      </c>
      <c r="FK39" s="151">
        <f>FJ39/FJ2</f>
        <v>0</v>
      </c>
      <c r="FL39" s="96"/>
      <c r="FM39" s="96">
        <f>FL39*FM2</f>
        <v>0</v>
      </c>
      <c r="FN39" s="96">
        <f t="shared" si="179"/>
        <v>0</v>
      </c>
      <c r="FO39" s="118"/>
      <c r="FP39" s="151"/>
      <c r="FQ39" s="151">
        <f t="shared" si="180"/>
        <v>0</v>
      </c>
      <c r="FR39" s="151">
        <f>FQ39/FQ2</f>
        <v>0</v>
      </c>
      <c r="FS39" s="159"/>
      <c r="FT39" s="159">
        <f>FS39*FT2</f>
        <v>0</v>
      </c>
      <c r="FU39" s="159">
        <f t="shared" si="181"/>
        <v>0</v>
      </c>
      <c r="FV39" s="118"/>
      <c r="FW39" s="151"/>
      <c r="FX39" s="151">
        <f t="shared" si="182"/>
        <v>0</v>
      </c>
      <c r="FY39" s="151">
        <f>FX39/FX2</f>
        <v>0</v>
      </c>
      <c r="FZ39" s="96"/>
      <c r="GA39" s="96">
        <f>FZ39*GA2</f>
        <v>0</v>
      </c>
      <c r="GB39" s="96">
        <f t="shared" si="183"/>
        <v>0</v>
      </c>
      <c r="GC39" s="118"/>
      <c r="GD39" s="151"/>
      <c r="GE39" s="151">
        <f t="shared" si="184"/>
        <v>0</v>
      </c>
      <c r="GF39" s="151">
        <f>GE39/GE2</f>
        <v>0</v>
      </c>
      <c r="GG39" s="159"/>
      <c r="GH39" s="159">
        <f>GG39*GH2</f>
        <v>0</v>
      </c>
      <c r="GI39" s="159">
        <f t="shared" si="185"/>
        <v>0</v>
      </c>
      <c r="GJ39" s="118"/>
      <c r="GK39" s="151"/>
      <c r="GL39" s="151">
        <f t="shared" si="186"/>
        <v>0</v>
      </c>
      <c r="GM39" s="151">
        <f>GL39/GL2</f>
        <v>0</v>
      </c>
      <c r="GN39" s="159"/>
      <c r="GO39" s="159">
        <f>GN39*GO2</f>
        <v>0</v>
      </c>
      <c r="GP39" s="159">
        <f t="shared" si="187"/>
        <v>0</v>
      </c>
      <c r="GQ39" s="118"/>
      <c r="GR39" s="151"/>
      <c r="GS39" s="151">
        <f t="shared" si="188"/>
        <v>0</v>
      </c>
      <c r="GT39" s="151">
        <f>GS39/GS2</f>
        <v>0</v>
      </c>
      <c r="GU39" s="96"/>
      <c r="GV39" s="96">
        <f>GU39*GV2</f>
        <v>0</v>
      </c>
      <c r="GW39" s="96">
        <f t="shared" si="189"/>
        <v>0</v>
      </c>
      <c r="GX39" s="118"/>
      <c r="GY39" s="151"/>
      <c r="GZ39" s="151">
        <f t="shared" si="190"/>
        <v>0</v>
      </c>
      <c r="HA39" s="151">
        <f>GZ39/GZ2</f>
        <v>0</v>
      </c>
      <c r="HB39" s="159"/>
      <c r="HC39" s="159">
        <f>HB39*HC2</f>
        <v>0</v>
      </c>
      <c r="HD39" s="159">
        <f t="shared" si="191"/>
        <v>0</v>
      </c>
      <c r="HE39" s="118"/>
      <c r="HF39" s="151"/>
      <c r="HG39" s="151">
        <f t="shared" si="192"/>
        <v>0</v>
      </c>
      <c r="HH39" s="151">
        <f>HG39/HG2</f>
        <v>0</v>
      </c>
      <c r="HI39" s="210"/>
      <c r="HJ39" s="210">
        <f>HI39*HJ2</f>
        <v>0</v>
      </c>
      <c r="HK39" s="210">
        <f t="shared" si="193"/>
        <v>0</v>
      </c>
      <c r="HL39" s="118"/>
      <c r="HM39" s="151"/>
      <c r="HN39" s="151">
        <f t="shared" si="194"/>
        <v>0</v>
      </c>
      <c r="HO39" s="151">
        <f>HN39/HN2</f>
        <v>0</v>
      </c>
      <c r="HP39" s="159"/>
      <c r="HQ39" s="159">
        <f>HP39*HQ2</f>
        <v>0</v>
      </c>
      <c r="HR39" s="159">
        <f t="shared" si="195"/>
        <v>0</v>
      </c>
      <c r="HS39" s="118"/>
      <c r="HT39" s="151">
        <v>708000</v>
      </c>
      <c r="HU39" s="151">
        <f t="shared" si="196"/>
        <v>600000</v>
      </c>
      <c r="HV39" s="151">
        <f>HU39/HU2</f>
        <v>324.19814990922453</v>
      </c>
      <c r="HW39" s="96"/>
      <c r="HX39" s="96">
        <f>HW39*HX2</f>
        <v>0</v>
      </c>
      <c r="HY39" s="96">
        <f t="shared" si="197"/>
        <v>0</v>
      </c>
      <c r="HZ39" s="118"/>
      <c r="IA39" s="21"/>
    </row>
    <row r="40" spans="1:235">
      <c r="A40" s="18">
        <v>11</v>
      </c>
      <c r="B40" s="19" t="s">
        <v>83</v>
      </c>
      <c r="C40" s="118"/>
      <c r="D40" s="151"/>
      <c r="E40" s="151"/>
      <c r="F40" s="151">
        <f>E40/E2</f>
        <v>0</v>
      </c>
      <c r="G40" s="132">
        <v>50</v>
      </c>
      <c r="H40" s="159">
        <f>G40*H2</f>
        <v>50787.200000000004</v>
      </c>
      <c r="I40" s="132">
        <f>H40*118%</f>
        <v>59928.896000000001</v>
      </c>
      <c r="J40" s="118"/>
      <c r="K40" s="151"/>
      <c r="L40" s="151"/>
      <c r="M40" s="151">
        <f>L40/L2</f>
        <v>0</v>
      </c>
      <c r="N40" s="96">
        <v>200</v>
      </c>
      <c r="O40" s="96">
        <f>N40*O2</f>
        <v>55392.480000000003</v>
      </c>
      <c r="P40" s="96">
        <f>O40*118%</f>
        <v>65363.126400000001</v>
      </c>
      <c r="Q40" s="118"/>
      <c r="R40" s="131"/>
      <c r="S40" s="131"/>
      <c r="T40" s="151">
        <f>S40/S2</f>
        <v>0</v>
      </c>
      <c r="U40" s="159">
        <v>500</v>
      </c>
      <c r="V40" s="159">
        <f>U40*V2</f>
        <v>53800</v>
      </c>
      <c r="W40" s="132">
        <f>V40*118%</f>
        <v>63484</v>
      </c>
      <c r="X40" s="118"/>
      <c r="Y40" s="131"/>
      <c r="Z40" s="131"/>
      <c r="AA40" s="151">
        <f>Z40/Z2</f>
        <v>0</v>
      </c>
      <c r="AB40" s="96">
        <v>200</v>
      </c>
      <c r="AC40" s="96">
        <f>AB40*AC2</f>
        <v>76912.48000000001</v>
      </c>
      <c r="AD40" s="96">
        <f>AC40*118%</f>
        <v>90756.726400000014</v>
      </c>
      <c r="AE40" s="118"/>
      <c r="AF40" s="131"/>
      <c r="AG40" s="131"/>
      <c r="AH40" s="151">
        <f>AG40/AG2</f>
        <v>0</v>
      </c>
      <c r="AI40" s="159">
        <v>50</v>
      </c>
      <c r="AJ40" s="159">
        <f>AI40*AJ2</f>
        <v>178831.19999999998</v>
      </c>
      <c r="AK40" s="132">
        <f>AJ40*118%</f>
        <v>211020.81599999996</v>
      </c>
      <c r="AL40" s="118"/>
      <c r="AM40" s="131"/>
      <c r="AN40" s="131"/>
      <c r="AO40" s="151">
        <f>AN40/AN2</f>
        <v>0</v>
      </c>
      <c r="AP40" s="96">
        <v>200</v>
      </c>
      <c r="AQ40" s="96">
        <f>AP40*AQ2</f>
        <v>149843.76</v>
      </c>
      <c r="AR40" s="96">
        <f>AQ40*118%</f>
        <v>176815.63680000001</v>
      </c>
      <c r="AS40" s="118"/>
      <c r="AT40" s="151"/>
      <c r="AU40" s="151"/>
      <c r="AV40" s="151">
        <f>AU40/AU2</f>
        <v>0</v>
      </c>
      <c r="AW40" s="210"/>
      <c r="AX40" s="210">
        <f>AW40*AX2</f>
        <v>0</v>
      </c>
      <c r="AY40" s="210">
        <f t="shared" si="145"/>
        <v>0</v>
      </c>
      <c r="AZ40" s="118"/>
      <c r="BA40" s="151"/>
      <c r="BB40" s="151">
        <f>BA40/118%</f>
        <v>0</v>
      </c>
      <c r="BC40" s="151">
        <f>BB40/BB2</f>
        <v>0</v>
      </c>
      <c r="BD40" s="159">
        <v>200</v>
      </c>
      <c r="BE40" s="159">
        <f>BD40*BE2</f>
        <v>194325.59999999998</v>
      </c>
      <c r="BF40" s="132">
        <f>BE40*118%</f>
        <v>229304.20799999996</v>
      </c>
      <c r="BG40" s="118"/>
      <c r="BH40" s="151"/>
      <c r="BI40" s="151"/>
      <c r="BJ40" s="151">
        <f>BI40/BI2</f>
        <v>0</v>
      </c>
      <c r="BK40" s="210"/>
      <c r="BL40" s="210">
        <f>BK40*BL2</f>
        <v>0</v>
      </c>
      <c r="BM40" s="210">
        <f t="shared" si="149"/>
        <v>0</v>
      </c>
      <c r="BN40" s="118"/>
      <c r="BO40" s="151"/>
      <c r="BP40" s="151">
        <f>BO40/118%</f>
        <v>0</v>
      </c>
      <c r="BQ40" s="151">
        <f>BP40/BP2</f>
        <v>0</v>
      </c>
      <c r="BR40" s="96">
        <v>100</v>
      </c>
      <c r="BS40" s="96">
        <f>BR40*BS2</f>
        <v>319572</v>
      </c>
      <c r="BT40" s="96">
        <f>BS40*118%</f>
        <v>377094.95999999996</v>
      </c>
      <c r="BU40" s="118"/>
      <c r="BV40" s="151"/>
      <c r="BW40" s="151"/>
      <c r="BX40" s="151">
        <f>BW40/BW2</f>
        <v>0</v>
      </c>
      <c r="BY40" s="159">
        <v>200</v>
      </c>
      <c r="BZ40" s="159">
        <f>BY40*BZ2</f>
        <v>53800</v>
      </c>
      <c r="CA40" s="132">
        <f>BZ40*118%</f>
        <v>63484</v>
      </c>
      <c r="CB40" s="118"/>
      <c r="CC40" s="151"/>
      <c r="CD40" s="151">
        <f>CC40/118%</f>
        <v>0</v>
      </c>
      <c r="CE40" s="151">
        <f>CD40/CD2</f>
        <v>0</v>
      </c>
      <c r="CF40" s="96">
        <v>200</v>
      </c>
      <c r="CG40" s="96">
        <f>CF40*CG2</f>
        <v>143108</v>
      </c>
      <c r="CH40" s="96">
        <f>CG40*118%</f>
        <v>168867.44</v>
      </c>
      <c r="CI40" s="118"/>
      <c r="CJ40" s="151"/>
      <c r="CK40" s="151"/>
      <c r="CL40" s="151">
        <f>CK40/CK2</f>
        <v>0</v>
      </c>
      <c r="CM40" s="210"/>
      <c r="CN40" s="210">
        <f>CM40*CN2</f>
        <v>0</v>
      </c>
      <c r="CO40" s="210">
        <f t="shared" si="157"/>
        <v>0</v>
      </c>
      <c r="CP40" s="118"/>
      <c r="CQ40" s="151"/>
      <c r="CR40" s="151"/>
      <c r="CS40" s="151">
        <f>CR40/CR2</f>
        <v>0</v>
      </c>
      <c r="CT40" s="159">
        <v>200</v>
      </c>
      <c r="CU40" s="159">
        <f>CT40*CU2</f>
        <v>75944.08</v>
      </c>
      <c r="CV40" s="159">
        <f t="shared" si="159"/>
        <v>89614.0144</v>
      </c>
      <c r="CW40" s="118"/>
      <c r="CX40" s="151"/>
      <c r="CY40" s="151"/>
      <c r="CZ40" s="151">
        <f>CY40/CY2</f>
        <v>0</v>
      </c>
      <c r="DA40" s="96">
        <v>100</v>
      </c>
      <c r="DB40" s="96">
        <f>DA40*DB2</f>
        <v>49345.36</v>
      </c>
      <c r="DC40" s="96">
        <f t="shared" si="161"/>
        <v>58227.524799999999</v>
      </c>
      <c r="DD40" s="118"/>
      <c r="DE40" s="151"/>
      <c r="DF40" s="151"/>
      <c r="DG40" s="151">
        <f>DF40/DF2</f>
        <v>0</v>
      </c>
      <c r="DH40" s="159">
        <v>200</v>
      </c>
      <c r="DI40" s="159">
        <f>DH40*DI2</f>
        <v>153545.19999999998</v>
      </c>
      <c r="DJ40" s="159">
        <f t="shared" si="163"/>
        <v>181183.33599999998</v>
      </c>
      <c r="DK40" s="118"/>
      <c r="DL40" s="151"/>
      <c r="DM40" s="151">
        <f>DL40/118%</f>
        <v>0</v>
      </c>
      <c r="DN40" s="151">
        <f>DM40/DM2</f>
        <v>0</v>
      </c>
      <c r="DO40" s="96">
        <v>200</v>
      </c>
      <c r="DP40" s="96">
        <f>DO40*DP2</f>
        <v>142010.47999999998</v>
      </c>
      <c r="DQ40" s="96">
        <f t="shared" si="165"/>
        <v>167572.36639999997</v>
      </c>
      <c r="DR40" s="118"/>
      <c r="DS40" s="151"/>
      <c r="DT40" s="151"/>
      <c r="DU40" s="151">
        <f>DT40/DT2</f>
        <v>0</v>
      </c>
      <c r="DV40" s="210"/>
      <c r="DW40" s="210">
        <f>DV40*DW2</f>
        <v>0</v>
      </c>
      <c r="DX40" s="210">
        <f t="shared" si="167"/>
        <v>0</v>
      </c>
      <c r="DY40" s="118"/>
      <c r="DZ40" s="151"/>
      <c r="EA40" s="151"/>
      <c r="EB40" s="151">
        <f>EA40/EA2</f>
        <v>0</v>
      </c>
      <c r="EC40" s="159">
        <v>200</v>
      </c>
      <c r="ED40" s="159">
        <f>EC40*ED2</f>
        <v>129120</v>
      </c>
      <c r="EE40" s="159">
        <f t="shared" si="169"/>
        <v>152361.60000000001</v>
      </c>
      <c r="EF40" s="118"/>
      <c r="EG40" s="151"/>
      <c r="EH40" s="151">
        <f t="shared" si="170"/>
        <v>0</v>
      </c>
      <c r="EI40" s="151">
        <f>EH40/EH2</f>
        <v>0</v>
      </c>
      <c r="EJ40" s="96">
        <v>100</v>
      </c>
      <c r="EK40" s="96">
        <f>EJ40*EK2</f>
        <v>177733.68</v>
      </c>
      <c r="EL40" s="96">
        <f t="shared" si="171"/>
        <v>209725.74239999999</v>
      </c>
      <c r="EM40" s="118"/>
      <c r="EN40" s="151"/>
      <c r="EO40" s="151">
        <f>EN40/118%</f>
        <v>0</v>
      </c>
      <c r="EP40" s="151">
        <f>EO40/EO2</f>
        <v>0</v>
      </c>
      <c r="EQ40" s="159">
        <v>50</v>
      </c>
      <c r="ER40" s="159">
        <f>EQ40*ER2</f>
        <v>260209.08</v>
      </c>
      <c r="ES40" s="159">
        <f t="shared" si="173"/>
        <v>307046.7144</v>
      </c>
      <c r="ET40" s="118"/>
      <c r="EU40" s="151"/>
      <c r="EV40" s="151"/>
      <c r="EW40" s="151">
        <f>EV40/EV2</f>
        <v>0</v>
      </c>
      <c r="EX40" s="96">
        <v>200</v>
      </c>
      <c r="EY40" s="96">
        <f>EX40*EY2</f>
        <v>215200</v>
      </c>
      <c r="EZ40" s="96">
        <f t="shared" si="175"/>
        <v>253936</v>
      </c>
      <c r="FA40" s="118"/>
      <c r="FB40" s="151"/>
      <c r="FC40" s="151">
        <f t="shared" si="176"/>
        <v>0</v>
      </c>
      <c r="FD40" s="151">
        <f>FC40/FC2</f>
        <v>0</v>
      </c>
      <c r="FE40" s="159">
        <v>100</v>
      </c>
      <c r="FF40" s="159">
        <f>FE40*FF2</f>
        <v>183275.08</v>
      </c>
      <c r="FG40" s="159">
        <f t="shared" si="177"/>
        <v>216264.59439999997</v>
      </c>
      <c r="FH40" s="118"/>
      <c r="FI40" s="151"/>
      <c r="FJ40" s="151"/>
      <c r="FK40" s="151">
        <f>FJ40/FJ2</f>
        <v>0</v>
      </c>
      <c r="FL40" s="96">
        <v>200</v>
      </c>
      <c r="FM40" s="96">
        <f>FL40*FM2</f>
        <v>37660</v>
      </c>
      <c r="FN40" s="96">
        <f t="shared" si="179"/>
        <v>44438.799999999996</v>
      </c>
      <c r="FO40" s="118"/>
      <c r="FP40" s="151"/>
      <c r="FQ40" s="151"/>
      <c r="FR40" s="151">
        <f>FQ40/FQ2</f>
        <v>0</v>
      </c>
      <c r="FS40" s="159"/>
      <c r="FT40" s="159">
        <f>FS40*FT2</f>
        <v>0</v>
      </c>
      <c r="FU40" s="159">
        <f t="shared" si="181"/>
        <v>0</v>
      </c>
      <c r="FV40" s="118"/>
      <c r="FW40" s="151"/>
      <c r="FX40" s="151"/>
      <c r="FY40" s="151">
        <f>FX40/FX2</f>
        <v>0</v>
      </c>
      <c r="FZ40" s="96"/>
      <c r="GA40" s="96">
        <f>FZ40*GA2</f>
        <v>0</v>
      </c>
      <c r="GB40" s="96">
        <f t="shared" si="183"/>
        <v>0</v>
      </c>
      <c r="GC40" s="118"/>
      <c r="GD40" s="151"/>
      <c r="GE40" s="151"/>
      <c r="GF40" s="151">
        <f>GE40/GE2</f>
        <v>0</v>
      </c>
      <c r="GG40" s="159"/>
      <c r="GH40" s="159">
        <f>GG40*GH2</f>
        <v>0</v>
      </c>
      <c r="GI40" s="159">
        <f t="shared" si="185"/>
        <v>0</v>
      </c>
      <c r="GJ40" s="118"/>
      <c r="GK40" s="151"/>
      <c r="GL40" s="151"/>
      <c r="GM40" s="151">
        <f>GL40/GL2</f>
        <v>0</v>
      </c>
      <c r="GN40" s="159">
        <v>200</v>
      </c>
      <c r="GO40" s="159">
        <f>GN40*GO2</f>
        <v>32280</v>
      </c>
      <c r="GP40" s="159">
        <f t="shared" si="187"/>
        <v>38090.400000000001</v>
      </c>
      <c r="GQ40" s="118"/>
      <c r="GR40" s="151"/>
      <c r="GS40" s="151"/>
      <c r="GT40" s="151">
        <f>GS40/GS2</f>
        <v>0</v>
      </c>
      <c r="GU40" s="96">
        <v>500</v>
      </c>
      <c r="GV40" s="96">
        <f>GU40*GV2</f>
        <v>53800</v>
      </c>
      <c r="GW40" s="96">
        <f t="shared" si="189"/>
        <v>63484</v>
      </c>
      <c r="GX40" s="118"/>
      <c r="GY40" s="151"/>
      <c r="GZ40" s="151"/>
      <c r="HA40" s="151">
        <f>GZ40/GZ2</f>
        <v>0</v>
      </c>
      <c r="HB40" s="159">
        <v>200</v>
      </c>
      <c r="HC40" s="159">
        <f>HB40*HC2</f>
        <v>55220.319999999992</v>
      </c>
      <c r="HD40" s="159">
        <f t="shared" si="191"/>
        <v>65159.977599999991</v>
      </c>
      <c r="HE40" s="118"/>
      <c r="HF40" s="151"/>
      <c r="HG40" s="151"/>
      <c r="HH40" s="151">
        <f>HG40/HG2</f>
        <v>0</v>
      </c>
      <c r="HI40" s="210"/>
      <c r="HJ40" s="210">
        <f>HI40*HJ2</f>
        <v>0</v>
      </c>
      <c r="HK40" s="210">
        <f t="shared" si="193"/>
        <v>0</v>
      </c>
      <c r="HL40" s="118"/>
      <c r="HM40" s="151"/>
      <c r="HN40" s="151"/>
      <c r="HO40" s="151">
        <f>HN40/HN2</f>
        <v>0</v>
      </c>
      <c r="HP40" s="159">
        <v>200</v>
      </c>
      <c r="HQ40" s="159">
        <f>HP40*HQ2</f>
        <v>32280</v>
      </c>
      <c r="HR40" s="159">
        <f t="shared" si="195"/>
        <v>38090.400000000001</v>
      </c>
      <c r="HS40" s="118"/>
      <c r="HT40" s="151"/>
      <c r="HU40" s="151">
        <f>HT40/118%</f>
        <v>0</v>
      </c>
      <c r="HV40" s="151">
        <f>HU40/HU2</f>
        <v>0</v>
      </c>
      <c r="HW40" s="96">
        <v>200</v>
      </c>
      <c r="HX40" s="96">
        <f>HW40*HX2</f>
        <v>127871.84</v>
      </c>
      <c r="HY40" s="96">
        <f t="shared" si="197"/>
        <v>150888.77119999999</v>
      </c>
      <c r="HZ40" s="118"/>
      <c r="IA40" s="21"/>
    </row>
    <row r="41" spans="1:235">
      <c r="A41" s="18">
        <v>12</v>
      </c>
      <c r="B41" s="19" t="s">
        <v>40</v>
      </c>
      <c r="C41" s="118"/>
      <c r="D41" s="151"/>
      <c r="E41" s="151">
        <f>D41/118%</f>
        <v>0</v>
      </c>
      <c r="F41" s="151">
        <f>E41/E2</f>
        <v>0</v>
      </c>
      <c r="G41" s="73"/>
      <c r="H41" s="159">
        <f>G41*H2</f>
        <v>0</v>
      </c>
      <c r="I41" s="73">
        <f t="shared" si="133"/>
        <v>0</v>
      </c>
      <c r="J41" s="118"/>
      <c r="K41" s="151"/>
      <c r="L41" s="151">
        <f>K41/118%</f>
        <v>0</v>
      </c>
      <c r="M41" s="151">
        <f>L41/L2</f>
        <v>0</v>
      </c>
      <c r="N41" s="96"/>
      <c r="O41" s="96">
        <f>N41*O2</f>
        <v>0</v>
      </c>
      <c r="P41" s="96">
        <f t="shared" si="135"/>
        <v>0</v>
      </c>
      <c r="Q41" s="118"/>
      <c r="R41" s="20"/>
      <c r="S41" s="20">
        <f t="shared" si="136"/>
        <v>0</v>
      </c>
      <c r="T41" s="151">
        <f>S41/S2</f>
        <v>0</v>
      </c>
      <c r="U41" s="159"/>
      <c r="V41" s="159">
        <f>U41*V2</f>
        <v>0</v>
      </c>
      <c r="W41" s="73">
        <f t="shared" si="137"/>
        <v>0</v>
      </c>
      <c r="X41" s="118"/>
      <c r="Y41" s="20"/>
      <c r="Z41" s="20">
        <f t="shared" si="138"/>
        <v>0</v>
      </c>
      <c r="AA41" s="151">
        <f>Z41/Z2</f>
        <v>0</v>
      </c>
      <c r="AB41" s="96"/>
      <c r="AC41" s="96">
        <f>AB41*AC2</f>
        <v>0</v>
      </c>
      <c r="AD41" s="96">
        <f t="shared" si="139"/>
        <v>0</v>
      </c>
      <c r="AE41" s="118"/>
      <c r="AF41" s="131"/>
      <c r="AG41" s="131">
        <f>AF41/118%</f>
        <v>0</v>
      </c>
      <c r="AH41" s="151">
        <f>AG41/AG2</f>
        <v>0</v>
      </c>
      <c r="AI41" s="159"/>
      <c r="AJ41" s="159">
        <f>AI41*AJ2</f>
        <v>0</v>
      </c>
      <c r="AK41" s="73">
        <f t="shared" si="141"/>
        <v>0</v>
      </c>
      <c r="AL41" s="118"/>
      <c r="AM41" s="20"/>
      <c r="AN41" s="20">
        <f t="shared" si="142"/>
        <v>0</v>
      </c>
      <c r="AO41" s="151">
        <f>AN41/AN2</f>
        <v>0</v>
      </c>
      <c r="AP41" s="96"/>
      <c r="AQ41" s="96">
        <f>AP41*AQ2</f>
        <v>0</v>
      </c>
      <c r="AR41" s="96">
        <f t="shared" si="143"/>
        <v>0</v>
      </c>
      <c r="AS41" s="118"/>
      <c r="AT41" s="151"/>
      <c r="AU41" s="151">
        <f>AT41/118%</f>
        <v>0</v>
      </c>
      <c r="AV41" s="151">
        <f>AU41/AU2</f>
        <v>0</v>
      </c>
      <c r="AW41" s="210"/>
      <c r="AX41" s="210">
        <f>AW41*AX2</f>
        <v>0</v>
      </c>
      <c r="AY41" s="210">
        <f t="shared" si="145"/>
        <v>0</v>
      </c>
      <c r="AZ41" s="118"/>
      <c r="BA41" s="151"/>
      <c r="BB41" s="151">
        <f>BA41/118%</f>
        <v>0</v>
      </c>
      <c r="BC41" s="151">
        <f>BB41/BB2</f>
        <v>0</v>
      </c>
      <c r="BD41" s="159"/>
      <c r="BE41" s="159">
        <f>BD41*BE2</f>
        <v>0</v>
      </c>
      <c r="BF41" s="73">
        <f t="shared" si="147"/>
        <v>0</v>
      </c>
      <c r="BG41" s="118"/>
      <c r="BH41" s="151"/>
      <c r="BI41" s="151">
        <f>BH41/118%</f>
        <v>0</v>
      </c>
      <c r="BJ41" s="151">
        <f>BI41/BI2</f>
        <v>0</v>
      </c>
      <c r="BK41" s="210"/>
      <c r="BL41" s="210">
        <f>BK41*BL2</f>
        <v>0</v>
      </c>
      <c r="BM41" s="210">
        <f t="shared" si="149"/>
        <v>0</v>
      </c>
      <c r="BN41" s="118"/>
      <c r="BO41" s="151"/>
      <c r="BP41" s="151">
        <f>BO41/118%</f>
        <v>0</v>
      </c>
      <c r="BQ41" s="151">
        <f>BP41/BP2</f>
        <v>0</v>
      </c>
      <c r="BR41" s="96"/>
      <c r="BS41" s="96">
        <f>BR41*BS2</f>
        <v>0</v>
      </c>
      <c r="BT41" s="96">
        <f t="shared" si="151"/>
        <v>0</v>
      </c>
      <c r="BU41" s="118"/>
      <c r="BV41" s="151"/>
      <c r="BW41" s="151">
        <f>BV41/118%</f>
        <v>0</v>
      </c>
      <c r="BX41" s="151">
        <f>BW41/BW2</f>
        <v>0</v>
      </c>
      <c r="BY41" s="159"/>
      <c r="BZ41" s="159">
        <f>BY41*BZ2</f>
        <v>0</v>
      </c>
      <c r="CA41" s="73">
        <f t="shared" si="153"/>
        <v>0</v>
      </c>
      <c r="CB41" s="118"/>
      <c r="CC41" s="151"/>
      <c r="CD41" s="151">
        <f>CC41/118%</f>
        <v>0</v>
      </c>
      <c r="CE41" s="151">
        <f>CD41/CD2</f>
        <v>0</v>
      </c>
      <c r="CF41" s="96"/>
      <c r="CG41" s="96">
        <f>CF41*CG2</f>
        <v>0</v>
      </c>
      <c r="CH41" s="96">
        <f t="shared" si="155"/>
        <v>0</v>
      </c>
      <c r="CI41" s="118"/>
      <c r="CJ41" s="151"/>
      <c r="CK41" s="151">
        <f>CJ41/118%</f>
        <v>0</v>
      </c>
      <c r="CL41" s="151">
        <f>CK41/CK2</f>
        <v>0</v>
      </c>
      <c r="CM41" s="210"/>
      <c r="CN41" s="210">
        <f>CM41*CN2</f>
        <v>0</v>
      </c>
      <c r="CO41" s="210">
        <f t="shared" si="157"/>
        <v>0</v>
      </c>
      <c r="CP41" s="118"/>
      <c r="CQ41" s="151"/>
      <c r="CR41" s="151">
        <f>CQ41/118%</f>
        <v>0</v>
      </c>
      <c r="CS41" s="151">
        <f>CR41/CR2</f>
        <v>0</v>
      </c>
      <c r="CT41" s="159"/>
      <c r="CU41" s="159">
        <f>CT41*CU2</f>
        <v>0</v>
      </c>
      <c r="CV41" s="159">
        <f t="shared" si="159"/>
        <v>0</v>
      </c>
      <c r="CW41" s="118"/>
      <c r="CX41" s="151"/>
      <c r="CY41" s="151">
        <f>CX41/118%</f>
        <v>0</v>
      </c>
      <c r="CZ41" s="151">
        <f>CY41/CY2</f>
        <v>0</v>
      </c>
      <c r="DA41" s="96"/>
      <c r="DB41" s="96">
        <f>DA41*DB2</f>
        <v>0</v>
      </c>
      <c r="DC41" s="96">
        <f t="shared" si="161"/>
        <v>0</v>
      </c>
      <c r="DD41" s="118"/>
      <c r="DE41" s="151"/>
      <c r="DF41" s="151">
        <f>DE41/118%</f>
        <v>0</v>
      </c>
      <c r="DG41" s="151">
        <f>DF41/DF2</f>
        <v>0</v>
      </c>
      <c r="DH41" s="159"/>
      <c r="DI41" s="159">
        <f>DH41*DI2</f>
        <v>0</v>
      </c>
      <c r="DJ41" s="159">
        <f t="shared" si="163"/>
        <v>0</v>
      </c>
      <c r="DK41" s="118"/>
      <c r="DL41" s="151"/>
      <c r="DM41" s="151">
        <f>DL41/118%</f>
        <v>0</v>
      </c>
      <c r="DN41" s="151">
        <f>DM41/DM2</f>
        <v>0</v>
      </c>
      <c r="DO41" s="96"/>
      <c r="DP41" s="96">
        <f>DO41*DP2</f>
        <v>0</v>
      </c>
      <c r="DQ41" s="96">
        <f t="shared" si="165"/>
        <v>0</v>
      </c>
      <c r="DR41" s="118"/>
      <c r="DS41" s="151"/>
      <c r="DT41" s="151">
        <f>DS41/118%</f>
        <v>0</v>
      </c>
      <c r="DU41" s="151">
        <f>DT41/DT2</f>
        <v>0</v>
      </c>
      <c r="DV41" s="210"/>
      <c r="DW41" s="210">
        <f>DV41*DW2</f>
        <v>0</v>
      </c>
      <c r="DX41" s="210">
        <f t="shared" si="167"/>
        <v>0</v>
      </c>
      <c r="DY41" s="118"/>
      <c r="DZ41" s="151"/>
      <c r="EA41" s="151">
        <f>DZ41/118%</f>
        <v>0</v>
      </c>
      <c r="EB41" s="151">
        <f>EA41/EA2</f>
        <v>0</v>
      </c>
      <c r="EC41" s="159"/>
      <c r="ED41" s="159">
        <f>EC41*ED2</f>
        <v>0</v>
      </c>
      <c r="EE41" s="159">
        <f t="shared" si="169"/>
        <v>0</v>
      </c>
      <c r="EF41" s="118"/>
      <c r="EG41" s="151"/>
      <c r="EH41" s="151">
        <f t="shared" si="170"/>
        <v>0</v>
      </c>
      <c r="EI41" s="151">
        <f>EH41/EH2</f>
        <v>0</v>
      </c>
      <c r="EJ41" s="96"/>
      <c r="EK41" s="96">
        <f>EJ41*EK2</f>
        <v>0</v>
      </c>
      <c r="EL41" s="96">
        <f t="shared" si="171"/>
        <v>0</v>
      </c>
      <c r="EM41" s="118"/>
      <c r="EN41" s="151"/>
      <c r="EO41" s="151">
        <f>EN41/118%</f>
        <v>0</v>
      </c>
      <c r="EP41" s="151">
        <f>EO41/EO2</f>
        <v>0</v>
      </c>
      <c r="EQ41" s="159"/>
      <c r="ER41" s="159">
        <f>EQ41*ER2</f>
        <v>0</v>
      </c>
      <c r="ES41" s="159">
        <f t="shared" si="173"/>
        <v>0</v>
      </c>
      <c r="ET41" s="118"/>
      <c r="EU41" s="151"/>
      <c r="EV41" s="151">
        <f>EU41/118%</f>
        <v>0</v>
      </c>
      <c r="EW41" s="151">
        <f>EV41/EV2</f>
        <v>0</v>
      </c>
      <c r="EX41" s="96"/>
      <c r="EY41" s="96">
        <f>EX41*EY2</f>
        <v>0</v>
      </c>
      <c r="EZ41" s="96">
        <f t="shared" si="175"/>
        <v>0</v>
      </c>
      <c r="FA41" s="118"/>
      <c r="FB41" s="151"/>
      <c r="FC41" s="151">
        <f t="shared" si="176"/>
        <v>0</v>
      </c>
      <c r="FD41" s="151">
        <f>FC41/FC2</f>
        <v>0</v>
      </c>
      <c r="FE41" s="159"/>
      <c r="FF41" s="159">
        <f>FE41*FF2</f>
        <v>0</v>
      </c>
      <c r="FG41" s="159">
        <f t="shared" si="177"/>
        <v>0</v>
      </c>
      <c r="FH41" s="118"/>
      <c r="FI41" s="151"/>
      <c r="FJ41" s="151">
        <f>FI41/118%</f>
        <v>0</v>
      </c>
      <c r="FK41" s="151">
        <f>FJ41/FJ2</f>
        <v>0</v>
      </c>
      <c r="FL41" s="96"/>
      <c r="FM41" s="96">
        <f>FL41*FM2</f>
        <v>0</v>
      </c>
      <c r="FN41" s="96">
        <f t="shared" si="179"/>
        <v>0</v>
      </c>
      <c r="FO41" s="118"/>
      <c r="FP41" s="151"/>
      <c r="FQ41" s="151">
        <f>FP41/118%</f>
        <v>0</v>
      </c>
      <c r="FR41" s="151">
        <f>FQ41/FQ2</f>
        <v>0</v>
      </c>
      <c r="FS41" s="159"/>
      <c r="FT41" s="159">
        <f>FS41*FT2</f>
        <v>0</v>
      </c>
      <c r="FU41" s="159">
        <f t="shared" si="181"/>
        <v>0</v>
      </c>
      <c r="FV41" s="118"/>
      <c r="FW41" s="151"/>
      <c r="FX41" s="151">
        <f>FW41/118%</f>
        <v>0</v>
      </c>
      <c r="FY41" s="151">
        <f>FX41/FX2</f>
        <v>0</v>
      </c>
      <c r="FZ41" s="96"/>
      <c r="GA41" s="96">
        <f>FZ41*GA2</f>
        <v>0</v>
      </c>
      <c r="GB41" s="96">
        <f t="shared" si="183"/>
        <v>0</v>
      </c>
      <c r="GC41" s="118"/>
      <c r="GD41" s="151"/>
      <c r="GE41" s="151">
        <f>GD41/118%</f>
        <v>0</v>
      </c>
      <c r="GF41" s="151">
        <f>GE41/GE2</f>
        <v>0</v>
      </c>
      <c r="GG41" s="159"/>
      <c r="GH41" s="159">
        <f>GG41*GH2</f>
        <v>0</v>
      </c>
      <c r="GI41" s="159">
        <f t="shared" si="185"/>
        <v>0</v>
      </c>
      <c r="GJ41" s="118"/>
      <c r="GK41" s="151"/>
      <c r="GL41" s="151">
        <f>GK41/118%</f>
        <v>0</v>
      </c>
      <c r="GM41" s="151">
        <f>GL41/GL2</f>
        <v>0</v>
      </c>
      <c r="GN41" s="159"/>
      <c r="GO41" s="159">
        <f>GN41*GO2</f>
        <v>0</v>
      </c>
      <c r="GP41" s="159">
        <f t="shared" si="187"/>
        <v>0</v>
      </c>
      <c r="GQ41" s="118"/>
      <c r="GR41" s="151"/>
      <c r="GS41" s="151">
        <f>GR41/118%</f>
        <v>0</v>
      </c>
      <c r="GT41" s="151">
        <f>GS41/GS2</f>
        <v>0</v>
      </c>
      <c r="GU41" s="96"/>
      <c r="GV41" s="96">
        <f>GU41*GV2</f>
        <v>0</v>
      </c>
      <c r="GW41" s="96">
        <f t="shared" si="189"/>
        <v>0</v>
      </c>
      <c r="GX41" s="118"/>
      <c r="GY41" s="151"/>
      <c r="GZ41" s="151">
        <f>GY41/118%</f>
        <v>0</v>
      </c>
      <c r="HA41" s="151">
        <f>GZ41/GZ2</f>
        <v>0</v>
      </c>
      <c r="HB41" s="159"/>
      <c r="HC41" s="159">
        <f>HB41*HC2</f>
        <v>0</v>
      </c>
      <c r="HD41" s="159">
        <f t="shared" si="191"/>
        <v>0</v>
      </c>
      <c r="HE41" s="118"/>
      <c r="HF41" s="151"/>
      <c r="HG41" s="151">
        <f>HF41/118%</f>
        <v>0</v>
      </c>
      <c r="HH41" s="151">
        <f>HG41/HG2</f>
        <v>0</v>
      </c>
      <c r="HI41" s="210"/>
      <c r="HJ41" s="210">
        <f>HI41*HJ2</f>
        <v>0</v>
      </c>
      <c r="HK41" s="210">
        <f t="shared" si="193"/>
        <v>0</v>
      </c>
      <c r="HL41" s="118"/>
      <c r="HM41" s="151"/>
      <c r="HN41" s="151">
        <f>HM41/118%</f>
        <v>0</v>
      </c>
      <c r="HO41" s="151">
        <f>HN41/HN2</f>
        <v>0</v>
      </c>
      <c r="HP41" s="159"/>
      <c r="HQ41" s="159">
        <f>HP41*HQ2</f>
        <v>0</v>
      </c>
      <c r="HR41" s="159">
        <f t="shared" si="195"/>
        <v>0</v>
      </c>
      <c r="HS41" s="118"/>
      <c r="HT41" s="151"/>
      <c r="HU41" s="151">
        <f>HT41/118%</f>
        <v>0</v>
      </c>
      <c r="HV41" s="151">
        <f>HU41/HU2</f>
        <v>0</v>
      </c>
      <c r="HW41" s="96"/>
      <c r="HX41" s="96">
        <f>HW41*HX2</f>
        <v>0</v>
      </c>
      <c r="HY41" s="96">
        <f t="shared" si="197"/>
        <v>0</v>
      </c>
      <c r="HZ41" s="118"/>
      <c r="IA41" s="21"/>
    </row>
    <row r="42" spans="1:235">
      <c r="A42" s="18">
        <v>13</v>
      </c>
      <c r="B42" s="19" t="s">
        <v>41</v>
      </c>
      <c r="C42" s="118"/>
      <c r="D42" s="151"/>
      <c r="E42" s="151">
        <f>D42/118%</f>
        <v>0</v>
      </c>
      <c r="F42" s="151">
        <f>E42/E2</f>
        <v>0</v>
      </c>
      <c r="G42" s="73"/>
      <c r="H42" s="159">
        <f>G42*H2</f>
        <v>0</v>
      </c>
      <c r="I42" s="73">
        <f t="shared" si="133"/>
        <v>0</v>
      </c>
      <c r="J42" s="118"/>
      <c r="K42" s="151"/>
      <c r="L42" s="151">
        <f>K42/118%</f>
        <v>0</v>
      </c>
      <c r="M42" s="151">
        <f>L42/L2</f>
        <v>0</v>
      </c>
      <c r="N42" s="96"/>
      <c r="O42" s="96">
        <f>N42*O2</f>
        <v>0</v>
      </c>
      <c r="P42" s="96">
        <f t="shared" si="135"/>
        <v>0</v>
      </c>
      <c r="Q42" s="118"/>
      <c r="R42" s="20"/>
      <c r="S42" s="20">
        <f t="shared" si="136"/>
        <v>0</v>
      </c>
      <c r="T42" s="151">
        <f>S42/S2</f>
        <v>0</v>
      </c>
      <c r="U42" s="159"/>
      <c r="V42" s="159">
        <f>U42*V2</f>
        <v>0</v>
      </c>
      <c r="W42" s="73">
        <f t="shared" si="137"/>
        <v>0</v>
      </c>
      <c r="X42" s="118"/>
      <c r="Y42" s="20"/>
      <c r="Z42" s="20">
        <f t="shared" si="138"/>
        <v>0</v>
      </c>
      <c r="AA42" s="151">
        <f>Z42/Z2</f>
        <v>0</v>
      </c>
      <c r="AB42" s="96"/>
      <c r="AC42" s="96">
        <f>AB42*AC2</f>
        <v>0</v>
      </c>
      <c r="AD42" s="96">
        <f t="shared" si="139"/>
        <v>0</v>
      </c>
      <c r="AE42" s="118"/>
      <c r="AF42" s="131"/>
      <c r="AG42" s="131">
        <f>AF42/118%</f>
        <v>0</v>
      </c>
      <c r="AH42" s="151">
        <f>AG42/AG2</f>
        <v>0</v>
      </c>
      <c r="AI42" s="159"/>
      <c r="AJ42" s="159">
        <f>AI42*AJ2</f>
        <v>0</v>
      </c>
      <c r="AK42" s="73">
        <f t="shared" si="141"/>
        <v>0</v>
      </c>
      <c r="AL42" s="118"/>
      <c r="AM42" s="20"/>
      <c r="AN42" s="20">
        <f t="shared" si="142"/>
        <v>0</v>
      </c>
      <c r="AO42" s="151">
        <f>AN42/AN2</f>
        <v>0</v>
      </c>
      <c r="AP42" s="96"/>
      <c r="AQ42" s="96">
        <f>AP42*AQ2</f>
        <v>0</v>
      </c>
      <c r="AR42" s="96">
        <f t="shared" si="143"/>
        <v>0</v>
      </c>
      <c r="AS42" s="118"/>
      <c r="AT42" s="151"/>
      <c r="AU42" s="151">
        <f>AT42/118%</f>
        <v>0</v>
      </c>
      <c r="AV42" s="151">
        <f>AU42/AU2</f>
        <v>0</v>
      </c>
      <c r="AW42" s="210"/>
      <c r="AX42" s="210">
        <f>AW42*AX2</f>
        <v>0</v>
      </c>
      <c r="AY42" s="210">
        <f t="shared" si="145"/>
        <v>0</v>
      </c>
      <c r="AZ42" s="118"/>
      <c r="BA42" s="151"/>
      <c r="BB42" s="151">
        <f>BA42/118%</f>
        <v>0</v>
      </c>
      <c r="BC42" s="151">
        <f>BB42/BB2</f>
        <v>0</v>
      </c>
      <c r="BD42" s="159"/>
      <c r="BE42" s="159">
        <f>BD42*BE2</f>
        <v>0</v>
      </c>
      <c r="BF42" s="73">
        <f t="shared" si="147"/>
        <v>0</v>
      </c>
      <c r="BG42" s="118"/>
      <c r="BH42" s="151"/>
      <c r="BI42" s="151">
        <f>BH42/118%</f>
        <v>0</v>
      </c>
      <c r="BJ42" s="151">
        <f>BI42/BI2</f>
        <v>0</v>
      </c>
      <c r="BK42" s="210"/>
      <c r="BL42" s="210">
        <f>BK42*BL2</f>
        <v>0</v>
      </c>
      <c r="BM42" s="210">
        <f t="shared" si="149"/>
        <v>0</v>
      </c>
      <c r="BN42" s="118"/>
      <c r="BO42" s="151"/>
      <c r="BP42" s="151">
        <f>BO42/118%</f>
        <v>0</v>
      </c>
      <c r="BQ42" s="151">
        <f>BP42/BP2</f>
        <v>0</v>
      </c>
      <c r="BR42" s="96"/>
      <c r="BS42" s="96">
        <f>BR42*BS2</f>
        <v>0</v>
      </c>
      <c r="BT42" s="96">
        <f t="shared" si="151"/>
        <v>0</v>
      </c>
      <c r="BU42" s="118"/>
      <c r="BV42" s="151"/>
      <c r="BW42" s="151">
        <f>BV42/118%</f>
        <v>0</v>
      </c>
      <c r="BX42" s="151">
        <f>BW42/BW2</f>
        <v>0</v>
      </c>
      <c r="BY42" s="159"/>
      <c r="BZ42" s="159">
        <f>BY42*BZ2</f>
        <v>0</v>
      </c>
      <c r="CA42" s="73">
        <f t="shared" si="153"/>
        <v>0</v>
      </c>
      <c r="CB42" s="118"/>
      <c r="CC42" s="151"/>
      <c r="CD42" s="151">
        <f>CC42/118%</f>
        <v>0</v>
      </c>
      <c r="CE42" s="151">
        <f>CD42/CD2</f>
        <v>0</v>
      </c>
      <c r="CF42" s="96"/>
      <c r="CG42" s="96">
        <f>CF42*CG2</f>
        <v>0</v>
      </c>
      <c r="CH42" s="96">
        <f t="shared" si="155"/>
        <v>0</v>
      </c>
      <c r="CI42" s="118"/>
      <c r="CJ42" s="151"/>
      <c r="CK42" s="151">
        <f>CJ42/118%</f>
        <v>0</v>
      </c>
      <c r="CL42" s="151">
        <f>CK42/CK2</f>
        <v>0</v>
      </c>
      <c r="CM42" s="210"/>
      <c r="CN42" s="210">
        <f>CM42*CN2</f>
        <v>0</v>
      </c>
      <c r="CO42" s="210">
        <f t="shared" si="157"/>
        <v>0</v>
      </c>
      <c r="CP42" s="118"/>
      <c r="CQ42" s="151"/>
      <c r="CR42" s="151">
        <f>CQ42/118%</f>
        <v>0</v>
      </c>
      <c r="CS42" s="151">
        <f>CR42/CR2</f>
        <v>0</v>
      </c>
      <c r="CT42" s="159"/>
      <c r="CU42" s="159">
        <f>CT42*CU2</f>
        <v>0</v>
      </c>
      <c r="CV42" s="159">
        <f t="shared" si="159"/>
        <v>0</v>
      </c>
      <c r="CW42" s="118"/>
      <c r="CX42" s="151"/>
      <c r="CY42" s="151">
        <f>CX42/118%</f>
        <v>0</v>
      </c>
      <c r="CZ42" s="151">
        <f>CY42/CY2</f>
        <v>0</v>
      </c>
      <c r="DA42" s="96"/>
      <c r="DB42" s="96">
        <f>DA42*DB2</f>
        <v>0</v>
      </c>
      <c r="DC42" s="96">
        <f t="shared" si="161"/>
        <v>0</v>
      </c>
      <c r="DD42" s="118"/>
      <c r="DE42" s="151"/>
      <c r="DF42" s="151">
        <f>DE42/118%</f>
        <v>0</v>
      </c>
      <c r="DG42" s="151">
        <f>DF42/DF2</f>
        <v>0</v>
      </c>
      <c r="DH42" s="159"/>
      <c r="DI42" s="159">
        <f>DH42*DI2</f>
        <v>0</v>
      </c>
      <c r="DJ42" s="159">
        <f t="shared" si="163"/>
        <v>0</v>
      </c>
      <c r="DK42" s="118"/>
      <c r="DL42" s="151"/>
      <c r="DM42" s="151">
        <f>DL42/118%</f>
        <v>0</v>
      </c>
      <c r="DN42" s="151">
        <f>DM42/DM2</f>
        <v>0</v>
      </c>
      <c r="DO42" s="96"/>
      <c r="DP42" s="96">
        <f>DO42*DP2</f>
        <v>0</v>
      </c>
      <c r="DQ42" s="96">
        <f t="shared" si="165"/>
        <v>0</v>
      </c>
      <c r="DR42" s="118"/>
      <c r="DS42" s="151"/>
      <c r="DT42" s="151">
        <f>DS42/118%</f>
        <v>0</v>
      </c>
      <c r="DU42" s="151">
        <f>DT42/DT2</f>
        <v>0</v>
      </c>
      <c r="DV42" s="210"/>
      <c r="DW42" s="210">
        <f>DV42*DW2</f>
        <v>0</v>
      </c>
      <c r="DX42" s="210">
        <f t="shared" si="167"/>
        <v>0</v>
      </c>
      <c r="DY42" s="118"/>
      <c r="DZ42" s="151"/>
      <c r="EA42" s="151">
        <f>DZ42/118%</f>
        <v>0</v>
      </c>
      <c r="EB42" s="151">
        <f>EA42/EA2</f>
        <v>0</v>
      </c>
      <c r="EC42" s="159"/>
      <c r="ED42" s="159">
        <f>EC42*ED2</f>
        <v>0</v>
      </c>
      <c r="EE42" s="159">
        <f t="shared" si="169"/>
        <v>0</v>
      </c>
      <c r="EF42" s="118"/>
      <c r="EG42" s="151"/>
      <c r="EH42" s="151">
        <f t="shared" si="170"/>
        <v>0</v>
      </c>
      <c r="EI42" s="151">
        <f>EH42/EH2</f>
        <v>0</v>
      </c>
      <c r="EJ42" s="96"/>
      <c r="EK42" s="96">
        <f>EJ42*EK2</f>
        <v>0</v>
      </c>
      <c r="EL42" s="96">
        <f t="shared" si="171"/>
        <v>0</v>
      </c>
      <c r="EM42" s="118"/>
      <c r="EN42" s="151"/>
      <c r="EO42" s="151">
        <f>EN42/118%</f>
        <v>0</v>
      </c>
      <c r="EP42" s="151">
        <f>EO42/EO2</f>
        <v>0</v>
      </c>
      <c r="EQ42" s="159"/>
      <c r="ER42" s="159">
        <f>EQ42*ER2</f>
        <v>0</v>
      </c>
      <c r="ES42" s="159">
        <f t="shared" si="173"/>
        <v>0</v>
      </c>
      <c r="ET42" s="118"/>
      <c r="EU42" s="151"/>
      <c r="EV42" s="151">
        <f>EU42/118%</f>
        <v>0</v>
      </c>
      <c r="EW42" s="151">
        <f>EV42/EV2</f>
        <v>0</v>
      </c>
      <c r="EX42" s="96"/>
      <c r="EY42" s="96">
        <f>EX42*EY2</f>
        <v>0</v>
      </c>
      <c r="EZ42" s="96">
        <f t="shared" si="175"/>
        <v>0</v>
      </c>
      <c r="FA42" s="118"/>
      <c r="FB42" s="151"/>
      <c r="FC42" s="151">
        <f t="shared" si="176"/>
        <v>0</v>
      </c>
      <c r="FD42" s="151">
        <f>FC42/FC2</f>
        <v>0</v>
      </c>
      <c r="FE42" s="159"/>
      <c r="FF42" s="159">
        <f>FE42*FF2</f>
        <v>0</v>
      </c>
      <c r="FG42" s="159">
        <f t="shared" si="177"/>
        <v>0</v>
      </c>
      <c r="FH42" s="118"/>
      <c r="FI42" s="151"/>
      <c r="FJ42" s="151">
        <f>FI42/118%</f>
        <v>0</v>
      </c>
      <c r="FK42" s="151">
        <f>FJ42/FJ2</f>
        <v>0</v>
      </c>
      <c r="FL42" s="96"/>
      <c r="FM42" s="96">
        <f>FL42*FM2</f>
        <v>0</v>
      </c>
      <c r="FN42" s="96">
        <f t="shared" si="179"/>
        <v>0</v>
      </c>
      <c r="FO42" s="118"/>
      <c r="FP42" s="151"/>
      <c r="FQ42" s="151">
        <f>FP42/118%</f>
        <v>0</v>
      </c>
      <c r="FR42" s="151">
        <f>FQ42/FQ2</f>
        <v>0</v>
      </c>
      <c r="FS42" s="159"/>
      <c r="FT42" s="159">
        <f>FS42*FT2</f>
        <v>0</v>
      </c>
      <c r="FU42" s="159">
        <f t="shared" si="181"/>
        <v>0</v>
      </c>
      <c r="FV42" s="118"/>
      <c r="FW42" s="151"/>
      <c r="FX42" s="151">
        <f>FW42/118%</f>
        <v>0</v>
      </c>
      <c r="FY42" s="151">
        <f>FX42/FX2</f>
        <v>0</v>
      </c>
      <c r="FZ42" s="96"/>
      <c r="GA42" s="96">
        <f>FZ42*GA2</f>
        <v>0</v>
      </c>
      <c r="GB42" s="96">
        <f t="shared" si="183"/>
        <v>0</v>
      </c>
      <c r="GC42" s="118"/>
      <c r="GD42" s="151"/>
      <c r="GE42" s="151">
        <f>GD42/118%</f>
        <v>0</v>
      </c>
      <c r="GF42" s="151">
        <f>GE42/GE2</f>
        <v>0</v>
      </c>
      <c r="GG42" s="159"/>
      <c r="GH42" s="159">
        <f>GG42*GH2</f>
        <v>0</v>
      </c>
      <c r="GI42" s="159">
        <f t="shared" si="185"/>
        <v>0</v>
      </c>
      <c r="GJ42" s="118"/>
      <c r="GK42" s="151"/>
      <c r="GL42" s="151">
        <f>GK42/118%</f>
        <v>0</v>
      </c>
      <c r="GM42" s="151">
        <f>GL42/GL2</f>
        <v>0</v>
      </c>
      <c r="GN42" s="159"/>
      <c r="GO42" s="159">
        <f>GN42*GO2</f>
        <v>0</v>
      </c>
      <c r="GP42" s="159">
        <f t="shared" si="187"/>
        <v>0</v>
      </c>
      <c r="GQ42" s="118"/>
      <c r="GR42" s="151"/>
      <c r="GS42" s="151">
        <f>GR42/118%</f>
        <v>0</v>
      </c>
      <c r="GT42" s="151">
        <f>GS42/GS2</f>
        <v>0</v>
      </c>
      <c r="GU42" s="96"/>
      <c r="GV42" s="96">
        <f>GU42*GV2</f>
        <v>0</v>
      </c>
      <c r="GW42" s="96">
        <f t="shared" si="189"/>
        <v>0</v>
      </c>
      <c r="GX42" s="118"/>
      <c r="GY42" s="151"/>
      <c r="GZ42" s="151">
        <f>GY42/118%</f>
        <v>0</v>
      </c>
      <c r="HA42" s="151">
        <f>GZ42/GZ2</f>
        <v>0</v>
      </c>
      <c r="HB42" s="159"/>
      <c r="HC42" s="159">
        <f>HB42*HC2</f>
        <v>0</v>
      </c>
      <c r="HD42" s="159">
        <f t="shared" si="191"/>
        <v>0</v>
      </c>
      <c r="HE42" s="118"/>
      <c r="HF42" s="151"/>
      <c r="HG42" s="151">
        <f>HF42/118%</f>
        <v>0</v>
      </c>
      <c r="HH42" s="151">
        <f>HG42/HG2</f>
        <v>0</v>
      </c>
      <c r="HI42" s="210"/>
      <c r="HJ42" s="210">
        <f>HI42*HJ2</f>
        <v>0</v>
      </c>
      <c r="HK42" s="210">
        <f t="shared" si="193"/>
        <v>0</v>
      </c>
      <c r="HL42" s="118"/>
      <c r="HM42" s="151"/>
      <c r="HN42" s="151">
        <f>HM42/118%</f>
        <v>0</v>
      </c>
      <c r="HO42" s="151">
        <f>HN42/HN2</f>
        <v>0</v>
      </c>
      <c r="HP42" s="159"/>
      <c r="HQ42" s="159">
        <f>HP42*HQ2</f>
        <v>0</v>
      </c>
      <c r="HR42" s="159">
        <f t="shared" si="195"/>
        <v>0</v>
      </c>
      <c r="HS42" s="118"/>
      <c r="HT42" s="151"/>
      <c r="HU42" s="151">
        <f>HT42/118%</f>
        <v>0</v>
      </c>
      <c r="HV42" s="151">
        <f>HU42/HU2</f>
        <v>0</v>
      </c>
      <c r="HW42" s="96"/>
      <c r="HX42" s="96">
        <f>HW42*HX2</f>
        <v>0</v>
      </c>
      <c r="HY42" s="96">
        <f t="shared" si="197"/>
        <v>0</v>
      </c>
      <c r="HZ42" s="118"/>
      <c r="IA42" s="21"/>
    </row>
    <row r="43" spans="1:235" s="26" customFormat="1" ht="15">
      <c r="A43" s="12"/>
      <c r="B43" s="23" t="s">
        <v>42</v>
      </c>
      <c r="C43" s="121"/>
      <c r="D43" s="154">
        <f>SUM(D30:D42)</f>
        <v>521759.94</v>
      </c>
      <c r="E43" s="154">
        <f>SUM(E30:E42)</f>
        <v>442169.44067796611</v>
      </c>
      <c r="F43" s="152"/>
      <c r="G43" s="77"/>
      <c r="H43" s="78">
        <f>SUM(H30:H42)</f>
        <v>2336211.2000000002</v>
      </c>
      <c r="I43" s="78">
        <f>SUM(I30:I42)</f>
        <v>2756729.216</v>
      </c>
      <c r="J43" s="121"/>
      <c r="K43" s="154">
        <f>SUM(K30:K42)</f>
        <v>521759.94</v>
      </c>
      <c r="L43" s="154">
        <f>SUM(L30:L42)</f>
        <v>442169.44067796611</v>
      </c>
      <c r="M43" s="152"/>
      <c r="N43" s="99"/>
      <c r="O43" s="100">
        <f>SUM(O30:O42)</f>
        <v>692406</v>
      </c>
      <c r="P43" s="100">
        <f>SUM(P30:P42)</f>
        <v>817039.08</v>
      </c>
      <c r="Q43" s="121"/>
      <c r="R43" s="30">
        <f>SUM(R30:R42)</f>
        <v>28810.879999999997</v>
      </c>
      <c r="S43" s="30">
        <f>SUM(S30:S42)</f>
        <v>24416</v>
      </c>
      <c r="T43" s="152"/>
      <c r="U43" s="77"/>
      <c r="V43" s="78">
        <f>SUM(V30:V42)</f>
        <v>96840</v>
      </c>
      <c r="W43" s="78">
        <f>SUM(W30:W42)</f>
        <v>114271.2</v>
      </c>
      <c r="X43" s="121"/>
      <c r="Y43" s="30">
        <f>SUM(Y30:Y42)</f>
        <v>0</v>
      </c>
      <c r="Z43" s="30">
        <f>SUM(Z30:Z42)</f>
        <v>0</v>
      </c>
      <c r="AA43" s="152"/>
      <c r="AB43" s="99"/>
      <c r="AC43" s="100">
        <f>SUM(AC30:AC42)</f>
        <v>961406.00000000012</v>
      </c>
      <c r="AD43" s="100">
        <f>SUM(AD30:AD42)</f>
        <v>1134459.08</v>
      </c>
      <c r="AE43" s="121"/>
      <c r="AF43" s="137">
        <f>SUM(AF30:AF42)</f>
        <v>4574204.9000000004</v>
      </c>
      <c r="AG43" s="137">
        <f>SUM(AG30:AG42)</f>
        <v>3876444.8305084747</v>
      </c>
      <c r="AH43" s="152"/>
      <c r="AI43" s="77"/>
      <c r="AJ43" s="78">
        <f>SUM(AJ30:AJ42)</f>
        <v>12875846.399999999</v>
      </c>
      <c r="AK43" s="78">
        <f>SUM(AK30:AK42)</f>
        <v>15193498.751999998</v>
      </c>
      <c r="AL43" s="121"/>
      <c r="AM43" s="30">
        <f>SUM(AM30:AM42)</f>
        <v>952951.5</v>
      </c>
      <c r="AN43" s="30">
        <f>SUM(AN30:AN42)</f>
        <v>807586.01694915257</v>
      </c>
      <c r="AO43" s="152"/>
      <c r="AP43" s="99"/>
      <c r="AQ43" s="100">
        <f>SUM(AQ30:AQ42)</f>
        <v>3671172.1199999992</v>
      </c>
      <c r="AR43" s="100">
        <f>SUM(AR30:AR42)</f>
        <v>4331983.1015999997</v>
      </c>
      <c r="AS43" s="121"/>
      <c r="AT43" s="154">
        <f>SUM(AT30:AT42)</f>
        <v>0</v>
      </c>
      <c r="AU43" s="154">
        <f>SUM(AU30:AU42)</f>
        <v>0</v>
      </c>
      <c r="AV43" s="152"/>
      <c r="AW43" s="213"/>
      <c r="AX43" s="214">
        <f>SUM(AX30:AX42)</f>
        <v>0</v>
      </c>
      <c r="AY43" s="214">
        <f>SUM(AY30:AY42)</f>
        <v>0</v>
      </c>
      <c r="AZ43" s="121"/>
      <c r="BA43" s="154">
        <f>SUM(BA30:BA42)</f>
        <v>8319000</v>
      </c>
      <c r="BB43" s="154">
        <f>SUM(BB30:BB42)</f>
        <v>7050000</v>
      </c>
      <c r="BC43" s="152"/>
      <c r="BD43" s="77"/>
      <c r="BE43" s="78">
        <f>SUM(BE30:BE42)</f>
        <v>5732605.1999999993</v>
      </c>
      <c r="BF43" s="78">
        <f>SUM(BF30:BF42)</f>
        <v>6764474.135999999</v>
      </c>
      <c r="BG43" s="121"/>
      <c r="BH43" s="154">
        <f>SUM(BH30:BH42)</f>
        <v>0</v>
      </c>
      <c r="BI43" s="154">
        <f>SUM(BI30:BI42)</f>
        <v>0</v>
      </c>
      <c r="BJ43" s="152"/>
      <c r="BK43" s="213"/>
      <c r="BL43" s="214">
        <f>SUM(BL30:BL42)</f>
        <v>0</v>
      </c>
      <c r="BM43" s="214">
        <f>SUM(BM30:BM42)</f>
        <v>0</v>
      </c>
      <c r="BN43" s="121"/>
      <c r="BO43" s="154">
        <f>SUM(BO30:BO42)</f>
        <v>7386010.1600000001</v>
      </c>
      <c r="BP43" s="154">
        <f>SUM(BP30:BP42)</f>
        <v>6259330.6440677959</v>
      </c>
      <c r="BQ43" s="152"/>
      <c r="BR43" s="99"/>
      <c r="BS43" s="100">
        <f>SUM(BS30:BS42)</f>
        <v>11664378</v>
      </c>
      <c r="BT43" s="100">
        <f>SUM(BT30:BT42)</f>
        <v>13763966.039999999</v>
      </c>
      <c r="BU43" s="121"/>
      <c r="BV43" s="154">
        <f>SUM(BV30:BV42)</f>
        <v>521759.94</v>
      </c>
      <c r="BW43" s="154">
        <f>SUM(BW30:BW42)</f>
        <v>442169.44067796611</v>
      </c>
      <c r="BX43" s="152"/>
      <c r="BY43" s="77"/>
      <c r="BZ43" s="78">
        <f>SUM(BZ30:BZ42)</f>
        <v>1479500</v>
      </c>
      <c r="CA43" s="78">
        <f>SUM(CA30:CA42)</f>
        <v>1745810</v>
      </c>
      <c r="CB43" s="121"/>
      <c r="CC43" s="154">
        <f>SUM(CC30:CC42)</f>
        <v>8319000</v>
      </c>
      <c r="CD43" s="154">
        <f>SUM(CD30:CD42)</f>
        <v>7050000</v>
      </c>
      <c r="CE43" s="152"/>
      <c r="CF43" s="99"/>
      <c r="CG43" s="100">
        <f>SUM(CG30:CG42)</f>
        <v>4579456</v>
      </c>
      <c r="CH43" s="100">
        <f>SUM(CH30:CH42)</f>
        <v>5403758.0800000001</v>
      </c>
      <c r="CI43" s="121"/>
      <c r="CJ43" s="154">
        <f>SUM(CJ30:CJ42)</f>
        <v>0</v>
      </c>
      <c r="CK43" s="154">
        <f>SUM(CK30:CK42)</f>
        <v>0</v>
      </c>
      <c r="CL43" s="152"/>
      <c r="CM43" s="213"/>
      <c r="CN43" s="214">
        <f>SUM(CN30:CN42)</f>
        <v>0</v>
      </c>
      <c r="CO43" s="214">
        <f>SUM(CO30:CO42)</f>
        <v>0</v>
      </c>
      <c r="CP43" s="121"/>
      <c r="CQ43" s="154">
        <f>SUM(CQ30:CQ42)</f>
        <v>0</v>
      </c>
      <c r="CR43" s="154">
        <f>SUM(CR30:CR42)</f>
        <v>0</v>
      </c>
      <c r="CS43" s="152"/>
      <c r="CT43" s="77"/>
      <c r="CU43" s="78">
        <f>SUM(CU30:CU42)</f>
        <v>2088462.1999999997</v>
      </c>
      <c r="CV43" s="78">
        <f>SUM(CV30:CV42)</f>
        <v>2464385.3959999997</v>
      </c>
      <c r="CW43" s="121"/>
      <c r="CX43" s="154">
        <f>SUM(CX30:CX42)</f>
        <v>521759.94</v>
      </c>
      <c r="CY43" s="154">
        <f>SUM(CY30:CY42)</f>
        <v>442169.44067796611</v>
      </c>
      <c r="CZ43" s="152"/>
      <c r="DA43" s="99"/>
      <c r="DB43" s="100">
        <f>SUM(DB30:DB42)</f>
        <v>2590631.4</v>
      </c>
      <c r="DC43" s="100">
        <f>SUM(DC30:DC42)</f>
        <v>3056945.0519999992</v>
      </c>
      <c r="DD43" s="122"/>
      <c r="DE43" s="154">
        <f>SUM(DE30:DE42)</f>
        <v>4574204.9000000004</v>
      </c>
      <c r="DF43" s="154">
        <f>SUM(DF30:DF42)</f>
        <v>3876444.8305084747</v>
      </c>
      <c r="DG43" s="152"/>
      <c r="DH43" s="77"/>
      <c r="DI43" s="78">
        <f>SUM(DI30:DI42)</f>
        <v>3646698.4999999995</v>
      </c>
      <c r="DJ43" s="78">
        <f>SUM(DJ30:DJ42)</f>
        <v>4303104.2299999995</v>
      </c>
      <c r="DK43" s="121"/>
      <c r="DL43" s="154">
        <f>SUM(DL30:DL42)</f>
        <v>8319000</v>
      </c>
      <c r="DM43" s="154">
        <f>SUM(DM30:DM42)</f>
        <v>7050000</v>
      </c>
      <c r="DN43" s="152"/>
      <c r="DO43" s="99"/>
      <c r="DP43" s="100">
        <f>SUM(DP30:DP42)</f>
        <v>4544335.3599999994</v>
      </c>
      <c r="DQ43" s="100">
        <f>SUM(DQ30:DQ42)</f>
        <v>5362315.7247999981</v>
      </c>
      <c r="DR43" s="121"/>
      <c r="DS43" s="154">
        <f>SUM(DS30:DS42)</f>
        <v>0</v>
      </c>
      <c r="DT43" s="154">
        <f>SUM(DT30:DT42)</f>
        <v>0</v>
      </c>
      <c r="DU43" s="152"/>
      <c r="DV43" s="213"/>
      <c r="DW43" s="214">
        <f>SUM(DW30:DW42)</f>
        <v>0</v>
      </c>
      <c r="DX43" s="214">
        <f>SUM(DX30:DX42)</f>
        <v>0</v>
      </c>
      <c r="DY43" s="121"/>
      <c r="DZ43" s="154">
        <f>SUM(DZ30:DZ42)</f>
        <v>952951.5</v>
      </c>
      <c r="EA43" s="154">
        <f>SUM(EA30:EA42)</f>
        <v>807586.01694915257</v>
      </c>
      <c r="EB43" s="152"/>
      <c r="EC43" s="77"/>
      <c r="ED43" s="78">
        <f>SUM(ED30:ED42)</f>
        <v>4131840</v>
      </c>
      <c r="EE43" s="78">
        <f>SUM(EE30:EE42)</f>
        <v>4875571.1999999993</v>
      </c>
      <c r="EF43" s="121"/>
      <c r="EG43" s="154">
        <f>SUM(EG30:EG42)</f>
        <v>0</v>
      </c>
      <c r="EH43" s="154">
        <f>SUM(EH30:EH42)</f>
        <v>0</v>
      </c>
      <c r="EI43" s="152"/>
      <c r="EJ43" s="99"/>
      <c r="EK43" s="100">
        <f>SUM(EK30:EK42)</f>
        <v>7909148.7599999998</v>
      </c>
      <c r="EL43" s="100">
        <f>SUM(EL30:EL42)</f>
        <v>9332795.536799999</v>
      </c>
      <c r="EM43" s="122"/>
      <c r="EN43" s="154">
        <f>SUM(EN30:EN42)</f>
        <v>7386010.1600000001</v>
      </c>
      <c r="EO43" s="154">
        <f>SUM(EO30:EO42)</f>
        <v>6259330.6440677959</v>
      </c>
      <c r="EP43" s="152"/>
      <c r="EQ43" s="77"/>
      <c r="ER43" s="78">
        <f>SUM(ER30:ER42)</f>
        <v>15612544.800000001</v>
      </c>
      <c r="ES43" s="78">
        <f>SUM(ES30:ES42)</f>
        <v>18422802.864</v>
      </c>
      <c r="ET43" s="121"/>
      <c r="EU43" s="154">
        <f>SUM(EU30:EU42)</f>
        <v>3510258.5</v>
      </c>
      <c r="EV43" s="154">
        <f>SUM(EV30:EV42)</f>
        <v>2974795.338983051</v>
      </c>
      <c r="EW43" s="152"/>
      <c r="EX43" s="99"/>
      <c r="EY43" s="100">
        <f>SUM(EY30:EY42)</f>
        <v>6025600</v>
      </c>
      <c r="EZ43" s="100">
        <f>SUM(EZ30:EZ42)</f>
        <v>7110208</v>
      </c>
      <c r="FA43" s="121"/>
      <c r="FB43" s="154">
        <f>SUM(FB30:FB42)</f>
        <v>0</v>
      </c>
      <c r="FC43" s="154">
        <f>SUM(FC30:FC42)</f>
        <v>0</v>
      </c>
      <c r="FD43" s="152"/>
      <c r="FE43" s="77"/>
      <c r="FF43" s="78">
        <f>SUM(FF30:FF42)</f>
        <v>8155741.0599999987</v>
      </c>
      <c r="FG43" s="78">
        <f>SUM(FG30:FG42)</f>
        <v>9623774.4507999979</v>
      </c>
      <c r="FH43" s="121"/>
      <c r="FI43" s="154">
        <f>SUM(FI30:FI42)</f>
        <v>0</v>
      </c>
      <c r="FJ43" s="154">
        <f>SUM(FJ30:FJ42)</f>
        <v>0</v>
      </c>
      <c r="FK43" s="152"/>
      <c r="FL43" s="99"/>
      <c r="FM43" s="100">
        <f>SUM(FM30:FM42)</f>
        <v>1035650</v>
      </c>
      <c r="FN43" s="100">
        <f>SUM(FN30:FN42)</f>
        <v>1222066.9999999998</v>
      </c>
      <c r="FO43" s="121"/>
      <c r="FP43" s="154">
        <f>SUM(FP30:FP42)</f>
        <v>0</v>
      </c>
      <c r="FQ43" s="154">
        <f>SUM(FQ30:FQ42)</f>
        <v>0</v>
      </c>
      <c r="FR43" s="152"/>
      <c r="FS43" s="77"/>
      <c r="FT43" s="78">
        <f>SUM(FT30:FT42)</f>
        <v>0</v>
      </c>
      <c r="FU43" s="78">
        <f>SUM(FU30:FU42)</f>
        <v>0</v>
      </c>
      <c r="FV43" s="121"/>
      <c r="FW43" s="154">
        <f>SUM(FW30:FW42)</f>
        <v>0</v>
      </c>
      <c r="FX43" s="154">
        <f>SUM(FX30:FX42)</f>
        <v>0</v>
      </c>
      <c r="FY43" s="152"/>
      <c r="FZ43" s="99"/>
      <c r="GA43" s="100">
        <f>SUM(GA30:GA42)</f>
        <v>0</v>
      </c>
      <c r="GB43" s="100">
        <f>SUM(GB30:GB42)</f>
        <v>0</v>
      </c>
      <c r="GC43" s="121"/>
      <c r="GD43" s="154">
        <f>SUM(GD30:GD42)</f>
        <v>0</v>
      </c>
      <c r="GE43" s="154">
        <f>SUM(GE30:GE42)</f>
        <v>0</v>
      </c>
      <c r="GF43" s="152"/>
      <c r="GG43" s="77"/>
      <c r="GH43" s="78">
        <f>SUM(GH30:GH42)</f>
        <v>0</v>
      </c>
      <c r="GI43" s="78">
        <f>SUM(GI30:GI42)</f>
        <v>0</v>
      </c>
      <c r="GJ43" s="121"/>
      <c r="GK43" s="154">
        <f>SUM(GK30:GK42)</f>
        <v>0</v>
      </c>
      <c r="GL43" s="154">
        <f>SUM(GL30:GL42)</f>
        <v>0</v>
      </c>
      <c r="GM43" s="152"/>
      <c r="GN43" s="77"/>
      <c r="GO43" s="78">
        <f>SUM(GO30:GO42)</f>
        <v>887700</v>
      </c>
      <c r="GP43" s="78">
        <f>SUM(GP30:GP42)</f>
        <v>1047486</v>
      </c>
      <c r="GQ43" s="121"/>
      <c r="GR43" s="154">
        <f>SUM(GR30:GR42)</f>
        <v>28810.879999999997</v>
      </c>
      <c r="GS43" s="154">
        <f>SUM(GS30:GS42)</f>
        <v>24416</v>
      </c>
      <c r="GT43" s="152"/>
      <c r="GU43" s="99"/>
      <c r="GV43" s="100">
        <f>SUM(GV30:GV42)</f>
        <v>96840</v>
      </c>
      <c r="GW43" s="100">
        <f>SUM(GW30:GW42)</f>
        <v>114271.2</v>
      </c>
      <c r="GX43" s="122"/>
      <c r="GY43" s="154">
        <f>SUM(GY30:GY42)</f>
        <v>119862.04</v>
      </c>
      <c r="GZ43" s="154">
        <f>SUM(GZ30:GZ42)</f>
        <v>101578</v>
      </c>
      <c r="HA43" s="152"/>
      <c r="HB43" s="77"/>
      <c r="HC43" s="78">
        <f>SUM(HC30:HC42)</f>
        <v>1518558.7999999998</v>
      </c>
      <c r="HD43" s="78">
        <f>SUM(HD30:HD42)</f>
        <v>1791899.3839999998</v>
      </c>
      <c r="HE43" s="121"/>
      <c r="HF43" s="154">
        <f>SUM(HF30:HF42)</f>
        <v>0</v>
      </c>
      <c r="HG43" s="154">
        <f>SUM(HG30:HG42)</f>
        <v>0</v>
      </c>
      <c r="HH43" s="152"/>
      <c r="HI43" s="213"/>
      <c r="HJ43" s="214">
        <f>SUM(HJ30:HJ42)</f>
        <v>0</v>
      </c>
      <c r="HK43" s="214">
        <f>SUM(HK30:HK42)</f>
        <v>0</v>
      </c>
      <c r="HL43" s="121"/>
      <c r="HM43" s="154">
        <f>SUM(HM30:HM42)</f>
        <v>0</v>
      </c>
      <c r="HN43" s="154">
        <f>SUM(HN30:HN42)</f>
        <v>0</v>
      </c>
      <c r="HO43" s="152"/>
      <c r="HP43" s="77"/>
      <c r="HQ43" s="78">
        <f>SUM(HQ30:HQ42)</f>
        <v>661740</v>
      </c>
      <c r="HR43" s="78">
        <f>SUM(HR30:HR42)</f>
        <v>780853.20000000007</v>
      </c>
      <c r="HS43" s="121"/>
      <c r="HT43" s="154">
        <f>SUM(HT30:HT42)</f>
        <v>8319000</v>
      </c>
      <c r="HU43" s="154">
        <f>SUM(HU30:HU42)</f>
        <v>7050000</v>
      </c>
      <c r="HV43" s="152"/>
      <c r="HW43" s="99"/>
      <c r="HX43" s="100">
        <f>SUM(HX30:HX42)</f>
        <v>1918077.5999999999</v>
      </c>
      <c r="HY43" s="100">
        <f>SUM(HY30:HY42)</f>
        <v>2263331.5679999995</v>
      </c>
      <c r="HZ43" s="122"/>
      <c r="IA43" s="31"/>
    </row>
    <row r="44" spans="1:235" ht="15">
      <c r="A44" s="12"/>
      <c r="B44" s="23"/>
      <c r="C44" s="118"/>
      <c r="D44" s="161"/>
      <c r="E44" s="149"/>
      <c r="F44" s="161"/>
      <c r="G44" s="73"/>
      <c r="H44" s="159"/>
      <c r="I44" s="73"/>
      <c r="J44" s="118"/>
      <c r="K44" s="161"/>
      <c r="L44" s="149"/>
      <c r="M44" s="161"/>
      <c r="N44" s="96"/>
      <c r="O44" s="96"/>
      <c r="P44" s="96"/>
      <c r="Q44" s="118"/>
      <c r="R44" s="105"/>
      <c r="S44" s="105"/>
      <c r="T44" s="161"/>
      <c r="U44" s="159"/>
      <c r="V44" s="159"/>
      <c r="W44" s="73"/>
      <c r="X44" s="118"/>
      <c r="Y44" s="105"/>
      <c r="Z44" s="105"/>
      <c r="AA44" s="161"/>
      <c r="AB44" s="96"/>
      <c r="AC44" s="96"/>
      <c r="AD44" s="96"/>
      <c r="AE44" s="118"/>
      <c r="AF44" s="105"/>
      <c r="AG44" s="11"/>
      <c r="AH44" s="161"/>
      <c r="AI44" s="159"/>
      <c r="AJ44" s="159"/>
      <c r="AK44" s="73"/>
      <c r="AL44" s="118"/>
      <c r="AM44" s="105"/>
      <c r="AN44" s="105"/>
      <c r="AO44" s="161"/>
      <c r="AP44" s="96"/>
      <c r="AQ44" s="96"/>
      <c r="AR44" s="96"/>
      <c r="AS44" s="118"/>
      <c r="AT44" s="161"/>
      <c r="AU44" s="161"/>
      <c r="AV44" s="161"/>
      <c r="AW44" s="210"/>
      <c r="AX44" s="210"/>
      <c r="AY44" s="210"/>
      <c r="AZ44" s="118"/>
      <c r="BA44" s="149"/>
      <c r="BB44" s="161"/>
      <c r="BC44" s="161"/>
      <c r="BD44" s="159"/>
      <c r="BE44" s="159"/>
      <c r="BF44" s="73"/>
      <c r="BG44" s="118"/>
      <c r="BH44" s="161"/>
      <c r="BI44" s="161"/>
      <c r="BJ44" s="161"/>
      <c r="BK44" s="210"/>
      <c r="BL44" s="210"/>
      <c r="BM44" s="210"/>
      <c r="BN44" s="118"/>
      <c r="BO44" s="149"/>
      <c r="BP44" s="161"/>
      <c r="BQ44" s="161"/>
      <c r="BR44" s="96"/>
      <c r="BS44" s="96"/>
      <c r="BT44" s="96"/>
      <c r="BU44" s="118"/>
      <c r="BV44" s="161"/>
      <c r="BW44" s="149"/>
      <c r="BX44" s="161"/>
      <c r="BY44" s="159"/>
      <c r="BZ44" s="159"/>
      <c r="CA44" s="73"/>
      <c r="CB44" s="118"/>
      <c r="CC44" s="149"/>
      <c r="CD44" s="161"/>
      <c r="CE44" s="161"/>
      <c r="CF44" s="96"/>
      <c r="CG44" s="96"/>
      <c r="CH44" s="96"/>
      <c r="CI44" s="118"/>
      <c r="CJ44" s="161"/>
      <c r="CK44" s="161"/>
      <c r="CL44" s="161"/>
      <c r="CM44" s="210"/>
      <c r="CN44" s="210"/>
      <c r="CO44" s="210"/>
      <c r="CP44" s="118"/>
      <c r="CQ44" s="161"/>
      <c r="CR44" s="161"/>
      <c r="CS44" s="161"/>
      <c r="CT44" s="159"/>
      <c r="CU44" s="159"/>
      <c r="CV44" s="159"/>
      <c r="CW44" s="118"/>
      <c r="CX44" s="161"/>
      <c r="CY44" s="149"/>
      <c r="CZ44" s="161"/>
      <c r="DA44" s="96"/>
      <c r="DB44" s="96"/>
      <c r="DC44" s="96"/>
      <c r="DD44" s="118"/>
      <c r="DE44" s="161"/>
      <c r="DF44" s="149"/>
      <c r="DG44" s="161"/>
      <c r="DH44" s="159"/>
      <c r="DI44" s="159"/>
      <c r="DJ44" s="159"/>
      <c r="DK44" s="118"/>
      <c r="DL44" s="149"/>
      <c r="DM44" s="161"/>
      <c r="DN44" s="161"/>
      <c r="DO44" s="96"/>
      <c r="DP44" s="96"/>
      <c r="DQ44" s="96"/>
      <c r="DR44" s="118"/>
      <c r="DS44" s="161"/>
      <c r="DT44" s="161"/>
      <c r="DU44" s="161"/>
      <c r="DV44" s="210"/>
      <c r="DW44" s="210"/>
      <c r="DX44" s="210"/>
      <c r="DY44" s="118"/>
      <c r="DZ44" s="161"/>
      <c r="EA44" s="161"/>
      <c r="EB44" s="161"/>
      <c r="EC44" s="159"/>
      <c r="ED44" s="159"/>
      <c r="EE44" s="159"/>
      <c r="EF44" s="118"/>
      <c r="EG44" s="161"/>
      <c r="EH44" s="161"/>
      <c r="EI44" s="161"/>
      <c r="EJ44" s="96"/>
      <c r="EK44" s="96"/>
      <c r="EL44" s="96"/>
      <c r="EM44" s="118"/>
      <c r="EN44" s="149"/>
      <c r="EO44" s="161"/>
      <c r="EP44" s="161"/>
      <c r="EQ44" s="159"/>
      <c r="ER44" s="159"/>
      <c r="ES44" s="159"/>
      <c r="ET44" s="118"/>
      <c r="EU44" s="161"/>
      <c r="EV44" s="161"/>
      <c r="EW44" s="161"/>
      <c r="EX44" s="96"/>
      <c r="EY44" s="96"/>
      <c r="EZ44" s="96"/>
      <c r="FA44" s="118"/>
      <c r="FB44" s="161"/>
      <c r="FC44" s="161"/>
      <c r="FD44" s="161"/>
      <c r="FE44" s="159"/>
      <c r="FF44" s="159"/>
      <c r="FG44" s="159"/>
      <c r="FH44" s="118"/>
      <c r="FI44" s="161"/>
      <c r="FJ44" s="161"/>
      <c r="FK44" s="161"/>
      <c r="FL44" s="96"/>
      <c r="FM44" s="96"/>
      <c r="FN44" s="96"/>
      <c r="FO44" s="118"/>
      <c r="FP44" s="161"/>
      <c r="FQ44" s="161"/>
      <c r="FR44" s="161"/>
      <c r="FS44" s="159"/>
      <c r="FT44" s="159"/>
      <c r="FU44" s="159"/>
      <c r="FV44" s="118"/>
      <c r="FW44" s="161"/>
      <c r="FX44" s="161"/>
      <c r="FY44" s="161"/>
      <c r="FZ44" s="96"/>
      <c r="GA44" s="96"/>
      <c r="GB44" s="96"/>
      <c r="GC44" s="118"/>
      <c r="GD44" s="161"/>
      <c r="GE44" s="161"/>
      <c r="GF44" s="161"/>
      <c r="GG44" s="159"/>
      <c r="GH44" s="159"/>
      <c r="GI44" s="159"/>
      <c r="GJ44" s="118"/>
      <c r="GK44" s="161"/>
      <c r="GL44" s="161"/>
      <c r="GM44" s="161"/>
      <c r="GN44" s="159"/>
      <c r="GO44" s="159"/>
      <c r="GP44" s="159"/>
      <c r="GQ44" s="118"/>
      <c r="GR44" s="161"/>
      <c r="GS44" s="161"/>
      <c r="GT44" s="161"/>
      <c r="GU44" s="96"/>
      <c r="GV44" s="96"/>
      <c r="GW44" s="96"/>
      <c r="GX44" s="118"/>
      <c r="GY44" s="161"/>
      <c r="GZ44" s="161"/>
      <c r="HA44" s="161"/>
      <c r="HB44" s="159"/>
      <c r="HC44" s="159"/>
      <c r="HD44" s="159"/>
      <c r="HE44" s="118"/>
      <c r="HF44" s="161"/>
      <c r="HG44" s="161"/>
      <c r="HH44" s="161"/>
      <c r="HI44" s="210"/>
      <c r="HJ44" s="210"/>
      <c r="HK44" s="210"/>
      <c r="HL44" s="118"/>
      <c r="HM44" s="161"/>
      <c r="HN44" s="161"/>
      <c r="HO44" s="161"/>
      <c r="HP44" s="159"/>
      <c r="HQ44" s="159"/>
      <c r="HR44" s="159"/>
      <c r="HS44" s="118"/>
      <c r="HT44" s="149"/>
      <c r="HU44" s="161"/>
      <c r="HV44" s="161"/>
      <c r="HW44" s="96"/>
      <c r="HX44" s="96"/>
      <c r="HY44" s="96"/>
      <c r="HZ44" s="118"/>
      <c r="IA44" s="21"/>
    </row>
    <row r="45" spans="1:235" ht="15">
      <c r="A45" s="13" t="s">
        <v>43</v>
      </c>
      <c r="B45" s="14" t="s">
        <v>44</v>
      </c>
      <c r="C45" s="120"/>
      <c r="D45" s="150"/>
      <c r="E45" s="150"/>
      <c r="F45" s="153"/>
      <c r="G45" s="27"/>
      <c r="H45" s="153"/>
      <c r="I45" s="27"/>
      <c r="J45" s="120"/>
      <c r="K45" s="150"/>
      <c r="L45" s="150"/>
      <c r="M45" s="153"/>
      <c r="N45" s="27"/>
      <c r="O45" s="153"/>
      <c r="P45" s="27"/>
      <c r="Q45" s="120"/>
      <c r="R45" s="15"/>
      <c r="S45" s="15"/>
      <c r="T45" s="153"/>
      <c r="U45" s="27"/>
      <c r="V45" s="153"/>
      <c r="W45" s="27"/>
      <c r="X45" s="120"/>
      <c r="Y45" s="15"/>
      <c r="Z45" s="15"/>
      <c r="AA45" s="153"/>
      <c r="AB45" s="27"/>
      <c r="AC45" s="153"/>
      <c r="AD45" s="27"/>
      <c r="AE45" s="120"/>
      <c r="AF45" s="130"/>
      <c r="AG45" s="130"/>
      <c r="AH45" s="153"/>
      <c r="AI45" s="27"/>
      <c r="AJ45" s="153"/>
      <c r="AK45" s="27"/>
      <c r="AL45" s="120"/>
      <c r="AM45" s="15"/>
      <c r="AN45" s="15"/>
      <c r="AO45" s="153"/>
      <c r="AP45" s="27"/>
      <c r="AQ45" s="153"/>
      <c r="AR45" s="27"/>
      <c r="AS45" s="120"/>
      <c r="AT45" s="150"/>
      <c r="AU45" s="150"/>
      <c r="AV45" s="153"/>
      <c r="AW45" s="27"/>
      <c r="AX45" s="153"/>
      <c r="AY45" s="27"/>
      <c r="AZ45" s="120"/>
      <c r="BA45" s="150"/>
      <c r="BB45" s="150"/>
      <c r="BC45" s="153"/>
      <c r="BD45" s="27"/>
      <c r="BE45" s="153"/>
      <c r="BF45" s="27"/>
      <c r="BG45" s="120"/>
      <c r="BH45" s="150"/>
      <c r="BI45" s="150"/>
      <c r="BJ45" s="153"/>
      <c r="BK45" s="27"/>
      <c r="BL45" s="153"/>
      <c r="BM45" s="27"/>
      <c r="BN45" s="120"/>
      <c r="BO45" s="150"/>
      <c r="BP45" s="150"/>
      <c r="BQ45" s="153"/>
      <c r="BR45" s="27"/>
      <c r="BS45" s="153"/>
      <c r="BT45" s="27"/>
      <c r="BU45" s="120"/>
      <c r="BV45" s="150"/>
      <c r="BW45" s="150"/>
      <c r="BX45" s="153"/>
      <c r="BY45" s="27"/>
      <c r="BZ45" s="153"/>
      <c r="CA45" s="27"/>
      <c r="CB45" s="120"/>
      <c r="CC45" s="150"/>
      <c r="CD45" s="150"/>
      <c r="CE45" s="153"/>
      <c r="CF45" s="27"/>
      <c r="CG45" s="153"/>
      <c r="CH45" s="27"/>
      <c r="CI45" s="120"/>
      <c r="CJ45" s="150"/>
      <c r="CK45" s="150"/>
      <c r="CL45" s="153"/>
      <c r="CM45" s="27"/>
      <c r="CN45" s="153"/>
      <c r="CO45" s="27"/>
      <c r="CP45" s="120"/>
      <c r="CQ45" s="150"/>
      <c r="CR45" s="150"/>
      <c r="CS45" s="153"/>
      <c r="CT45" s="27"/>
      <c r="CU45" s="153"/>
      <c r="CV45" s="27"/>
      <c r="CW45" s="120"/>
      <c r="CX45" s="150"/>
      <c r="CY45" s="150"/>
      <c r="CZ45" s="153"/>
      <c r="DA45" s="27"/>
      <c r="DB45" s="153"/>
      <c r="DC45" s="27"/>
      <c r="DD45" s="120"/>
      <c r="DE45" s="150"/>
      <c r="DF45" s="150"/>
      <c r="DG45" s="153"/>
      <c r="DH45" s="27"/>
      <c r="DI45" s="153"/>
      <c r="DJ45" s="27"/>
      <c r="DK45" s="120"/>
      <c r="DL45" s="150"/>
      <c r="DM45" s="150"/>
      <c r="DN45" s="153"/>
      <c r="DO45" s="27"/>
      <c r="DP45" s="153"/>
      <c r="DQ45" s="27"/>
      <c r="DR45" s="120"/>
      <c r="DS45" s="150"/>
      <c r="DT45" s="150"/>
      <c r="DU45" s="153"/>
      <c r="DV45" s="27"/>
      <c r="DW45" s="153"/>
      <c r="DX45" s="27"/>
      <c r="DY45" s="120"/>
      <c r="DZ45" s="150"/>
      <c r="EA45" s="150"/>
      <c r="EB45" s="153"/>
      <c r="EC45" s="27"/>
      <c r="ED45" s="153"/>
      <c r="EE45" s="27"/>
      <c r="EF45" s="120"/>
      <c r="EG45" s="150"/>
      <c r="EH45" s="150"/>
      <c r="EI45" s="153"/>
      <c r="EJ45" s="27"/>
      <c r="EK45" s="153"/>
      <c r="EL45" s="27"/>
      <c r="EM45" s="120"/>
      <c r="EN45" s="150"/>
      <c r="EO45" s="150"/>
      <c r="EP45" s="153"/>
      <c r="EQ45" s="27"/>
      <c r="ER45" s="153"/>
      <c r="ES45" s="27"/>
      <c r="ET45" s="120"/>
      <c r="EU45" s="150"/>
      <c r="EV45" s="150"/>
      <c r="EW45" s="153"/>
      <c r="EX45" s="27"/>
      <c r="EY45" s="153"/>
      <c r="EZ45" s="27"/>
      <c r="FA45" s="120"/>
      <c r="FB45" s="150"/>
      <c r="FC45" s="150"/>
      <c r="FD45" s="153"/>
      <c r="FE45" s="27"/>
      <c r="FF45" s="153"/>
      <c r="FG45" s="27"/>
      <c r="FH45" s="120"/>
      <c r="FI45" s="150"/>
      <c r="FJ45" s="150"/>
      <c r="FK45" s="153"/>
      <c r="FL45" s="27"/>
      <c r="FM45" s="153"/>
      <c r="FN45" s="27"/>
      <c r="FO45" s="120"/>
      <c r="FP45" s="150"/>
      <c r="FQ45" s="150"/>
      <c r="FR45" s="153"/>
      <c r="FS45" s="27"/>
      <c r="FT45" s="153"/>
      <c r="FU45" s="27"/>
      <c r="FV45" s="120"/>
      <c r="FW45" s="150"/>
      <c r="FX45" s="150"/>
      <c r="FY45" s="153"/>
      <c r="FZ45" s="27"/>
      <c r="GA45" s="153"/>
      <c r="GB45" s="27"/>
      <c r="GC45" s="120"/>
      <c r="GD45" s="150"/>
      <c r="GE45" s="150"/>
      <c r="GF45" s="153"/>
      <c r="GG45" s="27"/>
      <c r="GH45" s="153"/>
      <c r="GI45" s="27"/>
      <c r="GJ45" s="120"/>
      <c r="GK45" s="150"/>
      <c r="GL45" s="150"/>
      <c r="GM45" s="153"/>
      <c r="GN45" s="27"/>
      <c r="GO45" s="153"/>
      <c r="GP45" s="27"/>
      <c r="GQ45" s="120"/>
      <c r="GR45" s="150"/>
      <c r="GS45" s="150"/>
      <c r="GT45" s="153"/>
      <c r="GU45" s="27"/>
      <c r="GV45" s="153"/>
      <c r="GW45" s="27"/>
      <c r="GX45" s="120"/>
      <c r="GY45" s="150"/>
      <c r="GZ45" s="150"/>
      <c r="HA45" s="153"/>
      <c r="HB45" s="27"/>
      <c r="HC45" s="153"/>
      <c r="HD45" s="27"/>
      <c r="HE45" s="120"/>
      <c r="HF45" s="150"/>
      <c r="HG45" s="150"/>
      <c r="HH45" s="153"/>
      <c r="HI45" s="27"/>
      <c r="HJ45" s="153"/>
      <c r="HK45" s="27"/>
      <c r="HL45" s="120"/>
      <c r="HM45" s="150"/>
      <c r="HN45" s="150"/>
      <c r="HO45" s="153"/>
      <c r="HP45" s="27"/>
      <c r="HQ45" s="153"/>
      <c r="HR45" s="27"/>
      <c r="HS45" s="120"/>
      <c r="HT45" s="150"/>
      <c r="HU45" s="150"/>
      <c r="HV45" s="153"/>
      <c r="HW45" s="27"/>
      <c r="HX45" s="153"/>
      <c r="HY45" s="27"/>
      <c r="HZ45" s="120"/>
      <c r="IA45" s="29"/>
    </row>
    <row r="46" spans="1:235">
      <c r="A46" s="18">
        <v>1</v>
      </c>
      <c r="B46" s="19" t="s">
        <v>45</v>
      </c>
      <c r="C46" s="118"/>
      <c r="D46" s="151"/>
      <c r="E46" s="151">
        <f t="shared" ref="E46:E53" si="198">D46/118%</f>
        <v>0</v>
      </c>
      <c r="F46" s="151">
        <f>E46/E2</f>
        <v>0</v>
      </c>
      <c r="G46" s="73"/>
      <c r="H46" s="159">
        <f>G46*H2</f>
        <v>0</v>
      </c>
      <c r="I46" s="73">
        <f t="shared" ref="I46:I53" si="199">H46*118%</f>
        <v>0</v>
      </c>
      <c r="J46" s="118"/>
      <c r="K46" s="151"/>
      <c r="L46" s="151">
        <f t="shared" ref="L46:L53" si="200">K46/118%</f>
        <v>0</v>
      </c>
      <c r="M46" s="151">
        <f>L46/L2</f>
        <v>0</v>
      </c>
      <c r="N46" s="96"/>
      <c r="O46" s="96">
        <f>N46*O2</f>
        <v>0</v>
      </c>
      <c r="P46" s="96">
        <f t="shared" ref="P46:P53" si="201">O46*118%</f>
        <v>0</v>
      </c>
      <c r="Q46" s="118"/>
      <c r="R46" s="20"/>
      <c r="S46" s="20">
        <f t="shared" ref="S46:S53" si="202">R46/118%</f>
        <v>0</v>
      </c>
      <c r="T46" s="151">
        <f>S46/S2</f>
        <v>0</v>
      </c>
      <c r="U46" s="159"/>
      <c r="V46" s="159">
        <f>U46*V2</f>
        <v>0</v>
      </c>
      <c r="W46" s="73">
        <f t="shared" ref="W46:W53" si="203">V46*118%</f>
        <v>0</v>
      </c>
      <c r="X46" s="118"/>
      <c r="Y46" s="20"/>
      <c r="Z46" s="20">
        <f t="shared" ref="Z46:Z53" si="204">Y46/118%</f>
        <v>0</v>
      </c>
      <c r="AA46" s="151">
        <f>Z46/Z2</f>
        <v>0</v>
      </c>
      <c r="AB46" s="96"/>
      <c r="AC46" s="96">
        <f>AB46*AC2</f>
        <v>0</v>
      </c>
      <c r="AD46" s="96">
        <f t="shared" ref="AD46:AD53" si="205">AC46*118%</f>
        <v>0</v>
      </c>
      <c r="AE46" s="118"/>
      <c r="AF46" s="131">
        <v>197611.4</v>
      </c>
      <c r="AG46" s="131">
        <f t="shared" ref="AG46:AG53" si="206">AF46/118%</f>
        <v>167467.28813559323</v>
      </c>
      <c r="AH46" s="151">
        <f>AG46/AG2</f>
        <v>113.604922350686</v>
      </c>
      <c r="AI46" s="159">
        <v>100</v>
      </c>
      <c r="AJ46" s="159">
        <f>AI46*AJ2</f>
        <v>357662.39999999997</v>
      </c>
      <c r="AK46" s="73">
        <f t="shared" ref="AK46:AK53" si="207">AJ46*118%</f>
        <v>422041.63199999993</v>
      </c>
      <c r="AL46" s="118"/>
      <c r="AM46" s="20"/>
      <c r="AN46" s="20">
        <f t="shared" ref="AN46:AN53" si="208">AM46/118%</f>
        <v>0</v>
      </c>
      <c r="AO46" s="151">
        <f>AN46/AN2</f>
        <v>0</v>
      </c>
      <c r="AP46" s="96"/>
      <c r="AQ46" s="96">
        <f>AP46*AQ2</f>
        <v>0</v>
      </c>
      <c r="AR46" s="96">
        <f t="shared" ref="AR46:AR53" si="209">AQ46*118%</f>
        <v>0</v>
      </c>
      <c r="AS46" s="118"/>
      <c r="AT46" s="151"/>
      <c r="AU46" s="151">
        <f t="shared" ref="AU46:AU53" si="210">AT46/118%</f>
        <v>0</v>
      </c>
      <c r="AV46" s="151">
        <f>AU46/AU2</f>
        <v>0</v>
      </c>
      <c r="AW46" s="210"/>
      <c r="AX46" s="210">
        <f>AW46*AX2</f>
        <v>0</v>
      </c>
      <c r="AY46" s="210">
        <f t="shared" ref="AY46:AY53" si="211">AX46*118%</f>
        <v>0</v>
      </c>
      <c r="AZ46" s="118"/>
      <c r="BA46" s="151">
        <v>413000</v>
      </c>
      <c r="BB46" s="151">
        <f t="shared" ref="BB46:BB53" si="212">BA46/118%</f>
        <v>350000</v>
      </c>
      <c r="BC46" s="151">
        <f>BB46/BB2</f>
        <v>189.11558744704763</v>
      </c>
      <c r="BD46" s="159"/>
      <c r="BE46" s="159">
        <f>BD46*BE2</f>
        <v>0</v>
      </c>
      <c r="BF46" s="73">
        <f t="shared" ref="BF46:BF53" si="213">BE46*118%</f>
        <v>0</v>
      </c>
      <c r="BG46" s="118"/>
      <c r="BH46" s="151"/>
      <c r="BI46" s="151">
        <f t="shared" ref="BI46:BI53" si="214">BH46/118%</f>
        <v>0</v>
      </c>
      <c r="BJ46" s="151">
        <f>BI46/BI2</f>
        <v>0</v>
      </c>
      <c r="BK46" s="210"/>
      <c r="BL46" s="210">
        <f>BK46*BL2</f>
        <v>0</v>
      </c>
      <c r="BM46" s="210">
        <f t="shared" ref="BM46:BM53" si="215">BL46*118%</f>
        <v>0</v>
      </c>
      <c r="BN46" s="118"/>
      <c r="BO46" s="151">
        <v>172903</v>
      </c>
      <c r="BP46" s="151">
        <f t="shared" ref="BP46:BP53" si="216">BO46/118%</f>
        <v>146527.96610169491</v>
      </c>
      <c r="BQ46" s="151">
        <f>BP46/BP2</f>
        <v>32.561770244821091</v>
      </c>
      <c r="BR46" s="96">
        <v>100</v>
      </c>
      <c r="BS46" s="96">
        <f>BR46*BS2</f>
        <v>319572</v>
      </c>
      <c r="BT46" s="96">
        <f t="shared" ref="BT46:BT53" si="217">BS46*118%</f>
        <v>377094.95999999996</v>
      </c>
      <c r="BU46" s="118"/>
      <c r="BV46" s="151"/>
      <c r="BW46" s="151">
        <f t="shared" ref="BW46:BW53" si="218">BV46/118%</f>
        <v>0</v>
      </c>
      <c r="BX46" s="151">
        <f>BW46/BW2</f>
        <v>0</v>
      </c>
      <c r="BY46" s="159"/>
      <c r="BZ46" s="159">
        <f>BY46*BZ2</f>
        <v>0</v>
      </c>
      <c r="CA46" s="73">
        <f t="shared" ref="CA46:CA53" si="219">BZ46*118%</f>
        <v>0</v>
      </c>
      <c r="CB46" s="118"/>
      <c r="CC46" s="151">
        <v>413000</v>
      </c>
      <c r="CD46" s="151">
        <f t="shared" ref="CD46:CD53" si="220">CC46/118%</f>
        <v>350000</v>
      </c>
      <c r="CE46" s="151">
        <f>CD46/CD2</f>
        <v>189.11558744704763</v>
      </c>
      <c r="CF46" s="96"/>
      <c r="CG46" s="96">
        <f>CF46*CG2</f>
        <v>0</v>
      </c>
      <c r="CH46" s="96">
        <f t="shared" ref="CH46:CH53" si="221">CG46*118%</f>
        <v>0</v>
      </c>
      <c r="CI46" s="118"/>
      <c r="CJ46" s="151"/>
      <c r="CK46" s="151">
        <f t="shared" ref="CK46:CK53" si="222">CJ46/118%</f>
        <v>0</v>
      </c>
      <c r="CL46" s="151">
        <f>CK46/CK2</f>
        <v>0</v>
      </c>
      <c r="CM46" s="210"/>
      <c r="CN46" s="210">
        <f>CM46*CN2</f>
        <v>0</v>
      </c>
      <c r="CO46" s="210">
        <f t="shared" ref="CO46:CO53" si="223">CN46*118%</f>
        <v>0</v>
      </c>
      <c r="CP46" s="118"/>
      <c r="CQ46" s="151"/>
      <c r="CR46" s="151">
        <f t="shared" ref="CR46:CR53" si="224">CQ46/118%</f>
        <v>0</v>
      </c>
      <c r="CS46" s="151">
        <f>CR46/CR2</f>
        <v>0</v>
      </c>
      <c r="CT46" s="159"/>
      <c r="CU46" s="159">
        <f>CT46*CU2</f>
        <v>0</v>
      </c>
      <c r="CV46" s="159">
        <f t="shared" ref="CV46:CV53" si="225">CU46*118%</f>
        <v>0</v>
      </c>
      <c r="CW46" s="118"/>
      <c r="CX46" s="151"/>
      <c r="CY46" s="151">
        <f t="shared" ref="CY46:CY53" si="226">CX46/118%</f>
        <v>0</v>
      </c>
      <c r="CZ46" s="151">
        <f>CY46/CY2</f>
        <v>0</v>
      </c>
      <c r="DA46" s="96"/>
      <c r="DB46" s="96">
        <f>DA46*DB2</f>
        <v>0</v>
      </c>
      <c r="DC46" s="96">
        <f t="shared" ref="DC46:DC53" si="227">DB46*118%</f>
        <v>0</v>
      </c>
      <c r="DD46" s="118"/>
      <c r="DE46" s="151">
        <v>197611.4</v>
      </c>
      <c r="DF46" s="151">
        <f t="shared" ref="DF46:DF53" si="228">DE46/118%</f>
        <v>167467.28813559323</v>
      </c>
      <c r="DG46" s="151">
        <f>DF46/DF2</f>
        <v>113.604922350686</v>
      </c>
      <c r="DH46" s="159">
        <v>400</v>
      </c>
      <c r="DI46" s="159">
        <f>DH46*DI2</f>
        <v>307090.39999999997</v>
      </c>
      <c r="DJ46" s="159">
        <f t="shared" ref="DJ46:DJ53" si="229">DI46*118%</f>
        <v>362366.67199999996</v>
      </c>
      <c r="DK46" s="118"/>
      <c r="DL46" s="151">
        <v>413000</v>
      </c>
      <c r="DM46" s="151">
        <f t="shared" ref="DM46:DM53" si="230">DL46/118%</f>
        <v>350000</v>
      </c>
      <c r="DN46" s="151">
        <f>DM46/DM2</f>
        <v>189.11558744704763</v>
      </c>
      <c r="DO46" s="96"/>
      <c r="DP46" s="96">
        <f>DO46*DP2</f>
        <v>0</v>
      </c>
      <c r="DQ46" s="96">
        <f t="shared" ref="DQ46:DQ53" si="231">DP46*118%</f>
        <v>0</v>
      </c>
      <c r="DR46" s="118"/>
      <c r="DS46" s="151"/>
      <c r="DT46" s="151">
        <f t="shared" ref="DT46:DT53" si="232">DS46/118%</f>
        <v>0</v>
      </c>
      <c r="DU46" s="151">
        <f>DT46/DT2</f>
        <v>0</v>
      </c>
      <c r="DV46" s="210"/>
      <c r="DW46" s="210">
        <f>DV46*DW2</f>
        <v>0</v>
      </c>
      <c r="DX46" s="210">
        <f t="shared" ref="DX46:DX53" si="233">DW46*118%</f>
        <v>0</v>
      </c>
      <c r="DY46" s="118"/>
      <c r="DZ46" s="151"/>
      <c r="EA46" s="151">
        <f t="shared" ref="EA46:EA53" si="234">DZ46/118%</f>
        <v>0</v>
      </c>
      <c r="EB46" s="151">
        <f>EA46/EA2</f>
        <v>0</v>
      </c>
      <c r="EC46" s="159"/>
      <c r="ED46" s="159">
        <f>EC46*ED2</f>
        <v>0</v>
      </c>
      <c r="EE46" s="159">
        <f t="shared" ref="EE46:EE53" si="235">ED46*118%</f>
        <v>0</v>
      </c>
      <c r="EF46" s="118"/>
      <c r="EG46" s="151"/>
      <c r="EH46" s="151">
        <f t="shared" ref="EH46:EH53" si="236">EG46/118%</f>
        <v>0</v>
      </c>
      <c r="EI46" s="151">
        <f>EH46/EH2</f>
        <v>0</v>
      </c>
      <c r="EJ46" s="96">
        <v>200</v>
      </c>
      <c r="EK46" s="96">
        <f>EJ46*EK2</f>
        <v>355467.36</v>
      </c>
      <c r="EL46" s="96">
        <f t="shared" ref="EL46:EL53" si="237">EK46*118%</f>
        <v>419451.48479999998</v>
      </c>
      <c r="EM46" s="118"/>
      <c r="EN46" s="151">
        <v>172903</v>
      </c>
      <c r="EO46" s="151">
        <f t="shared" ref="EO46:EO53" si="238">EN46/118%</f>
        <v>146527.96610169491</v>
      </c>
      <c r="EP46" s="151">
        <f>EO46/EO2</f>
        <v>32.561770244821091</v>
      </c>
      <c r="EQ46" s="159">
        <v>100</v>
      </c>
      <c r="ER46" s="159">
        <f>EQ46*ER2</f>
        <v>520418.16</v>
      </c>
      <c r="ES46" s="159">
        <f t="shared" ref="ES46:ES53" si="239">ER46*118%</f>
        <v>614093.42879999999</v>
      </c>
      <c r="ET46" s="118"/>
      <c r="EU46" s="151"/>
      <c r="EV46" s="151">
        <f t="shared" ref="EV46:EV53" si="240">EU46/118%</f>
        <v>0</v>
      </c>
      <c r="EW46" s="151">
        <f>EV46/EV2</f>
        <v>0</v>
      </c>
      <c r="EX46" s="96"/>
      <c r="EY46" s="96">
        <f>EX46*EY2</f>
        <v>0</v>
      </c>
      <c r="EZ46" s="96">
        <f t="shared" ref="EZ46:EZ53" si="241">EY46*118%</f>
        <v>0</v>
      </c>
      <c r="FA46" s="118"/>
      <c r="FB46" s="151"/>
      <c r="FC46" s="151">
        <f t="shared" ref="FC46:FC53" si="242">FB46/118%</f>
        <v>0</v>
      </c>
      <c r="FD46" s="151">
        <f>FC46/FC2</f>
        <v>0</v>
      </c>
      <c r="FE46" s="159">
        <v>200</v>
      </c>
      <c r="FF46" s="159">
        <f>FE46*FF2</f>
        <v>366550.16</v>
      </c>
      <c r="FG46" s="159">
        <f t="shared" ref="FG46:FG53" si="243">FF46*118%</f>
        <v>432529.18879999995</v>
      </c>
      <c r="FH46" s="118"/>
      <c r="FI46" s="151"/>
      <c r="FJ46" s="151">
        <f t="shared" ref="FJ46:FJ53" si="244">FI46/118%</f>
        <v>0</v>
      </c>
      <c r="FK46" s="151">
        <f>FJ46/FJ2</f>
        <v>0</v>
      </c>
      <c r="FL46" s="96"/>
      <c r="FM46" s="96">
        <f>FL46*FM2</f>
        <v>0</v>
      </c>
      <c r="FN46" s="96">
        <f t="shared" ref="FN46:FN53" si="245">FM46*118%</f>
        <v>0</v>
      </c>
      <c r="FO46" s="118"/>
      <c r="FP46" s="151"/>
      <c r="FQ46" s="151">
        <f t="shared" ref="FQ46:FQ53" si="246">FP46/118%</f>
        <v>0</v>
      </c>
      <c r="FR46" s="151">
        <f>FQ46/FQ2</f>
        <v>0</v>
      </c>
      <c r="FS46" s="159"/>
      <c r="FT46" s="159">
        <f>FS46*FT2</f>
        <v>0</v>
      </c>
      <c r="FU46" s="159">
        <f t="shared" ref="FU46:FU53" si="247">FT46*118%</f>
        <v>0</v>
      </c>
      <c r="FV46" s="118"/>
      <c r="FW46" s="151"/>
      <c r="FX46" s="151">
        <f t="shared" ref="FX46:FX53" si="248">FW46/118%</f>
        <v>0</v>
      </c>
      <c r="FY46" s="151">
        <f>FX46/FX2</f>
        <v>0</v>
      </c>
      <c r="FZ46" s="96"/>
      <c r="GA46" s="96">
        <f>FZ46*GA2</f>
        <v>0</v>
      </c>
      <c r="GB46" s="96">
        <f t="shared" ref="GB46:GB53" si="249">GA46*118%</f>
        <v>0</v>
      </c>
      <c r="GC46" s="118"/>
      <c r="GD46" s="151"/>
      <c r="GE46" s="151">
        <f t="shared" ref="GE46:GE53" si="250">GD46/118%</f>
        <v>0</v>
      </c>
      <c r="GF46" s="151">
        <f>GE46/GE2</f>
        <v>0</v>
      </c>
      <c r="GG46" s="159"/>
      <c r="GH46" s="159">
        <f>GG46*GH2</f>
        <v>0</v>
      </c>
      <c r="GI46" s="159">
        <f t="shared" ref="GI46:GI53" si="251">GH46*118%</f>
        <v>0</v>
      </c>
      <c r="GJ46" s="118"/>
      <c r="GK46" s="151"/>
      <c r="GL46" s="151">
        <f t="shared" ref="GL46:GL53" si="252">GK46/118%</f>
        <v>0</v>
      </c>
      <c r="GM46" s="151">
        <f>GL46/GL2</f>
        <v>0</v>
      </c>
      <c r="GN46" s="159"/>
      <c r="GO46" s="159">
        <f>GN46*GO2</f>
        <v>0</v>
      </c>
      <c r="GP46" s="159">
        <f t="shared" ref="GP46:GP53" si="253">GO46*118%</f>
        <v>0</v>
      </c>
      <c r="GQ46" s="118"/>
      <c r="GR46" s="151"/>
      <c r="GS46" s="151">
        <f t="shared" ref="GS46:GS53" si="254">GR46/118%</f>
        <v>0</v>
      </c>
      <c r="GT46" s="151">
        <f>GS46/GS2</f>
        <v>0</v>
      </c>
      <c r="GU46" s="96"/>
      <c r="GV46" s="96">
        <f>GU46*GV2</f>
        <v>0</v>
      </c>
      <c r="GW46" s="96">
        <f t="shared" ref="GW46:GW53" si="255">GV46*118%</f>
        <v>0</v>
      </c>
      <c r="GX46" s="118"/>
      <c r="GY46" s="151"/>
      <c r="GZ46" s="151">
        <f t="shared" ref="GZ46:GZ53" si="256">GY46/118%</f>
        <v>0</v>
      </c>
      <c r="HA46" s="151">
        <f>GZ46/GZ2</f>
        <v>0</v>
      </c>
      <c r="HB46" s="159"/>
      <c r="HC46" s="159">
        <f>HB46*HC2</f>
        <v>0</v>
      </c>
      <c r="HD46" s="159">
        <f t="shared" ref="HD46:HD53" si="257">HC46*118%</f>
        <v>0</v>
      </c>
      <c r="HE46" s="118"/>
      <c r="HF46" s="151"/>
      <c r="HG46" s="151">
        <f t="shared" ref="HG46:HG53" si="258">HF46/118%</f>
        <v>0</v>
      </c>
      <c r="HH46" s="151">
        <f>HG46/HG2</f>
        <v>0</v>
      </c>
      <c r="HI46" s="210"/>
      <c r="HJ46" s="210">
        <f>HI46*HJ2</f>
        <v>0</v>
      </c>
      <c r="HK46" s="210">
        <f t="shared" ref="HK46:HK53" si="259">HJ46*118%</f>
        <v>0</v>
      </c>
      <c r="HL46" s="118"/>
      <c r="HM46" s="151"/>
      <c r="HN46" s="151">
        <f t="shared" ref="HN46:HN53" si="260">HM46/118%</f>
        <v>0</v>
      </c>
      <c r="HO46" s="151">
        <f>HN46/HN2</f>
        <v>0</v>
      </c>
      <c r="HP46" s="159"/>
      <c r="HQ46" s="159">
        <f>HP46*HQ2</f>
        <v>0</v>
      </c>
      <c r="HR46" s="159">
        <f t="shared" ref="HR46:HR53" si="261">HQ46*118%</f>
        <v>0</v>
      </c>
      <c r="HS46" s="118"/>
      <c r="HT46" s="151">
        <v>413000</v>
      </c>
      <c r="HU46" s="151">
        <f t="shared" ref="HU46:HU53" si="262">HT46/118%</f>
        <v>350000</v>
      </c>
      <c r="HV46" s="151">
        <f>HU46/HU2</f>
        <v>189.11558744704763</v>
      </c>
      <c r="HW46" s="96"/>
      <c r="HX46" s="96">
        <f>HW46*HX2</f>
        <v>0</v>
      </c>
      <c r="HY46" s="96">
        <f t="shared" ref="HY46:HY53" si="263">HX46*118%</f>
        <v>0</v>
      </c>
      <c r="HZ46" s="118"/>
      <c r="IA46" s="33"/>
    </row>
    <row r="47" spans="1:235">
      <c r="A47" s="18">
        <v>2</v>
      </c>
      <c r="B47" s="19" t="s">
        <v>46</v>
      </c>
      <c r="C47" s="118"/>
      <c r="D47" s="151">
        <v>133104</v>
      </c>
      <c r="E47" s="151">
        <f t="shared" si="198"/>
        <v>112800</v>
      </c>
      <c r="F47" s="151">
        <f>E47/E2</f>
        <v>747.0198675496689</v>
      </c>
      <c r="G47" s="73"/>
      <c r="H47" s="159">
        <f>G47*H2</f>
        <v>0</v>
      </c>
      <c r="I47" s="73">
        <f t="shared" si="199"/>
        <v>0</v>
      </c>
      <c r="J47" s="118"/>
      <c r="K47" s="151">
        <v>133104</v>
      </c>
      <c r="L47" s="151">
        <f t="shared" si="200"/>
        <v>112800</v>
      </c>
      <c r="M47" s="151">
        <f>L47/L2</f>
        <v>747.0198675496689</v>
      </c>
      <c r="N47" s="96"/>
      <c r="O47" s="96">
        <f>N47*O2</f>
        <v>0</v>
      </c>
      <c r="P47" s="96">
        <f t="shared" si="201"/>
        <v>0</v>
      </c>
      <c r="Q47" s="118"/>
      <c r="R47" s="20"/>
      <c r="S47" s="20">
        <f t="shared" si="202"/>
        <v>0</v>
      </c>
      <c r="T47" s="151">
        <f>S47/S2</f>
        <v>0</v>
      </c>
      <c r="U47" s="159"/>
      <c r="V47" s="159">
        <f>U47*V2</f>
        <v>0</v>
      </c>
      <c r="W47" s="73">
        <f t="shared" si="203"/>
        <v>0</v>
      </c>
      <c r="X47" s="118"/>
      <c r="Y47" s="20"/>
      <c r="Z47" s="20">
        <f t="shared" si="204"/>
        <v>0</v>
      </c>
      <c r="AA47" s="151">
        <f>Z47/Z2</f>
        <v>0</v>
      </c>
      <c r="AB47" s="96"/>
      <c r="AC47" s="96">
        <f>AB47*AC2</f>
        <v>0</v>
      </c>
      <c r="AD47" s="96">
        <f t="shared" si="205"/>
        <v>0</v>
      </c>
      <c r="AE47" s="118"/>
      <c r="AF47" s="131">
        <v>229623.28</v>
      </c>
      <c r="AG47" s="131">
        <f t="shared" si="206"/>
        <v>194596</v>
      </c>
      <c r="AH47" s="151">
        <f>AG47/AG2</f>
        <v>132.00824898922747</v>
      </c>
      <c r="AI47" s="159">
        <v>100</v>
      </c>
      <c r="AJ47" s="159">
        <f>AI47*AJ2</f>
        <v>357662.39999999997</v>
      </c>
      <c r="AK47" s="73">
        <f t="shared" si="207"/>
        <v>422041.63199999993</v>
      </c>
      <c r="AL47" s="118"/>
      <c r="AM47" s="20"/>
      <c r="AN47" s="20">
        <f t="shared" si="208"/>
        <v>0</v>
      </c>
      <c r="AO47" s="151">
        <f>AN47/AN2</f>
        <v>0</v>
      </c>
      <c r="AP47" s="96"/>
      <c r="AQ47" s="96">
        <f>AP47*AQ2</f>
        <v>0</v>
      </c>
      <c r="AR47" s="96">
        <f t="shared" si="209"/>
        <v>0</v>
      </c>
      <c r="AS47" s="118"/>
      <c r="AT47" s="151"/>
      <c r="AU47" s="151">
        <f t="shared" si="210"/>
        <v>0</v>
      </c>
      <c r="AV47" s="151">
        <f>AU47/AU2</f>
        <v>0</v>
      </c>
      <c r="AW47" s="210"/>
      <c r="AX47" s="210">
        <f>AW47*AX2</f>
        <v>0</v>
      </c>
      <c r="AY47" s="210">
        <f t="shared" si="211"/>
        <v>0</v>
      </c>
      <c r="AZ47" s="118"/>
      <c r="BA47" s="151">
        <v>413000</v>
      </c>
      <c r="BB47" s="151">
        <f t="shared" si="212"/>
        <v>350000</v>
      </c>
      <c r="BC47" s="151">
        <f>BB47/BB2</f>
        <v>189.11558744704763</v>
      </c>
      <c r="BD47" s="159">
        <v>200</v>
      </c>
      <c r="BE47" s="159">
        <f>BD47*BE2</f>
        <v>194325.59999999998</v>
      </c>
      <c r="BF47" s="73">
        <f t="shared" si="213"/>
        <v>229304.20799999996</v>
      </c>
      <c r="BG47" s="118"/>
      <c r="BH47" s="151"/>
      <c r="BI47" s="151">
        <f t="shared" si="214"/>
        <v>0</v>
      </c>
      <c r="BJ47" s="151">
        <f>BI47/BI2</f>
        <v>0</v>
      </c>
      <c r="BK47" s="210"/>
      <c r="BL47" s="210">
        <f>BK47*BL2</f>
        <v>0</v>
      </c>
      <c r="BM47" s="210">
        <f t="shared" si="215"/>
        <v>0</v>
      </c>
      <c r="BN47" s="118"/>
      <c r="BO47" s="151">
        <v>488172</v>
      </c>
      <c r="BP47" s="151">
        <f t="shared" si="216"/>
        <v>413705.08474576275</v>
      </c>
      <c r="BQ47" s="151">
        <f>BP47/BP2</f>
        <v>91.934463276836169</v>
      </c>
      <c r="BR47" s="96">
        <v>100</v>
      </c>
      <c r="BS47" s="96">
        <f>BR47*BS2</f>
        <v>319572</v>
      </c>
      <c r="BT47" s="96">
        <f t="shared" si="217"/>
        <v>377094.95999999996</v>
      </c>
      <c r="BU47" s="118"/>
      <c r="BV47" s="151">
        <v>133104</v>
      </c>
      <c r="BW47" s="151">
        <f t="shared" si="218"/>
        <v>112800</v>
      </c>
      <c r="BX47" s="151">
        <f>BW47/BW2</f>
        <v>747.0198675496689</v>
      </c>
      <c r="BY47" s="159"/>
      <c r="BZ47" s="159">
        <f>BY47*BZ2</f>
        <v>0</v>
      </c>
      <c r="CA47" s="73">
        <f t="shared" si="219"/>
        <v>0</v>
      </c>
      <c r="CB47" s="118"/>
      <c r="CC47" s="151">
        <v>413000</v>
      </c>
      <c r="CD47" s="151">
        <f t="shared" si="220"/>
        <v>350000</v>
      </c>
      <c r="CE47" s="151">
        <f>CD47/CD2</f>
        <v>189.11558744704763</v>
      </c>
      <c r="CF47" s="96">
        <v>200</v>
      </c>
      <c r="CG47" s="96">
        <f>CF47*CG2</f>
        <v>143108</v>
      </c>
      <c r="CH47" s="96">
        <f t="shared" si="221"/>
        <v>168867.44</v>
      </c>
      <c r="CI47" s="118"/>
      <c r="CJ47" s="151"/>
      <c r="CK47" s="151">
        <f t="shared" si="222"/>
        <v>0</v>
      </c>
      <c r="CL47" s="151">
        <f>CK47/CK2</f>
        <v>0</v>
      </c>
      <c r="CM47" s="210"/>
      <c r="CN47" s="210">
        <f>CM47*CN2</f>
        <v>0</v>
      </c>
      <c r="CO47" s="210">
        <f t="shared" si="223"/>
        <v>0</v>
      </c>
      <c r="CP47" s="118"/>
      <c r="CQ47" s="151"/>
      <c r="CR47" s="151">
        <f t="shared" si="224"/>
        <v>0</v>
      </c>
      <c r="CS47" s="151">
        <f>CR47/CR2</f>
        <v>0</v>
      </c>
      <c r="CT47" s="159"/>
      <c r="CU47" s="159">
        <f>CT47*CU2</f>
        <v>0</v>
      </c>
      <c r="CV47" s="159">
        <f t="shared" si="225"/>
        <v>0</v>
      </c>
      <c r="CW47" s="118"/>
      <c r="CX47" s="151">
        <v>133104</v>
      </c>
      <c r="CY47" s="151">
        <f t="shared" si="226"/>
        <v>112800</v>
      </c>
      <c r="CZ47" s="151">
        <f>CY47/CY2</f>
        <v>747.0198675496689</v>
      </c>
      <c r="DA47" s="96"/>
      <c r="DB47" s="96">
        <f>DA47*DB2</f>
        <v>0</v>
      </c>
      <c r="DC47" s="96">
        <f t="shared" si="227"/>
        <v>0</v>
      </c>
      <c r="DD47" s="118"/>
      <c r="DE47" s="151">
        <v>229623.28</v>
      </c>
      <c r="DF47" s="151">
        <f t="shared" si="228"/>
        <v>194596</v>
      </c>
      <c r="DG47" s="151">
        <f>DF47/DF2</f>
        <v>132.00824898922747</v>
      </c>
      <c r="DH47" s="159">
        <v>400</v>
      </c>
      <c r="DI47" s="159">
        <f>DH47*DI2</f>
        <v>307090.39999999997</v>
      </c>
      <c r="DJ47" s="159">
        <f t="shared" si="229"/>
        <v>362366.67199999996</v>
      </c>
      <c r="DK47" s="118"/>
      <c r="DL47" s="151">
        <v>413000</v>
      </c>
      <c r="DM47" s="151">
        <f t="shared" si="230"/>
        <v>350000</v>
      </c>
      <c r="DN47" s="151">
        <f>DM47/DM2</f>
        <v>189.11558744704763</v>
      </c>
      <c r="DO47" s="96">
        <v>200</v>
      </c>
      <c r="DP47" s="96">
        <f>DO47*DP2</f>
        <v>142010.47999999998</v>
      </c>
      <c r="DQ47" s="96">
        <f t="shared" si="231"/>
        <v>167572.36639999997</v>
      </c>
      <c r="DR47" s="118"/>
      <c r="DS47" s="151"/>
      <c r="DT47" s="151">
        <f t="shared" si="232"/>
        <v>0</v>
      </c>
      <c r="DU47" s="151">
        <f>DT47/DT2</f>
        <v>0</v>
      </c>
      <c r="DV47" s="210"/>
      <c r="DW47" s="210">
        <f>DV47*DW2</f>
        <v>0</v>
      </c>
      <c r="DX47" s="210">
        <f t="shared" si="233"/>
        <v>0</v>
      </c>
      <c r="DY47" s="118"/>
      <c r="DZ47" s="151"/>
      <c r="EA47" s="151">
        <f t="shared" si="234"/>
        <v>0</v>
      </c>
      <c r="EB47" s="151">
        <f>EA47/EA2</f>
        <v>0</v>
      </c>
      <c r="EC47" s="159"/>
      <c r="ED47" s="159">
        <f>EC47*ED2</f>
        <v>0</v>
      </c>
      <c r="EE47" s="159">
        <f t="shared" si="235"/>
        <v>0</v>
      </c>
      <c r="EF47" s="118"/>
      <c r="EG47" s="151"/>
      <c r="EH47" s="151">
        <f t="shared" si="236"/>
        <v>0</v>
      </c>
      <c r="EI47" s="151">
        <f>EH47/EH2</f>
        <v>0</v>
      </c>
      <c r="EJ47" s="96">
        <v>200</v>
      </c>
      <c r="EK47" s="96">
        <f>EJ47*EK2</f>
        <v>355467.36</v>
      </c>
      <c r="EL47" s="96">
        <f t="shared" si="237"/>
        <v>419451.48479999998</v>
      </c>
      <c r="EM47" s="118"/>
      <c r="EN47" s="151">
        <v>488172</v>
      </c>
      <c r="EO47" s="151">
        <f t="shared" si="238"/>
        <v>413705.08474576275</v>
      </c>
      <c r="EP47" s="151">
        <f>EO47/EO2</f>
        <v>91.934463276836169</v>
      </c>
      <c r="EQ47" s="159">
        <v>100</v>
      </c>
      <c r="ER47" s="159">
        <f>EQ47*ER2</f>
        <v>520418.16</v>
      </c>
      <c r="ES47" s="159">
        <f t="shared" si="239"/>
        <v>614093.42879999999</v>
      </c>
      <c r="ET47" s="118"/>
      <c r="EU47" s="151"/>
      <c r="EV47" s="151">
        <f t="shared" si="240"/>
        <v>0</v>
      </c>
      <c r="EW47" s="151">
        <f>EV47/EV2</f>
        <v>0</v>
      </c>
      <c r="EX47" s="96"/>
      <c r="EY47" s="96">
        <f>EX47*EY2</f>
        <v>0</v>
      </c>
      <c r="EZ47" s="96">
        <f t="shared" si="241"/>
        <v>0</v>
      </c>
      <c r="FA47" s="118"/>
      <c r="FB47" s="151"/>
      <c r="FC47" s="151">
        <f t="shared" si="242"/>
        <v>0</v>
      </c>
      <c r="FD47" s="151">
        <f>FC47/FC2</f>
        <v>0</v>
      </c>
      <c r="FE47" s="159">
        <v>200</v>
      </c>
      <c r="FF47" s="159">
        <f>FE47*FF2</f>
        <v>366550.16</v>
      </c>
      <c r="FG47" s="159">
        <f t="shared" si="243"/>
        <v>432529.18879999995</v>
      </c>
      <c r="FH47" s="118"/>
      <c r="FI47" s="151"/>
      <c r="FJ47" s="151">
        <f t="shared" si="244"/>
        <v>0</v>
      </c>
      <c r="FK47" s="151">
        <f>FJ47/FJ2</f>
        <v>0</v>
      </c>
      <c r="FL47" s="96"/>
      <c r="FM47" s="96">
        <f>FL47*FM2</f>
        <v>0</v>
      </c>
      <c r="FN47" s="96">
        <f t="shared" si="245"/>
        <v>0</v>
      </c>
      <c r="FO47" s="118"/>
      <c r="FP47" s="151"/>
      <c r="FQ47" s="151">
        <f t="shared" si="246"/>
        <v>0</v>
      </c>
      <c r="FR47" s="151">
        <f>FQ47/FQ2</f>
        <v>0</v>
      </c>
      <c r="FS47" s="159"/>
      <c r="FT47" s="159">
        <f>FS47*FT2</f>
        <v>0</v>
      </c>
      <c r="FU47" s="159">
        <f t="shared" si="247"/>
        <v>0</v>
      </c>
      <c r="FV47" s="118"/>
      <c r="FW47" s="151"/>
      <c r="FX47" s="151">
        <f t="shared" si="248"/>
        <v>0</v>
      </c>
      <c r="FY47" s="151">
        <f>FX47/FX2</f>
        <v>0</v>
      </c>
      <c r="FZ47" s="96"/>
      <c r="GA47" s="96">
        <f>FZ47*GA2</f>
        <v>0</v>
      </c>
      <c r="GB47" s="96">
        <f t="shared" si="249"/>
        <v>0</v>
      </c>
      <c r="GC47" s="118"/>
      <c r="GD47" s="151"/>
      <c r="GE47" s="151">
        <f t="shared" si="250"/>
        <v>0</v>
      </c>
      <c r="GF47" s="151">
        <f>GE47/GE2</f>
        <v>0</v>
      </c>
      <c r="GG47" s="159"/>
      <c r="GH47" s="159">
        <f>GG47*GH2</f>
        <v>0</v>
      </c>
      <c r="GI47" s="159">
        <f t="shared" si="251"/>
        <v>0</v>
      </c>
      <c r="GJ47" s="118"/>
      <c r="GK47" s="151"/>
      <c r="GL47" s="151">
        <f t="shared" si="252"/>
        <v>0</v>
      </c>
      <c r="GM47" s="151">
        <f>GL47/GL2</f>
        <v>0</v>
      </c>
      <c r="GN47" s="159"/>
      <c r="GO47" s="159">
        <f>GN47*GO2</f>
        <v>0</v>
      </c>
      <c r="GP47" s="159">
        <f t="shared" si="253"/>
        <v>0</v>
      </c>
      <c r="GQ47" s="118"/>
      <c r="GR47" s="151"/>
      <c r="GS47" s="151">
        <f t="shared" si="254"/>
        <v>0</v>
      </c>
      <c r="GT47" s="151">
        <f>GS47/GS2</f>
        <v>0</v>
      </c>
      <c r="GU47" s="96"/>
      <c r="GV47" s="96">
        <f>GU47*GV2</f>
        <v>0</v>
      </c>
      <c r="GW47" s="96">
        <f t="shared" si="255"/>
        <v>0</v>
      </c>
      <c r="GX47" s="118"/>
      <c r="GY47" s="151"/>
      <c r="GZ47" s="151">
        <f t="shared" si="256"/>
        <v>0</v>
      </c>
      <c r="HA47" s="151">
        <f>GZ47/GZ2</f>
        <v>0</v>
      </c>
      <c r="HB47" s="159"/>
      <c r="HC47" s="159">
        <f>HB47*HC2</f>
        <v>0</v>
      </c>
      <c r="HD47" s="159">
        <f t="shared" si="257"/>
        <v>0</v>
      </c>
      <c r="HE47" s="118"/>
      <c r="HF47" s="151"/>
      <c r="HG47" s="151">
        <f t="shared" si="258"/>
        <v>0</v>
      </c>
      <c r="HH47" s="151">
        <f>HG47/HG2</f>
        <v>0</v>
      </c>
      <c r="HI47" s="210"/>
      <c r="HJ47" s="210">
        <f>HI47*HJ2</f>
        <v>0</v>
      </c>
      <c r="HK47" s="210">
        <f t="shared" si="259"/>
        <v>0</v>
      </c>
      <c r="HL47" s="118"/>
      <c r="HM47" s="151"/>
      <c r="HN47" s="151">
        <f t="shared" si="260"/>
        <v>0</v>
      </c>
      <c r="HO47" s="151">
        <f>HN47/HN2</f>
        <v>0</v>
      </c>
      <c r="HP47" s="159"/>
      <c r="HQ47" s="159">
        <f>HP47*HQ2</f>
        <v>0</v>
      </c>
      <c r="HR47" s="159">
        <f t="shared" si="261"/>
        <v>0</v>
      </c>
      <c r="HS47" s="118"/>
      <c r="HT47" s="151">
        <v>413000</v>
      </c>
      <c r="HU47" s="151">
        <f t="shared" si="262"/>
        <v>350000</v>
      </c>
      <c r="HV47" s="151">
        <f>HU47/HU2</f>
        <v>189.11558744704763</v>
      </c>
      <c r="HW47" s="96">
        <v>200</v>
      </c>
      <c r="HX47" s="96">
        <f>HW47*HX2</f>
        <v>127871.84</v>
      </c>
      <c r="HY47" s="96">
        <f t="shared" si="263"/>
        <v>150888.77119999999</v>
      </c>
      <c r="HZ47" s="118"/>
      <c r="IA47" s="34"/>
    </row>
    <row r="48" spans="1:235">
      <c r="A48" s="18">
        <v>3</v>
      </c>
      <c r="B48" s="19" t="s">
        <v>47</v>
      </c>
      <c r="C48" s="118"/>
      <c r="D48" s="151"/>
      <c r="E48" s="151">
        <f t="shared" si="198"/>
        <v>0</v>
      </c>
      <c r="F48" s="151">
        <f>E48/E2</f>
        <v>0</v>
      </c>
      <c r="G48" s="73">
        <v>1000</v>
      </c>
      <c r="H48" s="159">
        <f>G48*H2</f>
        <v>1015744</v>
      </c>
      <c r="I48" s="73">
        <f t="shared" si="199"/>
        <v>1198577.92</v>
      </c>
      <c r="J48" s="118"/>
      <c r="K48" s="151"/>
      <c r="L48" s="151">
        <f t="shared" si="200"/>
        <v>0</v>
      </c>
      <c r="M48" s="151">
        <f>L48/L2</f>
        <v>0</v>
      </c>
      <c r="N48" s="96"/>
      <c r="O48" s="96">
        <f>N48*O2</f>
        <v>0</v>
      </c>
      <c r="P48" s="96">
        <f t="shared" si="201"/>
        <v>0</v>
      </c>
      <c r="Q48" s="118"/>
      <c r="R48" s="20"/>
      <c r="S48" s="20">
        <f t="shared" si="202"/>
        <v>0</v>
      </c>
      <c r="T48" s="151">
        <f>S48/S2</f>
        <v>0</v>
      </c>
      <c r="U48" s="159"/>
      <c r="V48" s="159">
        <f>U48*V2</f>
        <v>0</v>
      </c>
      <c r="W48" s="73">
        <f t="shared" si="203"/>
        <v>0</v>
      </c>
      <c r="X48" s="118"/>
      <c r="Y48" s="20"/>
      <c r="Z48" s="20">
        <f t="shared" si="204"/>
        <v>0</v>
      </c>
      <c r="AA48" s="151">
        <f>Z48/Z2</f>
        <v>0</v>
      </c>
      <c r="AB48" s="96"/>
      <c r="AC48" s="96">
        <f>AB48*AC2</f>
        <v>0</v>
      </c>
      <c r="AD48" s="96">
        <f t="shared" si="205"/>
        <v>0</v>
      </c>
      <c r="AE48" s="118"/>
      <c r="AF48" s="131">
        <v>1005477</v>
      </c>
      <c r="AG48" s="131">
        <f t="shared" si="206"/>
        <v>852099.15254237293</v>
      </c>
      <c r="AH48" s="151">
        <f>AG48/AG2</f>
        <v>578.03920477462691</v>
      </c>
      <c r="AI48" s="159">
        <v>500</v>
      </c>
      <c r="AJ48" s="159">
        <f>AI48*AJ2</f>
        <v>1788312</v>
      </c>
      <c r="AK48" s="73">
        <f t="shared" si="207"/>
        <v>2110208.1599999997</v>
      </c>
      <c r="AL48" s="118"/>
      <c r="AM48" s="20"/>
      <c r="AN48" s="20">
        <f t="shared" si="208"/>
        <v>0</v>
      </c>
      <c r="AO48" s="151">
        <f>AN48/AN2</f>
        <v>0</v>
      </c>
      <c r="AP48" s="96"/>
      <c r="AQ48" s="96">
        <f>AP48*AQ2</f>
        <v>0</v>
      </c>
      <c r="AR48" s="96">
        <f t="shared" si="209"/>
        <v>0</v>
      </c>
      <c r="AS48" s="118"/>
      <c r="AT48" s="151">
        <v>3878992.4</v>
      </c>
      <c r="AU48" s="151">
        <f t="shared" si="210"/>
        <v>3287281.6949152541</v>
      </c>
      <c r="AV48" s="151">
        <f>AU48/AU2</f>
        <v>505.73564537157756</v>
      </c>
      <c r="AW48" s="210">
        <v>3000</v>
      </c>
      <c r="AX48" s="210">
        <f>AW48*AX2</f>
        <v>2873565.6</v>
      </c>
      <c r="AY48" s="210">
        <f t="shared" si="211"/>
        <v>3390807.4079999998</v>
      </c>
      <c r="AZ48" s="118"/>
      <c r="BA48" s="151">
        <v>1475000</v>
      </c>
      <c r="BB48" s="151">
        <f t="shared" si="212"/>
        <v>1250000</v>
      </c>
      <c r="BC48" s="151">
        <f>BB48/BB2</f>
        <v>675.41281231088442</v>
      </c>
      <c r="BD48" s="159"/>
      <c r="BE48" s="159">
        <f>BD48*BE2</f>
        <v>0</v>
      </c>
      <c r="BF48" s="73">
        <f t="shared" si="213"/>
        <v>0</v>
      </c>
      <c r="BG48" s="118"/>
      <c r="BH48" s="151">
        <v>3878992.4</v>
      </c>
      <c r="BI48" s="151">
        <f t="shared" si="214"/>
        <v>3287281.6949152541</v>
      </c>
      <c r="BJ48" s="151">
        <f>BI48/BI2</f>
        <v>505.73564537157756</v>
      </c>
      <c r="BK48" s="210">
        <v>3000</v>
      </c>
      <c r="BL48" s="210">
        <f>BK48*BL2</f>
        <v>3256083.6</v>
      </c>
      <c r="BM48" s="210">
        <f t="shared" si="215"/>
        <v>3842178.648</v>
      </c>
      <c r="BN48" s="118"/>
      <c r="BO48" s="151">
        <v>2227151.15</v>
      </c>
      <c r="BP48" s="151">
        <f t="shared" si="216"/>
        <v>1887416.2288135593</v>
      </c>
      <c r="BQ48" s="151">
        <f>BP48/BP2</f>
        <v>419.4258286252354</v>
      </c>
      <c r="BR48" s="96">
        <v>1000</v>
      </c>
      <c r="BS48" s="96">
        <f>BR48*BS2</f>
        <v>3195720</v>
      </c>
      <c r="BT48" s="96">
        <f t="shared" si="217"/>
        <v>3770949.5999999996</v>
      </c>
      <c r="BU48" s="118"/>
      <c r="BV48" s="151"/>
      <c r="BW48" s="151">
        <f t="shared" si="218"/>
        <v>0</v>
      </c>
      <c r="BX48" s="151">
        <f>BW48/BW2</f>
        <v>0</v>
      </c>
      <c r="BY48" s="159"/>
      <c r="BZ48" s="159">
        <f>BY48*BZ2</f>
        <v>0</v>
      </c>
      <c r="CA48" s="73">
        <f t="shared" si="219"/>
        <v>0</v>
      </c>
      <c r="CB48" s="118"/>
      <c r="CC48" s="151">
        <v>1475000</v>
      </c>
      <c r="CD48" s="151">
        <f t="shared" si="220"/>
        <v>1250000</v>
      </c>
      <c r="CE48" s="151">
        <f>CD48/CD2</f>
        <v>675.41281231088442</v>
      </c>
      <c r="CF48" s="96"/>
      <c r="CG48" s="96">
        <f>CF48*CG2</f>
        <v>0</v>
      </c>
      <c r="CH48" s="96">
        <f t="shared" si="221"/>
        <v>0</v>
      </c>
      <c r="CI48" s="118"/>
      <c r="CJ48" s="151">
        <v>3878992.4</v>
      </c>
      <c r="CK48" s="151">
        <f t="shared" si="222"/>
        <v>3287281.6949152541</v>
      </c>
      <c r="CL48" s="151">
        <f>CK48/CK2</f>
        <v>505.73564537157756</v>
      </c>
      <c r="CM48" s="210">
        <v>3000</v>
      </c>
      <c r="CN48" s="210">
        <f>CM48*CN2</f>
        <v>1921628.4</v>
      </c>
      <c r="CO48" s="210">
        <f t="shared" si="223"/>
        <v>2267521.5119999996</v>
      </c>
      <c r="CP48" s="118"/>
      <c r="CQ48" s="151"/>
      <c r="CR48" s="151">
        <f t="shared" si="224"/>
        <v>0</v>
      </c>
      <c r="CS48" s="151">
        <f>CR48/CR2</f>
        <v>0</v>
      </c>
      <c r="CT48" s="159"/>
      <c r="CU48" s="159">
        <f>CT48*CU2</f>
        <v>0</v>
      </c>
      <c r="CV48" s="159">
        <f t="shared" si="225"/>
        <v>0</v>
      </c>
      <c r="CW48" s="118"/>
      <c r="CX48" s="151"/>
      <c r="CY48" s="151">
        <f t="shared" si="226"/>
        <v>0</v>
      </c>
      <c r="CZ48" s="151">
        <f>CY48/CY2</f>
        <v>0</v>
      </c>
      <c r="DA48" s="96">
        <v>2000</v>
      </c>
      <c r="DB48" s="96">
        <f>DA48*DB2</f>
        <v>986907.2</v>
      </c>
      <c r="DC48" s="96">
        <f t="shared" si="227"/>
        <v>1164550.4959999998</v>
      </c>
      <c r="DD48" s="118"/>
      <c r="DE48" s="151">
        <v>1005477</v>
      </c>
      <c r="DF48" s="151">
        <f t="shared" si="228"/>
        <v>852099.15254237293</v>
      </c>
      <c r="DG48" s="151">
        <f>DF48/DF2</f>
        <v>578.03920477462691</v>
      </c>
      <c r="DH48" s="159">
        <v>2000</v>
      </c>
      <c r="DI48" s="159">
        <f>DH48*DI2</f>
        <v>1535451.9999999998</v>
      </c>
      <c r="DJ48" s="159">
        <f t="shared" si="229"/>
        <v>1811833.3599999996</v>
      </c>
      <c r="DK48" s="118"/>
      <c r="DL48" s="151">
        <v>1475000</v>
      </c>
      <c r="DM48" s="151">
        <f t="shared" si="230"/>
        <v>1250000</v>
      </c>
      <c r="DN48" s="151">
        <f>DM48/DM2</f>
        <v>675.41281231088442</v>
      </c>
      <c r="DO48" s="96"/>
      <c r="DP48" s="96">
        <f>DO48*DP2</f>
        <v>0</v>
      </c>
      <c r="DQ48" s="96">
        <f t="shared" si="231"/>
        <v>0</v>
      </c>
      <c r="DR48" s="118"/>
      <c r="DS48" s="151">
        <v>3878992.4</v>
      </c>
      <c r="DT48" s="151">
        <f t="shared" si="232"/>
        <v>3287281.6949152541</v>
      </c>
      <c r="DU48" s="151">
        <f>DT48/DT2</f>
        <v>505.73564537157756</v>
      </c>
      <c r="DV48" s="210">
        <v>3000</v>
      </c>
      <c r="DW48" s="210">
        <f>DV48*DW2</f>
        <v>2205046.8000000003</v>
      </c>
      <c r="DX48" s="210">
        <f t="shared" si="233"/>
        <v>2601955.2240000004</v>
      </c>
      <c r="DY48" s="118"/>
      <c r="DZ48" s="151"/>
      <c r="EA48" s="151">
        <f t="shared" si="234"/>
        <v>0</v>
      </c>
      <c r="EB48" s="151">
        <f>EA48/EA2</f>
        <v>0</v>
      </c>
      <c r="EC48" s="159"/>
      <c r="ED48" s="159">
        <f>EC48*ED2</f>
        <v>0</v>
      </c>
      <c r="EE48" s="159">
        <f t="shared" si="235"/>
        <v>0</v>
      </c>
      <c r="EF48" s="118"/>
      <c r="EG48" s="151"/>
      <c r="EH48" s="151">
        <f t="shared" si="236"/>
        <v>0</v>
      </c>
      <c r="EI48" s="151">
        <f>EH48/EH2</f>
        <v>0</v>
      </c>
      <c r="EJ48" s="96">
        <v>1000</v>
      </c>
      <c r="EK48" s="96">
        <f>EJ48*EK2</f>
        <v>1777336.8</v>
      </c>
      <c r="EL48" s="96">
        <f t="shared" si="237"/>
        <v>2097257.4240000001</v>
      </c>
      <c r="EM48" s="118"/>
      <c r="EN48" s="151">
        <v>2227151.15</v>
      </c>
      <c r="EO48" s="151">
        <f t="shared" si="238"/>
        <v>1887416.2288135593</v>
      </c>
      <c r="EP48" s="151">
        <f>EO48/EO2</f>
        <v>419.4258286252354</v>
      </c>
      <c r="EQ48" s="159">
        <v>1000</v>
      </c>
      <c r="ER48" s="159">
        <f>EQ48*ER2</f>
        <v>5204181.5999999996</v>
      </c>
      <c r="ES48" s="159">
        <f t="shared" si="239"/>
        <v>6140934.2879999988</v>
      </c>
      <c r="ET48" s="118"/>
      <c r="EU48" s="151"/>
      <c r="EV48" s="151">
        <f t="shared" si="240"/>
        <v>0</v>
      </c>
      <c r="EW48" s="151">
        <f>EV48/EV2</f>
        <v>0</v>
      </c>
      <c r="EX48" s="96"/>
      <c r="EY48" s="96">
        <f>EX48*EY2</f>
        <v>0</v>
      </c>
      <c r="EZ48" s="96">
        <f t="shared" si="241"/>
        <v>0</v>
      </c>
      <c r="FA48" s="118"/>
      <c r="FB48" s="151"/>
      <c r="FC48" s="151">
        <f t="shared" si="242"/>
        <v>0</v>
      </c>
      <c r="FD48" s="151">
        <f>FC48/FC2</f>
        <v>0</v>
      </c>
      <c r="FE48" s="159">
        <v>1000</v>
      </c>
      <c r="FF48" s="159">
        <f>FE48*FF2</f>
        <v>1832750.7999999998</v>
      </c>
      <c r="FG48" s="159">
        <f t="shared" si="243"/>
        <v>2162645.9439999997</v>
      </c>
      <c r="FH48" s="118"/>
      <c r="FI48" s="151"/>
      <c r="FJ48" s="151">
        <f t="shared" si="244"/>
        <v>0</v>
      </c>
      <c r="FK48" s="151">
        <f>FJ48/FJ2</f>
        <v>0</v>
      </c>
      <c r="FL48" s="96"/>
      <c r="FM48" s="96">
        <f>FL48*FM2</f>
        <v>0</v>
      </c>
      <c r="FN48" s="96">
        <f t="shared" si="245"/>
        <v>0</v>
      </c>
      <c r="FO48" s="118"/>
      <c r="FP48" s="151"/>
      <c r="FQ48" s="151">
        <f t="shared" si="246"/>
        <v>0</v>
      </c>
      <c r="FR48" s="151">
        <f>FQ48/FQ2</f>
        <v>0</v>
      </c>
      <c r="FS48" s="159"/>
      <c r="FT48" s="159">
        <f>FS48*FT2</f>
        <v>0</v>
      </c>
      <c r="FU48" s="159">
        <f t="shared" si="247"/>
        <v>0</v>
      </c>
      <c r="FV48" s="118"/>
      <c r="FW48" s="151"/>
      <c r="FX48" s="151">
        <f t="shared" si="248"/>
        <v>0</v>
      </c>
      <c r="FY48" s="151">
        <f>FX48/FX2</f>
        <v>0</v>
      </c>
      <c r="FZ48" s="96"/>
      <c r="GA48" s="96">
        <f>FZ48*GA2</f>
        <v>0</v>
      </c>
      <c r="GB48" s="96">
        <f t="shared" si="249"/>
        <v>0</v>
      </c>
      <c r="GC48" s="118"/>
      <c r="GD48" s="151"/>
      <c r="GE48" s="151">
        <f t="shared" si="250"/>
        <v>0</v>
      </c>
      <c r="GF48" s="151">
        <f>GE48/GE2</f>
        <v>0</v>
      </c>
      <c r="GG48" s="159"/>
      <c r="GH48" s="159">
        <f>GG48*GH2</f>
        <v>0</v>
      </c>
      <c r="GI48" s="159">
        <f t="shared" si="251"/>
        <v>0</v>
      </c>
      <c r="GJ48" s="118"/>
      <c r="GK48" s="151"/>
      <c r="GL48" s="151">
        <f t="shared" si="252"/>
        <v>0</v>
      </c>
      <c r="GM48" s="151">
        <f>GL48/GL2</f>
        <v>0</v>
      </c>
      <c r="GN48" s="159"/>
      <c r="GO48" s="159">
        <f>GN48*GO2</f>
        <v>0</v>
      </c>
      <c r="GP48" s="159">
        <f t="shared" si="253"/>
        <v>0</v>
      </c>
      <c r="GQ48" s="118"/>
      <c r="GR48" s="151"/>
      <c r="GS48" s="151">
        <f t="shared" si="254"/>
        <v>0</v>
      </c>
      <c r="GT48" s="151">
        <f>GS48/GS2</f>
        <v>0</v>
      </c>
      <c r="GU48" s="96"/>
      <c r="GV48" s="96">
        <f>GU48*GV2</f>
        <v>0</v>
      </c>
      <c r="GW48" s="96">
        <f t="shared" si="255"/>
        <v>0</v>
      </c>
      <c r="GX48" s="118"/>
      <c r="GY48" s="151"/>
      <c r="GZ48" s="151">
        <f t="shared" si="256"/>
        <v>0</v>
      </c>
      <c r="HA48" s="151">
        <f>GZ48/GZ2</f>
        <v>0</v>
      </c>
      <c r="HB48" s="159"/>
      <c r="HC48" s="159">
        <f>HB48*HC2</f>
        <v>0</v>
      </c>
      <c r="HD48" s="159">
        <f t="shared" si="257"/>
        <v>0</v>
      </c>
      <c r="HE48" s="118"/>
      <c r="HF48" s="151">
        <v>3878992.4</v>
      </c>
      <c r="HG48" s="151">
        <f t="shared" si="258"/>
        <v>3287281.6949152541</v>
      </c>
      <c r="HH48" s="151">
        <f>HG48/HG2</f>
        <v>505.73564537157756</v>
      </c>
      <c r="HI48" s="210">
        <v>3000</v>
      </c>
      <c r="HJ48" s="210">
        <f>HI48*HJ2</f>
        <v>2952006</v>
      </c>
      <c r="HK48" s="210">
        <f t="shared" si="259"/>
        <v>3483367.0799999996</v>
      </c>
      <c r="HL48" s="118"/>
      <c r="HM48" s="151"/>
      <c r="HN48" s="151">
        <f t="shared" si="260"/>
        <v>0</v>
      </c>
      <c r="HO48" s="151">
        <f>HN48/HN2</f>
        <v>0</v>
      </c>
      <c r="HP48" s="159"/>
      <c r="HQ48" s="159">
        <f>HP48*HQ2</f>
        <v>0</v>
      </c>
      <c r="HR48" s="159">
        <f t="shared" si="261"/>
        <v>0</v>
      </c>
      <c r="HS48" s="118"/>
      <c r="HT48" s="151">
        <v>1475000</v>
      </c>
      <c r="HU48" s="151">
        <f t="shared" si="262"/>
        <v>1250000</v>
      </c>
      <c r="HV48" s="151">
        <f>HU48/HU2</f>
        <v>675.41281231088442</v>
      </c>
      <c r="HW48" s="96"/>
      <c r="HX48" s="96">
        <f>HW48*HX2</f>
        <v>0</v>
      </c>
      <c r="HY48" s="96">
        <f t="shared" si="263"/>
        <v>0</v>
      </c>
      <c r="HZ48" s="118"/>
      <c r="IA48" s="33"/>
    </row>
    <row r="49" spans="1:235">
      <c r="A49" s="18">
        <v>4</v>
      </c>
      <c r="B49" s="19" t="s">
        <v>48</v>
      </c>
      <c r="C49" s="118"/>
      <c r="D49" s="151">
        <v>189914</v>
      </c>
      <c r="E49" s="151">
        <f t="shared" si="198"/>
        <v>160944.06779661018</v>
      </c>
      <c r="F49" s="151">
        <f>E49/E2</f>
        <v>1065.8547536199349</v>
      </c>
      <c r="G49" s="73">
        <v>200</v>
      </c>
      <c r="H49" s="159">
        <f>G49*H2</f>
        <v>203148.80000000002</v>
      </c>
      <c r="I49" s="73">
        <f t="shared" si="199"/>
        <v>239715.584</v>
      </c>
      <c r="J49" s="118"/>
      <c r="K49" s="151">
        <v>189914</v>
      </c>
      <c r="L49" s="151">
        <f t="shared" si="200"/>
        <v>160944.06779661018</v>
      </c>
      <c r="M49" s="151">
        <f>L49/L2</f>
        <v>1065.8547536199349</v>
      </c>
      <c r="N49" s="96">
        <v>400</v>
      </c>
      <c r="O49" s="96">
        <f>N49*O2</f>
        <v>110784.96000000001</v>
      </c>
      <c r="P49" s="96">
        <f t="shared" si="201"/>
        <v>130726.2528</v>
      </c>
      <c r="Q49" s="118"/>
      <c r="R49" s="20"/>
      <c r="S49" s="20">
        <f t="shared" si="202"/>
        <v>0</v>
      </c>
      <c r="T49" s="151">
        <f>S49/S2</f>
        <v>0</v>
      </c>
      <c r="U49" s="159"/>
      <c r="V49" s="159">
        <f>U49*V2</f>
        <v>0</v>
      </c>
      <c r="W49" s="73">
        <f t="shared" si="203"/>
        <v>0</v>
      </c>
      <c r="X49" s="118"/>
      <c r="Y49" s="151">
        <v>49986</v>
      </c>
      <c r="Z49" s="20">
        <f t="shared" si="204"/>
        <v>42361.016949152545</v>
      </c>
      <c r="AA49" s="151">
        <f>Z49/Z2</f>
        <v>605.15738498789347</v>
      </c>
      <c r="AB49" s="96">
        <v>400</v>
      </c>
      <c r="AC49" s="96">
        <f>AB49*AC2</f>
        <v>153824.96000000002</v>
      </c>
      <c r="AD49" s="96">
        <f t="shared" si="205"/>
        <v>181513.45280000003</v>
      </c>
      <c r="AE49" s="118"/>
      <c r="AF49" s="131">
        <v>488506</v>
      </c>
      <c r="AG49" s="131">
        <f t="shared" si="206"/>
        <v>413988.13559322036</v>
      </c>
      <c r="AH49" s="151">
        <f>AG49/AG2</f>
        <v>280.83747292840502</v>
      </c>
      <c r="AI49" s="159">
        <v>200</v>
      </c>
      <c r="AJ49" s="159">
        <f>AI49*AJ2</f>
        <v>715324.79999999993</v>
      </c>
      <c r="AK49" s="73">
        <f t="shared" si="207"/>
        <v>844083.26399999985</v>
      </c>
      <c r="AL49" s="118"/>
      <c r="AM49" s="20"/>
      <c r="AN49" s="20">
        <f t="shared" si="208"/>
        <v>0</v>
      </c>
      <c r="AO49" s="151">
        <f>AN49/AN2</f>
        <v>0</v>
      </c>
      <c r="AP49" s="96">
        <v>200</v>
      </c>
      <c r="AQ49" s="96">
        <f>AP49*AQ2</f>
        <v>149843.76</v>
      </c>
      <c r="AR49" s="96">
        <f t="shared" si="209"/>
        <v>176815.63680000001</v>
      </c>
      <c r="AS49" s="118"/>
      <c r="AT49" s="151">
        <v>31360</v>
      </c>
      <c r="AU49" s="151">
        <f t="shared" si="210"/>
        <v>26576.271186440681</v>
      </c>
      <c r="AV49" s="151">
        <f>AU49/AU2</f>
        <v>4.0886571056062584</v>
      </c>
      <c r="AW49" s="210"/>
      <c r="AX49" s="210">
        <f>AW49*AX2</f>
        <v>0</v>
      </c>
      <c r="AY49" s="210">
        <f t="shared" si="211"/>
        <v>0</v>
      </c>
      <c r="AZ49" s="118"/>
      <c r="BA49" s="151">
        <v>708000</v>
      </c>
      <c r="BB49" s="151">
        <f t="shared" si="212"/>
        <v>600000</v>
      </c>
      <c r="BC49" s="151">
        <f>BB49/BB2</f>
        <v>324.19814990922453</v>
      </c>
      <c r="BD49" s="159">
        <v>300</v>
      </c>
      <c r="BE49" s="159">
        <f>BD49*BE2</f>
        <v>291488.39999999997</v>
      </c>
      <c r="BF49" s="73">
        <f t="shared" si="213"/>
        <v>343956.31199999992</v>
      </c>
      <c r="BG49" s="118"/>
      <c r="BH49" s="151">
        <v>31360</v>
      </c>
      <c r="BI49" s="151">
        <f t="shared" si="214"/>
        <v>26576.271186440681</v>
      </c>
      <c r="BJ49" s="151">
        <f>BI49/BI2</f>
        <v>4.0886571056062584</v>
      </c>
      <c r="BK49" s="210"/>
      <c r="BL49" s="210">
        <f>BK49*BL2</f>
        <v>0</v>
      </c>
      <c r="BM49" s="210">
        <f t="shared" si="215"/>
        <v>0</v>
      </c>
      <c r="BN49" s="118"/>
      <c r="BO49" s="151">
        <v>1814461</v>
      </c>
      <c r="BP49" s="151">
        <f t="shared" si="216"/>
        <v>1537678.8135593222</v>
      </c>
      <c r="BQ49" s="151">
        <f>BP49/BP2</f>
        <v>341.70640301318269</v>
      </c>
      <c r="BR49" s="96">
        <v>200</v>
      </c>
      <c r="BS49" s="96">
        <f>BR49*BS2</f>
        <v>639144</v>
      </c>
      <c r="BT49" s="96">
        <f t="shared" si="217"/>
        <v>754189.91999999993</v>
      </c>
      <c r="BU49" s="118"/>
      <c r="BV49" s="151">
        <v>189914</v>
      </c>
      <c r="BW49" s="151">
        <f t="shared" si="218"/>
        <v>160944.06779661018</v>
      </c>
      <c r="BX49" s="151">
        <f>BW49/BW2</f>
        <v>1065.8547536199349</v>
      </c>
      <c r="BY49" s="159">
        <v>700</v>
      </c>
      <c r="BZ49" s="159">
        <f>BY49*BZ2</f>
        <v>188300</v>
      </c>
      <c r="CA49" s="73">
        <f t="shared" si="219"/>
        <v>222194</v>
      </c>
      <c r="CB49" s="118"/>
      <c r="CC49" s="151">
        <v>708000</v>
      </c>
      <c r="CD49" s="151">
        <f t="shared" si="220"/>
        <v>600000</v>
      </c>
      <c r="CE49" s="151">
        <f>CD49/CD2</f>
        <v>324.19814990922453</v>
      </c>
      <c r="CF49" s="96">
        <v>300</v>
      </c>
      <c r="CG49" s="96">
        <f>CF49*CG2</f>
        <v>214662</v>
      </c>
      <c r="CH49" s="96">
        <f t="shared" si="221"/>
        <v>253301.15999999997</v>
      </c>
      <c r="CI49" s="118"/>
      <c r="CJ49" s="151">
        <v>31360</v>
      </c>
      <c r="CK49" s="151">
        <f t="shared" si="222"/>
        <v>26576.271186440681</v>
      </c>
      <c r="CL49" s="151">
        <f>CK49/CK2</f>
        <v>4.0886571056062584</v>
      </c>
      <c r="CM49" s="210"/>
      <c r="CN49" s="210">
        <f>CM49*CN2</f>
        <v>0</v>
      </c>
      <c r="CO49" s="210">
        <f t="shared" si="223"/>
        <v>0</v>
      </c>
      <c r="CP49" s="118"/>
      <c r="CQ49" s="151">
        <v>49986</v>
      </c>
      <c r="CR49" s="151">
        <f t="shared" si="224"/>
        <v>42361.016949152545</v>
      </c>
      <c r="CS49" s="151">
        <f>CR49/CR2</f>
        <v>605.15738498789347</v>
      </c>
      <c r="CT49" s="159">
        <v>700</v>
      </c>
      <c r="CU49" s="159">
        <f>CT49*CU2</f>
        <v>265804.27999999997</v>
      </c>
      <c r="CV49" s="159">
        <f t="shared" si="225"/>
        <v>313649.05039999995</v>
      </c>
      <c r="CW49" s="118"/>
      <c r="CX49" s="151">
        <v>189914</v>
      </c>
      <c r="CY49" s="151">
        <f t="shared" si="226"/>
        <v>160944.06779661018</v>
      </c>
      <c r="CZ49" s="151">
        <f>CY49/CY2</f>
        <v>1065.8547536199349</v>
      </c>
      <c r="DA49" s="96">
        <v>500</v>
      </c>
      <c r="DB49" s="96">
        <f>DA49*DB2</f>
        <v>246726.8</v>
      </c>
      <c r="DC49" s="96">
        <f t="shared" si="227"/>
        <v>291137.62399999995</v>
      </c>
      <c r="DD49" s="118"/>
      <c r="DE49" s="151">
        <v>488506</v>
      </c>
      <c r="DF49" s="151">
        <f t="shared" si="228"/>
        <v>413988.13559322036</v>
      </c>
      <c r="DG49" s="151">
        <f>DF49/DF2</f>
        <v>280.83747292840502</v>
      </c>
      <c r="DH49" s="159">
        <v>500</v>
      </c>
      <c r="DI49" s="159">
        <f>DH49*DI2</f>
        <v>383862.99999999994</v>
      </c>
      <c r="DJ49" s="159">
        <f t="shared" si="229"/>
        <v>452958.33999999991</v>
      </c>
      <c r="DK49" s="118"/>
      <c r="DL49" s="151">
        <v>708000</v>
      </c>
      <c r="DM49" s="151">
        <f t="shared" si="230"/>
        <v>600000</v>
      </c>
      <c r="DN49" s="151">
        <f>DM49/DM2</f>
        <v>324.19814990922453</v>
      </c>
      <c r="DO49" s="96">
        <v>300</v>
      </c>
      <c r="DP49" s="96">
        <f>DO49*DP2</f>
        <v>213015.71999999997</v>
      </c>
      <c r="DQ49" s="96">
        <f t="shared" si="231"/>
        <v>251358.54959999994</v>
      </c>
      <c r="DR49" s="118"/>
      <c r="DS49" s="151">
        <v>31360</v>
      </c>
      <c r="DT49" s="151">
        <f t="shared" si="232"/>
        <v>26576.271186440681</v>
      </c>
      <c r="DU49" s="151">
        <f>DT49/DT2</f>
        <v>4.0886571056062584</v>
      </c>
      <c r="DV49" s="210"/>
      <c r="DW49" s="210">
        <f>DV49*DW2</f>
        <v>0</v>
      </c>
      <c r="DX49" s="210">
        <f t="shared" si="233"/>
        <v>0</v>
      </c>
      <c r="DY49" s="118"/>
      <c r="DZ49" s="151"/>
      <c r="EA49" s="151">
        <f t="shared" si="234"/>
        <v>0</v>
      </c>
      <c r="EB49" s="151">
        <f>EA49/EA2</f>
        <v>0</v>
      </c>
      <c r="EC49" s="159">
        <v>200</v>
      </c>
      <c r="ED49" s="159">
        <f>EC49*ED2</f>
        <v>129120</v>
      </c>
      <c r="EE49" s="159">
        <f t="shared" si="235"/>
        <v>152361.60000000001</v>
      </c>
      <c r="EF49" s="118"/>
      <c r="EG49" s="151">
        <v>23856</v>
      </c>
      <c r="EH49" s="151">
        <f t="shared" si="236"/>
        <v>20216.949152542373</v>
      </c>
      <c r="EI49" s="151">
        <f>EH49/EH2</f>
        <v>134.77966101694915</v>
      </c>
      <c r="EJ49" s="96">
        <v>200</v>
      </c>
      <c r="EK49" s="96">
        <f>EJ49*EK2</f>
        <v>355467.36</v>
      </c>
      <c r="EL49" s="96">
        <f t="shared" si="237"/>
        <v>419451.48479999998</v>
      </c>
      <c r="EM49" s="118"/>
      <c r="EN49" s="151">
        <v>1814461</v>
      </c>
      <c r="EO49" s="151">
        <f t="shared" si="238"/>
        <v>1537678.8135593222</v>
      </c>
      <c r="EP49" s="151">
        <f>EO49/EO2</f>
        <v>341.70640301318269</v>
      </c>
      <c r="EQ49" s="159">
        <v>200</v>
      </c>
      <c r="ER49" s="159">
        <f>EQ49*ER2</f>
        <v>1040836.32</v>
      </c>
      <c r="ES49" s="159">
        <f t="shared" si="239"/>
        <v>1228186.8576</v>
      </c>
      <c r="ET49" s="118"/>
      <c r="EU49" s="151">
        <v>113398</v>
      </c>
      <c r="EV49" s="151">
        <f t="shared" si="240"/>
        <v>96100</v>
      </c>
      <c r="EW49" s="151">
        <f>EV49/EV2</f>
        <v>94.0129133242027</v>
      </c>
      <c r="EX49" s="96">
        <v>200</v>
      </c>
      <c r="EY49" s="96">
        <f>EX49*EY2</f>
        <v>215200</v>
      </c>
      <c r="EZ49" s="96">
        <f t="shared" si="241"/>
        <v>253936</v>
      </c>
      <c r="FA49" s="118"/>
      <c r="FB49" s="151">
        <v>23856</v>
      </c>
      <c r="FC49" s="151">
        <f t="shared" si="242"/>
        <v>20216.949152542373</v>
      </c>
      <c r="FD49" s="151">
        <f>FC49/FC2</f>
        <v>134.77966101694915</v>
      </c>
      <c r="FE49" s="159">
        <v>200</v>
      </c>
      <c r="FF49" s="159">
        <f>FE49*FF2</f>
        <v>366550.16</v>
      </c>
      <c r="FG49" s="159">
        <f t="shared" si="243"/>
        <v>432529.18879999995</v>
      </c>
      <c r="FH49" s="118"/>
      <c r="FI49" s="151">
        <v>49986</v>
      </c>
      <c r="FJ49" s="151">
        <f t="shared" si="244"/>
        <v>42361.016949152545</v>
      </c>
      <c r="FK49" s="151">
        <f>FJ49/FJ2</f>
        <v>605.15738498789347</v>
      </c>
      <c r="FL49" s="96">
        <v>700</v>
      </c>
      <c r="FM49" s="96">
        <f>FL49*FM2</f>
        <v>131810</v>
      </c>
      <c r="FN49" s="96">
        <f t="shared" si="245"/>
        <v>155535.79999999999</v>
      </c>
      <c r="FO49" s="118"/>
      <c r="FP49" s="151"/>
      <c r="FQ49" s="151">
        <f t="shared" si="246"/>
        <v>0</v>
      </c>
      <c r="FR49" s="151">
        <f>FQ49/FQ2</f>
        <v>0</v>
      </c>
      <c r="FS49" s="159"/>
      <c r="FT49" s="159">
        <f>FS49*FT2</f>
        <v>0</v>
      </c>
      <c r="FU49" s="159">
        <f t="shared" si="247"/>
        <v>0</v>
      </c>
      <c r="FV49" s="118"/>
      <c r="FW49" s="151"/>
      <c r="FX49" s="151">
        <f t="shared" si="248"/>
        <v>0</v>
      </c>
      <c r="FY49" s="151">
        <f>FX49/FX2</f>
        <v>0</v>
      </c>
      <c r="FZ49" s="96"/>
      <c r="GA49" s="96">
        <f>FZ49*GA2</f>
        <v>0</v>
      </c>
      <c r="GB49" s="96">
        <f t="shared" si="249"/>
        <v>0</v>
      </c>
      <c r="GC49" s="118"/>
      <c r="GD49" s="151"/>
      <c r="GE49" s="151">
        <f t="shared" si="250"/>
        <v>0</v>
      </c>
      <c r="GF49" s="151">
        <f>GE49/GE2</f>
        <v>0</v>
      </c>
      <c r="GG49" s="159"/>
      <c r="GH49" s="159">
        <f>GG49*GH2</f>
        <v>0</v>
      </c>
      <c r="GI49" s="159">
        <f t="shared" si="251"/>
        <v>0</v>
      </c>
      <c r="GJ49" s="118"/>
      <c r="GK49" s="151">
        <v>8196.7999999999993</v>
      </c>
      <c r="GL49" s="151">
        <f t="shared" si="252"/>
        <v>6946.4406779661012</v>
      </c>
      <c r="GM49" s="151">
        <f>GL49/GL2</f>
        <v>99.234866828087164</v>
      </c>
      <c r="GN49" s="159">
        <v>700</v>
      </c>
      <c r="GO49" s="159">
        <f>GN49*GO2</f>
        <v>112980</v>
      </c>
      <c r="GP49" s="159">
        <f t="shared" si="253"/>
        <v>133316.4</v>
      </c>
      <c r="GQ49" s="118"/>
      <c r="GR49" s="151"/>
      <c r="GS49" s="151">
        <f t="shared" si="254"/>
        <v>0</v>
      </c>
      <c r="GT49" s="151">
        <f>GS49/GS2</f>
        <v>0</v>
      </c>
      <c r="GU49" s="96"/>
      <c r="GV49" s="96">
        <f>GU49*GV2</f>
        <v>0</v>
      </c>
      <c r="GW49" s="96">
        <f t="shared" si="255"/>
        <v>0</v>
      </c>
      <c r="GX49" s="118"/>
      <c r="GY49" s="151"/>
      <c r="GZ49" s="151">
        <f t="shared" si="256"/>
        <v>0</v>
      </c>
      <c r="HA49" s="151">
        <f>GZ49/GZ2</f>
        <v>0</v>
      </c>
      <c r="HB49" s="159">
        <v>700</v>
      </c>
      <c r="HC49" s="159">
        <f>HB49*HC2</f>
        <v>193271.11999999997</v>
      </c>
      <c r="HD49" s="159">
        <f t="shared" si="257"/>
        <v>228059.92159999994</v>
      </c>
      <c r="HE49" s="118"/>
      <c r="HF49" s="151">
        <v>31360</v>
      </c>
      <c r="HG49" s="151">
        <f t="shared" si="258"/>
        <v>26576.271186440681</v>
      </c>
      <c r="HH49" s="151">
        <f>HG49/HG2</f>
        <v>4.0886571056062584</v>
      </c>
      <c r="HI49" s="210"/>
      <c r="HJ49" s="210">
        <f>HI49*HJ2</f>
        <v>0</v>
      </c>
      <c r="HK49" s="210">
        <f t="shared" si="259"/>
        <v>0</v>
      </c>
      <c r="HL49" s="118"/>
      <c r="HM49" s="151">
        <v>8196.7999999999993</v>
      </c>
      <c r="HN49" s="151">
        <f t="shared" si="260"/>
        <v>6946.4406779661012</v>
      </c>
      <c r="HO49" s="151">
        <f>HN49/HN2</f>
        <v>99.234866828087164</v>
      </c>
      <c r="HP49" s="159">
        <v>700</v>
      </c>
      <c r="HQ49" s="159">
        <f>HP49*HQ2</f>
        <v>112980</v>
      </c>
      <c r="HR49" s="159">
        <f t="shared" si="261"/>
        <v>133316.4</v>
      </c>
      <c r="HS49" s="118"/>
      <c r="HT49" s="151">
        <v>708000</v>
      </c>
      <c r="HU49" s="151">
        <f t="shared" si="262"/>
        <v>600000</v>
      </c>
      <c r="HV49" s="151">
        <f>HU49/HU2</f>
        <v>324.19814990922453</v>
      </c>
      <c r="HW49" s="96">
        <v>300</v>
      </c>
      <c r="HX49" s="96">
        <f>HW49*HX2</f>
        <v>191807.76</v>
      </c>
      <c r="HY49" s="96">
        <f t="shared" si="263"/>
        <v>226333.1568</v>
      </c>
      <c r="HZ49" s="118"/>
      <c r="IA49" s="34"/>
    </row>
    <row r="50" spans="1:235">
      <c r="A50" s="18">
        <v>5</v>
      </c>
      <c r="B50" s="19" t="s">
        <v>49</v>
      </c>
      <c r="C50" s="118"/>
      <c r="D50" s="151"/>
      <c r="E50" s="151">
        <f t="shared" si="198"/>
        <v>0</v>
      </c>
      <c r="F50" s="151">
        <f>E50/E2</f>
        <v>0</v>
      </c>
      <c r="G50" s="73"/>
      <c r="H50" s="159">
        <f>G50*H2</f>
        <v>0</v>
      </c>
      <c r="I50" s="73">
        <f t="shared" si="199"/>
        <v>0</v>
      </c>
      <c r="J50" s="118"/>
      <c r="K50" s="151"/>
      <c r="L50" s="151">
        <f t="shared" si="200"/>
        <v>0</v>
      </c>
      <c r="M50" s="151">
        <f>L50/L2</f>
        <v>0</v>
      </c>
      <c r="N50" s="96"/>
      <c r="O50" s="96">
        <f>N50*O2</f>
        <v>0</v>
      </c>
      <c r="P50" s="96">
        <f t="shared" si="201"/>
        <v>0</v>
      </c>
      <c r="Q50" s="118"/>
      <c r="R50" s="20"/>
      <c r="S50" s="20">
        <f t="shared" si="202"/>
        <v>0</v>
      </c>
      <c r="T50" s="151">
        <f>S50/S2</f>
        <v>0</v>
      </c>
      <c r="U50" s="159"/>
      <c r="V50" s="159">
        <f>U50*V2</f>
        <v>0</v>
      </c>
      <c r="W50" s="73">
        <f t="shared" si="203"/>
        <v>0</v>
      </c>
      <c r="X50" s="118"/>
      <c r="Y50" s="20"/>
      <c r="Z50" s="20">
        <f t="shared" si="204"/>
        <v>0</v>
      </c>
      <c r="AA50" s="151">
        <f>Z50/Z2</f>
        <v>0</v>
      </c>
      <c r="AB50" s="96"/>
      <c r="AC50" s="96">
        <f>AB50*AC2</f>
        <v>0</v>
      </c>
      <c r="AD50" s="96">
        <f t="shared" si="205"/>
        <v>0</v>
      </c>
      <c r="AE50" s="118"/>
      <c r="AF50" s="131"/>
      <c r="AG50" s="131">
        <f t="shared" si="206"/>
        <v>0</v>
      </c>
      <c r="AH50" s="151">
        <f>AG50/AG2</f>
        <v>0</v>
      </c>
      <c r="AI50" s="159"/>
      <c r="AJ50" s="159">
        <f>AI50*AJ2</f>
        <v>0</v>
      </c>
      <c r="AK50" s="73">
        <f t="shared" si="207"/>
        <v>0</v>
      </c>
      <c r="AL50" s="118"/>
      <c r="AM50" s="20"/>
      <c r="AN50" s="20">
        <f t="shared" si="208"/>
        <v>0</v>
      </c>
      <c r="AO50" s="151">
        <f>AN50/AN2</f>
        <v>0</v>
      </c>
      <c r="AP50" s="96"/>
      <c r="AQ50" s="96">
        <f>AP50*AQ2</f>
        <v>0</v>
      </c>
      <c r="AR50" s="96">
        <f t="shared" si="209"/>
        <v>0</v>
      </c>
      <c r="AS50" s="118"/>
      <c r="AT50" s="151"/>
      <c r="AU50" s="151">
        <f t="shared" si="210"/>
        <v>0</v>
      </c>
      <c r="AV50" s="151">
        <f>AU50/AU2</f>
        <v>0</v>
      </c>
      <c r="AW50" s="210"/>
      <c r="AX50" s="210">
        <f>AW50*AX2</f>
        <v>0</v>
      </c>
      <c r="AY50" s="210">
        <f t="shared" si="211"/>
        <v>0</v>
      </c>
      <c r="AZ50" s="118"/>
      <c r="BA50" s="151"/>
      <c r="BB50" s="151">
        <f t="shared" si="212"/>
        <v>0</v>
      </c>
      <c r="BC50" s="151">
        <f>BB50/BB2</f>
        <v>0</v>
      </c>
      <c r="BD50" s="159"/>
      <c r="BE50" s="159">
        <f>BD50*BE2</f>
        <v>0</v>
      </c>
      <c r="BF50" s="73">
        <f t="shared" si="213"/>
        <v>0</v>
      </c>
      <c r="BG50" s="118"/>
      <c r="BH50" s="151"/>
      <c r="BI50" s="151">
        <f t="shared" si="214"/>
        <v>0</v>
      </c>
      <c r="BJ50" s="151">
        <f>BI50/BI2</f>
        <v>0</v>
      </c>
      <c r="BK50" s="210"/>
      <c r="BL50" s="210">
        <f>BK50*BL2</f>
        <v>0</v>
      </c>
      <c r="BM50" s="210">
        <f t="shared" si="215"/>
        <v>0</v>
      </c>
      <c r="BN50" s="118"/>
      <c r="BO50" s="151"/>
      <c r="BP50" s="151">
        <f t="shared" si="216"/>
        <v>0</v>
      </c>
      <c r="BQ50" s="151">
        <f>BP50/BP2</f>
        <v>0</v>
      </c>
      <c r="BR50" s="96"/>
      <c r="BS50" s="96">
        <f>BR50*BS2</f>
        <v>0</v>
      </c>
      <c r="BT50" s="96">
        <f t="shared" si="217"/>
        <v>0</v>
      </c>
      <c r="BU50" s="118"/>
      <c r="BV50" s="151"/>
      <c r="BW50" s="151">
        <f t="shared" si="218"/>
        <v>0</v>
      </c>
      <c r="BX50" s="151">
        <f>BW50/BW2</f>
        <v>0</v>
      </c>
      <c r="BY50" s="159"/>
      <c r="BZ50" s="159">
        <f>BY50*BZ2</f>
        <v>0</v>
      </c>
      <c r="CA50" s="73">
        <f t="shared" si="219"/>
        <v>0</v>
      </c>
      <c r="CB50" s="118"/>
      <c r="CC50" s="151"/>
      <c r="CD50" s="151">
        <f t="shared" si="220"/>
        <v>0</v>
      </c>
      <c r="CE50" s="151">
        <f>CD50/CD2</f>
        <v>0</v>
      </c>
      <c r="CF50" s="96"/>
      <c r="CG50" s="96">
        <f>CF50*CG2</f>
        <v>0</v>
      </c>
      <c r="CH50" s="96">
        <f t="shared" si="221"/>
        <v>0</v>
      </c>
      <c r="CI50" s="118"/>
      <c r="CJ50" s="151"/>
      <c r="CK50" s="151">
        <f t="shared" si="222"/>
        <v>0</v>
      </c>
      <c r="CL50" s="151">
        <f>CK50/CK2</f>
        <v>0</v>
      </c>
      <c r="CM50" s="210"/>
      <c r="CN50" s="210">
        <f>CM50*CN2</f>
        <v>0</v>
      </c>
      <c r="CO50" s="210">
        <f t="shared" si="223"/>
        <v>0</v>
      </c>
      <c r="CP50" s="118"/>
      <c r="CQ50" s="151"/>
      <c r="CR50" s="151">
        <f t="shared" si="224"/>
        <v>0</v>
      </c>
      <c r="CS50" s="151">
        <f>CR50/CR2</f>
        <v>0</v>
      </c>
      <c r="CT50" s="159"/>
      <c r="CU50" s="159">
        <f>CT50*CU2</f>
        <v>0</v>
      </c>
      <c r="CV50" s="159">
        <f t="shared" si="225"/>
        <v>0</v>
      </c>
      <c r="CW50" s="118"/>
      <c r="CX50" s="151"/>
      <c r="CY50" s="151">
        <f t="shared" si="226"/>
        <v>0</v>
      </c>
      <c r="CZ50" s="151">
        <f>CY50/CY2</f>
        <v>0</v>
      </c>
      <c r="DA50" s="96"/>
      <c r="DB50" s="96">
        <f>DA50*DB2</f>
        <v>0</v>
      </c>
      <c r="DC50" s="96">
        <f t="shared" si="227"/>
        <v>0</v>
      </c>
      <c r="DD50" s="118"/>
      <c r="DE50" s="151"/>
      <c r="DF50" s="151">
        <f t="shared" si="228"/>
        <v>0</v>
      </c>
      <c r="DG50" s="151">
        <f>DF50/DF2</f>
        <v>0</v>
      </c>
      <c r="DH50" s="159"/>
      <c r="DI50" s="159">
        <f>DH50*DI2</f>
        <v>0</v>
      </c>
      <c r="DJ50" s="159">
        <f t="shared" si="229"/>
        <v>0</v>
      </c>
      <c r="DK50" s="118"/>
      <c r="DL50" s="151"/>
      <c r="DM50" s="151">
        <f t="shared" si="230"/>
        <v>0</v>
      </c>
      <c r="DN50" s="151">
        <f>DM50/DM2</f>
        <v>0</v>
      </c>
      <c r="DO50" s="96"/>
      <c r="DP50" s="96">
        <f>DO50*DP2</f>
        <v>0</v>
      </c>
      <c r="DQ50" s="96">
        <f t="shared" si="231"/>
        <v>0</v>
      </c>
      <c r="DR50" s="118"/>
      <c r="DS50" s="151"/>
      <c r="DT50" s="151">
        <f t="shared" si="232"/>
        <v>0</v>
      </c>
      <c r="DU50" s="151">
        <f>DT50/DT2</f>
        <v>0</v>
      </c>
      <c r="DV50" s="210"/>
      <c r="DW50" s="210">
        <f>DV50*DW2</f>
        <v>0</v>
      </c>
      <c r="DX50" s="210">
        <f t="shared" si="233"/>
        <v>0</v>
      </c>
      <c r="DY50" s="118"/>
      <c r="DZ50" s="151"/>
      <c r="EA50" s="151">
        <f t="shared" si="234"/>
        <v>0</v>
      </c>
      <c r="EB50" s="151">
        <f>EA50/EA2</f>
        <v>0</v>
      </c>
      <c r="EC50" s="159"/>
      <c r="ED50" s="159">
        <f>EC50*ED2</f>
        <v>0</v>
      </c>
      <c r="EE50" s="159">
        <f t="shared" si="235"/>
        <v>0</v>
      </c>
      <c r="EF50" s="118"/>
      <c r="EG50" s="151"/>
      <c r="EH50" s="151">
        <f t="shared" si="236"/>
        <v>0</v>
      </c>
      <c r="EI50" s="151">
        <f>EH50/EH2</f>
        <v>0</v>
      </c>
      <c r="EJ50" s="96"/>
      <c r="EK50" s="96">
        <f>EJ50*EK2</f>
        <v>0</v>
      </c>
      <c r="EL50" s="96">
        <f t="shared" si="237"/>
        <v>0</v>
      </c>
      <c r="EM50" s="118"/>
      <c r="EN50" s="151"/>
      <c r="EO50" s="151">
        <f t="shared" si="238"/>
        <v>0</v>
      </c>
      <c r="EP50" s="151">
        <f>EO50/EO2</f>
        <v>0</v>
      </c>
      <c r="EQ50" s="159"/>
      <c r="ER50" s="159">
        <f>EQ50*ER2</f>
        <v>0</v>
      </c>
      <c r="ES50" s="159">
        <f t="shared" si="239"/>
        <v>0</v>
      </c>
      <c r="ET50" s="118"/>
      <c r="EU50" s="151"/>
      <c r="EV50" s="151">
        <f t="shared" si="240"/>
        <v>0</v>
      </c>
      <c r="EW50" s="151">
        <f>EV50/EV2</f>
        <v>0</v>
      </c>
      <c r="EX50" s="96"/>
      <c r="EY50" s="96">
        <f>EX50*EY2</f>
        <v>0</v>
      </c>
      <c r="EZ50" s="96">
        <f t="shared" si="241"/>
        <v>0</v>
      </c>
      <c r="FA50" s="118"/>
      <c r="FB50" s="151"/>
      <c r="FC50" s="151">
        <f t="shared" si="242"/>
        <v>0</v>
      </c>
      <c r="FD50" s="151">
        <f>FC50/FC2</f>
        <v>0</v>
      </c>
      <c r="FE50" s="159"/>
      <c r="FF50" s="159">
        <f>FE50*FF2</f>
        <v>0</v>
      </c>
      <c r="FG50" s="159">
        <f t="shared" si="243"/>
        <v>0</v>
      </c>
      <c r="FH50" s="118"/>
      <c r="FI50" s="151"/>
      <c r="FJ50" s="151">
        <f t="shared" si="244"/>
        <v>0</v>
      </c>
      <c r="FK50" s="151">
        <f>FJ50/FJ2</f>
        <v>0</v>
      </c>
      <c r="FL50" s="96"/>
      <c r="FM50" s="96">
        <f>FL50*FM2</f>
        <v>0</v>
      </c>
      <c r="FN50" s="96">
        <f t="shared" si="245"/>
        <v>0</v>
      </c>
      <c r="FO50" s="118"/>
      <c r="FP50" s="151"/>
      <c r="FQ50" s="151">
        <f t="shared" si="246"/>
        <v>0</v>
      </c>
      <c r="FR50" s="151">
        <f>FQ50/FQ2</f>
        <v>0</v>
      </c>
      <c r="FS50" s="159"/>
      <c r="FT50" s="159">
        <f>FS50*FT2</f>
        <v>0</v>
      </c>
      <c r="FU50" s="159">
        <f t="shared" si="247"/>
        <v>0</v>
      </c>
      <c r="FV50" s="118"/>
      <c r="FW50" s="151"/>
      <c r="FX50" s="151">
        <f t="shared" si="248"/>
        <v>0</v>
      </c>
      <c r="FY50" s="151">
        <f>FX50/FX2</f>
        <v>0</v>
      </c>
      <c r="FZ50" s="96"/>
      <c r="GA50" s="96">
        <f>FZ50*GA2</f>
        <v>0</v>
      </c>
      <c r="GB50" s="96">
        <f t="shared" si="249"/>
        <v>0</v>
      </c>
      <c r="GC50" s="118"/>
      <c r="GD50" s="151"/>
      <c r="GE50" s="151">
        <f t="shared" si="250"/>
        <v>0</v>
      </c>
      <c r="GF50" s="151">
        <f>GE50/GE2</f>
        <v>0</v>
      </c>
      <c r="GG50" s="159"/>
      <c r="GH50" s="159">
        <f>GG50*GH2</f>
        <v>0</v>
      </c>
      <c r="GI50" s="159">
        <f t="shared" si="251"/>
        <v>0</v>
      </c>
      <c r="GJ50" s="118"/>
      <c r="GK50" s="151"/>
      <c r="GL50" s="151">
        <f t="shared" si="252"/>
        <v>0</v>
      </c>
      <c r="GM50" s="151">
        <f>GL50/GL2</f>
        <v>0</v>
      </c>
      <c r="GN50" s="159"/>
      <c r="GO50" s="159">
        <f>GN50*GO2</f>
        <v>0</v>
      </c>
      <c r="GP50" s="159">
        <f t="shared" si="253"/>
        <v>0</v>
      </c>
      <c r="GQ50" s="118"/>
      <c r="GR50" s="151"/>
      <c r="GS50" s="151">
        <f t="shared" si="254"/>
        <v>0</v>
      </c>
      <c r="GT50" s="151">
        <f>GS50/GS2</f>
        <v>0</v>
      </c>
      <c r="GU50" s="96"/>
      <c r="GV50" s="96">
        <f>GU50*GV2</f>
        <v>0</v>
      </c>
      <c r="GW50" s="96">
        <f t="shared" si="255"/>
        <v>0</v>
      </c>
      <c r="GX50" s="118"/>
      <c r="GY50" s="151"/>
      <c r="GZ50" s="151">
        <f t="shared" si="256"/>
        <v>0</v>
      </c>
      <c r="HA50" s="151">
        <f>GZ50/GZ2</f>
        <v>0</v>
      </c>
      <c r="HB50" s="159"/>
      <c r="HC50" s="159">
        <f>HB50*HC2</f>
        <v>0</v>
      </c>
      <c r="HD50" s="159">
        <f t="shared" si="257"/>
        <v>0</v>
      </c>
      <c r="HE50" s="118"/>
      <c r="HF50" s="151"/>
      <c r="HG50" s="151">
        <f t="shared" si="258"/>
        <v>0</v>
      </c>
      <c r="HH50" s="151">
        <f>HG50/HG2</f>
        <v>0</v>
      </c>
      <c r="HI50" s="210"/>
      <c r="HJ50" s="210">
        <f>HI50*HJ2</f>
        <v>0</v>
      </c>
      <c r="HK50" s="210">
        <f t="shared" si="259"/>
        <v>0</v>
      </c>
      <c r="HL50" s="118"/>
      <c r="HM50" s="151"/>
      <c r="HN50" s="151">
        <f t="shared" si="260"/>
        <v>0</v>
      </c>
      <c r="HO50" s="151">
        <f>HN50/HN2</f>
        <v>0</v>
      </c>
      <c r="HP50" s="159"/>
      <c r="HQ50" s="159">
        <f>HP50*HQ2</f>
        <v>0</v>
      </c>
      <c r="HR50" s="159">
        <f t="shared" si="261"/>
        <v>0</v>
      </c>
      <c r="HS50" s="118"/>
      <c r="HT50" s="151"/>
      <c r="HU50" s="151">
        <f t="shared" si="262"/>
        <v>0</v>
      </c>
      <c r="HV50" s="151">
        <f>HU50/HU2</f>
        <v>0</v>
      </c>
      <c r="HW50" s="96"/>
      <c r="HX50" s="96">
        <f>HW50*HX2</f>
        <v>0</v>
      </c>
      <c r="HY50" s="96">
        <f t="shared" si="263"/>
        <v>0</v>
      </c>
      <c r="HZ50" s="118"/>
      <c r="IA50" s="33"/>
    </row>
    <row r="51" spans="1:235">
      <c r="A51" s="18">
        <v>6</v>
      </c>
      <c r="B51" s="19" t="s">
        <v>50</v>
      </c>
      <c r="C51" s="118"/>
      <c r="D51" s="151"/>
      <c r="E51" s="151">
        <f t="shared" si="198"/>
        <v>0</v>
      </c>
      <c r="F51" s="151">
        <f>E51/E2</f>
        <v>0</v>
      </c>
      <c r="G51" s="73"/>
      <c r="H51" s="159">
        <f>G51*H2</f>
        <v>0</v>
      </c>
      <c r="I51" s="73">
        <f t="shared" si="199"/>
        <v>0</v>
      </c>
      <c r="J51" s="118"/>
      <c r="K51" s="151"/>
      <c r="L51" s="151">
        <f t="shared" si="200"/>
        <v>0</v>
      </c>
      <c r="M51" s="151">
        <f>L51/L2</f>
        <v>0</v>
      </c>
      <c r="N51" s="96"/>
      <c r="O51" s="96">
        <f>N51*O2</f>
        <v>0</v>
      </c>
      <c r="P51" s="96">
        <f t="shared" si="201"/>
        <v>0</v>
      </c>
      <c r="Q51" s="118"/>
      <c r="R51" s="20"/>
      <c r="S51" s="20">
        <f t="shared" si="202"/>
        <v>0</v>
      </c>
      <c r="T51" s="151">
        <f>S51/S2</f>
        <v>0</v>
      </c>
      <c r="U51" s="159"/>
      <c r="V51" s="159">
        <f>U51*V2</f>
        <v>0</v>
      </c>
      <c r="W51" s="73">
        <f t="shared" si="203"/>
        <v>0</v>
      </c>
      <c r="X51" s="118"/>
      <c r="Y51" s="20"/>
      <c r="Z51" s="20">
        <f t="shared" si="204"/>
        <v>0</v>
      </c>
      <c r="AA51" s="151">
        <f>Z51/Z2</f>
        <v>0</v>
      </c>
      <c r="AB51" s="96"/>
      <c r="AC51" s="96">
        <f>AB51*AC2</f>
        <v>0</v>
      </c>
      <c r="AD51" s="96">
        <f t="shared" si="205"/>
        <v>0</v>
      </c>
      <c r="AE51" s="118"/>
      <c r="AF51" s="131"/>
      <c r="AG51" s="131">
        <f t="shared" si="206"/>
        <v>0</v>
      </c>
      <c r="AH51" s="151">
        <f>AG51/AG2</f>
        <v>0</v>
      </c>
      <c r="AI51" s="159"/>
      <c r="AJ51" s="159">
        <f>AI51*AJ2</f>
        <v>0</v>
      </c>
      <c r="AK51" s="73">
        <f t="shared" si="207"/>
        <v>0</v>
      </c>
      <c r="AL51" s="118"/>
      <c r="AM51" s="20"/>
      <c r="AN51" s="20">
        <f t="shared" si="208"/>
        <v>0</v>
      </c>
      <c r="AO51" s="151">
        <f>AN51/AN2</f>
        <v>0</v>
      </c>
      <c r="AP51" s="96"/>
      <c r="AQ51" s="96">
        <f>AP51*AQ2</f>
        <v>0</v>
      </c>
      <c r="AR51" s="96">
        <f t="shared" si="209"/>
        <v>0</v>
      </c>
      <c r="AS51" s="118"/>
      <c r="AT51" s="151"/>
      <c r="AU51" s="151">
        <f t="shared" si="210"/>
        <v>0</v>
      </c>
      <c r="AV51" s="151">
        <f>AU51/AU2</f>
        <v>0</v>
      </c>
      <c r="AW51" s="210"/>
      <c r="AX51" s="210">
        <f>AW51*AX2</f>
        <v>0</v>
      </c>
      <c r="AY51" s="210">
        <f t="shared" si="211"/>
        <v>0</v>
      </c>
      <c r="AZ51" s="118"/>
      <c r="BA51" s="151"/>
      <c r="BB51" s="151">
        <f t="shared" si="212"/>
        <v>0</v>
      </c>
      <c r="BC51" s="151">
        <f>BB51/BB2</f>
        <v>0</v>
      </c>
      <c r="BD51" s="159"/>
      <c r="BE51" s="159">
        <f>BD51*BE2</f>
        <v>0</v>
      </c>
      <c r="BF51" s="73">
        <f t="shared" si="213"/>
        <v>0</v>
      </c>
      <c r="BG51" s="118"/>
      <c r="BH51" s="151"/>
      <c r="BI51" s="151">
        <f t="shared" si="214"/>
        <v>0</v>
      </c>
      <c r="BJ51" s="151">
        <f>BI51/BI2</f>
        <v>0</v>
      </c>
      <c r="BK51" s="210"/>
      <c r="BL51" s="210">
        <f>BK51*BL2</f>
        <v>0</v>
      </c>
      <c r="BM51" s="210">
        <f t="shared" si="215"/>
        <v>0</v>
      </c>
      <c r="BN51" s="118"/>
      <c r="BO51" s="151"/>
      <c r="BP51" s="151">
        <f t="shared" si="216"/>
        <v>0</v>
      </c>
      <c r="BQ51" s="151">
        <f>BP51/BP2</f>
        <v>0</v>
      </c>
      <c r="BR51" s="96"/>
      <c r="BS51" s="96">
        <f>BR51*BS2</f>
        <v>0</v>
      </c>
      <c r="BT51" s="96">
        <f t="shared" si="217"/>
        <v>0</v>
      </c>
      <c r="BU51" s="118"/>
      <c r="BV51" s="151"/>
      <c r="BW51" s="151">
        <f t="shared" si="218"/>
        <v>0</v>
      </c>
      <c r="BX51" s="151">
        <f>BW51/BW2</f>
        <v>0</v>
      </c>
      <c r="BY51" s="159"/>
      <c r="BZ51" s="159">
        <f>BY51*BZ2</f>
        <v>0</v>
      </c>
      <c r="CA51" s="73">
        <f t="shared" si="219"/>
        <v>0</v>
      </c>
      <c r="CB51" s="118"/>
      <c r="CC51" s="151"/>
      <c r="CD51" s="151">
        <f t="shared" si="220"/>
        <v>0</v>
      </c>
      <c r="CE51" s="151">
        <f>CD51/CD2</f>
        <v>0</v>
      </c>
      <c r="CF51" s="96"/>
      <c r="CG51" s="96">
        <f>CF51*CG2</f>
        <v>0</v>
      </c>
      <c r="CH51" s="96">
        <f t="shared" si="221"/>
        <v>0</v>
      </c>
      <c r="CI51" s="118"/>
      <c r="CJ51" s="151"/>
      <c r="CK51" s="151">
        <f t="shared" si="222"/>
        <v>0</v>
      </c>
      <c r="CL51" s="151">
        <f>CK51/CK2</f>
        <v>0</v>
      </c>
      <c r="CM51" s="210"/>
      <c r="CN51" s="210">
        <f>CM51*CN2</f>
        <v>0</v>
      </c>
      <c r="CO51" s="210">
        <f t="shared" si="223"/>
        <v>0</v>
      </c>
      <c r="CP51" s="118"/>
      <c r="CQ51" s="151"/>
      <c r="CR51" s="151">
        <f t="shared" si="224"/>
        <v>0</v>
      </c>
      <c r="CS51" s="151">
        <f>CR51/CR2</f>
        <v>0</v>
      </c>
      <c r="CT51" s="159"/>
      <c r="CU51" s="159">
        <f>CT51*CU2</f>
        <v>0</v>
      </c>
      <c r="CV51" s="159">
        <f t="shared" si="225"/>
        <v>0</v>
      </c>
      <c r="CW51" s="118"/>
      <c r="CX51" s="151"/>
      <c r="CY51" s="151">
        <f t="shared" si="226"/>
        <v>0</v>
      </c>
      <c r="CZ51" s="151">
        <f>CY51/CY2</f>
        <v>0</v>
      </c>
      <c r="DA51" s="96"/>
      <c r="DB51" s="96">
        <f>DA51*DB2</f>
        <v>0</v>
      </c>
      <c r="DC51" s="96">
        <f t="shared" si="227"/>
        <v>0</v>
      </c>
      <c r="DD51" s="118"/>
      <c r="DE51" s="151"/>
      <c r="DF51" s="151">
        <f t="shared" si="228"/>
        <v>0</v>
      </c>
      <c r="DG51" s="151">
        <f>DF51/DF2</f>
        <v>0</v>
      </c>
      <c r="DH51" s="159"/>
      <c r="DI51" s="159">
        <f>DH51*DI2</f>
        <v>0</v>
      </c>
      <c r="DJ51" s="159">
        <f t="shared" si="229"/>
        <v>0</v>
      </c>
      <c r="DK51" s="118"/>
      <c r="DL51" s="151"/>
      <c r="DM51" s="151">
        <f t="shared" si="230"/>
        <v>0</v>
      </c>
      <c r="DN51" s="151">
        <f>DM51/DM2</f>
        <v>0</v>
      </c>
      <c r="DO51" s="96"/>
      <c r="DP51" s="96">
        <f>DO51*DP2</f>
        <v>0</v>
      </c>
      <c r="DQ51" s="96">
        <f t="shared" si="231"/>
        <v>0</v>
      </c>
      <c r="DR51" s="118"/>
      <c r="DS51" s="151"/>
      <c r="DT51" s="151">
        <f t="shared" si="232"/>
        <v>0</v>
      </c>
      <c r="DU51" s="151">
        <f>DT51/DT2</f>
        <v>0</v>
      </c>
      <c r="DV51" s="210"/>
      <c r="DW51" s="210">
        <f>DV51*DW2</f>
        <v>0</v>
      </c>
      <c r="DX51" s="210">
        <f t="shared" si="233"/>
        <v>0</v>
      </c>
      <c r="DY51" s="118"/>
      <c r="DZ51" s="151"/>
      <c r="EA51" s="151">
        <f t="shared" si="234"/>
        <v>0</v>
      </c>
      <c r="EB51" s="151">
        <f>EA51/EA2</f>
        <v>0</v>
      </c>
      <c r="EC51" s="159"/>
      <c r="ED51" s="159">
        <f>EC51*ED2</f>
        <v>0</v>
      </c>
      <c r="EE51" s="159">
        <f t="shared" si="235"/>
        <v>0</v>
      </c>
      <c r="EF51" s="118"/>
      <c r="EG51" s="151"/>
      <c r="EH51" s="151">
        <f t="shared" si="236"/>
        <v>0</v>
      </c>
      <c r="EI51" s="151">
        <f>EH51/EH2</f>
        <v>0</v>
      </c>
      <c r="EJ51" s="96"/>
      <c r="EK51" s="96">
        <f>EJ51*EK2</f>
        <v>0</v>
      </c>
      <c r="EL51" s="96">
        <f t="shared" si="237"/>
        <v>0</v>
      </c>
      <c r="EM51" s="118"/>
      <c r="EN51" s="151"/>
      <c r="EO51" s="151">
        <f t="shared" si="238"/>
        <v>0</v>
      </c>
      <c r="EP51" s="151">
        <f>EO51/EO2</f>
        <v>0</v>
      </c>
      <c r="EQ51" s="159"/>
      <c r="ER51" s="159">
        <f>EQ51*ER2</f>
        <v>0</v>
      </c>
      <c r="ES51" s="159">
        <f t="shared" si="239"/>
        <v>0</v>
      </c>
      <c r="ET51" s="118"/>
      <c r="EU51" s="151"/>
      <c r="EV51" s="151">
        <f t="shared" si="240"/>
        <v>0</v>
      </c>
      <c r="EW51" s="151">
        <f>EV51/EV2</f>
        <v>0</v>
      </c>
      <c r="EX51" s="96"/>
      <c r="EY51" s="96">
        <f>EX51*EY2</f>
        <v>0</v>
      </c>
      <c r="EZ51" s="96">
        <f t="shared" si="241"/>
        <v>0</v>
      </c>
      <c r="FA51" s="118"/>
      <c r="FB51" s="151"/>
      <c r="FC51" s="151">
        <f t="shared" si="242"/>
        <v>0</v>
      </c>
      <c r="FD51" s="151">
        <f>FC51/FC2</f>
        <v>0</v>
      </c>
      <c r="FE51" s="159"/>
      <c r="FF51" s="159">
        <f>FE51*FF2</f>
        <v>0</v>
      </c>
      <c r="FG51" s="159">
        <f t="shared" si="243"/>
        <v>0</v>
      </c>
      <c r="FH51" s="118"/>
      <c r="FI51" s="151"/>
      <c r="FJ51" s="151">
        <f t="shared" si="244"/>
        <v>0</v>
      </c>
      <c r="FK51" s="151">
        <f>FJ51/FJ2</f>
        <v>0</v>
      </c>
      <c r="FL51" s="96"/>
      <c r="FM51" s="96">
        <f>FL51*FM2</f>
        <v>0</v>
      </c>
      <c r="FN51" s="96">
        <f t="shared" si="245"/>
        <v>0</v>
      </c>
      <c r="FO51" s="118"/>
      <c r="FP51" s="151"/>
      <c r="FQ51" s="151">
        <f t="shared" si="246"/>
        <v>0</v>
      </c>
      <c r="FR51" s="151">
        <f>FQ51/FQ2</f>
        <v>0</v>
      </c>
      <c r="FS51" s="159"/>
      <c r="FT51" s="159">
        <f>FS51*FT2</f>
        <v>0</v>
      </c>
      <c r="FU51" s="159">
        <f t="shared" si="247"/>
        <v>0</v>
      </c>
      <c r="FV51" s="118"/>
      <c r="FW51" s="151"/>
      <c r="FX51" s="151">
        <f t="shared" si="248"/>
        <v>0</v>
      </c>
      <c r="FY51" s="151">
        <f>FX51/FX2</f>
        <v>0</v>
      </c>
      <c r="FZ51" s="96"/>
      <c r="GA51" s="96">
        <f>FZ51*GA2</f>
        <v>0</v>
      </c>
      <c r="GB51" s="96">
        <f t="shared" si="249"/>
        <v>0</v>
      </c>
      <c r="GC51" s="118"/>
      <c r="GD51" s="151"/>
      <c r="GE51" s="151">
        <f t="shared" si="250"/>
        <v>0</v>
      </c>
      <c r="GF51" s="151">
        <f>GE51/GE2</f>
        <v>0</v>
      </c>
      <c r="GG51" s="159"/>
      <c r="GH51" s="159">
        <f>GG51*GH2</f>
        <v>0</v>
      </c>
      <c r="GI51" s="159">
        <f t="shared" si="251"/>
        <v>0</v>
      </c>
      <c r="GJ51" s="118"/>
      <c r="GK51" s="151"/>
      <c r="GL51" s="151">
        <f t="shared" si="252"/>
        <v>0</v>
      </c>
      <c r="GM51" s="151">
        <f>GL51/GL2</f>
        <v>0</v>
      </c>
      <c r="GN51" s="159"/>
      <c r="GO51" s="159">
        <f>GN51*GO2</f>
        <v>0</v>
      </c>
      <c r="GP51" s="159">
        <f t="shared" si="253"/>
        <v>0</v>
      </c>
      <c r="GQ51" s="118"/>
      <c r="GR51" s="151"/>
      <c r="GS51" s="151">
        <f t="shared" si="254"/>
        <v>0</v>
      </c>
      <c r="GT51" s="151">
        <f>GS51/GS2</f>
        <v>0</v>
      </c>
      <c r="GU51" s="96"/>
      <c r="GV51" s="96">
        <f>GU51*GV2</f>
        <v>0</v>
      </c>
      <c r="GW51" s="96">
        <f t="shared" si="255"/>
        <v>0</v>
      </c>
      <c r="GX51" s="118"/>
      <c r="GY51" s="151"/>
      <c r="GZ51" s="151">
        <f t="shared" si="256"/>
        <v>0</v>
      </c>
      <c r="HA51" s="151">
        <f>GZ51/GZ2</f>
        <v>0</v>
      </c>
      <c r="HB51" s="159"/>
      <c r="HC51" s="159">
        <f>HB51*HC2</f>
        <v>0</v>
      </c>
      <c r="HD51" s="159">
        <f t="shared" si="257"/>
        <v>0</v>
      </c>
      <c r="HE51" s="118"/>
      <c r="HF51" s="151"/>
      <c r="HG51" s="151">
        <f t="shared" si="258"/>
        <v>0</v>
      </c>
      <c r="HH51" s="151">
        <f>HG51/HG2</f>
        <v>0</v>
      </c>
      <c r="HI51" s="210"/>
      <c r="HJ51" s="210">
        <f>HI51*HJ2</f>
        <v>0</v>
      </c>
      <c r="HK51" s="210">
        <f t="shared" si="259"/>
        <v>0</v>
      </c>
      <c r="HL51" s="118"/>
      <c r="HM51" s="151"/>
      <c r="HN51" s="151">
        <f t="shared" si="260"/>
        <v>0</v>
      </c>
      <c r="HO51" s="151">
        <f>HN51/HN2</f>
        <v>0</v>
      </c>
      <c r="HP51" s="159"/>
      <c r="HQ51" s="159">
        <f>HP51*HQ2</f>
        <v>0</v>
      </c>
      <c r="HR51" s="159">
        <f t="shared" si="261"/>
        <v>0</v>
      </c>
      <c r="HS51" s="118"/>
      <c r="HT51" s="151"/>
      <c r="HU51" s="151">
        <f t="shared" si="262"/>
        <v>0</v>
      </c>
      <c r="HV51" s="151">
        <f>HU51/HU2</f>
        <v>0</v>
      </c>
      <c r="HW51" s="96"/>
      <c r="HX51" s="96">
        <f>HW51*HX2</f>
        <v>0</v>
      </c>
      <c r="HY51" s="96">
        <f t="shared" si="263"/>
        <v>0</v>
      </c>
      <c r="HZ51" s="118"/>
      <c r="IA51" s="33"/>
    </row>
    <row r="52" spans="1:235">
      <c r="A52" s="18">
        <v>7</v>
      </c>
      <c r="B52" s="19" t="s">
        <v>51</v>
      </c>
      <c r="C52" s="118"/>
      <c r="D52" s="151"/>
      <c r="E52" s="151">
        <f t="shared" si="198"/>
        <v>0</v>
      </c>
      <c r="F52" s="151">
        <f>E52/E2</f>
        <v>0</v>
      </c>
      <c r="G52" s="73"/>
      <c r="H52" s="159">
        <f>G52*H2</f>
        <v>0</v>
      </c>
      <c r="I52" s="73">
        <f t="shared" si="199"/>
        <v>0</v>
      </c>
      <c r="J52" s="118"/>
      <c r="K52" s="151"/>
      <c r="L52" s="151">
        <f t="shared" si="200"/>
        <v>0</v>
      </c>
      <c r="M52" s="151">
        <f>L52/L2</f>
        <v>0</v>
      </c>
      <c r="N52" s="96"/>
      <c r="O52" s="96">
        <f>N52*O2</f>
        <v>0</v>
      </c>
      <c r="P52" s="96">
        <f t="shared" si="201"/>
        <v>0</v>
      </c>
      <c r="Q52" s="118"/>
      <c r="R52" s="20"/>
      <c r="S52" s="20">
        <f t="shared" si="202"/>
        <v>0</v>
      </c>
      <c r="T52" s="151">
        <f>S52/S2</f>
        <v>0</v>
      </c>
      <c r="U52" s="159"/>
      <c r="V52" s="159">
        <f>U52*V2</f>
        <v>0</v>
      </c>
      <c r="W52" s="73">
        <f t="shared" si="203"/>
        <v>0</v>
      </c>
      <c r="X52" s="118"/>
      <c r="Y52" s="20"/>
      <c r="Z52" s="20">
        <f t="shared" si="204"/>
        <v>0</v>
      </c>
      <c r="AA52" s="151">
        <f>Z52/Z2</f>
        <v>0</v>
      </c>
      <c r="AB52" s="96"/>
      <c r="AC52" s="96">
        <f>AB52*AC2</f>
        <v>0</v>
      </c>
      <c r="AD52" s="96">
        <f t="shared" si="205"/>
        <v>0</v>
      </c>
      <c r="AE52" s="118"/>
      <c r="AF52" s="131"/>
      <c r="AG52" s="131">
        <f t="shared" si="206"/>
        <v>0</v>
      </c>
      <c r="AH52" s="151">
        <f>AG52/AG2</f>
        <v>0</v>
      </c>
      <c r="AI52" s="159"/>
      <c r="AJ52" s="159">
        <f>AI52*AJ2</f>
        <v>0</v>
      </c>
      <c r="AK52" s="73">
        <f t="shared" si="207"/>
        <v>0</v>
      </c>
      <c r="AL52" s="118"/>
      <c r="AM52" s="20"/>
      <c r="AN52" s="20">
        <f t="shared" si="208"/>
        <v>0</v>
      </c>
      <c r="AO52" s="151">
        <f>AN52/AN2</f>
        <v>0</v>
      </c>
      <c r="AP52" s="96"/>
      <c r="AQ52" s="96">
        <f>AP52*AQ2</f>
        <v>0</v>
      </c>
      <c r="AR52" s="96">
        <f t="shared" si="209"/>
        <v>0</v>
      </c>
      <c r="AS52" s="118"/>
      <c r="AT52" s="151"/>
      <c r="AU52" s="151">
        <f t="shared" si="210"/>
        <v>0</v>
      </c>
      <c r="AV52" s="151">
        <f>AU52/AU2</f>
        <v>0</v>
      </c>
      <c r="AW52" s="210"/>
      <c r="AX52" s="210">
        <f>AW52*AX2</f>
        <v>0</v>
      </c>
      <c r="AY52" s="210">
        <f t="shared" si="211"/>
        <v>0</v>
      </c>
      <c r="AZ52" s="118"/>
      <c r="BA52" s="151"/>
      <c r="BB52" s="151">
        <f t="shared" si="212"/>
        <v>0</v>
      </c>
      <c r="BC52" s="151">
        <f>BB52/BB2</f>
        <v>0</v>
      </c>
      <c r="BD52" s="159"/>
      <c r="BE52" s="159">
        <f>BD52*BE2</f>
        <v>0</v>
      </c>
      <c r="BF52" s="73">
        <f t="shared" si="213"/>
        <v>0</v>
      </c>
      <c r="BG52" s="118"/>
      <c r="BH52" s="151"/>
      <c r="BI52" s="151">
        <f t="shared" si="214"/>
        <v>0</v>
      </c>
      <c r="BJ52" s="151">
        <f>BI52/BI2</f>
        <v>0</v>
      </c>
      <c r="BK52" s="210"/>
      <c r="BL52" s="210">
        <f>BK52*BL2</f>
        <v>0</v>
      </c>
      <c r="BM52" s="210">
        <f t="shared" si="215"/>
        <v>0</v>
      </c>
      <c r="BN52" s="118"/>
      <c r="BO52" s="151"/>
      <c r="BP52" s="151">
        <f t="shared" si="216"/>
        <v>0</v>
      </c>
      <c r="BQ52" s="151">
        <f>BP52/BP2</f>
        <v>0</v>
      </c>
      <c r="BR52" s="96"/>
      <c r="BS52" s="96">
        <f>BR52*BS2</f>
        <v>0</v>
      </c>
      <c r="BT52" s="96">
        <f t="shared" si="217"/>
        <v>0</v>
      </c>
      <c r="BU52" s="118"/>
      <c r="BV52" s="151"/>
      <c r="BW52" s="151">
        <f t="shared" si="218"/>
        <v>0</v>
      </c>
      <c r="BX52" s="151">
        <f>BW52/BW2</f>
        <v>0</v>
      </c>
      <c r="BY52" s="159"/>
      <c r="BZ52" s="159">
        <f>BY52*BZ2</f>
        <v>0</v>
      </c>
      <c r="CA52" s="73">
        <f t="shared" si="219"/>
        <v>0</v>
      </c>
      <c r="CB52" s="118"/>
      <c r="CC52" s="151"/>
      <c r="CD52" s="151">
        <f t="shared" si="220"/>
        <v>0</v>
      </c>
      <c r="CE52" s="151">
        <f>CD52/CD2</f>
        <v>0</v>
      </c>
      <c r="CF52" s="96"/>
      <c r="CG52" s="96">
        <f>CF52*CG2</f>
        <v>0</v>
      </c>
      <c r="CH52" s="96">
        <f t="shared" si="221"/>
        <v>0</v>
      </c>
      <c r="CI52" s="118"/>
      <c r="CJ52" s="151"/>
      <c r="CK52" s="151">
        <f t="shared" si="222"/>
        <v>0</v>
      </c>
      <c r="CL52" s="151">
        <f>CK52/CK2</f>
        <v>0</v>
      </c>
      <c r="CM52" s="210"/>
      <c r="CN52" s="210">
        <f>CM52*CN2</f>
        <v>0</v>
      </c>
      <c r="CO52" s="210">
        <f t="shared" si="223"/>
        <v>0</v>
      </c>
      <c r="CP52" s="118"/>
      <c r="CQ52" s="151"/>
      <c r="CR52" s="151">
        <f t="shared" si="224"/>
        <v>0</v>
      </c>
      <c r="CS52" s="151">
        <f>CR52/CR2</f>
        <v>0</v>
      </c>
      <c r="CT52" s="159"/>
      <c r="CU52" s="159">
        <f>CT52*CU2</f>
        <v>0</v>
      </c>
      <c r="CV52" s="159">
        <f t="shared" si="225"/>
        <v>0</v>
      </c>
      <c r="CW52" s="118"/>
      <c r="CX52" s="151"/>
      <c r="CY52" s="151">
        <f t="shared" si="226"/>
        <v>0</v>
      </c>
      <c r="CZ52" s="151">
        <f>CY52/CY2</f>
        <v>0</v>
      </c>
      <c r="DA52" s="96"/>
      <c r="DB52" s="96">
        <f>DA52*DB2</f>
        <v>0</v>
      </c>
      <c r="DC52" s="96">
        <f t="shared" si="227"/>
        <v>0</v>
      </c>
      <c r="DD52" s="118"/>
      <c r="DE52" s="151"/>
      <c r="DF52" s="151">
        <f t="shared" si="228"/>
        <v>0</v>
      </c>
      <c r="DG52" s="151">
        <f>DF52/DF2</f>
        <v>0</v>
      </c>
      <c r="DH52" s="159"/>
      <c r="DI52" s="159">
        <f>DH52*DI2</f>
        <v>0</v>
      </c>
      <c r="DJ52" s="159">
        <f t="shared" si="229"/>
        <v>0</v>
      </c>
      <c r="DK52" s="118"/>
      <c r="DL52" s="151"/>
      <c r="DM52" s="151">
        <f t="shared" si="230"/>
        <v>0</v>
      </c>
      <c r="DN52" s="151">
        <f>DM52/DM2</f>
        <v>0</v>
      </c>
      <c r="DO52" s="96"/>
      <c r="DP52" s="96">
        <f>DO52*DP2</f>
        <v>0</v>
      </c>
      <c r="DQ52" s="96">
        <f t="shared" si="231"/>
        <v>0</v>
      </c>
      <c r="DR52" s="118"/>
      <c r="DS52" s="151"/>
      <c r="DT52" s="151">
        <f t="shared" si="232"/>
        <v>0</v>
      </c>
      <c r="DU52" s="151">
        <f>DT52/DT2</f>
        <v>0</v>
      </c>
      <c r="DV52" s="210"/>
      <c r="DW52" s="210">
        <f>DV52*DW2</f>
        <v>0</v>
      </c>
      <c r="DX52" s="210">
        <f t="shared" si="233"/>
        <v>0</v>
      </c>
      <c r="DY52" s="118"/>
      <c r="DZ52" s="151"/>
      <c r="EA52" s="151">
        <f t="shared" si="234"/>
        <v>0</v>
      </c>
      <c r="EB52" s="151">
        <f>EA52/EA2</f>
        <v>0</v>
      </c>
      <c r="EC52" s="159"/>
      <c r="ED52" s="159">
        <f>EC52*ED2</f>
        <v>0</v>
      </c>
      <c r="EE52" s="159">
        <f t="shared" si="235"/>
        <v>0</v>
      </c>
      <c r="EF52" s="118"/>
      <c r="EG52" s="151"/>
      <c r="EH52" s="151">
        <f t="shared" si="236"/>
        <v>0</v>
      </c>
      <c r="EI52" s="151">
        <f>EH52/EH2</f>
        <v>0</v>
      </c>
      <c r="EJ52" s="96"/>
      <c r="EK52" s="96">
        <f>EJ52*EK2</f>
        <v>0</v>
      </c>
      <c r="EL52" s="96">
        <f t="shared" si="237"/>
        <v>0</v>
      </c>
      <c r="EM52" s="118"/>
      <c r="EN52" s="151"/>
      <c r="EO52" s="151">
        <f t="shared" si="238"/>
        <v>0</v>
      </c>
      <c r="EP52" s="151">
        <f>EO52/EO2</f>
        <v>0</v>
      </c>
      <c r="EQ52" s="159"/>
      <c r="ER52" s="159">
        <f>EQ52*ER2</f>
        <v>0</v>
      </c>
      <c r="ES52" s="159">
        <f t="shared" si="239"/>
        <v>0</v>
      </c>
      <c r="ET52" s="118"/>
      <c r="EU52" s="151"/>
      <c r="EV52" s="151">
        <f t="shared" si="240"/>
        <v>0</v>
      </c>
      <c r="EW52" s="151">
        <f>EV52/EV2</f>
        <v>0</v>
      </c>
      <c r="EX52" s="96"/>
      <c r="EY52" s="96">
        <f>EX52*EY2</f>
        <v>0</v>
      </c>
      <c r="EZ52" s="96">
        <f t="shared" si="241"/>
        <v>0</v>
      </c>
      <c r="FA52" s="118"/>
      <c r="FB52" s="151"/>
      <c r="FC52" s="151">
        <f t="shared" si="242"/>
        <v>0</v>
      </c>
      <c r="FD52" s="151">
        <f>FC52/FC2</f>
        <v>0</v>
      </c>
      <c r="FE52" s="159"/>
      <c r="FF52" s="159">
        <f>FE52*FF2</f>
        <v>0</v>
      </c>
      <c r="FG52" s="159">
        <f t="shared" si="243"/>
        <v>0</v>
      </c>
      <c r="FH52" s="118"/>
      <c r="FI52" s="151"/>
      <c r="FJ52" s="151">
        <f t="shared" si="244"/>
        <v>0</v>
      </c>
      <c r="FK52" s="151">
        <f>FJ52/FJ2</f>
        <v>0</v>
      </c>
      <c r="FL52" s="96"/>
      <c r="FM52" s="96">
        <f>FL52*FM2</f>
        <v>0</v>
      </c>
      <c r="FN52" s="96">
        <f t="shared" si="245"/>
        <v>0</v>
      </c>
      <c r="FO52" s="118"/>
      <c r="FP52" s="151"/>
      <c r="FQ52" s="151">
        <f t="shared" si="246"/>
        <v>0</v>
      </c>
      <c r="FR52" s="151">
        <f>FQ52/FQ2</f>
        <v>0</v>
      </c>
      <c r="FS52" s="159"/>
      <c r="FT52" s="159">
        <f>FS52*FT2</f>
        <v>0</v>
      </c>
      <c r="FU52" s="159">
        <f t="shared" si="247"/>
        <v>0</v>
      </c>
      <c r="FV52" s="118"/>
      <c r="FW52" s="151"/>
      <c r="FX52" s="151">
        <f t="shared" si="248"/>
        <v>0</v>
      </c>
      <c r="FY52" s="151">
        <f>FX52/FX2</f>
        <v>0</v>
      </c>
      <c r="FZ52" s="96"/>
      <c r="GA52" s="96">
        <f>FZ52*GA2</f>
        <v>0</v>
      </c>
      <c r="GB52" s="96">
        <f t="shared" si="249"/>
        <v>0</v>
      </c>
      <c r="GC52" s="118"/>
      <c r="GD52" s="151"/>
      <c r="GE52" s="151">
        <f t="shared" si="250"/>
        <v>0</v>
      </c>
      <c r="GF52" s="151">
        <f>GE52/GE2</f>
        <v>0</v>
      </c>
      <c r="GG52" s="159"/>
      <c r="GH52" s="159">
        <f>GG52*GH2</f>
        <v>0</v>
      </c>
      <c r="GI52" s="159">
        <f t="shared" si="251"/>
        <v>0</v>
      </c>
      <c r="GJ52" s="118"/>
      <c r="GK52" s="151"/>
      <c r="GL52" s="151">
        <f t="shared" si="252"/>
        <v>0</v>
      </c>
      <c r="GM52" s="151">
        <f>GL52/GL2</f>
        <v>0</v>
      </c>
      <c r="GN52" s="159"/>
      <c r="GO52" s="159">
        <f>GN52*GO2</f>
        <v>0</v>
      </c>
      <c r="GP52" s="159">
        <f t="shared" si="253"/>
        <v>0</v>
      </c>
      <c r="GQ52" s="118"/>
      <c r="GR52" s="151"/>
      <c r="GS52" s="151">
        <f t="shared" si="254"/>
        <v>0</v>
      </c>
      <c r="GT52" s="151">
        <f>GS52/GS2</f>
        <v>0</v>
      </c>
      <c r="GU52" s="96"/>
      <c r="GV52" s="96">
        <f>GU52*GV2</f>
        <v>0</v>
      </c>
      <c r="GW52" s="96">
        <f t="shared" si="255"/>
        <v>0</v>
      </c>
      <c r="GX52" s="118"/>
      <c r="GY52" s="151"/>
      <c r="GZ52" s="151">
        <f t="shared" si="256"/>
        <v>0</v>
      </c>
      <c r="HA52" s="151">
        <f>GZ52/GZ2</f>
        <v>0</v>
      </c>
      <c r="HB52" s="159"/>
      <c r="HC52" s="159">
        <f>HB52*HC2</f>
        <v>0</v>
      </c>
      <c r="HD52" s="159">
        <f t="shared" si="257"/>
        <v>0</v>
      </c>
      <c r="HE52" s="118"/>
      <c r="HF52" s="151"/>
      <c r="HG52" s="151">
        <f t="shared" si="258"/>
        <v>0</v>
      </c>
      <c r="HH52" s="151">
        <f>HG52/HG2</f>
        <v>0</v>
      </c>
      <c r="HI52" s="210"/>
      <c r="HJ52" s="210">
        <f>HI52*HJ2</f>
        <v>0</v>
      </c>
      <c r="HK52" s="210">
        <f t="shared" si="259"/>
        <v>0</v>
      </c>
      <c r="HL52" s="118"/>
      <c r="HM52" s="151"/>
      <c r="HN52" s="151">
        <f t="shared" si="260"/>
        <v>0</v>
      </c>
      <c r="HO52" s="151">
        <f>HN52/HN2</f>
        <v>0</v>
      </c>
      <c r="HP52" s="159"/>
      <c r="HQ52" s="159">
        <f>HP52*HQ2</f>
        <v>0</v>
      </c>
      <c r="HR52" s="159">
        <f t="shared" si="261"/>
        <v>0</v>
      </c>
      <c r="HS52" s="118"/>
      <c r="HT52" s="151"/>
      <c r="HU52" s="151">
        <f t="shared" si="262"/>
        <v>0</v>
      </c>
      <c r="HV52" s="151">
        <f>HU52/HU2</f>
        <v>0</v>
      </c>
      <c r="HW52" s="96"/>
      <c r="HX52" s="96">
        <f>HW52*HX2</f>
        <v>0</v>
      </c>
      <c r="HY52" s="96">
        <f t="shared" si="263"/>
        <v>0</v>
      </c>
      <c r="HZ52" s="118"/>
      <c r="IA52" s="35"/>
    </row>
    <row r="53" spans="1:235">
      <c r="A53" s="18">
        <v>8</v>
      </c>
      <c r="B53" s="19" t="s">
        <v>52</v>
      </c>
      <c r="C53" s="118"/>
      <c r="D53" s="151">
        <v>128940</v>
      </c>
      <c r="E53" s="151">
        <f t="shared" si="198"/>
        <v>109271.18644067798</v>
      </c>
      <c r="F53" s="151">
        <f>E53/E2</f>
        <v>723.65024132899327</v>
      </c>
      <c r="G53" s="73"/>
      <c r="H53" s="159">
        <f>G53*H2</f>
        <v>0</v>
      </c>
      <c r="I53" s="73">
        <f t="shared" si="199"/>
        <v>0</v>
      </c>
      <c r="J53" s="118"/>
      <c r="K53" s="151">
        <v>128940</v>
      </c>
      <c r="L53" s="151">
        <f t="shared" si="200"/>
        <v>109271.18644067798</v>
      </c>
      <c r="M53" s="151">
        <f>L53/L2</f>
        <v>723.65024132899327</v>
      </c>
      <c r="N53" s="96"/>
      <c r="O53" s="96">
        <f>N53*O2</f>
        <v>0</v>
      </c>
      <c r="P53" s="96">
        <f t="shared" si="201"/>
        <v>0</v>
      </c>
      <c r="Q53" s="118"/>
      <c r="R53" s="151"/>
      <c r="S53" s="20">
        <f t="shared" si="202"/>
        <v>0</v>
      </c>
      <c r="T53" s="151">
        <f>S53/S2</f>
        <v>0</v>
      </c>
      <c r="U53" s="159"/>
      <c r="V53" s="159">
        <f>U53*V2</f>
        <v>0</v>
      </c>
      <c r="W53" s="73">
        <f t="shared" si="203"/>
        <v>0</v>
      </c>
      <c r="X53" s="118"/>
      <c r="Y53" s="20"/>
      <c r="Z53" s="20">
        <f t="shared" si="204"/>
        <v>0</v>
      </c>
      <c r="AA53" s="151">
        <f>Z53/Z2</f>
        <v>0</v>
      </c>
      <c r="AB53" s="96"/>
      <c r="AC53" s="96">
        <f>AB53*AC2</f>
        <v>0</v>
      </c>
      <c r="AD53" s="96">
        <f t="shared" si="205"/>
        <v>0</v>
      </c>
      <c r="AE53" s="118"/>
      <c r="AF53" s="131">
        <v>42980</v>
      </c>
      <c r="AG53" s="131">
        <f t="shared" si="206"/>
        <v>36423.728813559326</v>
      </c>
      <c r="AH53" s="151">
        <f>AG53/AG2</f>
        <v>24.708794951265386</v>
      </c>
      <c r="AI53" s="159">
        <v>100</v>
      </c>
      <c r="AJ53" s="159">
        <f>AI53*AJ2</f>
        <v>357662.39999999997</v>
      </c>
      <c r="AK53" s="73">
        <f t="shared" si="207"/>
        <v>422041.63199999993</v>
      </c>
      <c r="AL53" s="118"/>
      <c r="AM53" s="151"/>
      <c r="AN53" s="20">
        <f t="shared" si="208"/>
        <v>0</v>
      </c>
      <c r="AO53" s="151">
        <f>AN53/AN2</f>
        <v>0</v>
      </c>
      <c r="AP53" s="96"/>
      <c r="AQ53" s="96">
        <f>AP53*AQ2</f>
        <v>0</v>
      </c>
      <c r="AR53" s="96">
        <f t="shared" si="209"/>
        <v>0</v>
      </c>
      <c r="AS53" s="118"/>
      <c r="AT53" s="151"/>
      <c r="AU53" s="151">
        <f t="shared" si="210"/>
        <v>0</v>
      </c>
      <c r="AV53" s="151">
        <f>AU53/AU2</f>
        <v>0</v>
      </c>
      <c r="AW53" s="210"/>
      <c r="AX53" s="210">
        <f>AW53*AX2</f>
        <v>0</v>
      </c>
      <c r="AY53" s="210">
        <f t="shared" si="211"/>
        <v>0</v>
      </c>
      <c r="AZ53" s="118"/>
      <c r="BA53" s="151"/>
      <c r="BB53" s="151">
        <f t="shared" si="212"/>
        <v>0</v>
      </c>
      <c r="BC53" s="151">
        <f>BB53/BB2</f>
        <v>0</v>
      </c>
      <c r="BD53" s="159"/>
      <c r="BE53" s="159">
        <f>BD53*BE2</f>
        <v>0</v>
      </c>
      <c r="BF53" s="73">
        <f t="shared" si="213"/>
        <v>0</v>
      </c>
      <c r="BG53" s="118"/>
      <c r="BH53" s="151"/>
      <c r="BI53" s="151">
        <f t="shared" si="214"/>
        <v>0</v>
      </c>
      <c r="BJ53" s="151">
        <f>BI53/BI2</f>
        <v>0</v>
      </c>
      <c r="BK53" s="210"/>
      <c r="BL53" s="210">
        <f>BK53*BL2</f>
        <v>0</v>
      </c>
      <c r="BM53" s="210">
        <f t="shared" si="215"/>
        <v>0</v>
      </c>
      <c r="BN53" s="118"/>
      <c r="BO53" s="151">
        <v>129600</v>
      </c>
      <c r="BP53" s="151">
        <f t="shared" si="216"/>
        <v>109830.50847457627</v>
      </c>
      <c r="BQ53" s="151">
        <f>BP53/BP2</f>
        <v>24.406779661016948</v>
      </c>
      <c r="BR53" s="96">
        <v>100</v>
      </c>
      <c r="BS53" s="96">
        <f>BR53*BS2</f>
        <v>319572</v>
      </c>
      <c r="BT53" s="96">
        <f t="shared" si="217"/>
        <v>377094.95999999996</v>
      </c>
      <c r="BU53" s="118"/>
      <c r="BV53" s="151">
        <v>128940</v>
      </c>
      <c r="BW53" s="151">
        <f t="shared" si="218"/>
        <v>109271.18644067798</v>
      </c>
      <c r="BX53" s="151">
        <f>BW53/BW2</f>
        <v>723.65024132899327</v>
      </c>
      <c r="BY53" s="159"/>
      <c r="BZ53" s="159">
        <f>BY53*BZ2</f>
        <v>0</v>
      </c>
      <c r="CA53" s="73">
        <f t="shared" si="219"/>
        <v>0</v>
      </c>
      <c r="CB53" s="118"/>
      <c r="CC53" s="151"/>
      <c r="CD53" s="151">
        <f t="shared" si="220"/>
        <v>0</v>
      </c>
      <c r="CE53" s="151">
        <f>CD53/CD2</f>
        <v>0</v>
      </c>
      <c r="CF53" s="96"/>
      <c r="CG53" s="96">
        <f>CF53*CG2</f>
        <v>0</v>
      </c>
      <c r="CH53" s="96">
        <f t="shared" si="221"/>
        <v>0</v>
      </c>
      <c r="CI53" s="118"/>
      <c r="CJ53" s="151"/>
      <c r="CK53" s="151">
        <f t="shared" si="222"/>
        <v>0</v>
      </c>
      <c r="CL53" s="151">
        <f>CK53/CK2</f>
        <v>0</v>
      </c>
      <c r="CM53" s="210"/>
      <c r="CN53" s="210">
        <f>CM53*CN2</f>
        <v>0</v>
      </c>
      <c r="CO53" s="210">
        <f t="shared" si="223"/>
        <v>0</v>
      </c>
      <c r="CP53" s="118"/>
      <c r="CQ53" s="151"/>
      <c r="CR53" s="151">
        <f t="shared" si="224"/>
        <v>0</v>
      </c>
      <c r="CS53" s="151">
        <f>CR53/CR2</f>
        <v>0</v>
      </c>
      <c r="CT53" s="159"/>
      <c r="CU53" s="159">
        <f>CT53*CU2</f>
        <v>0</v>
      </c>
      <c r="CV53" s="159">
        <f t="shared" si="225"/>
        <v>0</v>
      </c>
      <c r="CW53" s="118"/>
      <c r="CX53" s="151">
        <v>128940</v>
      </c>
      <c r="CY53" s="151">
        <f t="shared" si="226"/>
        <v>109271.18644067798</v>
      </c>
      <c r="CZ53" s="151">
        <f>CY53/CY2</f>
        <v>723.65024132899327</v>
      </c>
      <c r="DA53" s="96"/>
      <c r="DB53" s="96">
        <f>DA53*DB2</f>
        <v>0</v>
      </c>
      <c r="DC53" s="96">
        <f t="shared" si="227"/>
        <v>0</v>
      </c>
      <c r="DD53" s="118"/>
      <c r="DE53" s="151">
        <v>42980</v>
      </c>
      <c r="DF53" s="151">
        <f t="shared" si="228"/>
        <v>36423.728813559326</v>
      </c>
      <c r="DG53" s="151">
        <f>DF53/DF2</f>
        <v>24.708794951265386</v>
      </c>
      <c r="DH53" s="159">
        <v>400</v>
      </c>
      <c r="DI53" s="159">
        <f>DH53*DI2</f>
        <v>307090.39999999997</v>
      </c>
      <c r="DJ53" s="159">
        <f t="shared" si="229"/>
        <v>362366.67199999996</v>
      </c>
      <c r="DK53" s="118"/>
      <c r="DL53" s="151"/>
      <c r="DM53" s="151">
        <f t="shared" si="230"/>
        <v>0</v>
      </c>
      <c r="DN53" s="151">
        <f>DM53/DM2</f>
        <v>0</v>
      </c>
      <c r="DO53" s="96"/>
      <c r="DP53" s="96">
        <f>DO53*DP2</f>
        <v>0</v>
      </c>
      <c r="DQ53" s="96">
        <f t="shared" si="231"/>
        <v>0</v>
      </c>
      <c r="DR53" s="118"/>
      <c r="DS53" s="151"/>
      <c r="DT53" s="151">
        <f t="shared" si="232"/>
        <v>0</v>
      </c>
      <c r="DU53" s="151">
        <f>DT53/DT2</f>
        <v>0</v>
      </c>
      <c r="DV53" s="210"/>
      <c r="DW53" s="210">
        <f>DV53*DW2</f>
        <v>0</v>
      </c>
      <c r="DX53" s="210">
        <f t="shared" si="233"/>
        <v>0</v>
      </c>
      <c r="DY53" s="118"/>
      <c r="DZ53" s="151"/>
      <c r="EA53" s="151">
        <f t="shared" si="234"/>
        <v>0</v>
      </c>
      <c r="EB53" s="151">
        <f>EA53/EA2</f>
        <v>0</v>
      </c>
      <c r="EC53" s="159"/>
      <c r="ED53" s="159">
        <f>EC53*ED2</f>
        <v>0</v>
      </c>
      <c r="EE53" s="159">
        <f t="shared" si="235"/>
        <v>0</v>
      </c>
      <c r="EF53" s="118"/>
      <c r="EG53" s="151"/>
      <c r="EH53" s="151">
        <f t="shared" si="236"/>
        <v>0</v>
      </c>
      <c r="EI53" s="151">
        <f>EH53/EH2</f>
        <v>0</v>
      </c>
      <c r="EJ53" s="96">
        <v>200</v>
      </c>
      <c r="EK53" s="96">
        <f>EJ53*EK2</f>
        <v>355467.36</v>
      </c>
      <c r="EL53" s="96">
        <f t="shared" si="237"/>
        <v>419451.48479999998</v>
      </c>
      <c r="EM53" s="118"/>
      <c r="EN53" s="151">
        <v>129600</v>
      </c>
      <c r="EO53" s="151">
        <f t="shared" si="238"/>
        <v>109830.50847457627</v>
      </c>
      <c r="EP53" s="151">
        <f>EO53/EO2</f>
        <v>24.406779661016948</v>
      </c>
      <c r="EQ53" s="159">
        <v>100</v>
      </c>
      <c r="ER53" s="159">
        <f>EQ53*ER2</f>
        <v>520418.16</v>
      </c>
      <c r="ES53" s="159">
        <f t="shared" si="239"/>
        <v>614093.42879999999</v>
      </c>
      <c r="ET53" s="118"/>
      <c r="EU53" s="151">
        <v>225490.4</v>
      </c>
      <c r="EV53" s="151">
        <f t="shared" si="240"/>
        <v>191093.55932203389</v>
      </c>
      <c r="EW53" s="151">
        <f>EV53/EV2</f>
        <v>186.94341549797878</v>
      </c>
      <c r="EX53" s="96"/>
      <c r="EY53" s="96">
        <f>EX53*EY2</f>
        <v>0</v>
      </c>
      <c r="EZ53" s="96">
        <f t="shared" si="241"/>
        <v>0</v>
      </c>
      <c r="FA53" s="118"/>
      <c r="FB53" s="151"/>
      <c r="FC53" s="151">
        <f t="shared" si="242"/>
        <v>0</v>
      </c>
      <c r="FD53" s="151">
        <f>FC53/FC2</f>
        <v>0</v>
      </c>
      <c r="FE53" s="159">
        <v>200</v>
      </c>
      <c r="FF53" s="159">
        <f>FE53*FF2</f>
        <v>366550.16</v>
      </c>
      <c r="FG53" s="159">
        <f t="shared" si="243"/>
        <v>432529.18879999995</v>
      </c>
      <c r="FH53" s="118"/>
      <c r="FI53" s="151"/>
      <c r="FJ53" s="151">
        <f t="shared" si="244"/>
        <v>0</v>
      </c>
      <c r="FK53" s="151">
        <f>FJ53/FJ2</f>
        <v>0</v>
      </c>
      <c r="FL53" s="96"/>
      <c r="FM53" s="96">
        <f>FL53*FM2</f>
        <v>0</v>
      </c>
      <c r="FN53" s="96">
        <f t="shared" si="245"/>
        <v>0</v>
      </c>
      <c r="FO53" s="118"/>
      <c r="FP53" s="151"/>
      <c r="FQ53" s="151">
        <f t="shared" si="246"/>
        <v>0</v>
      </c>
      <c r="FR53" s="151">
        <f>FQ53/FQ2</f>
        <v>0</v>
      </c>
      <c r="FS53" s="159"/>
      <c r="FT53" s="159">
        <f>FS53*FT2</f>
        <v>0</v>
      </c>
      <c r="FU53" s="159">
        <f t="shared" si="247"/>
        <v>0</v>
      </c>
      <c r="FV53" s="118"/>
      <c r="FW53" s="151"/>
      <c r="FX53" s="151">
        <f t="shared" si="248"/>
        <v>0</v>
      </c>
      <c r="FY53" s="151">
        <f>FX53/FX2</f>
        <v>0</v>
      </c>
      <c r="FZ53" s="96"/>
      <c r="GA53" s="96">
        <f>FZ53*GA2</f>
        <v>0</v>
      </c>
      <c r="GB53" s="96">
        <f t="shared" si="249"/>
        <v>0</v>
      </c>
      <c r="GC53" s="118"/>
      <c r="GD53" s="151"/>
      <c r="GE53" s="151">
        <f t="shared" si="250"/>
        <v>0</v>
      </c>
      <c r="GF53" s="151">
        <f>GE53/GE2</f>
        <v>0</v>
      </c>
      <c r="GG53" s="159"/>
      <c r="GH53" s="159">
        <f>GG53*GH2</f>
        <v>0</v>
      </c>
      <c r="GI53" s="159">
        <f t="shared" si="251"/>
        <v>0</v>
      </c>
      <c r="GJ53" s="118"/>
      <c r="GK53" s="151"/>
      <c r="GL53" s="151">
        <f t="shared" si="252"/>
        <v>0</v>
      </c>
      <c r="GM53" s="151">
        <f>GL53/GL2</f>
        <v>0</v>
      </c>
      <c r="GN53" s="159"/>
      <c r="GO53" s="159">
        <f>GN53*GO2</f>
        <v>0</v>
      </c>
      <c r="GP53" s="159">
        <f t="shared" si="253"/>
        <v>0</v>
      </c>
      <c r="GQ53" s="118"/>
      <c r="GR53" s="151"/>
      <c r="GS53" s="151">
        <f t="shared" si="254"/>
        <v>0</v>
      </c>
      <c r="GT53" s="151">
        <f>GS53/GS2</f>
        <v>0</v>
      </c>
      <c r="GU53" s="96"/>
      <c r="GV53" s="96">
        <f>GU53*GV2</f>
        <v>0</v>
      </c>
      <c r="GW53" s="96">
        <f t="shared" si="255"/>
        <v>0</v>
      </c>
      <c r="GX53" s="118"/>
      <c r="GY53" s="151"/>
      <c r="GZ53" s="151">
        <f t="shared" si="256"/>
        <v>0</v>
      </c>
      <c r="HA53" s="151">
        <f>GZ53/GZ2</f>
        <v>0</v>
      </c>
      <c r="HB53" s="159"/>
      <c r="HC53" s="159">
        <f>HB53*HC2</f>
        <v>0</v>
      </c>
      <c r="HD53" s="159">
        <f t="shared" si="257"/>
        <v>0</v>
      </c>
      <c r="HE53" s="118"/>
      <c r="HF53" s="151"/>
      <c r="HG53" s="151">
        <f t="shared" si="258"/>
        <v>0</v>
      </c>
      <c r="HH53" s="151">
        <f>HG53/HG2</f>
        <v>0</v>
      </c>
      <c r="HI53" s="210"/>
      <c r="HJ53" s="210">
        <f>HI53*HJ2</f>
        <v>0</v>
      </c>
      <c r="HK53" s="210">
        <f t="shared" si="259"/>
        <v>0</v>
      </c>
      <c r="HL53" s="118"/>
      <c r="HM53" s="151"/>
      <c r="HN53" s="151">
        <f t="shared" si="260"/>
        <v>0</v>
      </c>
      <c r="HO53" s="151">
        <f>HN53/HN2</f>
        <v>0</v>
      </c>
      <c r="HP53" s="159"/>
      <c r="HQ53" s="159">
        <f>HP53*HQ2</f>
        <v>0</v>
      </c>
      <c r="HR53" s="159">
        <f t="shared" si="261"/>
        <v>0</v>
      </c>
      <c r="HS53" s="118"/>
      <c r="HT53" s="151"/>
      <c r="HU53" s="151">
        <f t="shared" si="262"/>
        <v>0</v>
      </c>
      <c r="HV53" s="151">
        <f>HU53/HU2</f>
        <v>0</v>
      </c>
      <c r="HW53" s="96"/>
      <c r="HX53" s="96">
        <f>HW53*HX2</f>
        <v>0</v>
      </c>
      <c r="HY53" s="96">
        <f t="shared" si="263"/>
        <v>0</v>
      </c>
      <c r="HZ53" s="118"/>
      <c r="IA53" s="34"/>
    </row>
    <row r="54" spans="1:235" s="26" customFormat="1" ht="15">
      <c r="A54" s="84"/>
      <c r="B54" s="23" t="s">
        <v>60</v>
      </c>
      <c r="C54" s="121"/>
      <c r="D54" s="154">
        <f>SUM(D46:D53)</f>
        <v>451958</v>
      </c>
      <c r="E54" s="154">
        <f>SUM(E46:E53)</f>
        <v>383015.25423728814</v>
      </c>
      <c r="F54" s="152"/>
      <c r="G54" s="77"/>
      <c r="H54" s="78">
        <f>SUM(H46:H53)</f>
        <v>1218892.8</v>
      </c>
      <c r="I54" s="78">
        <f>SUM(I46:I53)</f>
        <v>1438293.504</v>
      </c>
      <c r="J54" s="121"/>
      <c r="K54" s="154">
        <f>SUM(K46:K53)</f>
        <v>451958</v>
      </c>
      <c r="L54" s="154">
        <f>SUM(L46:L53)</f>
        <v>383015.25423728814</v>
      </c>
      <c r="M54" s="152"/>
      <c r="N54" s="99"/>
      <c r="O54" s="100">
        <f>SUM(O46:O53)</f>
        <v>110784.96000000001</v>
      </c>
      <c r="P54" s="100">
        <f>SUM(P46:P53)</f>
        <v>130726.2528</v>
      </c>
      <c r="Q54" s="121"/>
      <c r="R54" s="30">
        <f>SUM(R46:R53)</f>
        <v>0</v>
      </c>
      <c r="S54" s="30">
        <f>SUM(S46:S53)</f>
        <v>0</v>
      </c>
      <c r="T54" s="152"/>
      <c r="U54" s="77"/>
      <c r="V54" s="78">
        <f>SUM(V46:V53)</f>
        <v>0</v>
      </c>
      <c r="W54" s="78">
        <f>SUM(W46:W53)</f>
        <v>0</v>
      </c>
      <c r="X54" s="121"/>
      <c r="Y54" s="30">
        <f>SUM(Y46:Y53)</f>
        <v>49986</v>
      </c>
      <c r="Z54" s="30">
        <f>SUM(Z46:Z53)</f>
        <v>42361.016949152545</v>
      </c>
      <c r="AA54" s="152"/>
      <c r="AB54" s="99"/>
      <c r="AC54" s="100">
        <f>SUM(AC46:AC53)</f>
        <v>153824.96000000002</v>
      </c>
      <c r="AD54" s="100">
        <f>SUM(AD46:AD53)</f>
        <v>181513.45280000003</v>
      </c>
      <c r="AE54" s="121"/>
      <c r="AF54" s="137">
        <f>SUM(AF46:AF53)</f>
        <v>1964197.68</v>
      </c>
      <c r="AG54" s="137">
        <f>SUM(AG46:AG53)</f>
        <v>1664574.3050847459</v>
      </c>
      <c r="AH54" s="152"/>
      <c r="AI54" s="77"/>
      <c r="AJ54" s="78">
        <f>SUM(AJ46:AJ53)</f>
        <v>3576623.9999999995</v>
      </c>
      <c r="AK54" s="78">
        <f>SUM(AK46:AK53)</f>
        <v>4220416.3199999994</v>
      </c>
      <c r="AL54" s="121"/>
      <c r="AM54" s="30">
        <f>SUM(AM46:AM53)</f>
        <v>0</v>
      </c>
      <c r="AN54" s="30">
        <f>SUM(AN46:AN53)</f>
        <v>0</v>
      </c>
      <c r="AO54" s="152"/>
      <c r="AP54" s="99"/>
      <c r="AQ54" s="100">
        <f>SUM(AQ46:AQ53)</f>
        <v>149843.76</v>
      </c>
      <c r="AR54" s="100">
        <f>SUM(AR46:AR53)</f>
        <v>176815.63680000001</v>
      </c>
      <c r="AS54" s="121"/>
      <c r="AT54" s="154">
        <f>SUM(AT46:AT53)</f>
        <v>3910352.4</v>
      </c>
      <c r="AU54" s="154">
        <f>SUM(AU46:AU53)</f>
        <v>3313857.9661016949</v>
      </c>
      <c r="AV54" s="152"/>
      <c r="AW54" s="213"/>
      <c r="AX54" s="214">
        <f>SUM(AX46:AX53)</f>
        <v>2873565.6</v>
      </c>
      <c r="AY54" s="214">
        <f>SUM(AY46:AY53)</f>
        <v>3390807.4079999998</v>
      </c>
      <c r="AZ54" s="121"/>
      <c r="BA54" s="154">
        <f>SUM(BA46:BA53)</f>
        <v>3009000</v>
      </c>
      <c r="BB54" s="154">
        <f>SUM(BB46:BB53)</f>
        <v>2550000</v>
      </c>
      <c r="BC54" s="152"/>
      <c r="BD54" s="77"/>
      <c r="BE54" s="78">
        <f>SUM(BE46:BE53)</f>
        <v>485813.99999999994</v>
      </c>
      <c r="BF54" s="78">
        <f>SUM(BF46:BF53)</f>
        <v>573260.5199999999</v>
      </c>
      <c r="BG54" s="121"/>
      <c r="BH54" s="154">
        <f>SUM(BH46:BH53)</f>
        <v>3910352.4</v>
      </c>
      <c r="BI54" s="154">
        <f>SUM(BI46:BI53)</f>
        <v>3313857.9661016949</v>
      </c>
      <c r="BJ54" s="152"/>
      <c r="BK54" s="213"/>
      <c r="BL54" s="214">
        <f>SUM(BL46:BL53)</f>
        <v>3256083.6</v>
      </c>
      <c r="BM54" s="214">
        <f>SUM(BM46:BM53)</f>
        <v>3842178.648</v>
      </c>
      <c r="BN54" s="121"/>
      <c r="BO54" s="154">
        <f>SUM(BO46:BO53)</f>
        <v>4832287.1500000004</v>
      </c>
      <c r="BP54" s="154">
        <f>SUM(BP46:BP53)</f>
        <v>4095158.6016949154</v>
      </c>
      <c r="BQ54" s="152"/>
      <c r="BR54" s="99"/>
      <c r="BS54" s="100">
        <f>SUM(BS46:BS53)</f>
        <v>4793580</v>
      </c>
      <c r="BT54" s="100">
        <f>SUM(BT46:BT53)</f>
        <v>5656424.3999999994</v>
      </c>
      <c r="BU54" s="121"/>
      <c r="BV54" s="154">
        <f>SUM(BV46:BV53)</f>
        <v>451958</v>
      </c>
      <c r="BW54" s="154">
        <f>SUM(BW46:BW53)</f>
        <v>383015.25423728814</v>
      </c>
      <c r="BX54" s="152"/>
      <c r="BY54" s="77"/>
      <c r="BZ54" s="78">
        <f>SUM(BZ46:BZ53)</f>
        <v>188300</v>
      </c>
      <c r="CA54" s="78">
        <f>SUM(CA46:CA53)</f>
        <v>222194</v>
      </c>
      <c r="CB54" s="121"/>
      <c r="CC54" s="154">
        <f>SUM(CC46:CC53)</f>
        <v>3009000</v>
      </c>
      <c r="CD54" s="154">
        <f>SUM(CD46:CD53)</f>
        <v>2550000</v>
      </c>
      <c r="CE54" s="152"/>
      <c r="CF54" s="99"/>
      <c r="CG54" s="100">
        <f>SUM(CG46:CG53)</f>
        <v>357770</v>
      </c>
      <c r="CH54" s="100">
        <f>SUM(CH46:CH53)</f>
        <v>422168.6</v>
      </c>
      <c r="CI54" s="121"/>
      <c r="CJ54" s="154">
        <f>SUM(CJ46:CJ53)</f>
        <v>3910352.4</v>
      </c>
      <c r="CK54" s="154">
        <f>SUM(CK46:CK53)</f>
        <v>3313857.9661016949</v>
      </c>
      <c r="CL54" s="152"/>
      <c r="CM54" s="213"/>
      <c r="CN54" s="214">
        <f>SUM(CN46:CN53)</f>
        <v>1921628.4</v>
      </c>
      <c r="CO54" s="214">
        <f>SUM(CO46:CO53)</f>
        <v>2267521.5119999996</v>
      </c>
      <c r="CP54" s="121"/>
      <c r="CQ54" s="154">
        <f>SUM(CQ46:CQ53)</f>
        <v>49986</v>
      </c>
      <c r="CR54" s="154">
        <f>SUM(CR46:CR53)</f>
        <v>42361.016949152545</v>
      </c>
      <c r="CS54" s="152"/>
      <c r="CT54" s="77"/>
      <c r="CU54" s="78">
        <f>SUM(CU46:CU53)</f>
        <v>265804.27999999997</v>
      </c>
      <c r="CV54" s="78">
        <f>SUM(CV46:CV53)</f>
        <v>313649.05039999995</v>
      </c>
      <c r="CW54" s="121"/>
      <c r="CX54" s="154">
        <f>SUM(CX46:CX53)</f>
        <v>451958</v>
      </c>
      <c r="CY54" s="154">
        <f>SUM(CY46:CY53)</f>
        <v>383015.25423728814</v>
      </c>
      <c r="CZ54" s="152"/>
      <c r="DA54" s="99"/>
      <c r="DB54" s="100">
        <f>SUM(DB46:DB53)</f>
        <v>1233634</v>
      </c>
      <c r="DC54" s="100">
        <f>SUM(DC46:DC53)</f>
        <v>1455688.1199999996</v>
      </c>
      <c r="DD54" s="122"/>
      <c r="DE54" s="154">
        <f>SUM(DE46:DE53)</f>
        <v>1964197.68</v>
      </c>
      <c r="DF54" s="154">
        <f>SUM(DF46:DF53)</f>
        <v>1664574.3050847459</v>
      </c>
      <c r="DG54" s="152"/>
      <c r="DH54" s="77"/>
      <c r="DI54" s="78">
        <f>SUM(DI46:DI53)</f>
        <v>2840586.1999999997</v>
      </c>
      <c r="DJ54" s="78">
        <f>SUM(DJ46:DJ53)</f>
        <v>3351891.7159999991</v>
      </c>
      <c r="DK54" s="121"/>
      <c r="DL54" s="154">
        <f>SUM(DL46:DL53)</f>
        <v>3009000</v>
      </c>
      <c r="DM54" s="154">
        <f>SUM(DM46:DM53)</f>
        <v>2550000</v>
      </c>
      <c r="DN54" s="152"/>
      <c r="DO54" s="99"/>
      <c r="DP54" s="100">
        <f>SUM(DP46:DP53)</f>
        <v>355026.19999999995</v>
      </c>
      <c r="DQ54" s="100">
        <f>SUM(DQ46:DQ53)</f>
        <v>418930.91599999991</v>
      </c>
      <c r="DR54" s="121"/>
      <c r="DS54" s="154">
        <f>SUM(DS46:DS53)</f>
        <v>3910352.4</v>
      </c>
      <c r="DT54" s="154">
        <f>SUM(DT46:DT53)</f>
        <v>3313857.9661016949</v>
      </c>
      <c r="DU54" s="152"/>
      <c r="DV54" s="213"/>
      <c r="DW54" s="214">
        <f>SUM(DW46:DW53)</f>
        <v>2205046.8000000003</v>
      </c>
      <c r="DX54" s="214">
        <f>SUM(DX46:DX53)</f>
        <v>2601955.2240000004</v>
      </c>
      <c r="DY54" s="121"/>
      <c r="DZ54" s="154">
        <f>SUM(DZ46:DZ53)</f>
        <v>0</v>
      </c>
      <c r="EA54" s="154">
        <f>SUM(EA46:EA53)</f>
        <v>0</v>
      </c>
      <c r="EB54" s="152"/>
      <c r="EC54" s="77"/>
      <c r="ED54" s="78">
        <f>SUM(ED46:ED53)</f>
        <v>129120</v>
      </c>
      <c r="EE54" s="78">
        <f>SUM(EE46:EE53)</f>
        <v>152361.60000000001</v>
      </c>
      <c r="EF54" s="121"/>
      <c r="EG54" s="154">
        <f>SUM(EG46:EG53)</f>
        <v>23856</v>
      </c>
      <c r="EH54" s="154">
        <f>SUM(EH46:EH53)</f>
        <v>20216.949152542373</v>
      </c>
      <c r="EI54" s="152"/>
      <c r="EJ54" s="99"/>
      <c r="EK54" s="100">
        <f>SUM(EK46:EK53)</f>
        <v>3199206.2399999998</v>
      </c>
      <c r="EL54" s="100">
        <f>SUM(EL46:EL53)</f>
        <v>3775063.3631999996</v>
      </c>
      <c r="EM54" s="122"/>
      <c r="EN54" s="154">
        <f>SUM(EN46:EN53)</f>
        <v>4832287.1500000004</v>
      </c>
      <c r="EO54" s="154">
        <f>SUM(EO46:EO53)</f>
        <v>4095158.6016949154</v>
      </c>
      <c r="EP54" s="152"/>
      <c r="EQ54" s="77"/>
      <c r="ER54" s="78">
        <f>SUM(ER46:ER53)</f>
        <v>7806272.4000000004</v>
      </c>
      <c r="ES54" s="78">
        <f>SUM(ES46:ES53)</f>
        <v>9211401.4319999982</v>
      </c>
      <c r="ET54" s="121"/>
      <c r="EU54" s="154">
        <f>SUM(EU46:EU53)</f>
        <v>338888.4</v>
      </c>
      <c r="EV54" s="154">
        <f>SUM(EV46:EV53)</f>
        <v>287193.55932203389</v>
      </c>
      <c r="EW54" s="152"/>
      <c r="EX54" s="99"/>
      <c r="EY54" s="100">
        <f>SUM(EY46:EY53)</f>
        <v>215200</v>
      </c>
      <c r="EZ54" s="100">
        <f>SUM(EZ46:EZ53)</f>
        <v>253936</v>
      </c>
      <c r="FA54" s="121"/>
      <c r="FB54" s="154">
        <f>SUM(FB46:FB53)</f>
        <v>23856</v>
      </c>
      <c r="FC54" s="154">
        <f>SUM(FC46:FC53)</f>
        <v>20216.949152542373</v>
      </c>
      <c r="FD54" s="152"/>
      <c r="FE54" s="77"/>
      <c r="FF54" s="78">
        <f>SUM(FF46:FF53)</f>
        <v>3298951.44</v>
      </c>
      <c r="FG54" s="78">
        <f>SUM(FG46:FG53)</f>
        <v>3892762.6991999997</v>
      </c>
      <c r="FH54" s="121"/>
      <c r="FI54" s="154">
        <f>SUM(FI46:FI53)</f>
        <v>49986</v>
      </c>
      <c r="FJ54" s="154">
        <f>SUM(FJ46:FJ53)</f>
        <v>42361.016949152545</v>
      </c>
      <c r="FK54" s="152"/>
      <c r="FL54" s="99"/>
      <c r="FM54" s="100">
        <f>SUM(FM46:FM53)</f>
        <v>131810</v>
      </c>
      <c r="FN54" s="100">
        <f>SUM(FN46:FN53)</f>
        <v>155535.79999999999</v>
      </c>
      <c r="FO54" s="121"/>
      <c r="FP54" s="154">
        <f>SUM(FP46:FP53)</f>
        <v>0</v>
      </c>
      <c r="FQ54" s="154">
        <f>SUM(FQ46:FQ53)</f>
        <v>0</v>
      </c>
      <c r="FR54" s="152"/>
      <c r="FS54" s="77"/>
      <c r="FT54" s="78">
        <f>SUM(FT46:FT53)</f>
        <v>0</v>
      </c>
      <c r="FU54" s="78">
        <f>SUM(FU46:FU53)</f>
        <v>0</v>
      </c>
      <c r="FV54" s="121"/>
      <c r="FW54" s="154">
        <f>SUM(FW46:FW53)</f>
        <v>0</v>
      </c>
      <c r="FX54" s="154">
        <f>SUM(FX46:FX53)</f>
        <v>0</v>
      </c>
      <c r="FY54" s="152"/>
      <c r="FZ54" s="99"/>
      <c r="GA54" s="100">
        <f>SUM(GA46:GA53)</f>
        <v>0</v>
      </c>
      <c r="GB54" s="100">
        <f>SUM(GB46:GB53)</f>
        <v>0</v>
      </c>
      <c r="GC54" s="121"/>
      <c r="GD54" s="154">
        <f>SUM(GD46:GD53)</f>
        <v>0</v>
      </c>
      <c r="GE54" s="154">
        <f>SUM(GE46:GE53)</f>
        <v>0</v>
      </c>
      <c r="GF54" s="152"/>
      <c r="GG54" s="77"/>
      <c r="GH54" s="78">
        <f>SUM(GH46:GH53)</f>
        <v>0</v>
      </c>
      <c r="GI54" s="78">
        <f>SUM(GI46:GI53)</f>
        <v>0</v>
      </c>
      <c r="GJ54" s="121"/>
      <c r="GK54" s="154">
        <f>SUM(GK46:GK53)</f>
        <v>8196.7999999999993</v>
      </c>
      <c r="GL54" s="154">
        <f>SUM(GL46:GL53)</f>
        <v>6946.4406779661012</v>
      </c>
      <c r="GM54" s="152"/>
      <c r="GN54" s="77"/>
      <c r="GO54" s="78">
        <f>SUM(GO46:GO53)</f>
        <v>112980</v>
      </c>
      <c r="GP54" s="78">
        <f>SUM(GP46:GP53)</f>
        <v>133316.4</v>
      </c>
      <c r="GQ54" s="121"/>
      <c r="GR54" s="154">
        <f>SUM(GR46:GR53)</f>
        <v>0</v>
      </c>
      <c r="GS54" s="154">
        <f>SUM(GS46:GS53)</f>
        <v>0</v>
      </c>
      <c r="GT54" s="152"/>
      <c r="GU54" s="99"/>
      <c r="GV54" s="100">
        <f>SUM(GV46:GV53)</f>
        <v>0</v>
      </c>
      <c r="GW54" s="100">
        <f>SUM(GW46:GW53)</f>
        <v>0</v>
      </c>
      <c r="GX54" s="122"/>
      <c r="GY54" s="154">
        <f>SUM(GY46:GY53)</f>
        <v>0</v>
      </c>
      <c r="GZ54" s="154">
        <f>SUM(GZ46:GZ53)</f>
        <v>0</v>
      </c>
      <c r="HA54" s="152"/>
      <c r="HB54" s="77"/>
      <c r="HC54" s="78">
        <f>SUM(HC46:HC53)</f>
        <v>193271.11999999997</v>
      </c>
      <c r="HD54" s="78">
        <f>SUM(HD46:HD53)</f>
        <v>228059.92159999994</v>
      </c>
      <c r="HE54" s="121"/>
      <c r="HF54" s="154">
        <f>SUM(HF46:HF53)</f>
        <v>3910352.4</v>
      </c>
      <c r="HG54" s="154">
        <f>SUM(HG46:HG53)</f>
        <v>3313857.9661016949</v>
      </c>
      <c r="HH54" s="152"/>
      <c r="HI54" s="213"/>
      <c r="HJ54" s="214">
        <f>SUM(HJ46:HJ53)</f>
        <v>2952006</v>
      </c>
      <c r="HK54" s="214">
        <f>SUM(HK46:HK53)</f>
        <v>3483367.0799999996</v>
      </c>
      <c r="HL54" s="121"/>
      <c r="HM54" s="154">
        <f>SUM(HM46:HM53)</f>
        <v>8196.7999999999993</v>
      </c>
      <c r="HN54" s="154">
        <f>SUM(HN46:HN53)</f>
        <v>6946.4406779661012</v>
      </c>
      <c r="HO54" s="152"/>
      <c r="HP54" s="77"/>
      <c r="HQ54" s="78">
        <f>SUM(HQ46:HQ53)</f>
        <v>112980</v>
      </c>
      <c r="HR54" s="78">
        <f>SUM(HR46:HR53)</f>
        <v>133316.4</v>
      </c>
      <c r="HS54" s="121"/>
      <c r="HT54" s="154">
        <f>SUM(HT46:HT53)</f>
        <v>3009000</v>
      </c>
      <c r="HU54" s="154">
        <f>SUM(HU46:HU53)</f>
        <v>2550000</v>
      </c>
      <c r="HV54" s="152"/>
      <c r="HW54" s="99"/>
      <c r="HX54" s="100">
        <f>SUM(HX46:HX53)</f>
        <v>319679.59999999998</v>
      </c>
      <c r="HY54" s="100">
        <f>SUM(HY46:HY53)</f>
        <v>377221.92799999996</v>
      </c>
      <c r="HZ54" s="122"/>
      <c r="IA54" s="36"/>
    </row>
    <row r="55" spans="1:235">
      <c r="A55" s="18"/>
      <c r="B55" s="19"/>
      <c r="C55" s="118"/>
      <c r="D55" s="148"/>
      <c r="E55" s="148"/>
      <c r="F55" s="151"/>
      <c r="G55" s="73"/>
      <c r="H55" s="159"/>
      <c r="I55" s="73"/>
      <c r="J55" s="118"/>
      <c r="K55" s="148"/>
      <c r="L55" s="148"/>
      <c r="M55" s="151"/>
      <c r="N55" s="96"/>
      <c r="O55" s="96"/>
      <c r="P55" s="96"/>
      <c r="Q55" s="118"/>
      <c r="R55" s="5"/>
      <c r="S55" s="5"/>
      <c r="T55" s="151"/>
      <c r="U55" s="159"/>
      <c r="V55" s="159"/>
      <c r="W55" s="73"/>
      <c r="X55" s="118"/>
      <c r="Y55" s="5"/>
      <c r="Z55" s="5"/>
      <c r="AA55" s="151"/>
      <c r="AB55" s="96"/>
      <c r="AC55" s="96"/>
      <c r="AD55" s="96"/>
      <c r="AE55" s="118"/>
      <c r="AF55" s="134"/>
      <c r="AG55" s="134"/>
      <c r="AH55" s="151"/>
      <c r="AI55" s="159"/>
      <c r="AJ55" s="159"/>
      <c r="AK55" s="73"/>
      <c r="AL55" s="118"/>
      <c r="AM55" s="5"/>
      <c r="AN55" s="5"/>
      <c r="AO55" s="151"/>
      <c r="AP55" s="96"/>
      <c r="AQ55" s="96"/>
      <c r="AR55" s="96"/>
      <c r="AS55" s="118"/>
      <c r="AT55" s="148"/>
      <c r="AU55" s="148"/>
      <c r="AV55" s="151"/>
      <c r="AW55" s="210"/>
      <c r="AX55" s="210"/>
      <c r="AY55" s="210"/>
      <c r="AZ55" s="118"/>
      <c r="BA55" s="148"/>
      <c r="BB55" s="148"/>
      <c r="BC55" s="151"/>
      <c r="BD55" s="159"/>
      <c r="BE55" s="159"/>
      <c r="BF55" s="73"/>
      <c r="BG55" s="118"/>
      <c r="BH55" s="148"/>
      <c r="BI55" s="148"/>
      <c r="BJ55" s="151"/>
      <c r="BK55" s="210"/>
      <c r="BL55" s="210"/>
      <c r="BM55" s="210"/>
      <c r="BN55" s="118"/>
      <c r="BO55" s="148"/>
      <c r="BP55" s="148"/>
      <c r="BQ55" s="151"/>
      <c r="BR55" s="96"/>
      <c r="BS55" s="96"/>
      <c r="BT55" s="96"/>
      <c r="BU55" s="118"/>
      <c r="BV55" s="148"/>
      <c r="BW55" s="148"/>
      <c r="BX55" s="151"/>
      <c r="BY55" s="159"/>
      <c r="BZ55" s="159"/>
      <c r="CA55" s="73"/>
      <c r="CB55" s="118"/>
      <c r="CC55" s="148"/>
      <c r="CD55" s="148"/>
      <c r="CE55" s="151"/>
      <c r="CF55" s="96"/>
      <c r="CG55" s="96"/>
      <c r="CH55" s="96"/>
      <c r="CI55" s="118"/>
      <c r="CJ55" s="148"/>
      <c r="CK55" s="148"/>
      <c r="CL55" s="151"/>
      <c r="CM55" s="210"/>
      <c r="CN55" s="210"/>
      <c r="CO55" s="210"/>
      <c r="CP55" s="118"/>
      <c r="CQ55" s="148"/>
      <c r="CR55" s="148"/>
      <c r="CS55" s="151"/>
      <c r="CT55" s="159"/>
      <c r="CU55" s="159"/>
      <c r="CV55" s="159"/>
      <c r="CW55" s="118"/>
      <c r="CX55" s="148"/>
      <c r="CY55" s="148"/>
      <c r="CZ55" s="151"/>
      <c r="DA55" s="96"/>
      <c r="DB55" s="96"/>
      <c r="DC55" s="96"/>
      <c r="DD55" s="118"/>
      <c r="DE55" s="148"/>
      <c r="DF55" s="148"/>
      <c r="DG55" s="151"/>
      <c r="DH55" s="159"/>
      <c r="DI55" s="159"/>
      <c r="DJ55" s="159"/>
      <c r="DK55" s="118"/>
      <c r="DL55" s="148"/>
      <c r="DM55" s="148"/>
      <c r="DN55" s="151"/>
      <c r="DO55" s="96"/>
      <c r="DP55" s="96"/>
      <c r="DQ55" s="96"/>
      <c r="DR55" s="118"/>
      <c r="DS55" s="148"/>
      <c r="DT55" s="148"/>
      <c r="DU55" s="151"/>
      <c r="DV55" s="210"/>
      <c r="DW55" s="210"/>
      <c r="DX55" s="210"/>
      <c r="DY55" s="118"/>
      <c r="DZ55" s="148"/>
      <c r="EA55" s="148"/>
      <c r="EB55" s="151"/>
      <c r="EC55" s="159"/>
      <c r="ED55" s="159"/>
      <c r="EE55" s="159"/>
      <c r="EF55" s="118"/>
      <c r="EG55" s="148"/>
      <c r="EH55" s="148"/>
      <c r="EI55" s="151"/>
      <c r="EJ55" s="96"/>
      <c r="EK55" s="96"/>
      <c r="EL55" s="96"/>
      <c r="EM55" s="118"/>
      <c r="EN55" s="148"/>
      <c r="EO55" s="148"/>
      <c r="EP55" s="151"/>
      <c r="EQ55" s="159"/>
      <c r="ER55" s="159"/>
      <c r="ES55" s="159"/>
      <c r="ET55" s="118"/>
      <c r="EU55" s="148"/>
      <c r="EV55" s="148"/>
      <c r="EW55" s="151"/>
      <c r="EX55" s="96"/>
      <c r="EY55" s="96"/>
      <c r="EZ55" s="96"/>
      <c r="FA55" s="118"/>
      <c r="FB55" s="148"/>
      <c r="FC55" s="148"/>
      <c r="FD55" s="151"/>
      <c r="FE55" s="159"/>
      <c r="FF55" s="159"/>
      <c r="FG55" s="159"/>
      <c r="FH55" s="118"/>
      <c r="FI55" s="148"/>
      <c r="FJ55" s="148"/>
      <c r="FK55" s="151"/>
      <c r="FL55" s="96"/>
      <c r="FM55" s="96"/>
      <c r="FN55" s="96"/>
      <c r="FO55" s="118"/>
      <c r="FP55" s="148"/>
      <c r="FQ55" s="148"/>
      <c r="FR55" s="151"/>
      <c r="FS55" s="159"/>
      <c r="FT55" s="159"/>
      <c r="FU55" s="159"/>
      <c r="FV55" s="118"/>
      <c r="FW55" s="148"/>
      <c r="FX55" s="148"/>
      <c r="FY55" s="151"/>
      <c r="FZ55" s="96"/>
      <c r="GA55" s="96"/>
      <c r="GB55" s="96"/>
      <c r="GC55" s="118"/>
      <c r="GD55" s="148"/>
      <c r="GE55" s="148"/>
      <c r="GF55" s="151"/>
      <c r="GG55" s="159"/>
      <c r="GH55" s="159"/>
      <c r="GI55" s="159"/>
      <c r="GJ55" s="118"/>
      <c r="GK55" s="148"/>
      <c r="GL55" s="148"/>
      <c r="GM55" s="151"/>
      <c r="GN55" s="159"/>
      <c r="GO55" s="159"/>
      <c r="GP55" s="159"/>
      <c r="GQ55" s="118"/>
      <c r="GR55" s="148"/>
      <c r="GS55" s="148"/>
      <c r="GT55" s="151"/>
      <c r="GU55" s="96"/>
      <c r="GV55" s="96"/>
      <c r="GW55" s="96"/>
      <c r="GX55" s="118"/>
      <c r="GY55" s="148"/>
      <c r="GZ55" s="148"/>
      <c r="HA55" s="151"/>
      <c r="HB55" s="159"/>
      <c r="HC55" s="159"/>
      <c r="HD55" s="159"/>
      <c r="HE55" s="118"/>
      <c r="HF55" s="148"/>
      <c r="HG55" s="148"/>
      <c r="HH55" s="151"/>
      <c r="HI55" s="210"/>
      <c r="HJ55" s="210"/>
      <c r="HK55" s="210"/>
      <c r="HL55" s="118"/>
      <c r="HM55" s="148"/>
      <c r="HN55" s="148"/>
      <c r="HO55" s="151"/>
      <c r="HP55" s="159"/>
      <c r="HQ55" s="159"/>
      <c r="HR55" s="159"/>
      <c r="HS55" s="118"/>
      <c r="HT55" s="148"/>
      <c r="HU55" s="148"/>
      <c r="HV55" s="151"/>
      <c r="HW55" s="96"/>
      <c r="HX55" s="96"/>
      <c r="HY55" s="96"/>
      <c r="HZ55" s="118"/>
      <c r="IA55" s="33"/>
    </row>
    <row r="56" spans="1:235" ht="15">
      <c r="A56" s="13" t="s">
        <v>56</v>
      </c>
      <c r="B56" s="14" t="s">
        <v>68</v>
      </c>
      <c r="C56" s="123"/>
      <c r="D56" s="153"/>
      <c r="E56" s="153"/>
      <c r="F56" s="153"/>
      <c r="G56" s="28"/>
      <c r="H56" s="153"/>
      <c r="I56" s="28"/>
      <c r="J56" s="123"/>
      <c r="K56" s="153"/>
      <c r="L56" s="153"/>
      <c r="M56" s="153"/>
      <c r="N56" s="28"/>
      <c r="O56" s="153"/>
      <c r="P56" s="28"/>
      <c r="Q56" s="123"/>
      <c r="R56" s="28"/>
      <c r="S56" s="28"/>
      <c r="T56" s="153"/>
      <c r="U56" s="153"/>
      <c r="V56" s="153"/>
      <c r="W56" s="28"/>
      <c r="X56" s="123"/>
      <c r="Y56" s="28"/>
      <c r="Z56" s="28"/>
      <c r="AA56" s="153"/>
      <c r="AB56" s="153"/>
      <c r="AC56" s="153"/>
      <c r="AD56" s="28"/>
      <c r="AE56" s="123"/>
      <c r="AF56" s="136"/>
      <c r="AG56" s="136"/>
      <c r="AH56" s="153"/>
      <c r="AI56" s="153"/>
      <c r="AJ56" s="153"/>
      <c r="AK56" s="28"/>
      <c r="AL56" s="123"/>
      <c r="AM56" s="28"/>
      <c r="AN56" s="28"/>
      <c r="AO56" s="153"/>
      <c r="AP56" s="153"/>
      <c r="AQ56" s="153"/>
      <c r="AR56" s="28"/>
      <c r="AS56" s="123"/>
      <c r="AT56" s="153"/>
      <c r="AU56" s="153"/>
      <c r="AV56" s="153"/>
      <c r="AW56" s="153"/>
      <c r="AX56" s="153"/>
      <c r="AY56" s="153"/>
      <c r="AZ56" s="123"/>
      <c r="BA56" s="153"/>
      <c r="BB56" s="153"/>
      <c r="BC56" s="153"/>
      <c r="BD56" s="153"/>
      <c r="BE56" s="153"/>
      <c r="BF56" s="28"/>
      <c r="BG56" s="123"/>
      <c r="BH56" s="153"/>
      <c r="BI56" s="153"/>
      <c r="BJ56" s="153"/>
      <c r="BK56" s="153"/>
      <c r="BL56" s="153"/>
      <c r="BM56" s="153"/>
      <c r="BN56" s="123"/>
      <c r="BO56" s="153"/>
      <c r="BP56" s="153"/>
      <c r="BQ56" s="153"/>
      <c r="BR56" s="153"/>
      <c r="BS56" s="153"/>
      <c r="BT56" s="28"/>
      <c r="BU56" s="123"/>
      <c r="BV56" s="153"/>
      <c r="BW56" s="153"/>
      <c r="BX56" s="153"/>
      <c r="BY56" s="153"/>
      <c r="BZ56" s="153"/>
      <c r="CA56" s="28"/>
      <c r="CB56" s="123"/>
      <c r="CC56" s="153"/>
      <c r="CD56" s="153"/>
      <c r="CE56" s="153"/>
      <c r="CF56" s="153"/>
      <c r="CG56" s="153"/>
      <c r="CH56" s="28"/>
      <c r="CI56" s="123"/>
      <c r="CJ56" s="153"/>
      <c r="CK56" s="153"/>
      <c r="CL56" s="153"/>
      <c r="CM56" s="153"/>
      <c r="CN56" s="153"/>
      <c r="CO56" s="153"/>
      <c r="CP56" s="123"/>
      <c r="CQ56" s="153"/>
      <c r="CR56" s="153"/>
      <c r="CS56" s="153"/>
      <c r="CT56" s="153"/>
      <c r="CU56" s="153"/>
      <c r="CV56" s="153"/>
      <c r="CW56" s="123"/>
      <c r="CX56" s="153"/>
      <c r="CY56" s="153"/>
      <c r="CZ56" s="153"/>
      <c r="DA56" s="153"/>
      <c r="DB56" s="153"/>
      <c r="DC56" s="153"/>
      <c r="DD56" s="123"/>
      <c r="DE56" s="153"/>
      <c r="DF56" s="153"/>
      <c r="DG56" s="153"/>
      <c r="DH56" s="153"/>
      <c r="DI56" s="153"/>
      <c r="DJ56" s="153"/>
      <c r="DK56" s="123"/>
      <c r="DL56" s="153"/>
      <c r="DM56" s="153"/>
      <c r="DN56" s="153"/>
      <c r="DO56" s="153"/>
      <c r="DP56" s="153"/>
      <c r="DQ56" s="153"/>
      <c r="DR56" s="123"/>
      <c r="DS56" s="153"/>
      <c r="DT56" s="153"/>
      <c r="DU56" s="153"/>
      <c r="DV56" s="153"/>
      <c r="DW56" s="153"/>
      <c r="DX56" s="153"/>
      <c r="DY56" s="123"/>
      <c r="DZ56" s="153"/>
      <c r="EA56" s="153"/>
      <c r="EB56" s="153"/>
      <c r="EC56" s="153"/>
      <c r="ED56" s="153"/>
      <c r="EE56" s="153"/>
      <c r="EF56" s="123"/>
      <c r="EG56" s="153"/>
      <c r="EH56" s="153"/>
      <c r="EI56" s="153"/>
      <c r="EJ56" s="153"/>
      <c r="EK56" s="153"/>
      <c r="EL56" s="153"/>
      <c r="EM56" s="123"/>
      <c r="EN56" s="153"/>
      <c r="EO56" s="153"/>
      <c r="EP56" s="153"/>
      <c r="EQ56" s="153"/>
      <c r="ER56" s="153"/>
      <c r="ES56" s="153"/>
      <c r="ET56" s="123"/>
      <c r="EU56" s="153"/>
      <c r="EV56" s="153"/>
      <c r="EW56" s="153"/>
      <c r="EX56" s="153"/>
      <c r="EY56" s="153"/>
      <c r="EZ56" s="153"/>
      <c r="FA56" s="123"/>
      <c r="FB56" s="153"/>
      <c r="FC56" s="153"/>
      <c r="FD56" s="153"/>
      <c r="FE56" s="153"/>
      <c r="FF56" s="153"/>
      <c r="FG56" s="153"/>
      <c r="FH56" s="123"/>
      <c r="FI56" s="153"/>
      <c r="FJ56" s="153"/>
      <c r="FK56" s="153"/>
      <c r="FL56" s="153"/>
      <c r="FM56" s="153"/>
      <c r="FN56" s="153"/>
      <c r="FO56" s="123"/>
      <c r="FP56" s="153"/>
      <c r="FQ56" s="153"/>
      <c r="FR56" s="153"/>
      <c r="FS56" s="153"/>
      <c r="FT56" s="153"/>
      <c r="FU56" s="153"/>
      <c r="FV56" s="123"/>
      <c r="FW56" s="153"/>
      <c r="FX56" s="153"/>
      <c r="FY56" s="153"/>
      <c r="FZ56" s="153"/>
      <c r="GA56" s="153"/>
      <c r="GB56" s="153"/>
      <c r="GC56" s="123"/>
      <c r="GD56" s="153"/>
      <c r="GE56" s="153"/>
      <c r="GF56" s="153"/>
      <c r="GG56" s="153"/>
      <c r="GH56" s="153"/>
      <c r="GI56" s="153"/>
      <c r="GJ56" s="123"/>
      <c r="GK56" s="153"/>
      <c r="GL56" s="153"/>
      <c r="GM56" s="153"/>
      <c r="GN56" s="153"/>
      <c r="GO56" s="153"/>
      <c r="GP56" s="153"/>
      <c r="GQ56" s="123"/>
      <c r="GR56" s="153"/>
      <c r="GS56" s="153"/>
      <c r="GT56" s="153"/>
      <c r="GU56" s="153"/>
      <c r="GV56" s="153"/>
      <c r="GW56" s="153"/>
      <c r="GX56" s="123"/>
      <c r="GY56" s="153"/>
      <c r="GZ56" s="153"/>
      <c r="HA56" s="153"/>
      <c r="HB56" s="153"/>
      <c r="HC56" s="153"/>
      <c r="HD56" s="153"/>
      <c r="HE56" s="123"/>
      <c r="HF56" s="153"/>
      <c r="HG56" s="153"/>
      <c r="HH56" s="153"/>
      <c r="HI56" s="153"/>
      <c r="HJ56" s="153"/>
      <c r="HK56" s="153"/>
      <c r="HL56" s="123"/>
      <c r="HM56" s="153"/>
      <c r="HN56" s="153"/>
      <c r="HO56" s="153"/>
      <c r="HP56" s="153"/>
      <c r="HQ56" s="153"/>
      <c r="HR56" s="153"/>
      <c r="HS56" s="123"/>
      <c r="HT56" s="153"/>
      <c r="HU56" s="153"/>
      <c r="HV56" s="153"/>
      <c r="HW56" s="153"/>
      <c r="HX56" s="153"/>
      <c r="HY56" s="153"/>
      <c r="HZ56" s="123"/>
      <c r="IA56" s="41"/>
    </row>
    <row r="57" spans="1:235">
      <c r="A57" s="18">
        <v>1</v>
      </c>
      <c r="B57" s="19" t="s">
        <v>53</v>
      </c>
      <c r="C57" s="118"/>
      <c r="D57" s="151"/>
      <c r="E57" s="151">
        <f>D57/118%</f>
        <v>0</v>
      </c>
      <c r="F57" s="151">
        <f>E57/E2</f>
        <v>0</v>
      </c>
      <c r="G57" s="73"/>
      <c r="H57" s="159">
        <f>G57*H2</f>
        <v>0</v>
      </c>
      <c r="I57" s="73">
        <f>H57*118%</f>
        <v>0</v>
      </c>
      <c r="J57" s="118"/>
      <c r="K57" s="151"/>
      <c r="L57" s="151">
        <f>K57/118%</f>
        <v>0</v>
      </c>
      <c r="M57" s="151">
        <f>L57/L2</f>
        <v>0</v>
      </c>
      <c r="N57" s="96"/>
      <c r="O57" s="96">
        <f>N57*O2</f>
        <v>0</v>
      </c>
      <c r="P57" s="96">
        <f>O57*118%</f>
        <v>0</v>
      </c>
      <c r="Q57" s="118"/>
      <c r="R57" s="20"/>
      <c r="S57" s="20">
        <f>R57/118%</f>
        <v>0</v>
      </c>
      <c r="T57" s="151">
        <f>S57/S2</f>
        <v>0</v>
      </c>
      <c r="U57" s="159"/>
      <c r="V57" s="159">
        <f>U57*V2</f>
        <v>0</v>
      </c>
      <c r="W57" s="73">
        <f>V57*118%</f>
        <v>0</v>
      </c>
      <c r="X57" s="118"/>
      <c r="Y57" s="20"/>
      <c r="Z57" s="20">
        <f>Y57/118%</f>
        <v>0</v>
      </c>
      <c r="AA57" s="151">
        <f>Z57/Z2</f>
        <v>0</v>
      </c>
      <c r="AB57" s="96"/>
      <c r="AC57" s="96">
        <f>AB57*AC2</f>
        <v>0</v>
      </c>
      <c r="AD57" s="96">
        <f>AC57*118%</f>
        <v>0</v>
      </c>
      <c r="AE57" s="118"/>
      <c r="AF57" s="131"/>
      <c r="AG57" s="131">
        <f>AF57/118%</f>
        <v>0</v>
      </c>
      <c r="AH57" s="151">
        <f>AG57/AG2</f>
        <v>0</v>
      </c>
      <c r="AI57" s="159"/>
      <c r="AJ57" s="159">
        <f>AI57*AJ2</f>
        <v>0</v>
      </c>
      <c r="AK57" s="73">
        <f>AJ57*118%</f>
        <v>0</v>
      </c>
      <c r="AL57" s="118"/>
      <c r="AM57" s="151"/>
      <c r="AN57" s="20">
        <f>AM57/118%</f>
        <v>0</v>
      </c>
      <c r="AO57" s="151">
        <f>AN57/AN2</f>
        <v>0</v>
      </c>
      <c r="AP57" s="96"/>
      <c r="AQ57" s="96">
        <f>AP57*AQ2</f>
        <v>0</v>
      </c>
      <c r="AR57" s="96">
        <f>AQ57*118%</f>
        <v>0</v>
      </c>
      <c r="AS57" s="118"/>
      <c r="AT57" s="151"/>
      <c r="AU57" s="151">
        <f>AT57/118%</f>
        <v>0</v>
      </c>
      <c r="AV57" s="151">
        <f>AU57/AU2</f>
        <v>0</v>
      </c>
      <c r="AW57" s="210"/>
      <c r="AX57" s="210">
        <f>AW57*AX2</f>
        <v>0</v>
      </c>
      <c r="AY57" s="210">
        <f>AX57*118%</f>
        <v>0</v>
      </c>
      <c r="AZ57" s="118"/>
      <c r="BA57" s="151">
        <v>925574.3</v>
      </c>
      <c r="BB57" s="151">
        <f>BA57/118%</f>
        <v>784385.00000000012</v>
      </c>
      <c r="BC57" s="151">
        <f>BB57/BB2</f>
        <v>423.82694302757852</v>
      </c>
      <c r="BD57" s="159"/>
      <c r="BE57" s="159">
        <f>BD57*BE2</f>
        <v>0</v>
      </c>
      <c r="BF57" s="73">
        <f>BE57*118%</f>
        <v>0</v>
      </c>
      <c r="BG57" s="118"/>
      <c r="BH57" s="151"/>
      <c r="BI57" s="151">
        <f>BH57/118%</f>
        <v>0</v>
      </c>
      <c r="BJ57" s="151">
        <f>BI57/BI2</f>
        <v>0</v>
      </c>
      <c r="BK57" s="210"/>
      <c r="BL57" s="210">
        <f>BK57*BL2</f>
        <v>0</v>
      </c>
      <c r="BM57" s="210">
        <f>BL57*118%</f>
        <v>0</v>
      </c>
      <c r="BN57" s="118"/>
      <c r="BO57" s="151">
        <v>166599</v>
      </c>
      <c r="BP57" s="151">
        <f>BO57/118%</f>
        <v>141185.59322033898</v>
      </c>
      <c r="BQ57" s="151">
        <f>BP57/BP2</f>
        <v>31.374576271186442</v>
      </c>
      <c r="BR57" s="96"/>
      <c r="BS57" s="96">
        <f>BR57*BS2</f>
        <v>0</v>
      </c>
      <c r="BT57" s="96">
        <f>BS57*118%</f>
        <v>0</v>
      </c>
      <c r="BU57" s="118"/>
      <c r="BV57" s="151"/>
      <c r="BW57" s="151">
        <f>BV57/118%</f>
        <v>0</v>
      </c>
      <c r="BX57" s="151">
        <f>BW57/BW2</f>
        <v>0</v>
      </c>
      <c r="BY57" s="159"/>
      <c r="BZ57" s="159">
        <f>BY57*BZ2</f>
        <v>0</v>
      </c>
      <c r="CA57" s="73">
        <f>BZ57*118%</f>
        <v>0</v>
      </c>
      <c r="CB57" s="118"/>
      <c r="CC57" s="151">
        <v>925574.3</v>
      </c>
      <c r="CD57" s="151">
        <f>CC57/118%</f>
        <v>784385.00000000012</v>
      </c>
      <c r="CE57" s="151">
        <f>CD57/CD2</f>
        <v>423.82694302757852</v>
      </c>
      <c r="CF57" s="96"/>
      <c r="CG57" s="96">
        <f>CF57*CG2</f>
        <v>0</v>
      </c>
      <c r="CH57" s="96">
        <f>CG57*118%</f>
        <v>0</v>
      </c>
      <c r="CI57" s="118"/>
      <c r="CJ57" s="151"/>
      <c r="CK57" s="151">
        <f>CJ57/118%</f>
        <v>0</v>
      </c>
      <c r="CL57" s="151">
        <f>CK57/CK2</f>
        <v>0</v>
      </c>
      <c r="CM57" s="210"/>
      <c r="CN57" s="210">
        <f>CM57*CN2</f>
        <v>0</v>
      </c>
      <c r="CO57" s="210">
        <f>CN57*118%</f>
        <v>0</v>
      </c>
      <c r="CP57" s="118"/>
      <c r="CQ57" s="151"/>
      <c r="CR57" s="151">
        <f>CQ57/118%</f>
        <v>0</v>
      </c>
      <c r="CS57" s="151">
        <f>CR57/CR2</f>
        <v>0</v>
      </c>
      <c r="CT57" s="159"/>
      <c r="CU57" s="159">
        <f>CT57*CU2</f>
        <v>0</v>
      </c>
      <c r="CV57" s="159">
        <f>CU57*118%</f>
        <v>0</v>
      </c>
      <c r="CW57" s="118"/>
      <c r="CX57" s="151"/>
      <c r="CY57" s="151">
        <f>CX57/118%</f>
        <v>0</v>
      </c>
      <c r="CZ57" s="151">
        <f>CY57/CY2</f>
        <v>0</v>
      </c>
      <c r="DA57" s="96"/>
      <c r="DB57" s="96">
        <f>DA57*DB2</f>
        <v>0</v>
      </c>
      <c r="DC57" s="96">
        <f>DB57*118%</f>
        <v>0</v>
      </c>
      <c r="DD57" s="118"/>
      <c r="DE57" s="151"/>
      <c r="DF57" s="151">
        <f>DE57/118%</f>
        <v>0</v>
      </c>
      <c r="DG57" s="151">
        <f>DF57/DF2</f>
        <v>0</v>
      </c>
      <c r="DH57" s="159"/>
      <c r="DI57" s="159">
        <f>DH57*DI2</f>
        <v>0</v>
      </c>
      <c r="DJ57" s="159">
        <f>DI57*118%</f>
        <v>0</v>
      </c>
      <c r="DK57" s="118"/>
      <c r="DL57" s="151">
        <v>925574.3</v>
      </c>
      <c r="DM57" s="151">
        <f>DL57/118%</f>
        <v>784385.00000000012</v>
      </c>
      <c r="DN57" s="151">
        <f>DM57/DM2</f>
        <v>423.82694302757852</v>
      </c>
      <c r="DO57" s="96"/>
      <c r="DP57" s="96">
        <f>DO57*DP2</f>
        <v>0</v>
      </c>
      <c r="DQ57" s="96">
        <f>DP57*118%</f>
        <v>0</v>
      </c>
      <c r="DR57" s="118"/>
      <c r="DS57" s="151"/>
      <c r="DT57" s="151">
        <f>DS57/118%</f>
        <v>0</v>
      </c>
      <c r="DU57" s="151">
        <f>DT57/DT2</f>
        <v>0</v>
      </c>
      <c r="DV57" s="210"/>
      <c r="DW57" s="210">
        <f>DV57*DW2</f>
        <v>0</v>
      </c>
      <c r="DX57" s="210">
        <f>DW57*118%</f>
        <v>0</v>
      </c>
      <c r="DY57" s="118"/>
      <c r="DZ57" s="151"/>
      <c r="EA57" s="151">
        <f>DZ57/118%</f>
        <v>0</v>
      </c>
      <c r="EB57" s="151">
        <f>EA57/EA2</f>
        <v>0</v>
      </c>
      <c r="EC57" s="159"/>
      <c r="ED57" s="159">
        <f>EC57*ED2</f>
        <v>0</v>
      </c>
      <c r="EE57" s="159">
        <f>ED57*118%</f>
        <v>0</v>
      </c>
      <c r="EF57" s="118"/>
      <c r="EG57" s="151"/>
      <c r="EH57" s="151">
        <f>EG57/118%</f>
        <v>0</v>
      </c>
      <c r="EI57" s="151">
        <f>EH57/EH2</f>
        <v>0</v>
      </c>
      <c r="EJ57" s="96"/>
      <c r="EK57" s="96">
        <f>EJ57*EK2</f>
        <v>0</v>
      </c>
      <c r="EL57" s="96">
        <f>EK57*118%</f>
        <v>0</v>
      </c>
      <c r="EM57" s="118"/>
      <c r="EN57" s="151">
        <v>166599</v>
      </c>
      <c r="EO57" s="151">
        <f>EN57/118%</f>
        <v>141185.59322033898</v>
      </c>
      <c r="EP57" s="151">
        <f>EO57/EO2</f>
        <v>31.374576271186442</v>
      </c>
      <c r="EQ57" s="159"/>
      <c r="ER57" s="159">
        <f>EQ57*ER2</f>
        <v>0</v>
      </c>
      <c r="ES57" s="159">
        <f>ER57*118%</f>
        <v>0</v>
      </c>
      <c r="ET57" s="118"/>
      <c r="EU57" s="151"/>
      <c r="EV57" s="151">
        <f>EU57/118%</f>
        <v>0</v>
      </c>
      <c r="EW57" s="151">
        <f>EV57/EV2</f>
        <v>0</v>
      </c>
      <c r="EX57" s="96"/>
      <c r="EY57" s="96">
        <f>EX57*EY2</f>
        <v>0</v>
      </c>
      <c r="EZ57" s="96">
        <f>EY57*118%</f>
        <v>0</v>
      </c>
      <c r="FA57" s="118"/>
      <c r="FB57" s="151"/>
      <c r="FC57" s="151">
        <f>FB57/118%</f>
        <v>0</v>
      </c>
      <c r="FD57" s="151">
        <f>FC57/FC2</f>
        <v>0</v>
      </c>
      <c r="FE57" s="159"/>
      <c r="FF57" s="159">
        <f>FE57*FF2</f>
        <v>0</v>
      </c>
      <c r="FG57" s="159">
        <f>FF57*118%</f>
        <v>0</v>
      </c>
      <c r="FH57" s="118"/>
      <c r="FI57" s="151"/>
      <c r="FJ57" s="151">
        <f>FI57/118%</f>
        <v>0</v>
      </c>
      <c r="FK57" s="151">
        <f>FJ57/FJ2</f>
        <v>0</v>
      </c>
      <c r="FL57" s="96"/>
      <c r="FM57" s="96">
        <f>FL57*FM2</f>
        <v>0</v>
      </c>
      <c r="FN57" s="96">
        <f>FM57*118%</f>
        <v>0</v>
      </c>
      <c r="FO57" s="118"/>
      <c r="FP57" s="151"/>
      <c r="FQ57" s="151">
        <f>FP57/118%</f>
        <v>0</v>
      </c>
      <c r="FR57" s="151">
        <f>FQ57/FQ2</f>
        <v>0</v>
      </c>
      <c r="FS57" s="159"/>
      <c r="FT57" s="159">
        <f>FS57*FT2</f>
        <v>0</v>
      </c>
      <c r="FU57" s="159">
        <f>FT57*118%</f>
        <v>0</v>
      </c>
      <c r="FV57" s="118"/>
      <c r="FW57" s="151"/>
      <c r="FX57" s="151">
        <f>FW57/118%</f>
        <v>0</v>
      </c>
      <c r="FY57" s="151">
        <f>FX57/FX2</f>
        <v>0</v>
      </c>
      <c r="FZ57" s="96"/>
      <c r="GA57" s="96">
        <f>FZ57*GA2</f>
        <v>0</v>
      </c>
      <c r="GB57" s="96">
        <f>GA57*118%</f>
        <v>0</v>
      </c>
      <c r="GC57" s="118"/>
      <c r="GD57" s="151"/>
      <c r="GE57" s="151">
        <f>GD57/118%</f>
        <v>0</v>
      </c>
      <c r="GF57" s="151">
        <f>GE57/GE2</f>
        <v>0</v>
      </c>
      <c r="GG57" s="159"/>
      <c r="GH57" s="159">
        <f>GG57*GH2</f>
        <v>0</v>
      </c>
      <c r="GI57" s="159">
        <f>GH57*118%</f>
        <v>0</v>
      </c>
      <c r="GJ57" s="118"/>
      <c r="GK57" s="151"/>
      <c r="GL57" s="151">
        <f>GK57/118%</f>
        <v>0</v>
      </c>
      <c r="GM57" s="151">
        <f>GL57/GL2</f>
        <v>0</v>
      </c>
      <c r="GN57" s="159"/>
      <c r="GO57" s="159">
        <f>GN57*GO2</f>
        <v>0</v>
      </c>
      <c r="GP57" s="159">
        <f>GO57*118%</f>
        <v>0</v>
      </c>
      <c r="GQ57" s="118"/>
      <c r="GR57" s="151"/>
      <c r="GS57" s="151">
        <f>GR57/118%</f>
        <v>0</v>
      </c>
      <c r="GT57" s="151">
        <f>GS57/GS2</f>
        <v>0</v>
      </c>
      <c r="GU57" s="96"/>
      <c r="GV57" s="96">
        <f>GU57*GV2</f>
        <v>0</v>
      </c>
      <c r="GW57" s="96">
        <f>GV57*118%</f>
        <v>0</v>
      </c>
      <c r="GX57" s="118"/>
      <c r="GY57" s="151"/>
      <c r="GZ57" s="151">
        <f>GY57/118%</f>
        <v>0</v>
      </c>
      <c r="HA57" s="151">
        <f>GZ57/GZ2</f>
        <v>0</v>
      </c>
      <c r="HB57" s="159"/>
      <c r="HC57" s="159">
        <f>HB57*HC2</f>
        <v>0</v>
      </c>
      <c r="HD57" s="159">
        <f>HC57*118%</f>
        <v>0</v>
      </c>
      <c r="HE57" s="118"/>
      <c r="HF57" s="151"/>
      <c r="HG57" s="151">
        <f>HF57/118%</f>
        <v>0</v>
      </c>
      <c r="HH57" s="151">
        <f>HG57/HG2</f>
        <v>0</v>
      </c>
      <c r="HI57" s="210"/>
      <c r="HJ57" s="210">
        <f>HI57*HJ2</f>
        <v>0</v>
      </c>
      <c r="HK57" s="210">
        <f>HJ57*118%</f>
        <v>0</v>
      </c>
      <c r="HL57" s="118"/>
      <c r="HM57" s="151"/>
      <c r="HN57" s="151">
        <f>HM57/118%</f>
        <v>0</v>
      </c>
      <c r="HO57" s="151">
        <f>HN57/HN2</f>
        <v>0</v>
      </c>
      <c r="HP57" s="159"/>
      <c r="HQ57" s="159">
        <f>HP57*HQ2</f>
        <v>0</v>
      </c>
      <c r="HR57" s="159">
        <f>HQ57*118%</f>
        <v>0</v>
      </c>
      <c r="HS57" s="118"/>
      <c r="HT57" s="151">
        <v>925574.3</v>
      </c>
      <c r="HU57" s="151">
        <f>HT57/118%</f>
        <v>784385.00000000012</v>
      </c>
      <c r="HV57" s="151">
        <f>HU57/HU2</f>
        <v>423.82694302757852</v>
      </c>
      <c r="HW57" s="96"/>
      <c r="HX57" s="96">
        <f>HW57*HX2</f>
        <v>0</v>
      </c>
      <c r="HY57" s="96">
        <f>HX57*118%</f>
        <v>0</v>
      </c>
      <c r="HZ57" s="118"/>
      <c r="IA57" s="34"/>
    </row>
    <row r="58" spans="1:235">
      <c r="A58" s="18">
        <v>2</v>
      </c>
      <c r="B58" s="19" t="s">
        <v>54</v>
      </c>
      <c r="C58" s="118"/>
      <c r="D58" s="151">
        <v>359900</v>
      </c>
      <c r="E58" s="151">
        <f>D58/118%</f>
        <v>305000</v>
      </c>
      <c r="F58" s="151">
        <f>E58/E2</f>
        <v>2019.8675496688741</v>
      </c>
      <c r="G58" s="73">
        <v>200</v>
      </c>
      <c r="H58" s="159">
        <f>G58*H2</f>
        <v>203148.80000000002</v>
      </c>
      <c r="I58" s="73">
        <f>H58*118%</f>
        <v>239715.584</v>
      </c>
      <c r="J58" s="118"/>
      <c r="K58" s="151">
        <v>359900</v>
      </c>
      <c r="L58" s="151">
        <f>K58/118%</f>
        <v>305000</v>
      </c>
      <c r="M58" s="151">
        <f>L58/L2</f>
        <v>2019.8675496688741</v>
      </c>
      <c r="N58" s="96">
        <v>600</v>
      </c>
      <c r="O58" s="96">
        <f>N58*O2</f>
        <v>166177.44</v>
      </c>
      <c r="P58" s="96">
        <f>O58*118%</f>
        <v>196089.3792</v>
      </c>
      <c r="Q58" s="118"/>
      <c r="R58" s="20"/>
      <c r="S58" s="20">
        <f>R58/118%</f>
        <v>0</v>
      </c>
      <c r="T58" s="151">
        <f>S58/S2</f>
        <v>0</v>
      </c>
      <c r="U58" s="159"/>
      <c r="V58" s="159">
        <f>U58*V2</f>
        <v>0</v>
      </c>
      <c r="W58" s="73">
        <f>V58*118%</f>
        <v>0</v>
      </c>
      <c r="X58" s="118"/>
      <c r="Y58" s="20"/>
      <c r="Z58" s="20">
        <f>Y58/118%</f>
        <v>0</v>
      </c>
      <c r="AA58" s="151">
        <f>Z58/Z2</f>
        <v>0</v>
      </c>
      <c r="AB58" s="96">
        <v>600</v>
      </c>
      <c r="AC58" s="96">
        <f>AB58*AC2</f>
        <v>230737.44</v>
      </c>
      <c r="AD58" s="96">
        <f>AC58*118%</f>
        <v>272270.17920000001</v>
      </c>
      <c r="AE58" s="118"/>
      <c r="AF58" s="131"/>
      <c r="AG58" s="131">
        <f>AF58/118%</f>
        <v>0</v>
      </c>
      <c r="AH58" s="151">
        <f>AG58/AG2</f>
        <v>0</v>
      </c>
      <c r="AI58" s="159">
        <v>200</v>
      </c>
      <c r="AJ58" s="159">
        <f>AI58*AJ2</f>
        <v>715324.79999999993</v>
      </c>
      <c r="AK58" s="73">
        <f>AJ58*118%</f>
        <v>844083.26399999985</v>
      </c>
      <c r="AL58" s="118"/>
      <c r="AM58" s="20"/>
      <c r="AN58" s="20">
        <f>AM58/118%</f>
        <v>0</v>
      </c>
      <c r="AO58" s="151">
        <f>AN58/AN2</f>
        <v>0</v>
      </c>
      <c r="AP58" s="96">
        <v>500</v>
      </c>
      <c r="AQ58" s="96">
        <f>AP58*AQ2</f>
        <v>374609.39999999997</v>
      </c>
      <c r="AR58" s="96">
        <f>AQ58*118%</f>
        <v>442039.09199999995</v>
      </c>
      <c r="AS58" s="118"/>
      <c r="AT58" s="151"/>
      <c r="AU58" s="151">
        <f>AT58/118%</f>
        <v>0</v>
      </c>
      <c r="AV58" s="151">
        <f>AU58/AU2</f>
        <v>0</v>
      </c>
      <c r="AW58" s="210"/>
      <c r="AX58" s="210">
        <f>AW58*AX2</f>
        <v>0</v>
      </c>
      <c r="AY58" s="210">
        <f>AX58*118%</f>
        <v>0</v>
      </c>
      <c r="AZ58" s="118"/>
      <c r="BA58" s="151">
        <v>1239000</v>
      </c>
      <c r="BB58" s="151">
        <f>BA58/118%</f>
        <v>1050000</v>
      </c>
      <c r="BC58" s="151">
        <f>BB58/BB2</f>
        <v>567.34676234114295</v>
      </c>
      <c r="BD58" s="159">
        <v>400</v>
      </c>
      <c r="BE58" s="159">
        <f>BD58*BE2</f>
        <v>388651.19999999995</v>
      </c>
      <c r="BF58" s="73">
        <f>BE58*118%</f>
        <v>458608.41599999991</v>
      </c>
      <c r="BG58" s="118"/>
      <c r="BH58" s="151"/>
      <c r="BI58" s="151">
        <f>BH58/118%</f>
        <v>0</v>
      </c>
      <c r="BJ58" s="151">
        <f>BI58/BI2</f>
        <v>0</v>
      </c>
      <c r="BK58" s="210"/>
      <c r="BL58" s="210">
        <f>BK58*BL2</f>
        <v>0</v>
      </c>
      <c r="BM58" s="210">
        <f>BL58*118%</f>
        <v>0</v>
      </c>
      <c r="BN58" s="118"/>
      <c r="BO58" s="151">
        <v>75960</v>
      </c>
      <c r="BP58" s="151">
        <f>BO58/118%</f>
        <v>64372.881355932208</v>
      </c>
      <c r="BQ58" s="151">
        <f>BP58/BP2</f>
        <v>14.305084745762713</v>
      </c>
      <c r="BR58" s="96">
        <v>400</v>
      </c>
      <c r="BS58" s="96">
        <f>BR58*BS2</f>
        <v>1278288</v>
      </c>
      <c r="BT58" s="96">
        <f>BS58*118%</f>
        <v>1508379.8399999999</v>
      </c>
      <c r="BU58" s="118"/>
      <c r="BV58" s="151">
        <v>359900</v>
      </c>
      <c r="BW58" s="151">
        <f>BV58/118%</f>
        <v>305000</v>
      </c>
      <c r="BX58" s="151">
        <f>BW58/BW2</f>
        <v>2019.8675496688741</v>
      </c>
      <c r="BY58" s="159">
        <v>600</v>
      </c>
      <c r="BZ58" s="159">
        <f>BY58*BZ2</f>
        <v>161400</v>
      </c>
      <c r="CA58" s="73">
        <f>BZ58*118%</f>
        <v>190452</v>
      </c>
      <c r="CB58" s="118"/>
      <c r="CC58" s="151">
        <v>1239000</v>
      </c>
      <c r="CD58" s="151">
        <f>CC58/118%</f>
        <v>1050000</v>
      </c>
      <c r="CE58" s="151">
        <f>CD58/CD2</f>
        <v>567.34676234114295</v>
      </c>
      <c r="CF58" s="96">
        <v>400</v>
      </c>
      <c r="CG58" s="96">
        <f>CF58*CG2</f>
        <v>286216</v>
      </c>
      <c r="CH58" s="96">
        <f>CG58*118%</f>
        <v>337734.88</v>
      </c>
      <c r="CI58" s="118"/>
      <c r="CJ58" s="151"/>
      <c r="CK58" s="151">
        <f>CJ58/118%</f>
        <v>0</v>
      </c>
      <c r="CL58" s="151">
        <f>CK58/CK2</f>
        <v>0</v>
      </c>
      <c r="CM58" s="210"/>
      <c r="CN58" s="210">
        <f>CM58*CN2</f>
        <v>0</v>
      </c>
      <c r="CO58" s="210">
        <f>CN58*118%</f>
        <v>0</v>
      </c>
      <c r="CP58" s="118"/>
      <c r="CQ58" s="151"/>
      <c r="CR58" s="151">
        <f>CQ58/118%</f>
        <v>0</v>
      </c>
      <c r="CS58" s="151">
        <f>CR58/CR2</f>
        <v>0</v>
      </c>
      <c r="CT58" s="159">
        <v>600</v>
      </c>
      <c r="CU58" s="159">
        <f>CT58*CU2</f>
        <v>227832.24</v>
      </c>
      <c r="CV58" s="159">
        <f>CU58*118%</f>
        <v>268842.04319999996</v>
      </c>
      <c r="CW58" s="118"/>
      <c r="CX58" s="151">
        <v>359900</v>
      </c>
      <c r="CY58" s="151">
        <f>CX58/118%</f>
        <v>305000</v>
      </c>
      <c r="CZ58" s="151">
        <f>CY58/CY2</f>
        <v>2019.8675496688741</v>
      </c>
      <c r="DA58" s="96">
        <v>400</v>
      </c>
      <c r="DB58" s="96">
        <f>DA58*DB2</f>
        <v>197381.44</v>
      </c>
      <c r="DC58" s="96">
        <f>DB58*118%</f>
        <v>232910.0992</v>
      </c>
      <c r="DD58" s="118"/>
      <c r="DE58" s="151"/>
      <c r="DF58" s="151">
        <f>DE58/118%</f>
        <v>0</v>
      </c>
      <c r="DG58" s="151">
        <f>DF58/DF2</f>
        <v>0</v>
      </c>
      <c r="DH58" s="159">
        <v>300</v>
      </c>
      <c r="DI58" s="159">
        <f>DH58*DI2</f>
        <v>230317.79999999996</v>
      </c>
      <c r="DJ58" s="159">
        <f>DI58*118%</f>
        <v>271775.00399999996</v>
      </c>
      <c r="DK58" s="118"/>
      <c r="DL58" s="151">
        <v>1239000</v>
      </c>
      <c r="DM58" s="151">
        <f>DL58/118%</f>
        <v>1050000</v>
      </c>
      <c r="DN58" s="151">
        <f>DM58/DM2</f>
        <v>567.34676234114295</v>
      </c>
      <c r="DO58" s="96">
        <v>400</v>
      </c>
      <c r="DP58" s="96">
        <f>DO58*DP2</f>
        <v>284020.95999999996</v>
      </c>
      <c r="DQ58" s="96">
        <f>DP58*118%</f>
        <v>335144.73279999994</v>
      </c>
      <c r="DR58" s="118"/>
      <c r="DS58" s="151"/>
      <c r="DT58" s="151">
        <f>DS58/118%</f>
        <v>0</v>
      </c>
      <c r="DU58" s="151">
        <f>DT58/DT2</f>
        <v>0</v>
      </c>
      <c r="DV58" s="210"/>
      <c r="DW58" s="210">
        <f>DV58*DW2</f>
        <v>0</v>
      </c>
      <c r="DX58" s="210">
        <f>DW58*118%</f>
        <v>0</v>
      </c>
      <c r="DY58" s="118"/>
      <c r="DZ58" s="151"/>
      <c r="EA58" s="151">
        <f>DZ58/118%</f>
        <v>0</v>
      </c>
      <c r="EB58" s="151">
        <f>EA58/EA2</f>
        <v>0</v>
      </c>
      <c r="EC58" s="159">
        <v>400</v>
      </c>
      <c r="ED58" s="159">
        <f>EC58*ED2</f>
        <v>258240</v>
      </c>
      <c r="EE58" s="159">
        <f>ED58*118%</f>
        <v>304723.20000000001</v>
      </c>
      <c r="EF58" s="118"/>
      <c r="EG58" s="151"/>
      <c r="EH58" s="151">
        <f>EG58/118%</f>
        <v>0</v>
      </c>
      <c r="EI58" s="151">
        <f>EH58/EH2</f>
        <v>0</v>
      </c>
      <c r="EJ58" s="96">
        <v>300</v>
      </c>
      <c r="EK58" s="96">
        <f>EJ58*EK2</f>
        <v>533201.04</v>
      </c>
      <c r="EL58" s="96">
        <f>EK58*118%</f>
        <v>629177.22719999996</v>
      </c>
      <c r="EM58" s="118"/>
      <c r="EN58" s="151">
        <v>75960</v>
      </c>
      <c r="EO58" s="151">
        <f>EN58/118%</f>
        <v>64372.881355932208</v>
      </c>
      <c r="EP58" s="151">
        <f>EO58/EO2</f>
        <v>14.305084745762713</v>
      </c>
      <c r="EQ58" s="159">
        <v>300</v>
      </c>
      <c r="ER58" s="159">
        <f>EQ58*ER2</f>
        <v>1561254.48</v>
      </c>
      <c r="ES58" s="159">
        <f>ER58*118%</f>
        <v>1842280.2863999999</v>
      </c>
      <c r="ET58" s="118"/>
      <c r="EU58" s="151"/>
      <c r="EV58" s="151">
        <f>EU58/118%</f>
        <v>0</v>
      </c>
      <c r="EW58" s="151">
        <f>EV58/EV2</f>
        <v>0</v>
      </c>
      <c r="EX58" s="96">
        <v>1000</v>
      </c>
      <c r="EY58" s="96">
        <f>EX58*EY2</f>
        <v>1076000</v>
      </c>
      <c r="EZ58" s="96">
        <f>EY58*118%</f>
        <v>1269680</v>
      </c>
      <c r="FA58" s="118"/>
      <c r="FB58" s="151"/>
      <c r="FC58" s="151">
        <f>FB58/118%</f>
        <v>0</v>
      </c>
      <c r="FD58" s="151">
        <f>FC58/FC2</f>
        <v>0</v>
      </c>
      <c r="FE58" s="159">
        <v>300</v>
      </c>
      <c r="FF58" s="159">
        <f>FE58*FF2</f>
        <v>549825.24</v>
      </c>
      <c r="FG58" s="159">
        <f>FF58*118%</f>
        <v>648793.78319999995</v>
      </c>
      <c r="FH58" s="118"/>
      <c r="FI58" s="151"/>
      <c r="FJ58" s="151">
        <f>FI58/118%</f>
        <v>0</v>
      </c>
      <c r="FK58" s="151">
        <f>FJ58/FJ2</f>
        <v>0</v>
      </c>
      <c r="FL58" s="96">
        <v>1000</v>
      </c>
      <c r="FM58" s="96">
        <f>FL58*FM2</f>
        <v>188299.99999999997</v>
      </c>
      <c r="FN58" s="96">
        <f>FM58*118%</f>
        <v>222193.99999999994</v>
      </c>
      <c r="FO58" s="118"/>
      <c r="FP58" s="151"/>
      <c r="FQ58" s="151">
        <f>FP58/118%</f>
        <v>0</v>
      </c>
      <c r="FR58" s="151">
        <f>FQ58/FQ2</f>
        <v>0</v>
      </c>
      <c r="FS58" s="159"/>
      <c r="FT58" s="159">
        <f>FS58*FT2</f>
        <v>0</v>
      </c>
      <c r="FU58" s="159">
        <f>FT58*118%</f>
        <v>0</v>
      </c>
      <c r="FV58" s="118"/>
      <c r="FW58" s="151"/>
      <c r="FX58" s="151">
        <f>FW58/118%</f>
        <v>0</v>
      </c>
      <c r="FY58" s="151">
        <f>FX58/FX2</f>
        <v>0</v>
      </c>
      <c r="FZ58" s="96"/>
      <c r="GA58" s="96">
        <f>FZ58*GA2</f>
        <v>0</v>
      </c>
      <c r="GB58" s="96">
        <f>GA58*118%</f>
        <v>0</v>
      </c>
      <c r="GC58" s="118"/>
      <c r="GD58" s="151"/>
      <c r="GE58" s="151">
        <f>GD58/118%</f>
        <v>0</v>
      </c>
      <c r="GF58" s="151">
        <f>GE58/GE2</f>
        <v>0</v>
      </c>
      <c r="GG58" s="159"/>
      <c r="GH58" s="159">
        <f>GG58*GH2</f>
        <v>0</v>
      </c>
      <c r="GI58" s="159">
        <f>GH58*118%</f>
        <v>0</v>
      </c>
      <c r="GJ58" s="118"/>
      <c r="GK58" s="151"/>
      <c r="GL58" s="151">
        <f>GK58/118%</f>
        <v>0</v>
      </c>
      <c r="GM58" s="151">
        <f>GL58/GL2</f>
        <v>0</v>
      </c>
      <c r="GN58" s="159">
        <v>1500</v>
      </c>
      <c r="GO58" s="159">
        <f>GN58*GO2</f>
        <v>242100</v>
      </c>
      <c r="GP58" s="159">
        <f>GO58*118%</f>
        <v>285678</v>
      </c>
      <c r="GQ58" s="118"/>
      <c r="GR58" s="151"/>
      <c r="GS58" s="151">
        <f>GR58/118%</f>
        <v>0</v>
      </c>
      <c r="GT58" s="151">
        <f>GS58/GS2</f>
        <v>0</v>
      </c>
      <c r="GU58" s="96"/>
      <c r="GV58" s="96">
        <f>GU58*GV2</f>
        <v>0</v>
      </c>
      <c r="GW58" s="96">
        <f>GV58*118%</f>
        <v>0</v>
      </c>
      <c r="GX58" s="118"/>
      <c r="GY58" s="151"/>
      <c r="GZ58" s="151">
        <f>GY58/118%</f>
        <v>0</v>
      </c>
      <c r="HA58" s="151">
        <f>GZ58/GZ2</f>
        <v>0</v>
      </c>
      <c r="HB58" s="159">
        <v>1000</v>
      </c>
      <c r="HC58" s="159">
        <f>HB58*HC2</f>
        <v>276101.59999999998</v>
      </c>
      <c r="HD58" s="159">
        <f>HC58*118%</f>
        <v>325799.88799999998</v>
      </c>
      <c r="HE58" s="118"/>
      <c r="HF58" s="151"/>
      <c r="HG58" s="151">
        <f>HF58/118%</f>
        <v>0</v>
      </c>
      <c r="HH58" s="151">
        <f>HG58/HG2</f>
        <v>0</v>
      </c>
      <c r="HI58" s="210"/>
      <c r="HJ58" s="210">
        <f>HI58*HJ2</f>
        <v>0</v>
      </c>
      <c r="HK58" s="210">
        <f>HJ58*118%</f>
        <v>0</v>
      </c>
      <c r="HL58" s="118"/>
      <c r="HM58" s="151"/>
      <c r="HN58" s="151">
        <f>HM58/118%</f>
        <v>0</v>
      </c>
      <c r="HO58" s="151">
        <f>HN58/HN2</f>
        <v>0</v>
      </c>
      <c r="HP58" s="159">
        <v>1500</v>
      </c>
      <c r="HQ58" s="159">
        <f>HP58*HQ2</f>
        <v>242100</v>
      </c>
      <c r="HR58" s="159">
        <f>HQ58*118%</f>
        <v>285678</v>
      </c>
      <c r="HS58" s="118"/>
      <c r="HT58" s="151">
        <v>1239000</v>
      </c>
      <c r="HU58" s="151">
        <f>HT58/118%</f>
        <v>1050000</v>
      </c>
      <c r="HV58" s="151">
        <f>HU58/HU2</f>
        <v>567.34676234114295</v>
      </c>
      <c r="HW58" s="96">
        <v>400</v>
      </c>
      <c r="HX58" s="96">
        <f>HW58*HX2</f>
        <v>255743.68</v>
      </c>
      <c r="HY58" s="96">
        <f>HX58*118%</f>
        <v>301777.54239999998</v>
      </c>
      <c r="HZ58" s="118"/>
      <c r="IA58" s="33"/>
    </row>
    <row r="59" spans="1:235">
      <c r="A59" s="18">
        <v>3</v>
      </c>
      <c r="B59" s="19" t="s">
        <v>55</v>
      </c>
      <c r="C59" s="118"/>
      <c r="D59" s="151"/>
      <c r="E59" s="151">
        <f>D59/118%</f>
        <v>0</v>
      </c>
      <c r="F59" s="151">
        <f>E59/E2</f>
        <v>0</v>
      </c>
      <c r="G59" s="159">
        <v>200</v>
      </c>
      <c r="H59" s="159">
        <f>G59*H2</f>
        <v>203148.80000000002</v>
      </c>
      <c r="I59" s="159">
        <f>H59*118%</f>
        <v>239715.584</v>
      </c>
      <c r="J59" s="118"/>
      <c r="K59" s="151"/>
      <c r="L59" s="151">
        <f>K59/118%</f>
        <v>0</v>
      </c>
      <c r="M59" s="151">
        <f>L59/L2</f>
        <v>0</v>
      </c>
      <c r="N59" s="96">
        <v>1000</v>
      </c>
      <c r="O59" s="96">
        <f>N59*O2</f>
        <v>276962.40000000002</v>
      </c>
      <c r="P59" s="96">
        <f>O59*118%</f>
        <v>326815.63199999998</v>
      </c>
      <c r="Q59" s="118"/>
      <c r="R59" s="151"/>
      <c r="S59" s="151">
        <f>R59/118%</f>
        <v>0</v>
      </c>
      <c r="T59" s="151">
        <f>S59/S2</f>
        <v>0</v>
      </c>
      <c r="U59" s="159">
        <v>1000</v>
      </c>
      <c r="V59" s="159">
        <f>U59*V2</f>
        <v>107600</v>
      </c>
      <c r="W59" s="159">
        <f>V59*118%</f>
        <v>126968</v>
      </c>
      <c r="X59" s="118"/>
      <c r="Y59" s="151"/>
      <c r="Z59" s="151">
        <f>Y59/118%</f>
        <v>0</v>
      </c>
      <c r="AA59" s="151">
        <f>Z59/Z2</f>
        <v>0</v>
      </c>
      <c r="AB59" s="96">
        <v>1000</v>
      </c>
      <c r="AC59" s="96">
        <f>AB59*AC2</f>
        <v>384562.4</v>
      </c>
      <c r="AD59" s="96">
        <f>AC59*118%</f>
        <v>453783.63199999998</v>
      </c>
      <c r="AE59" s="118"/>
      <c r="AF59" s="151"/>
      <c r="AG59" s="151">
        <f>AF59/118%</f>
        <v>0</v>
      </c>
      <c r="AH59" s="151">
        <f>AG59/AG2</f>
        <v>0</v>
      </c>
      <c r="AI59" s="159">
        <v>300</v>
      </c>
      <c r="AJ59" s="159">
        <f>AI59*AJ2</f>
        <v>1072987.2</v>
      </c>
      <c r="AK59" s="159">
        <f>AJ59*118%</f>
        <v>1266124.8959999999</v>
      </c>
      <c r="AL59" s="118"/>
      <c r="AM59" s="151"/>
      <c r="AN59" s="151">
        <f>AM59/118%</f>
        <v>0</v>
      </c>
      <c r="AO59" s="151">
        <f>AN59/AN2</f>
        <v>0</v>
      </c>
      <c r="AP59" s="96">
        <v>1000</v>
      </c>
      <c r="AQ59" s="96">
        <f>AP59*AQ2</f>
        <v>749218.79999999993</v>
      </c>
      <c r="AR59" s="96">
        <f>AQ59*118%</f>
        <v>884078.18399999989</v>
      </c>
      <c r="AS59" s="118"/>
      <c r="AT59" s="151"/>
      <c r="AU59" s="151">
        <f>AT59/118%</f>
        <v>0</v>
      </c>
      <c r="AV59" s="151">
        <f>AU59/AU2</f>
        <v>0</v>
      </c>
      <c r="AW59" s="210"/>
      <c r="AX59" s="210">
        <f>AW59*AX2</f>
        <v>0</v>
      </c>
      <c r="AY59" s="210">
        <f>AX59*118%</f>
        <v>0</v>
      </c>
      <c r="AZ59" s="118"/>
      <c r="BA59" s="151"/>
      <c r="BB59" s="151">
        <f>BA59/118%</f>
        <v>0</v>
      </c>
      <c r="BC59" s="151">
        <f>BB59/BB2</f>
        <v>0</v>
      </c>
      <c r="BD59" s="159">
        <v>1000</v>
      </c>
      <c r="BE59" s="159">
        <f>BD59*BE2</f>
        <v>971627.99999999988</v>
      </c>
      <c r="BF59" s="159">
        <f>BE59*118%</f>
        <v>1146521.0399999998</v>
      </c>
      <c r="BG59" s="118"/>
      <c r="BH59" s="151"/>
      <c r="BI59" s="151">
        <f>BH59/118%</f>
        <v>0</v>
      </c>
      <c r="BJ59" s="151">
        <f>BI59/BI2</f>
        <v>0</v>
      </c>
      <c r="BK59" s="210"/>
      <c r="BL59" s="210">
        <f>BK59*BL2</f>
        <v>0</v>
      </c>
      <c r="BM59" s="210">
        <f>BL59*118%</f>
        <v>0</v>
      </c>
      <c r="BN59" s="118"/>
      <c r="BO59" s="151"/>
      <c r="BP59" s="151">
        <f>BO59/118%</f>
        <v>0</v>
      </c>
      <c r="BQ59" s="151">
        <f>BP59/BP2</f>
        <v>0</v>
      </c>
      <c r="BR59" s="96">
        <v>500</v>
      </c>
      <c r="BS59" s="96">
        <f>BR59*BS2</f>
        <v>1597860</v>
      </c>
      <c r="BT59" s="96">
        <f>BS59*118%</f>
        <v>1885474.7999999998</v>
      </c>
      <c r="BU59" s="118"/>
      <c r="BV59" s="151"/>
      <c r="BW59" s="151">
        <f>BV59/118%</f>
        <v>0</v>
      </c>
      <c r="BX59" s="151">
        <f>BW59/BW2</f>
        <v>0</v>
      </c>
      <c r="BY59" s="159">
        <v>1000</v>
      </c>
      <c r="BZ59" s="159">
        <f>BY59*BZ2</f>
        <v>269000</v>
      </c>
      <c r="CA59" s="159">
        <f>BZ59*118%</f>
        <v>317420</v>
      </c>
      <c r="CB59" s="118"/>
      <c r="CC59" s="151"/>
      <c r="CD59" s="151">
        <f>CC59/118%</f>
        <v>0</v>
      </c>
      <c r="CE59" s="151">
        <f>CD59/CD2</f>
        <v>0</v>
      </c>
      <c r="CF59" s="96">
        <v>700</v>
      </c>
      <c r="CG59" s="96">
        <f>CF59*CG2</f>
        <v>500878</v>
      </c>
      <c r="CH59" s="96">
        <f>CG59*118%</f>
        <v>591036.03999999992</v>
      </c>
      <c r="CI59" s="118"/>
      <c r="CJ59" s="151"/>
      <c r="CK59" s="151">
        <f>CJ59/118%</f>
        <v>0</v>
      </c>
      <c r="CL59" s="151">
        <f>CK59/CK2</f>
        <v>0</v>
      </c>
      <c r="CM59" s="210"/>
      <c r="CN59" s="210">
        <f>CM59*CN2</f>
        <v>0</v>
      </c>
      <c r="CO59" s="210">
        <f>CN59*118%</f>
        <v>0</v>
      </c>
      <c r="CP59" s="118"/>
      <c r="CQ59" s="151"/>
      <c r="CR59" s="151">
        <f>CQ59/118%</f>
        <v>0</v>
      </c>
      <c r="CS59" s="151">
        <f>CR59/CR2</f>
        <v>0</v>
      </c>
      <c r="CT59" s="159">
        <v>1000</v>
      </c>
      <c r="CU59" s="159">
        <f>CT59*CU2</f>
        <v>379720.39999999997</v>
      </c>
      <c r="CV59" s="159">
        <f>CU59*118%</f>
        <v>448070.07199999993</v>
      </c>
      <c r="CW59" s="118"/>
      <c r="CX59" s="151"/>
      <c r="CY59" s="151">
        <f>CX59/118%</f>
        <v>0</v>
      </c>
      <c r="CZ59" s="151">
        <f>CY59/CY2</f>
        <v>0</v>
      </c>
      <c r="DA59" s="96">
        <v>600</v>
      </c>
      <c r="DB59" s="96">
        <f>DA59*DB2</f>
        <v>296072.15999999997</v>
      </c>
      <c r="DC59" s="96">
        <f>DB59*118%</f>
        <v>349365.14879999997</v>
      </c>
      <c r="DD59" s="118"/>
      <c r="DE59" s="151"/>
      <c r="DF59" s="151">
        <f>DE59/118%</f>
        <v>0</v>
      </c>
      <c r="DG59" s="151">
        <f>DF59/DF2</f>
        <v>0</v>
      </c>
      <c r="DH59" s="159">
        <v>1000</v>
      </c>
      <c r="DI59" s="159">
        <f>DH59*DI2</f>
        <v>767725.99999999988</v>
      </c>
      <c r="DJ59" s="159">
        <f>DI59*118%</f>
        <v>905916.67999999982</v>
      </c>
      <c r="DK59" s="118"/>
      <c r="DL59" s="151"/>
      <c r="DM59" s="151">
        <f>DL59/118%</f>
        <v>0</v>
      </c>
      <c r="DN59" s="151">
        <f>DM59/DM2</f>
        <v>0</v>
      </c>
      <c r="DO59" s="96">
        <v>1000</v>
      </c>
      <c r="DP59" s="96">
        <f>DO59*DP2</f>
        <v>710052.39999999991</v>
      </c>
      <c r="DQ59" s="96">
        <f>DP59*118%</f>
        <v>837861.83199999982</v>
      </c>
      <c r="DR59" s="118"/>
      <c r="DS59" s="151"/>
      <c r="DT59" s="151">
        <f>DS59/118%</f>
        <v>0</v>
      </c>
      <c r="DU59" s="151">
        <f>DT59/DT2</f>
        <v>0</v>
      </c>
      <c r="DV59" s="210"/>
      <c r="DW59" s="210">
        <f>DV59*DW2</f>
        <v>0</v>
      </c>
      <c r="DX59" s="210">
        <f>DW59*118%</f>
        <v>0</v>
      </c>
      <c r="DY59" s="118"/>
      <c r="DZ59" s="151"/>
      <c r="EA59" s="151">
        <f>DZ59/118%</f>
        <v>0</v>
      </c>
      <c r="EB59" s="151">
        <f>EA59/EA2</f>
        <v>0</v>
      </c>
      <c r="EC59" s="159">
        <v>1000</v>
      </c>
      <c r="ED59" s="159">
        <f>EC59*ED2</f>
        <v>645600</v>
      </c>
      <c r="EE59" s="159">
        <f>ED59*118%</f>
        <v>761808</v>
      </c>
      <c r="EF59" s="118"/>
      <c r="EG59" s="151"/>
      <c r="EH59" s="151">
        <f>EG59/118%</f>
        <v>0</v>
      </c>
      <c r="EI59" s="151">
        <f>EH59/EH2</f>
        <v>0</v>
      </c>
      <c r="EJ59" s="96">
        <v>500</v>
      </c>
      <c r="EK59" s="96">
        <f>EJ59*EK2</f>
        <v>888668.4</v>
      </c>
      <c r="EL59" s="96">
        <f>EK59*118%</f>
        <v>1048628.7120000001</v>
      </c>
      <c r="EM59" s="118"/>
      <c r="EN59" s="151"/>
      <c r="EO59" s="151">
        <f>EN59/118%</f>
        <v>0</v>
      </c>
      <c r="EP59" s="151">
        <f>EO59/EO2</f>
        <v>0</v>
      </c>
      <c r="EQ59" s="159">
        <v>500</v>
      </c>
      <c r="ER59" s="159">
        <f>EQ59*ER2</f>
        <v>2602090.7999999998</v>
      </c>
      <c r="ES59" s="159">
        <f>ER59*118%</f>
        <v>3070467.1439999994</v>
      </c>
      <c r="ET59" s="118"/>
      <c r="EU59" s="151"/>
      <c r="EV59" s="151">
        <f>EU59/118%</f>
        <v>0</v>
      </c>
      <c r="EW59" s="151">
        <f>EV59/EV2</f>
        <v>0</v>
      </c>
      <c r="EX59" s="96">
        <v>1000</v>
      </c>
      <c r="EY59" s="96">
        <f>EX59*EY2</f>
        <v>1076000</v>
      </c>
      <c r="EZ59" s="96">
        <f>EY59*118%</f>
        <v>1269680</v>
      </c>
      <c r="FA59" s="118"/>
      <c r="FB59" s="151"/>
      <c r="FC59" s="151">
        <f>FB59/118%</f>
        <v>0</v>
      </c>
      <c r="FD59" s="151">
        <f>FC59/FC2</f>
        <v>0</v>
      </c>
      <c r="FE59" s="159">
        <v>500</v>
      </c>
      <c r="FF59" s="159">
        <f>FE59*FF2</f>
        <v>916375.39999999991</v>
      </c>
      <c r="FG59" s="159">
        <f>FF59*118%</f>
        <v>1081322.9719999998</v>
      </c>
      <c r="FH59" s="118"/>
      <c r="FI59" s="151"/>
      <c r="FJ59" s="151">
        <f>FI59/118%</f>
        <v>0</v>
      </c>
      <c r="FK59" s="151">
        <f>FJ59/FJ2</f>
        <v>0</v>
      </c>
      <c r="FL59" s="96">
        <v>1500</v>
      </c>
      <c r="FM59" s="96">
        <f>FL59*FM2</f>
        <v>282450</v>
      </c>
      <c r="FN59" s="96">
        <f>FM59*118%</f>
        <v>333291</v>
      </c>
      <c r="FO59" s="118"/>
      <c r="FP59" s="151"/>
      <c r="FQ59" s="151">
        <f>FP59/118%</f>
        <v>0</v>
      </c>
      <c r="FR59" s="151">
        <f>FQ59/FQ2</f>
        <v>0</v>
      </c>
      <c r="FS59" s="159"/>
      <c r="FT59" s="159">
        <f>FS59*FT2</f>
        <v>0</v>
      </c>
      <c r="FU59" s="159">
        <f>FT59*118%</f>
        <v>0</v>
      </c>
      <c r="FV59" s="118"/>
      <c r="FW59" s="151"/>
      <c r="FX59" s="151">
        <f>FW59/118%</f>
        <v>0</v>
      </c>
      <c r="FY59" s="151">
        <f>FX59/FX2</f>
        <v>0</v>
      </c>
      <c r="FZ59" s="96"/>
      <c r="GA59" s="96">
        <f>FZ59*GA2</f>
        <v>0</v>
      </c>
      <c r="GB59" s="96">
        <f>GA59*118%</f>
        <v>0</v>
      </c>
      <c r="GC59" s="118"/>
      <c r="GD59" s="151"/>
      <c r="GE59" s="151">
        <f>GD59/118%</f>
        <v>0</v>
      </c>
      <c r="GF59" s="151">
        <f>GE59/GE2</f>
        <v>0</v>
      </c>
      <c r="GG59" s="159"/>
      <c r="GH59" s="159">
        <f>GG59*GH2</f>
        <v>0</v>
      </c>
      <c r="GI59" s="159">
        <f>GH59*118%</f>
        <v>0</v>
      </c>
      <c r="GJ59" s="118"/>
      <c r="GK59" s="151"/>
      <c r="GL59" s="151">
        <f>GK59/118%</f>
        <v>0</v>
      </c>
      <c r="GM59" s="151">
        <f>GL59/GL2</f>
        <v>0</v>
      </c>
      <c r="GN59" s="159">
        <v>1500</v>
      </c>
      <c r="GO59" s="159">
        <f>GN59*GO2</f>
        <v>242100</v>
      </c>
      <c r="GP59" s="159">
        <f>GO59*118%</f>
        <v>285678</v>
      </c>
      <c r="GQ59" s="118"/>
      <c r="GR59" s="151"/>
      <c r="GS59" s="151">
        <f>GR59/118%</f>
        <v>0</v>
      </c>
      <c r="GT59" s="151">
        <f>GS59/GS2</f>
        <v>0</v>
      </c>
      <c r="GU59" s="96">
        <v>1000</v>
      </c>
      <c r="GV59" s="96">
        <f>GU59*GV2</f>
        <v>107600</v>
      </c>
      <c r="GW59" s="96">
        <f>GV59*118%</f>
        <v>126968</v>
      </c>
      <c r="GX59" s="118"/>
      <c r="GY59" s="151"/>
      <c r="GZ59" s="151">
        <f>GY59/118%</f>
        <v>0</v>
      </c>
      <c r="HA59" s="151">
        <f>GZ59/GZ2</f>
        <v>0</v>
      </c>
      <c r="HB59" s="159">
        <v>1500</v>
      </c>
      <c r="HC59" s="159">
        <f>HB59*HC2</f>
        <v>414152.39999999997</v>
      </c>
      <c r="HD59" s="159">
        <f>HC59*118%</f>
        <v>488699.83199999994</v>
      </c>
      <c r="HE59" s="118"/>
      <c r="HF59" s="151"/>
      <c r="HG59" s="151">
        <f>HF59/118%</f>
        <v>0</v>
      </c>
      <c r="HH59" s="151">
        <f>HG59/HG2</f>
        <v>0</v>
      </c>
      <c r="HI59" s="210"/>
      <c r="HJ59" s="210">
        <f>HI59*HJ2</f>
        <v>0</v>
      </c>
      <c r="HK59" s="210">
        <f>HJ59*118%</f>
        <v>0</v>
      </c>
      <c r="HL59" s="118"/>
      <c r="HM59" s="151"/>
      <c r="HN59" s="151">
        <f>HM59/118%</f>
        <v>0</v>
      </c>
      <c r="HO59" s="151">
        <f>HN59/HN2</f>
        <v>0</v>
      </c>
      <c r="HP59" s="159">
        <v>1500</v>
      </c>
      <c r="HQ59" s="159">
        <f>HP59*HQ2</f>
        <v>242100</v>
      </c>
      <c r="HR59" s="159">
        <f>HQ59*118%</f>
        <v>285678</v>
      </c>
      <c r="HS59" s="118"/>
      <c r="HT59" s="151"/>
      <c r="HU59" s="151">
        <f>HT59/118%</f>
        <v>0</v>
      </c>
      <c r="HV59" s="151">
        <f>HU59/HU2</f>
        <v>0</v>
      </c>
      <c r="HW59" s="96">
        <v>700</v>
      </c>
      <c r="HX59" s="96">
        <f>HW59*HX2</f>
        <v>447551.44</v>
      </c>
      <c r="HY59" s="96">
        <f>HX59*118%</f>
        <v>528110.69920000003</v>
      </c>
      <c r="HZ59" s="118"/>
      <c r="IA59" s="33"/>
    </row>
    <row r="60" spans="1:235">
      <c r="A60" s="18">
        <v>4</v>
      </c>
      <c r="B60" s="19" t="s">
        <v>87</v>
      </c>
      <c r="C60" s="118"/>
      <c r="D60" s="151"/>
      <c r="E60" s="151">
        <f>D60/118%</f>
        <v>0</v>
      </c>
      <c r="F60" s="151">
        <f>E60/E2</f>
        <v>0</v>
      </c>
      <c r="G60" s="159">
        <v>100</v>
      </c>
      <c r="H60" s="159">
        <f>G60*H2</f>
        <v>101574.40000000001</v>
      </c>
      <c r="I60" s="159">
        <f>H60*118%</f>
        <v>119857.792</v>
      </c>
      <c r="J60" s="118"/>
      <c r="K60" s="151"/>
      <c r="L60" s="151">
        <f>K60/118%</f>
        <v>0</v>
      </c>
      <c r="M60" s="151">
        <f>L60/L2</f>
        <v>0</v>
      </c>
      <c r="N60" s="96">
        <v>400</v>
      </c>
      <c r="O60" s="96">
        <f>N60*O2</f>
        <v>110784.96000000001</v>
      </c>
      <c r="P60" s="96">
        <f>O60*118%</f>
        <v>130726.2528</v>
      </c>
      <c r="Q60" s="118"/>
      <c r="R60" s="151"/>
      <c r="S60" s="151">
        <f>R60/118%</f>
        <v>0</v>
      </c>
      <c r="T60" s="151">
        <f>S60/S2</f>
        <v>0</v>
      </c>
      <c r="U60" s="159">
        <v>500</v>
      </c>
      <c r="V60" s="159">
        <f>U60*V2</f>
        <v>53800</v>
      </c>
      <c r="W60" s="159">
        <f>V60*118%</f>
        <v>63484</v>
      </c>
      <c r="X60" s="118"/>
      <c r="Y60" s="151"/>
      <c r="Z60" s="151">
        <f>Y60/118%</f>
        <v>0</v>
      </c>
      <c r="AA60" s="151">
        <f>Z60/Z2</f>
        <v>0</v>
      </c>
      <c r="AB60" s="96">
        <v>400</v>
      </c>
      <c r="AC60" s="96">
        <f>AB60*AC2</f>
        <v>153824.96000000002</v>
      </c>
      <c r="AD60" s="96">
        <f>AC60*118%</f>
        <v>181513.45280000003</v>
      </c>
      <c r="AE60" s="118"/>
      <c r="AF60" s="151"/>
      <c r="AG60" s="151">
        <f>AF60/118%</f>
        <v>0</v>
      </c>
      <c r="AH60" s="151">
        <f>AG60/AG2</f>
        <v>0</v>
      </c>
      <c r="AI60" s="159">
        <v>200</v>
      </c>
      <c r="AJ60" s="159">
        <f>AI60*AJ2</f>
        <v>715324.79999999993</v>
      </c>
      <c r="AK60" s="159">
        <f>AJ60*118%</f>
        <v>844083.26399999985</v>
      </c>
      <c r="AL60" s="118"/>
      <c r="AM60" s="151"/>
      <c r="AN60" s="151">
        <f>AM60/118%</f>
        <v>0</v>
      </c>
      <c r="AO60" s="151">
        <f>AN60/AN2</f>
        <v>0</v>
      </c>
      <c r="AP60" s="96">
        <v>200</v>
      </c>
      <c r="AQ60" s="96">
        <f>AP60*AQ2</f>
        <v>149843.76</v>
      </c>
      <c r="AR60" s="96">
        <f>AQ60*118%</f>
        <v>176815.63680000001</v>
      </c>
      <c r="AS60" s="118"/>
      <c r="AT60" s="151"/>
      <c r="AU60" s="151">
        <f>AT60/118%</f>
        <v>0</v>
      </c>
      <c r="AV60" s="151">
        <f>AU60/AU2</f>
        <v>0</v>
      </c>
      <c r="AW60" s="210">
        <v>200</v>
      </c>
      <c r="AX60" s="210">
        <f>AW60*AX2</f>
        <v>191571.03999999998</v>
      </c>
      <c r="AY60" s="210">
        <f>AX60*118%</f>
        <v>226053.82719999997</v>
      </c>
      <c r="AZ60" s="118"/>
      <c r="BA60" s="151">
        <v>2714118</v>
      </c>
      <c r="BB60" s="151">
        <f>BA60/118%</f>
        <v>2300100</v>
      </c>
      <c r="BC60" s="151">
        <f>BB60/BB2</f>
        <v>1242.8136076770122</v>
      </c>
      <c r="BD60" s="159">
        <v>200</v>
      </c>
      <c r="BE60" s="159">
        <f>BD60*BE2</f>
        <v>194325.59999999998</v>
      </c>
      <c r="BF60" s="159">
        <f>BE60*118%</f>
        <v>229304.20799999996</v>
      </c>
      <c r="BG60" s="118"/>
      <c r="BH60" s="151"/>
      <c r="BI60" s="151">
        <f>BH60/118%</f>
        <v>0</v>
      </c>
      <c r="BJ60" s="151">
        <f>BI60/BI2</f>
        <v>0</v>
      </c>
      <c r="BK60" s="210">
        <v>200</v>
      </c>
      <c r="BL60" s="210">
        <f>BK60*BL2</f>
        <v>217072.24000000002</v>
      </c>
      <c r="BM60" s="210">
        <f>BL60*118%</f>
        <v>256145.2432</v>
      </c>
      <c r="BN60" s="118"/>
      <c r="BO60" s="151"/>
      <c r="BP60" s="151">
        <f>BO60/118%</f>
        <v>0</v>
      </c>
      <c r="BQ60" s="151">
        <f>BP60/BP2</f>
        <v>0</v>
      </c>
      <c r="BR60" s="96">
        <v>200</v>
      </c>
      <c r="BS60" s="96">
        <f>BR60*BS2</f>
        <v>639144</v>
      </c>
      <c r="BT60" s="96">
        <f>BS60*118%</f>
        <v>754189.91999999993</v>
      </c>
      <c r="BU60" s="118"/>
      <c r="BV60" s="151"/>
      <c r="BW60" s="151">
        <f>BV60/118%</f>
        <v>0</v>
      </c>
      <c r="BX60" s="151">
        <f>BW60/BW2</f>
        <v>0</v>
      </c>
      <c r="BY60" s="159">
        <v>500</v>
      </c>
      <c r="BZ60" s="159">
        <f>BY60*BZ2</f>
        <v>134500</v>
      </c>
      <c r="CA60" s="159">
        <f>BZ60*118%</f>
        <v>158710</v>
      </c>
      <c r="CB60" s="118"/>
      <c r="CC60" s="151">
        <v>2714118</v>
      </c>
      <c r="CD60" s="151">
        <f>CC60/118%</f>
        <v>2300100</v>
      </c>
      <c r="CE60" s="151">
        <f>CD60/CD2</f>
        <v>1242.8136076770122</v>
      </c>
      <c r="CF60" s="96">
        <v>200</v>
      </c>
      <c r="CG60" s="96">
        <f>CF60*CG2</f>
        <v>143108</v>
      </c>
      <c r="CH60" s="96">
        <f>CG60*118%</f>
        <v>168867.44</v>
      </c>
      <c r="CI60" s="118"/>
      <c r="CJ60" s="151"/>
      <c r="CK60" s="151">
        <f>CJ60/118%</f>
        <v>0</v>
      </c>
      <c r="CL60" s="151">
        <f>CK60/CK2</f>
        <v>0</v>
      </c>
      <c r="CM60" s="210">
        <v>200</v>
      </c>
      <c r="CN60" s="210">
        <f>CM60*CN2</f>
        <v>128108.55999999998</v>
      </c>
      <c r="CO60" s="210">
        <f>CN60*118%</f>
        <v>151168.10079999999</v>
      </c>
      <c r="CP60" s="118"/>
      <c r="CQ60" s="151"/>
      <c r="CR60" s="151">
        <f>CQ60/118%</f>
        <v>0</v>
      </c>
      <c r="CS60" s="151">
        <f>CR60/CR2</f>
        <v>0</v>
      </c>
      <c r="CT60" s="159">
        <v>500</v>
      </c>
      <c r="CU60" s="159">
        <f>CT60*CU2</f>
        <v>189860.19999999998</v>
      </c>
      <c r="CV60" s="159">
        <f>CU60*118%</f>
        <v>224035.03599999996</v>
      </c>
      <c r="CW60" s="118"/>
      <c r="CX60" s="151"/>
      <c r="CY60" s="151">
        <f>CX60/118%</f>
        <v>0</v>
      </c>
      <c r="CZ60" s="151">
        <f>CY60/CY2</f>
        <v>0</v>
      </c>
      <c r="DA60" s="96">
        <v>500</v>
      </c>
      <c r="DB60" s="96">
        <f>DA60*DB2</f>
        <v>246726.8</v>
      </c>
      <c r="DC60" s="96">
        <f>DB60*118%</f>
        <v>291137.62399999995</v>
      </c>
      <c r="DD60" s="118"/>
      <c r="DE60" s="151"/>
      <c r="DF60" s="151">
        <f>DE60/118%</f>
        <v>0</v>
      </c>
      <c r="DG60" s="151">
        <f>DF60/DF2</f>
        <v>0</v>
      </c>
      <c r="DH60" s="159">
        <v>200</v>
      </c>
      <c r="DI60" s="159">
        <f>DH60*DI2</f>
        <v>153545.19999999998</v>
      </c>
      <c r="DJ60" s="159">
        <f>DI60*118%</f>
        <v>181183.33599999998</v>
      </c>
      <c r="DK60" s="118"/>
      <c r="DL60" s="151">
        <v>2714118</v>
      </c>
      <c r="DM60" s="151">
        <f>DL60/118%</f>
        <v>2300100</v>
      </c>
      <c r="DN60" s="151">
        <f>DM60/DM2</f>
        <v>1242.8136076770122</v>
      </c>
      <c r="DO60" s="96">
        <v>200</v>
      </c>
      <c r="DP60" s="96">
        <f>DO60*DP2</f>
        <v>142010.47999999998</v>
      </c>
      <c r="DQ60" s="96">
        <f>DP60*118%</f>
        <v>167572.36639999997</v>
      </c>
      <c r="DR60" s="118"/>
      <c r="DS60" s="151"/>
      <c r="DT60" s="151">
        <f>DS60/118%</f>
        <v>0</v>
      </c>
      <c r="DU60" s="151">
        <f>DT60/DT2</f>
        <v>0</v>
      </c>
      <c r="DV60" s="210">
        <v>200</v>
      </c>
      <c r="DW60" s="210">
        <f>DV60*DW2</f>
        <v>147003.12000000002</v>
      </c>
      <c r="DX60" s="210">
        <f>DW60*118%</f>
        <v>173463.68160000001</v>
      </c>
      <c r="DY60" s="118"/>
      <c r="DZ60" s="151"/>
      <c r="EA60" s="151">
        <f>DZ60/118%</f>
        <v>0</v>
      </c>
      <c r="EB60" s="151">
        <f>EA60/EA2</f>
        <v>0</v>
      </c>
      <c r="EC60" s="159">
        <v>200</v>
      </c>
      <c r="ED60" s="159">
        <f>EC60*ED2</f>
        <v>129120</v>
      </c>
      <c r="EE60" s="159">
        <f>ED60*118%</f>
        <v>152361.60000000001</v>
      </c>
      <c r="EF60" s="118"/>
      <c r="EG60" s="151"/>
      <c r="EH60" s="151">
        <f>EG60/118%</f>
        <v>0</v>
      </c>
      <c r="EI60" s="151">
        <f>EH60/EH2</f>
        <v>0</v>
      </c>
      <c r="EJ60" s="96">
        <v>200</v>
      </c>
      <c r="EK60" s="96">
        <f>EJ60*EK2</f>
        <v>355467.36</v>
      </c>
      <c r="EL60" s="96">
        <f>EK60*118%</f>
        <v>419451.48479999998</v>
      </c>
      <c r="EM60" s="118"/>
      <c r="EN60" s="151"/>
      <c r="EO60" s="151">
        <f>EN60/118%</f>
        <v>0</v>
      </c>
      <c r="EP60" s="151">
        <f>EO60/EO2</f>
        <v>0</v>
      </c>
      <c r="EQ60" s="159">
        <v>200</v>
      </c>
      <c r="ER60" s="159">
        <f>EQ60*ER2</f>
        <v>1040836.32</v>
      </c>
      <c r="ES60" s="159">
        <f>ER60*118%</f>
        <v>1228186.8576</v>
      </c>
      <c r="ET60" s="118"/>
      <c r="EU60" s="151"/>
      <c r="EV60" s="151">
        <f>EU60/118%</f>
        <v>0</v>
      </c>
      <c r="EW60" s="151">
        <f>EV60/EV2</f>
        <v>0</v>
      </c>
      <c r="EX60" s="96">
        <v>500</v>
      </c>
      <c r="EY60" s="96">
        <f>EX60*EY2</f>
        <v>538000</v>
      </c>
      <c r="EZ60" s="96">
        <f>EY60*118%</f>
        <v>634840</v>
      </c>
      <c r="FA60" s="118"/>
      <c r="FB60" s="151"/>
      <c r="FC60" s="151">
        <f>FB60/118%</f>
        <v>0</v>
      </c>
      <c r="FD60" s="151">
        <f>FC60/FC2</f>
        <v>0</v>
      </c>
      <c r="FE60" s="159">
        <v>200</v>
      </c>
      <c r="FF60" s="159">
        <f>FE60*FF2</f>
        <v>366550.16</v>
      </c>
      <c r="FG60" s="159">
        <f>FF60*118%</f>
        <v>432529.18879999995</v>
      </c>
      <c r="FH60" s="118"/>
      <c r="FI60" s="151"/>
      <c r="FJ60" s="151">
        <f>FI60/118%</f>
        <v>0</v>
      </c>
      <c r="FK60" s="151">
        <f>FJ60/FJ2</f>
        <v>0</v>
      </c>
      <c r="FL60" s="96">
        <v>1000</v>
      </c>
      <c r="FM60" s="96">
        <f>FL60*FM2</f>
        <v>188299.99999999997</v>
      </c>
      <c r="FN60" s="96">
        <f>FM60*118%</f>
        <v>222193.99999999994</v>
      </c>
      <c r="FO60" s="118"/>
      <c r="FP60" s="151"/>
      <c r="FQ60" s="151">
        <f>FP60/118%</f>
        <v>0</v>
      </c>
      <c r="FR60" s="151">
        <f>FQ60/FQ2</f>
        <v>0</v>
      </c>
      <c r="FS60" s="159"/>
      <c r="FT60" s="159">
        <f>FS60*FT2</f>
        <v>0</v>
      </c>
      <c r="FU60" s="159">
        <f>FT60*118%</f>
        <v>0</v>
      </c>
      <c r="FV60" s="118"/>
      <c r="FW60" s="151"/>
      <c r="FX60" s="151">
        <f>FW60/118%</f>
        <v>0</v>
      </c>
      <c r="FY60" s="151">
        <f>FX60/FX2</f>
        <v>0</v>
      </c>
      <c r="FZ60" s="96"/>
      <c r="GA60" s="96">
        <f>FZ60*GA2</f>
        <v>0</v>
      </c>
      <c r="GB60" s="96">
        <f>GA60*118%</f>
        <v>0</v>
      </c>
      <c r="GC60" s="118"/>
      <c r="GD60" s="151"/>
      <c r="GE60" s="151">
        <f>GD60/118%</f>
        <v>0</v>
      </c>
      <c r="GF60" s="151">
        <f>GE60/GE2</f>
        <v>0</v>
      </c>
      <c r="GG60" s="159"/>
      <c r="GH60" s="159">
        <f>GG60*GH2</f>
        <v>0</v>
      </c>
      <c r="GI60" s="159">
        <f>GH60*118%</f>
        <v>0</v>
      </c>
      <c r="GJ60" s="118"/>
      <c r="GK60" s="151"/>
      <c r="GL60" s="151">
        <f>GK60/118%</f>
        <v>0</v>
      </c>
      <c r="GM60" s="151">
        <f>GL60/GL2</f>
        <v>0</v>
      </c>
      <c r="GN60" s="159">
        <v>1000</v>
      </c>
      <c r="GO60" s="159">
        <f>GN60*GO2</f>
        <v>161400</v>
      </c>
      <c r="GP60" s="159">
        <f>GO60*118%</f>
        <v>190452</v>
      </c>
      <c r="GQ60" s="118"/>
      <c r="GR60" s="151"/>
      <c r="GS60" s="151">
        <f>GR60/118%</f>
        <v>0</v>
      </c>
      <c r="GT60" s="151">
        <f>GS60/GS2</f>
        <v>0</v>
      </c>
      <c r="GU60" s="96">
        <v>500</v>
      </c>
      <c r="GV60" s="96">
        <f>GU60*GV2</f>
        <v>53800</v>
      </c>
      <c r="GW60" s="96">
        <f>GV60*118%</f>
        <v>63484</v>
      </c>
      <c r="GX60" s="118"/>
      <c r="GY60" s="151"/>
      <c r="GZ60" s="151">
        <f>GY60/118%</f>
        <v>0</v>
      </c>
      <c r="HA60" s="151">
        <f>GZ60/GZ2</f>
        <v>0</v>
      </c>
      <c r="HB60" s="159">
        <v>1000</v>
      </c>
      <c r="HC60" s="159">
        <f>HB60*HC2</f>
        <v>276101.59999999998</v>
      </c>
      <c r="HD60" s="159">
        <f>HC60*118%</f>
        <v>325799.88799999998</v>
      </c>
      <c r="HE60" s="118"/>
      <c r="HF60" s="151"/>
      <c r="HG60" s="151">
        <f>HF60/118%</f>
        <v>0</v>
      </c>
      <c r="HH60" s="151">
        <f>HG60/HG2</f>
        <v>0</v>
      </c>
      <c r="HI60" s="210">
        <v>200</v>
      </c>
      <c r="HJ60" s="210">
        <f>HI60*HJ2</f>
        <v>196800.40000000002</v>
      </c>
      <c r="HK60" s="210">
        <f>HJ60*118%</f>
        <v>232224.47200000001</v>
      </c>
      <c r="HL60" s="118"/>
      <c r="HM60" s="151"/>
      <c r="HN60" s="151">
        <f>HM60/118%</f>
        <v>0</v>
      </c>
      <c r="HO60" s="151">
        <f>HN60/HN2</f>
        <v>0</v>
      </c>
      <c r="HP60" s="159">
        <v>1000</v>
      </c>
      <c r="HQ60" s="159">
        <f>HP60*HQ2</f>
        <v>161400</v>
      </c>
      <c r="HR60" s="159">
        <f>HQ60*118%</f>
        <v>190452</v>
      </c>
      <c r="HS60" s="118"/>
      <c r="HT60" s="151">
        <v>2714118</v>
      </c>
      <c r="HU60" s="151">
        <f>HT60/118%</f>
        <v>2300100</v>
      </c>
      <c r="HV60" s="151">
        <f>HU60/HU2</f>
        <v>1242.8136076770122</v>
      </c>
      <c r="HW60" s="96">
        <v>200</v>
      </c>
      <c r="HX60" s="96">
        <f>HW60*HX2</f>
        <v>127871.84</v>
      </c>
      <c r="HY60" s="96">
        <f>HX60*118%</f>
        <v>150888.77119999999</v>
      </c>
      <c r="HZ60" s="118"/>
      <c r="IA60" s="33"/>
    </row>
    <row r="61" spans="1:235" s="26" customFormat="1" ht="15">
      <c r="A61" s="12"/>
      <c r="B61" s="23" t="s">
        <v>60</v>
      </c>
      <c r="C61" s="121"/>
      <c r="D61" s="154">
        <f>SUM(D57:D60)</f>
        <v>359900</v>
      </c>
      <c r="E61" s="154">
        <f>SUM(E57:E60)</f>
        <v>305000</v>
      </c>
      <c r="F61" s="152"/>
      <c r="G61" s="77"/>
      <c r="H61" s="78">
        <f>SUM(H57:H60)</f>
        <v>507872.00000000006</v>
      </c>
      <c r="I61" s="78">
        <f>SUM(I57:I60)</f>
        <v>599288.96</v>
      </c>
      <c r="J61" s="121"/>
      <c r="K61" s="154">
        <f>SUM(K57:K60)</f>
        <v>359900</v>
      </c>
      <c r="L61" s="154">
        <f>SUM(L57:L60)</f>
        <v>305000</v>
      </c>
      <c r="M61" s="152"/>
      <c r="N61" s="99"/>
      <c r="O61" s="100">
        <f>SUM(O57:O60)</f>
        <v>553924.80000000005</v>
      </c>
      <c r="P61" s="100">
        <f>SUM(P57:P60)</f>
        <v>653631.26399999997</v>
      </c>
      <c r="Q61" s="121"/>
      <c r="R61" s="30">
        <f>SUM(R57:R60)</f>
        <v>0</v>
      </c>
      <c r="S61" s="30">
        <f>SUM(S57:S60)</f>
        <v>0</v>
      </c>
      <c r="T61" s="152"/>
      <c r="U61" s="77"/>
      <c r="V61" s="78">
        <f>SUM(V57:V60)</f>
        <v>161400</v>
      </c>
      <c r="W61" s="78">
        <f>SUM(W57:W60)</f>
        <v>190452</v>
      </c>
      <c r="X61" s="121"/>
      <c r="Y61" s="30">
        <f>SUM(Y57:Y60)</f>
        <v>0</v>
      </c>
      <c r="Z61" s="30">
        <f>SUM(Z57:Z60)</f>
        <v>0</v>
      </c>
      <c r="AA61" s="152"/>
      <c r="AB61" s="99"/>
      <c r="AC61" s="100">
        <f>SUM(AC57:AC60)</f>
        <v>769124.8</v>
      </c>
      <c r="AD61" s="100">
        <f>SUM(AD57:AD60)</f>
        <v>907567.26399999997</v>
      </c>
      <c r="AE61" s="121"/>
      <c r="AF61" s="137">
        <f>SUM(AF57:AF60)</f>
        <v>0</v>
      </c>
      <c r="AG61" s="137">
        <f>SUM(AG57:AG60)</f>
        <v>0</v>
      </c>
      <c r="AH61" s="152"/>
      <c r="AI61" s="77"/>
      <c r="AJ61" s="78">
        <f>SUM(AJ57:AJ60)</f>
        <v>2503636.7999999998</v>
      </c>
      <c r="AK61" s="78">
        <f>SUM(AK57:AK60)</f>
        <v>2954291.4239999996</v>
      </c>
      <c r="AL61" s="121"/>
      <c r="AM61" s="30">
        <f>SUM(AM57:AM60)</f>
        <v>0</v>
      </c>
      <c r="AN61" s="30">
        <f>SUM(AN57:AN60)</f>
        <v>0</v>
      </c>
      <c r="AO61" s="152"/>
      <c r="AP61" s="99"/>
      <c r="AQ61" s="100">
        <f>SUM(AQ57:AQ60)</f>
        <v>1273671.96</v>
      </c>
      <c r="AR61" s="100">
        <f>SUM(AR57:AR60)</f>
        <v>1502932.9127999998</v>
      </c>
      <c r="AS61" s="121"/>
      <c r="AT61" s="154">
        <f>SUM(AT57:AT60)</f>
        <v>0</v>
      </c>
      <c r="AU61" s="154">
        <f>SUM(AU57:AU60)</f>
        <v>0</v>
      </c>
      <c r="AV61" s="152"/>
      <c r="AW61" s="213"/>
      <c r="AX61" s="214">
        <f>SUM(AX57:AX60)</f>
        <v>191571.03999999998</v>
      </c>
      <c r="AY61" s="214">
        <f>SUM(AY57:AY60)</f>
        <v>226053.82719999997</v>
      </c>
      <c r="AZ61" s="121"/>
      <c r="BA61" s="154">
        <f>SUM(BA57:BA60)</f>
        <v>4878692.3</v>
      </c>
      <c r="BB61" s="154">
        <f>SUM(BB57:BB60)</f>
        <v>4134485</v>
      </c>
      <c r="BC61" s="152"/>
      <c r="BD61" s="77"/>
      <c r="BE61" s="78">
        <f>SUM(BE57:BE60)</f>
        <v>1554604.7999999998</v>
      </c>
      <c r="BF61" s="78">
        <f>SUM(BF57:BF60)</f>
        <v>1834433.6639999996</v>
      </c>
      <c r="BG61" s="121"/>
      <c r="BH61" s="154">
        <f>SUM(BH57:BH60)</f>
        <v>0</v>
      </c>
      <c r="BI61" s="154">
        <f>SUM(BI57:BI60)</f>
        <v>0</v>
      </c>
      <c r="BJ61" s="152"/>
      <c r="BK61" s="213"/>
      <c r="BL61" s="214">
        <f>SUM(BL57:BL60)</f>
        <v>217072.24000000002</v>
      </c>
      <c r="BM61" s="214">
        <f>SUM(BM57:BM60)</f>
        <v>256145.2432</v>
      </c>
      <c r="BN61" s="121"/>
      <c r="BO61" s="154">
        <f>SUM(BO57:BO60)</f>
        <v>242559</v>
      </c>
      <c r="BP61" s="154">
        <f>SUM(BP57:BP60)</f>
        <v>205558.4745762712</v>
      </c>
      <c r="BQ61" s="152"/>
      <c r="BR61" s="99"/>
      <c r="BS61" s="100">
        <f>SUM(BS57:BS60)</f>
        <v>3515292</v>
      </c>
      <c r="BT61" s="100">
        <f>SUM(BT57:BT60)</f>
        <v>4148044.5599999996</v>
      </c>
      <c r="BU61" s="121"/>
      <c r="BV61" s="154">
        <f>SUM(BV57:BV60)</f>
        <v>359900</v>
      </c>
      <c r="BW61" s="154">
        <f>SUM(BW57:BW60)</f>
        <v>305000</v>
      </c>
      <c r="BX61" s="152"/>
      <c r="BY61" s="77"/>
      <c r="BZ61" s="78">
        <f>SUM(BZ57:BZ60)</f>
        <v>564900</v>
      </c>
      <c r="CA61" s="78">
        <f>SUM(CA57:CA60)</f>
        <v>666582</v>
      </c>
      <c r="CB61" s="121"/>
      <c r="CC61" s="154">
        <f>SUM(CC57:CC60)</f>
        <v>4878692.3</v>
      </c>
      <c r="CD61" s="154">
        <f>SUM(CD57:CD60)</f>
        <v>4134485</v>
      </c>
      <c r="CE61" s="152"/>
      <c r="CF61" s="99"/>
      <c r="CG61" s="100">
        <f>SUM(CG57:CG60)</f>
        <v>930202</v>
      </c>
      <c r="CH61" s="100">
        <f>SUM(CH57:CH60)</f>
        <v>1097638.3599999999</v>
      </c>
      <c r="CI61" s="121"/>
      <c r="CJ61" s="154">
        <f>SUM(CJ57:CJ60)</f>
        <v>0</v>
      </c>
      <c r="CK61" s="154">
        <f>SUM(CK57:CK60)</f>
        <v>0</v>
      </c>
      <c r="CL61" s="152"/>
      <c r="CM61" s="213"/>
      <c r="CN61" s="214">
        <f>SUM(CN57:CN60)</f>
        <v>128108.55999999998</v>
      </c>
      <c r="CO61" s="214">
        <f>SUM(CO57:CO60)</f>
        <v>151168.10079999999</v>
      </c>
      <c r="CP61" s="121"/>
      <c r="CQ61" s="154">
        <f>SUM(CQ57:CQ60)</f>
        <v>0</v>
      </c>
      <c r="CR61" s="154">
        <f>SUM(CR57:CR60)</f>
        <v>0</v>
      </c>
      <c r="CS61" s="152"/>
      <c r="CT61" s="77"/>
      <c r="CU61" s="78">
        <f>SUM(CU57:CU60)</f>
        <v>797412.83999999985</v>
      </c>
      <c r="CV61" s="78">
        <f>SUM(CV57:CV60)</f>
        <v>940947.15119999985</v>
      </c>
      <c r="CW61" s="121"/>
      <c r="CX61" s="154">
        <f>SUM(CX57:CX60)</f>
        <v>359900</v>
      </c>
      <c r="CY61" s="154">
        <f>SUM(CY57:CY60)</f>
        <v>305000</v>
      </c>
      <c r="CZ61" s="152"/>
      <c r="DA61" s="99"/>
      <c r="DB61" s="100">
        <f>SUM(DB57:DB60)</f>
        <v>740180.39999999991</v>
      </c>
      <c r="DC61" s="100">
        <f>SUM(DC57:DC60)</f>
        <v>873412.87199999986</v>
      </c>
      <c r="DD61" s="122"/>
      <c r="DE61" s="154">
        <f>SUM(DE57:DE60)</f>
        <v>0</v>
      </c>
      <c r="DF61" s="154">
        <f>SUM(DF57:DF60)</f>
        <v>0</v>
      </c>
      <c r="DG61" s="152"/>
      <c r="DH61" s="77"/>
      <c r="DI61" s="78">
        <f>SUM(DI57:DI60)</f>
        <v>1151588.9999999998</v>
      </c>
      <c r="DJ61" s="78">
        <f>SUM(DJ57:DJ60)</f>
        <v>1358875.0199999998</v>
      </c>
      <c r="DK61" s="121"/>
      <c r="DL61" s="154">
        <f>SUM(DL57:DL60)</f>
        <v>4878692.3</v>
      </c>
      <c r="DM61" s="154">
        <f>SUM(DM57:DM60)</f>
        <v>4134485</v>
      </c>
      <c r="DN61" s="152"/>
      <c r="DO61" s="99"/>
      <c r="DP61" s="100">
        <f>SUM(DP57:DP60)</f>
        <v>1136083.8399999999</v>
      </c>
      <c r="DQ61" s="100">
        <f>SUM(DQ57:DQ60)</f>
        <v>1340578.9311999998</v>
      </c>
      <c r="DR61" s="121"/>
      <c r="DS61" s="154">
        <f>SUM(DS57:DS60)</f>
        <v>0</v>
      </c>
      <c r="DT61" s="154">
        <f>SUM(DT57:DT60)</f>
        <v>0</v>
      </c>
      <c r="DU61" s="152"/>
      <c r="DV61" s="213"/>
      <c r="DW61" s="214">
        <f>SUM(DW57:DW60)</f>
        <v>147003.12000000002</v>
      </c>
      <c r="DX61" s="214">
        <f>SUM(DX57:DX60)</f>
        <v>173463.68160000001</v>
      </c>
      <c r="DY61" s="121"/>
      <c r="DZ61" s="154">
        <f>SUM(DZ57:DZ60)</f>
        <v>0</v>
      </c>
      <c r="EA61" s="154">
        <f>SUM(EA57:EA60)</f>
        <v>0</v>
      </c>
      <c r="EB61" s="152"/>
      <c r="EC61" s="77"/>
      <c r="ED61" s="78">
        <f>SUM(ED57:ED60)</f>
        <v>1032960</v>
      </c>
      <c r="EE61" s="78">
        <f>SUM(EE57:EE60)</f>
        <v>1218892.8</v>
      </c>
      <c r="EF61" s="121"/>
      <c r="EG61" s="154">
        <f>SUM(EG57:EG60)</f>
        <v>0</v>
      </c>
      <c r="EH61" s="154">
        <f>SUM(EH57:EH60)</f>
        <v>0</v>
      </c>
      <c r="EI61" s="152"/>
      <c r="EJ61" s="99"/>
      <c r="EK61" s="100">
        <f>SUM(EK57:EK60)</f>
        <v>1777336.7999999998</v>
      </c>
      <c r="EL61" s="100">
        <f>SUM(EL57:EL60)</f>
        <v>2097257.4239999996</v>
      </c>
      <c r="EM61" s="122"/>
      <c r="EN61" s="154">
        <f>SUM(EN57:EN60)</f>
        <v>242559</v>
      </c>
      <c r="EO61" s="154">
        <f>SUM(EO57:EO60)</f>
        <v>205558.4745762712</v>
      </c>
      <c r="EP61" s="152"/>
      <c r="EQ61" s="77"/>
      <c r="ER61" s="78">
        <f>SUM(ER57:ER60)</f>
        <v>5204181.5999999996</v>
      </c>
      <c r="ES61" s="78">
        <f>SUM(ES57:ES60)</f>
        <v>6140934.2879999988</v>
      </c>
      <c r="ET61" s="121"/>
      <c r="EU61" s="154">
        <f>SUM(EU57:EU60)</f>
        <v>0</v>
      </c>
      <c r="EV61" s="154">
        <f>SUM(EV57:EV60)</f>
        <v>0</v>
      </c>
      <c r="EW61" s="152"/>
      <c r="EX61" s="99"/>
      <c r="EY61" s="100">
        <f>SUM(EY57:EY60)</f>
        <v>2690000</v>
      </c>
      <c r="EZ61" s="100">
        <f>SUM(EZ57:EZ60)</f>
        <v>3174200</v>
      </c>
      <c r="FA61" s="121"/>
      <c r="FB61" s="154">
        <f>SUM(FB57:FB60)</f>
        <v>0</v>
      </c>
      <c r="FC61" s="154">
        <f>SUM(FC57:FC60)</f>
        <v>0</v>
      </c>
      <c r="FD61" s="152"/>
      <c r="FE61" s="77"/>
      <c r="FF61" s="78">
        <f>SUM(FF57:FF60)</f>
        <v>1832750.7999999998</v>
      </c>
      <c r="FG61" s="78">
        <f>SUM(FG57:FG60)</f>
        <v>2162645.9439999997</v>
      </c>
      <c r="FH61" s="121"/>
      <c r="FI61" s="154">
        <f>SUM(FI57:FI60)</f>
        <v>0</v>
      </c>
      <c r="FJ61" s="154">
        <f>SUM(FJ57:FJ60)</f>
        <v>0</v>
      </c>
      <c r="FK61" s="152"/>
      <c r="FL61" s="99"/>
      <c r="FM61" s="100">
        <f>SUM(FM57:FM60)</f>
        <v>659050</v>
      </c>
      <c r="FN61" s="100">
        <f>SUM(FN57:FN60)</f>
        <v>777679</v>
      </c>
      <c r="FO61" s="121"/>
      <c r="FP61" s="154">
        <f>SUM(FP57:FP60)</f>
        <v>0</v>
      </c>
      <c r="FQ61" s="154">
        <f>SUM(FQ57:FQ60)</f>
        <v>0</v>
      </c>
      <c r="FR61" s="152"/>
      <c r="FS61" s="77"/>
      <c r="FT61" s="78">
        <f>SUM(FT57:FT60)</f>
        <v>0</v>
      </c>
      <c r="FU61" s="78">
        <f>SUM(FU57:FU60)</f>
        <v>0</v>
      </c>
      <c r="FV61" s="121"/>
      <c r="FW61" s="154">
        <f>SUM(FW57:FW60)</f>
        <v>0</v>
      </c>
      <c r="FX61" s="154">
        <f>SUM(FX57:FX60)</f>
        <v>0</v>
      </c>
      <c r="FY61" s="152"/>
      <c r="FZ61" s="99"/>
      <c r="GA61" s="100">
        <f>SUM(GA57:GA60)</f>
        <v>0</v>
      </c>
      <c r="GB61" s="100">
        <f>SUM(GB57:GB60)</f>
        <v>0</v>
      </c>
      <c r="GC61" s="121"/>
      <c r="GD61" s="154">
        <f>SUM(GD57:GD60)</f>
        <v>0</v>
      </c>
      <c r="GE61" s="154">
        <f>SUM(GE57:GE60)</f>
        <v>0</v>
      </c>
      <c r="GF61" s="152"/>
      <c r="GG61" s="77"/>
      <c r="GH61" s="78">
        <f>SUM(GH57:GH60)</f>
        <v>0</v>
      </c>
      <c r="GI61" s="78">
        <f>SUM(GI57:GI60)</f>
        <v>0</v>
      </c>
      <c r="GJ61" s="121"/>
      <c r="GK61" s="154">
        <f>SUM(GK57:GK60)</f>
        <v>0</v>
      </c>
      <c r="GL61" s="154">
        <f>SUM(GL57:GL60)</f>
        <v>0</v>
      </c>
      <c r="GM61" s="152"/>
      <c r="GN61" s="77"/>
      <c r="GO61" s="78">
        <f>SUM(GO57:GO60)</f>
        <v>645600</v>
      </c>
      <c r="GP61" s="78">
        <f>SUM(GP57:GP60)</f>
        <v>761808</v>
      </c>
      <c r="GQ61" s="121"/>
      <c r="GR61" s="154">
        <f>SUM(GR57:GR60)</f>
        <v>0</v>
      </c>
      <c r="GS61" s="154">
        <f>SUM(GS57:GS60)</f>
        <v>0</v>
      </c>
      <c r="GT61" s="152"/>
      <c r="GU61" s="99"/>
      <c r="GV61" s="100">
        <f>SUM(GV57:GV60)</f>
        <v>161400</v>
      </c>
      <c r="GW61" s="100">
        <f>SUM(GW57:GW60)</f>
        <v>190452</v>
      </c>
      <c r="GX61" s="122"/>
      <c r="GY61" s="154">
        <f>SUM(GY57:GY60)</f>
        <v>0</v>
      </c>
      <c r="GZ61" s="154">
        <f>SUM(GZ57:GZ60)</f>
        <v>0</v>
      </c>
      <c r="HA61" s="152"/>
      <c r="HB61" s="77"/>
      <c r="HC61" s="78">
        <f>SUM(HC57:HC60)</f>
        <v>966355.6</v>
      </c>
      <c r="HD61" s="78">
        <f>SUM(HD57:HD60)</f>
        <v>1140299.608</v>
      </c>
      <c r="HE61" s="121"/>
      <c r="HF61" s="154">
        <f>SUM(HF57:HF60)</f>
        <v>0</v>
      </c>
      <c r="HG61" s="154">
        <f>SUM(HG57:HG60)</f>
        <v>0</v>
      </c>
      <c r="HH61" s="152"/>
      <c r="HI61" s="213"/>
      <c r="HJ61" s="214">
        <f>SUM(HJ57:HJ60)</f>
        <v>196800.40000000002</v>
      </c>
      <c r="HK61" s="214">
        <f>SUM(HK57:HK60)</f>
        <v>232224.47200000001</v>
      </c>
      <c r="HL61" s="121"/>
      <c r="HM61" s="154">
        <f>SUM(HM57:HM60)</f>
        <v>0</v>
      </c>
      <c r="HN61" s="154">
        <f>SUM(HN57:HN60)</f>
        <v>0</v>
      </c>
      <c r="HO61" s="152"/>
      <c r="HP61" s="77"/>
      <c r="HQ61" s="78">
        <f>SUM(HQ57:HQ60)</f>
        <v>645600</v>
      </c>
      <c r="HR61" s="78">
        <f>SUM(HR57:HR60)</f>
        <v>761808</v>
      </c>
      <c r="HS61" s="121"/>
      <c r="HT61" s="154">
        <f>SUM(HT57:HT60)</f>
        <v>4878692.3</v>
      </c>
      <c r="HU61" s="154">
        <f>SUM(HU57:HU60)</f>
        <v>4134485</v>
      </c>
      <c r="HV61" s="152"/>
      <c r="HW61" s="99"/>
      <c r="HX61" s="100">
        <f>SUM(HX57:HX60)</f>
        <v>831166.96</v>
      </c>
      <c r="HY61" s="100">
        <f>SUM(HY57:HY60)</f>
        <v>980777.01280000003</v>
      </c>
      <c r="HZ61" s="122"/>
      <c r="IA61" s="36"/>
    </row>
    <row r="62" spans="1:235">
      <c r="A62" s="37"/>
      <c r="B62" s="38"/>
      <c r="C62" s="124"/>
      <c r="D62" s="155"/>
      <c r="E62" s="155"/>
      <c r="F62" s="155"/>
      <c r="G62" s="79"/>
      <c r="H62" s="79"/>
      <c r="I62" s="79"/>
      <c r="J62" s="124"/>
      <c r="K62" s="155"/>
      <c r="L62" s="155"/>
      <c r="M62" s="155"/>
      <c r="N62" s="101"/>
      <c r="O62" s="101"/>
      <c r="P62" s="101"/>
      <c r="Q62" s="124"/>
      <c r="R62" s="39"/>
      <c r="S62" s="39"/>
      <c r="T62" s="155"/>
      <c r="U62" s="79"/>
      <c r="V62" s="79"/>
      <c r="W62" s="79"/>
      <c r="X62" s="124"/>
      <c r="Y62" s="39"/>
      <c r="Z62" s="39"/>
      <c r="AA62" s="155"/>
      <c r="AB62" s="101"/>
      <c r="AC62" s="101"/>
      <c r="AD62" s="101"/>
      <c r="AE62" s="124"/>
      <c r="AF62" s="138"/>
      <c r="AG62" s="138"/>
      <c r="AH62" s="155"/>
      <c r="AI62" s="79"/>
      <c r="AJ62" s="79"/>
      <c r="AK62" s="79"/>
      <c r="AL62" s="124"/>
      <c r="AM62" s="39"/>
      <c r="AN62" s="39"/>
      <c r="AO62" s="155"/>
      <c r="AP62" s="101"/>
      <c r="AQ62" s="101"/>
      <c r="AR62" s="101"/>
      <c r="AS62" s="124"/>
      <c r="AT62" s="155"/>
      <c r="AU62" s="155"/>
      <c r="AV62" s="155"/>
      <c r="AW62" s="216"/>
      <c r="AX62" s="216"/>
      <c r="AY62" s="216"/>
      <c r="AZ62" s="124"/>
      <c r="BA62" s="155"/>
      <c r="BB62" s="155"/>
      <c r="BC62" s="155"/>
      <c r="BD62" s="79"/>
      <c r="BE62" s="79"/>
      <c r="BF62" s="79"/>
      <c r="BG62" s="124"/>
      <c r="BH62" s="155"/>
      <c r="BI62" s="155"/>
      <c r="BJ62" s="155"/>
      <c r="BK62" s="216"/>
      <c r="BL62" s="216"/>
      <c r="BM62" s="216"/>
      <c r="BN62" s="124"/>
      <c r="BO62" s="155"/>
      <c r="BP62" s="155"/>
      <c r="BQ62" s="155"/>
      <c r="BR62" s="101"/>
      <c r="BS62" s="101"/>
      <c r="BT62" s="101"/>
      <c r="BU62" s="124"/>
      <c r="BV62" s="155"/>
      <c r="BW62" s="155"/>
      <c r="BX62" s="155"/>
      <c r="BY62" s="79"/>
      <c r="BZ62" s="79"/>
      <c r="CA62" s="79"/>
      <c r="CB62" s="124"/>
      <c r="CC62" s="155"/>
      <c r="CD62" s="155"/>
      <c r="CE62" s="155"/>
      <c r="CF62" s="101"/>
      <c r="CG62" s="101"/>
      <c r="CH62" s="101"/>
      <c r="CI62" s="124"/>
      <c r="CJ62" s="155"/>
      <c r="CK62" s="155"/>
      <c r="CL62" s="155"/>
      <c r="CM62" s="216"/>
      <c r="CN62" s="216"/>
      <c r="CO62" s="216"/>
      <c r="CP62" s="124"/>
      <c r="CQ62" s="155"/>
      <c r="CR62" s="155"/>
      <c r="CS62" s="155"/>
      <c r="CT62" s="79"/>
      <c r="CU62" s="79"/>
      <c r="CV62" s="79"/>
      <c r="CW62" s="124"/>
      <c r="CX62" s="155"/>
      <c r="CY62" s="155"/>
      <c r="CZ62" s="155"/>
      <c r="DA62" s="101"/>
      <c r="DB62" s="101"/>
      <c r="DC62" s="101"/>
      <c r="DD62" s="124"/>
      <c r="DE62" s="155"/>
      <c r="DF62" s="155"/>
      <c r="DG62" s="155"/>
      <c r="DH62" s="79"/>
      <c r="DI62" s="79"/>
      <c r="DJ62" s="79"/>
      <c r="DK62" s="124"/>
      <c r="DL62" s="155"/>
      <c r="DM62" s="155"/>
      <c r="DN62" s="155"/>
      <c r="DO62" s="101"/>
      <c r="DP62" s="101"/>
      <c r="DQ62" s="101"/>
      <c r="DR62" s="124"/>
      <c r="DS62" s="155"/>
      <c r="DT62" s="155"/>
      <c r="DU62" s="155"/>
      <c r="DV62" s="216"/>
      <c r="DW62" s="216"/>
      <c r="DX62" s="216"/>
      <c r="DY62" s="124"/>
      <c r="DZ62" s="155"/>
      <c r="EA62" s="155"/>
      <c r="EB62" s="155"/>
      <c r="EC62" s="79"/>
      <c r="ED62" s="79"/>
      <c r="EE62" s="79"/>
      <c r="EF62" s="124"/>
      <c r="EG62" s="155"/>
      <c r="EH62" s="155"/>
      <c r="EI62" s="155"/>
      <c r="EJ62" s="101"/>
      <c r="EK62" s="101"/>
      <c r="EL62" s="101"/>
      <c r="EM62" s="124"/>
      <c r="EN62" s="155"/>
      <c r="EO62" s="155"/>
      <c r="EP62" s="155"/>
      <c r="EQ62" s="79"/>
      <c r="ER62" s="79"/>
      <c r="ES62" s="79"/>
      <c r="ET62" s="124"/>
      <c r="EU62" s="155"/>
      <c r="EV62" s="155"/>
      <c r="EW62" s="155"/>
      <c r="EX62" s="101"/>
      <c r="EY62" s="101"/>
      <c r="EZ62" s="101"/>
      <c r="FA62" s="124"/>
      <c r="FB62" s="155"/>
      <c r="FC62" s="155"/>
      <c r="FD62" s="155"/>
      <c r="FE62" s="79"/>
      <c r="FF62" s="79"/>
      <c r="FG62" s="79"/>
      <c r="FH62" s="124"/>
      <c r="FI62" s="155"/>
      <c r="FJ62" s="155"/>
      <c r="FK62" s="155"/>
      <c r="FL62" s="101"/>
      <c r="FM62" s="101"/>
      <c r="FN62" s="101"/>
      <c r="FO62" s="124"/>
      <c r="FP62" s="155"/>
      <c r="FQ62" s="155"/>
      <c r="FR62" s="155"/>
      <c r="FS62" s="79"/>
      <c r="FT62" s="79"/>
      <c r="FU62" s="79"/>
      <c r="FV62" s="124"/>
      <c r="FW62" s="155"/>
      <c r="FX62" s="155"/>
      <c r="FY62" s="155"/>
      <c r="FZ62" s="101"/>
      <c r="GA62" s="101"/>
      <c r="GB62" s="101"/>
      <c r="GC62" s="124"/>
      <c r="GD62" s="155"/>
      <c r="GE62" s="155"/>
      <c r="GF62" s="155"/>
      <c r="GG62" s="79"/>
      <c r="GH62" s="79"/>
      <c r="GI62" s="79"/>
      <c r="GJ62" s="124"/>
      <c r="GK62" s="155"/>
      <c r="GL62" s="155"/>
      <c r="GM62" s="155"/>
      <c r="GN62" s="79"/>
      <c r="GO62" s="79"/>
      <c r="GP62" s="79"/>
      <c r="GQ62" s="124"/>
      <c r="GR62" s="155"/>
      <c r="GS62" s="155"/>
      <c r="GT62" s="155"/>
      <c r="GU62" s="101"/>
      <c r="GV62" s="101"/>
      <c r="GW62" s="101"/>
      <c r="GX62" s="124"/>
      <c r="GY62" s="155"/>
      <c r="GZ62" s="155"/>
      <c r="HA62" s="155"/>
      <c r="HB62" s="79"/>
      <c r="HC62" s="79"/>
      <c r="HD62" s="79"/>
      <c r="HE62" s="124"/>
      <c r="HF62" s="155"/>
      <c r="HG62" s="155"/>
      <c r="HH62" s="155"/>
      <c r="HI62" s="216"/>
      <c r="HJ62" s="216"/>
      <c r="HK62" s="216"/>
      <c r="HL62" s="124"/>
      <c r="HM62" s="155"/>
      <c r="HN62" s="155"/>
      <c r="HO62" s="155"/>
      <c r="HP62" s="79"/>
      <c r="HQ62" s="79"/>
      <c r="HR62" s="79"/>
      <c r="HS62" s="124"/>
      <c r="HT62" s="155"/>
      <c r="HU62" s="155"/>
      <c r="HV62" s="155"/>
      <c r="HW62" s="101"/>
      <c r="HX62" s="101"/>
      <c r="HY62" s="101"/>
      <c r="HZ62" s="124"/>
      <c r="IA62" s="40"/>
    </row>
    <row r="63" spans="1:235" ht="15">
      <c r="A63" s="13" t="s">
        <v>67</v>
      </c>
      <c r="B63" s="14" t="s">
        <v>57</v>
      </c>
      <c r="C63" s="123"/>
      <c r="D63" s="153"/>
      <c r="E63" s="153"/>
      <c r="F63" s="153"/>
      <c r="G63" s="28"/>
      <c r="H63" s="153"/>
      <c r="I63" s="28"/>
      <c r="J63" s="123"/>
      <c r="K63" s="153"/>
      <c r="L63" s="153"/>
      <c r="M63" s="153"/>
      <c r="N63" s="28"/>
      <c r="O63" s="153"/>
      <c r="P63" s="28"/>
      <c r="Q63" s="123"/>
      <c r="R63" s="28"/>
      <c r="S63" s="28"/>
      <c r="T63" s="153"/>
      <c r="U63" s="153"/>
      <c r="V63" s="153"/>
      <c r="W63" s="28"/>
      <c r="X63" s="123"/>
      <c r="Y63" s="28"/>
      <c r="Z63" s="28"/>
      <c r="AA63" s="153"/>
      <c r="AB63" s="153"/>
      <c r="AC63" s="153"/>
      <c r="AD63" s="28"/>
      <c r="AE63" s="123"/>
      <c r="AF63" s="136"/>
      <c r="AG63" s="136"/>
      <c r="AH63" s="153"/>
      <c r="AI63" s="153"/>
      <c r="AJ63" s="153"/>
      <c r="AK63" s="28"/>
      <c r="AL63" s="123"/>
      <c r="AM63" s="28"/>
      <c r="AN63" s="28"/>
      <c r="AO63" s="153"/>
      <c r="AP63" s="153"/>
      <c r="AQ63" s="153"/>
      <c r="AR63" s="28"/>
      <c r="AS63" s="123"/>
      <c r="AT63" s="153"/>
      <c r="AU63" s="153"/>
      <c r="AV63" s="153"/>
      <c r="AW63" s="153"/>
      <c r="AX63" s="153"/>
      <c r="AY63" s="153"/>
      <c r="AZ63" s="123"/>
      <c r="BA63" s="153"/>
      <c r="BB63" s="153"/>
      <c r="BC63" s="153"/>
      <c r="BD63" s="153"/>
      <c r="BE63" s="153"/>
      <c r="BF63" s="28"/>
      <c r="BG63" s="123"/>
      <c r="BH63" s="153"/>
      <c r="BI63" s="153"/>
      <c r="BJ63" s="153"/>
      <c r="BK63" s="153"/>
      <c r="BL63" s="153"/>
      <c r="BM63" s="153"/>
      <c r="BN63" s="123"/>
      <c r="BO63" s="153"/>
      <c r="BP63" s="153"/>
      <c r="BQ63" s="153"/>
      <c r="BR63" s="153"/>
      <c r="BS63" s="153"/>
      <c r="BT63" s="28"/>
      <c r="BU63" s="123"/>
      <c r="BV63" s="153"/>
      <c r="BW63" s="153"/>
      <c r="BX63" s="153"/>
      <c r="BY63" s="153"/>
      <c r="BZ63" s="153"/>
      <c r="CA63" s="28"/>
      <c r="CB63" s="123"/>
      <c r="CC63" s="153"/>
      <c r="CD63" s="153"/>
      <c r="CE63" s="153"/>
      <c r="CF63" s="153"/>
      <c r="CG63" s="153"/>
      <c r="CH63" s="28"/>
      <c r="CI63" s="123"/>
      <c r="CJ63" s="153"/>
      <c r="CK63" s="153"/>
      <c r="CL63" s="153"/>
      <c r="CM63" s="153"/>
      <c r="CN63" s="153"/>
      <c r="CO63" s="153"/>
      <c r="CP63" s="123"/>
      <c r="CQ63" s="153"/>
      <c r="CR63" s="153"/>
      <c r="CS63" s="153"/>
      <c r="CT63" s="153"/>
      <c r="CU63" s="153"/>
      <c r="CV63" s="153"/>
      <c r="CW63" s="123"/>
      <c r="CX63" s="153"/>
      <c r="CY63" s="153"/>
      <c r="CZ63" s="153"/>
      <c r="DA63" s="153"/>
      <c r="DB63" s="153"/>
      <c r="DC63" s="153"/>
      <c r="DD63" s="123"/>
      <c r="DE63" s="153"/>
      <c r="DF63" s="153"/>
      <c r="DG63" s="153"/>
      <c r="DH63" s="153"/>
      <c r="DI63" s="153"/>
      <c r="DJ63" s="153"/>
      <c r="DK63" s="123"/>
      <c r="DL63" s="153"/>
      <c r="DM63" s="153"/>
      <c r="DN63" s="153"/>
      <c r="DO63" s="153"/>
      <c r="DP63" s="153"/>
      <c r="DQ63" s="153"/>
      <c r="DR63" s="123"/>
      <c r="DS63" s="153"/>
      <c r="DT63" s="153"/>
      <c r="DU63" s="153"/>
      <c r="DV63" s="153"/>
      <c r="DW63" s="153"/>
      <c r="DX63" s="153"/>
      <c r="DY63" s="123"/>
      <c r="DZ63" s="153"/>
      <c r="EA63" s="153"/>
      <c r="EB63" s="153"/>
      <c r="EC63" s="153"/>
      <c r="ED63" s="153"/>
      <c r="EE63" s="153"/>
      <c r="EF63" s="123"/>
      <c r="EG63" s="153"/>
      <c r="EH63" s="153"/>
      <c r="EI63" s="153"/>
      <c r="EJ63" s="153"/>
      <c r="EK63" s="153"/>
      <c r="EL63" s="153"/>
      <c r="EM63" s="123"/>
      <c r="EN63" s="153"/>
      <c r="EO63" s="153"/>
      <c r="EP63" s="153"/>
      <c r="EQ63" s="153"/>
      <c r="ER63" s="153"/>
      <c r="ES63" s="153"/>
      <c r="ET63" s="123"/>
      <c r="EU63" s="153"/>
      <c r="EV63" s="153"/>
      <c r="EW63" s="153"/>
      <c r="EX63" s="153"/>
      <c r="EY63" s="153"/>
      <c r="EZ63" s="153"/>
      <c r="FA63" s="123"/>
      <c r="FB63" s="153"/>
      <c r="FC63" s="153"/>
      <c r="FD63" s="153"/>
      <c r="FE63" s="153"/>
      <c r="FF63" s="153"/>
      <c r="FG63" s="153"/>
      <c r="FH63" s="123"/>
      <c r="FI63" s="153"/>
      <c r="FJ63" s="153"/>
      <c r="FK63" s="153"/>
      <c r="FL63" s="153"/>
      <c r="FM63" s="153"/>
      <c r="FN63" s="153"/>
      <c r="FO63" s="123"/>
      <c r="FP63" s="153"/>
      <c r="FQ63" s="153"/>
      <c r="FR63" s="153"/>
      <c r="FS63" s="153"/>
      <c r="FT63" s="153"/>
      <c r="FU63" s="153"/>
      <c r="FV63" s="123"/>
      <c r="FW63" s="153"/>
      <c r="FX63" s="153"/>
      <c r="FY63" s="153"/>
      <c r="FZ63" s="153"/>
      <c r="GA63" s="153"/>
      <c r="GB63" s="153"/>
      <c r="GC63" s="123"/>
      <c r="GD63" s="153"/>
      <c r="GE63" s="153"/>
      <c r="GF63" s="153"/>
      <c r="GG63" s="153"/>
      <c r="GH63" s="153"/>
      <c r="GI63" s="153"/>
      <c r="GJ63" s="123"/>
      <c r="GK63" s="153"/>
      <c r="GL63" s="153"/>
      <c r="GM63" s="153"/>
      <c r="GN63" s="153"/>
      <c r="GO63" s="153"/>
      <c r="GP63" s="153"/>
      <c r="GQ63" s="123"/>
      <c r="GR63" s="153"/>
      <c r="GS63" s="153"/>
      <c r="GT63" s="153"/>
      <c r="GU63" s="153"/>
      <c r="GV63" s="153"/>
      <c r="GW63" s="153"/>
      <c r="GX63" s="123"/>
      <c r="GY63" s="153"/>
      <c r="GZ63" s="153"/>
      <c r="HA63" s="153"/>
      <c r="HB63" s="153"/>
      <c r="HC63" s="153"/>
      <c r="HD63" s="153"/>
      <c r="HE63" s="123"/>
      <c r="HF63" s="153"/>
      <c r="HG63" s="153"/>
      <c r="HH63" s="153"/>
      <c r="HI63" s="153"/>
      <c r="HJ63" s="153"/>
      <c r="HK63" s="153"/>
      <c r="HL63" s="123"/>
      <c r="HM63" s="153"/>
      <c r="HN63" s="153"/>
      <c r="HO63" s="153"/>
      <c r="HP63" s="153"/>
      <c r="HQ63" s="153"/>
      <c r="HR63" s="153"/>
      <c r="HS63" s="123"/>
      <c r="HT63" s="153"/>
      <c r="HU63" s="153"/>
      <c r="HV63" s="153"/>
      <c r="HW63" s="153"/>
      <c r="HX63" s="153"/>
      <c r="HY63" s="153"/>
      <c r="HZ63" s="123"/>
      <c r="IA63" s="41"/>
    </row>
    <row r="64" spans="1:235">
      <c r="A64" s="37">
        <v>1</v>
      </c>
      <c r="B64" s="38" t="s">
        <v>58</v>
      </c>
      <c r="C64" s="118"/>
      <c r="D64" s="151">
        <v>754925.65280000004</v>
      </c>
      <c r="E64" s="151">
        <f>D64/118%</f>
        <v>639767.5023728814</v>
      </c>
      <c r="F64" s="151">
        <f>E64/E2</f>
        <v>4236.8708766415984</v>
      </c>
      <c r="G64" s="73">
        <v>1000</v>
      </c>
      <c r="H64" s="159">
        <f>G64*H2</f>
        <v>1015744</v>
      </c>
      <c r="I64" s="73">
        <f>H64*118%</f>
        <v>1198577.92</v>
      </c>
      <c r="J64" s="118"/>
      <c r="K64" s="151">
        <v>754925.65280000004</v>
      </c>
      <c r="L64" s="151">
        <f>K64/118%</f>
        <v>639767.5023728814</v>
      </c>
      <c r="M64" s="151">
        <f>L64/L2</f>
        <v>4236.8708766415984</v>
      </c>
      <c r="N64" s="96">
        <v>3000</v>
      </c>
      <c r="O64" s="96">
        <f>N64*O2</f>
        <v>830887.2</v>
      </c>
      <c r="P64" s="96">
        <f>O64*118%</f>
        <v>980446.89599999995</v>
      </c>
      <c r="Q64" s="118"/>
      <c r="R64" s="20">
        <v>44658.28</v>
      </c>
      <c r="S64" s="20">
        <f>R64/118%</f>
        <v>37846</v>
      </c>
      <c r="T64" s="151">
        <f>S64/S2</f>
        <v>468.97149938042128</v>
      </c>
      <c r="U64" s="159">
        <v>5000</v>
      </c>
      <c r="V64" s="159">
        <f>U64*V2</f>
        <v>538000</v>
      </c>
      <c r="W64" s="73">
        <f>V64*118%</f>
        <v>634840</v>
      </c>
      <c r="X64" s="118"/>
      <c r="Y64" s="151">
        <v>243670</v>
      </c>
      <c r="Z64" s="20">
        <f>Y64/118%</f>
        <v>206500</v>
      </c>
      <c r="AA64" s="151">
        <f>Z64/Z2</f>
        <v>2950</v>
      </c>
      <c r="AB64" s="96">
        <v>3000</v>
      </c>
      <c r="AC64" s="96">
        <f>AB64*AC2</f>
        <v>1153687.2000000002</v>
      </c>
      <c r="AD64" s="96">
        <f>AC64*118%</f>
        <v>1361350.8960000002</v>
      </c>
      <c r="AE64" s="118"/>
      <c r="AF64" s="131">
        <v>2062490.3107999999</v>
      </c>
      <c r="AG64" s="131">
        <f>AF64/118%</f>
        <v>1747873.1447457627</v>
      </c>
      <c r="AH64" s="151">
        <f>AG64/AG2</f>
        <v>1185.7061465455749</v>
      </c>
      <c r="AI64" s="159">
        <v>1000</v>
      </c>
      <c r="AJ64" s="159">
        <f>AI64*AJ2</f>
        <v>3576624</v>
      </c>
      <c r="AK64" s="73">
        <f>AJ64*118%</f>
        <v>4220416.3199999994</v>
      </c>
      <c r="AL64" s="118"/>
      <c r="AM64" s="151">
        <v>691303</v>
      </c>
      <c r="AN64" s="20">
        <f>AM64/118%</f>
        <v>585850</v>
      </c>
      <c r="AO64" s="151">
        <f>AN64/AN2</f>
        <v>2722.3513011152418</v>
      </c>
      <c r="AP64" s="96">
        <v>3000</v>
      </c>
      <c r="AQ64" s="96">
        <f>AP64*AQ2</f>
        <v>2247656.4</v>
      </c>
      <c r="AR64" s="96">
        <f>AQ64*118%</f>
        <v>2652234.5519999997</v>
      </c>
      <c r="AS64" s="118"/>
      <c r="AT64" s="151"/>
      <c r="AU64" s="151">
        <f>AT64/118%</f>
        <v>0</v>
      </c>
      <c r="AV64" s="151">
        <f>AU64/AU2</f>
        <v>0</v>
      </c>
      <c r="AW64" s="210"/>
      <c r="AX64" s="210">
        <f>AW64*AX2</f>
        <v>0</v>
      </c>
      <c r="AY64" s="210">
        <f>AX64*118%</f>
        <v>0</v>
      </c>
      <c r="AZ64" s="118"/>
      <c r="BA64" s="151">
        <v>1770000</v>
      </c>
      <c r="BB64" s="151">
        <f>BA64/118%</f>
        <v>1500000</v>
      </c>
      <c r="BC64" s="151">
        <f>BB64/BB2</f>
        <v>810.49537477306126</v>
      </c>
      <c r="BD64" s="159">
        <v>3000</v>
      </c>
      <c r="BE64" s="159">
        <f>BD64*BE2</f>
        <v>2914884</v>
      </c>
      <c r="BF64" s="159">
        <f>BE64*118%</f>
        <v>3439563.1199999996</v>
      </c>
      <c r="BG64" s="118"/>
      <c r="BH64" s="151"/>
      <c r="BI64" s="151">
        <f>BH64/118%</f>
        <v>0</v>
      </c>
      <c r="BJ64" s="151">
        <f>BI64/BI2</f>
        <v>0</v>
      </c>
      <c r="BK64" s="210"/>
      <c r="BL64" s="210">
        <f>BK64*BL2</f>
        <v>0</v>
      </c>
      <c r="BM64" s="210">
        <f>BL64*118%</f>
        <v>0</v>
      </c>
      <c r="BN64" s="118"/>
      <c r="BO64" s="151">
        <v>2655293</v>
      </c>
      <c r="BP64" s="151">
        <f>BO64/118%</f>
        <v>2250248.3050847459</v>
      </c>
      <c r="BQ64" s="151">
        <f>BP64/BP2</f>
        <v>500.05517890772131</v>
      </c>
      <c r="BR64" s="96">
        <v>1000</v>
      </c>
      <c r="BS64" s="96">
        <f>BR64*BS2</f>
        <v>3195720</v>
      </c>
      <c r="BT64" s="96">
        <f>BS64*118%</f>
        <v>3770949.5999999996</v>
      </c>
      <c r="BU64" s="118"/>
      <c r="BV64" s="151">
        <v>754925.65280000004</v>
      </c>
      <c r="BW64" s="151">
        <f>BV64/118%</f>
        <v>639767.5023728814</v>
      </c>
      <c r="BX64" s="151">
        <f>BW64/BW2</f>
        <v>4236.8708766415984</v>
      </c>
      <c r="BY64" s="159">
        <v>6000</v>
      </c>
      <c r="BZ64" s="159">
        <f>BY64*BZ2</f>
        <v>1614000</v>
      </c>
      <c r="CA64" s="73">
        <f>BZ64*118%</f>
        <v>1904520</v>
      </c>
      <c r="CB64" s="118"/>
      <c r="CC64" s="151">
        <v>1770000</v>
      </c>
      <c r="CD64" s="151">
        <f>CC64/118%</f>
        <v>1500000</v>
      </c>
      <c r="CE64" s="151">
        <f>CD64/CD2</f>
        <v>810.49537477306126</v>
      </c>
      <c r="CF64" s="96">
        <v>3000</v>
      </c>
      <c r="CG64" s="96">
        <f>CF64*CG2</f>
        <v>2146620</v>
      </c>
      <c r="CH64" s="96">
        <f>CG64*118%</f>
        <v>2533011.6</v>
      </c>
      <c r="CI64" s="118"/>
      <c r="CJ64" s="151"/>
      <c r="CK64" s="151">
        <f>CJ64/118%</f>
        <v>0</v>
      </c>
      <c r="CL64" s="151">
        <f>CK64/CK2</f>
        <v>0</v>
      </c>
      <c r="CM64" s="210"/>
      <c r="CN64" s="210">
        <f>CM64*CN2</f>
        <v>0</v>
      </c>
      <c r="CO64" s="210">
        <f>CN64*118%</f>
        <v>0</v>
      </c>
      <c r="CP64" s="118"/>
      <c r="CQ64" s="151">
        <v>243670</v>
      </c>
      <c r="CR64" s="151">
        <f>CQ64/118%</f>
        <v>206500</v>
      </c>
      <c r="CS64" s="151">
        <f>CR64/CR2</f>
        <v>2950</v>
      </c>
      <c r="CT64" s="159">
        <v>3000</v>
      </c>
      <c r="CU64" s="159">
        <f>CT64*CU2</f>
        <v>1139161.2</v>
      </c>
      <c r="CV64" s="159">
        <f>CU64*118%</f>
        <v>1344210.2159999998</v>
      </c>
      <c r="CW64" s="118"/>
      <c r="CX64" s="151">
        <v>754925.65280000004</v>
      </c>
      <c r="CY64" s="151">
        <f>CX64/118%</f>
        <v>639767.5023728814</v>
      </c>
      <c r="CZ64" s="151">
        <f>CY64/CY2</f>
        <v>4236.8708766415984</v>
      </c>
      <c r="DA64" s="96">
        <v>3000</v>
      </c>
      <c r="DB64" s="96">
        <f>DA64*DB2</f>
        <v>1480360.8</v>
      </c>
      <c r="DC64" s="96">
        <f>DB64*118%</f>
        <v>1746825.7439999999</v>
      </c>
      <c r="DD64" s="201"/>
      <c r="DE64" s="151">
        <v>2062490.3107999999</v>
      </c>
      <c r="DF64" s="151">
        <f>DE64/118%</f>
        <v>1747873.1447457627</v>
      </c>
      <c r="DG64" s="151">
        <f>DF64/DF2</f>
        <v>1185.7061465455749</v>
      </c>
      <c r="DH64" s="159">
        <v>3000</v>
      </c>
      <c r="DI64" s="159">
        <f>DH64*DI2</f>
        <v>2303177.9999999995</v>
      </c>
      <c r="DJ64" s="159">
        <f>DI64*118%</f>
        <v>2717750.0399999991</v>
      </c>
      <c r="DK64" s="118"/>
      <c r="DL64" s="151">
        <v>1770000</v>
      </c>
      <c r="DM64" s="151">
        <f>DL64/118%</f>
        <v>1500000</v>
      </c>
      <c r="DN64" s="151">
        <f>DM64/DM2</f>
        <v>810.49537477306126</v>
      </c>
      <c r="DO64" s="96">
        <v>3000</v>
      </c>
      <c r="DP64" s="96">
        <f>DO64*DP2</f>
        <v>2130157.1999999997</v>
      </c>
      <c r="DQ64" s="96">
        <f>DP64*118%</f>
        <v>2513585.4959999993</v>
      </c>
      <c r="DR64" s="118"/>
      <c r="DS64" s="151"/>
      <c r="DT64" s="151">
        <f>DS64/118%</f>
        <v>0</v>
      </c>
      <c r="DU64" s="151">
        <f>DT64/DT2</f>
        <v>0</v>
      </c>
      <c r="DV64" s="210"/>
      <c r="DW64" s="210">
        <f>DV64*DW2</f>
        <v>0</v>
      </c>
      <c r="DX64" s="210">
        <f>DW64*118%</f>
        <v>0</v>
      </c>
      <c r="DY64" s="118"/>
      <c r="DZ64" s="151">
        <v>691303</v>
      </c>
      <c r="EA64" s="151">
        <f>DZ64/118%</f>
        <v>585850</v>
      </c>
      <c r="EB64" s="151">
        <f>EA64/EA2</f>
        <v>2722.3513011152418</v>
      </c>
      <c r="EC64" s="159">
        <v>4000</v>
      </c>
      <c r="ED64" s="159">
        <f>EC64*ED2</f>
        <v>2582400</v>
      </c>
      <c r="EE64" s="159">
        <f>ED64*118%</f>
        <v>3047232</v>
      </c>
      <c r="EF64" s="118"/>
      <c r="EG64" s="151">
        <v>542067</v>
      </c>
      <c r="EH64" s="151">
        <f>EG64/118%</f>
        <v>459378.81355932204</v>
      </c>
      <c r="EI64" s="151">
        <f>EH64/EH2</f>
        <v>3062.5254237288136</v>
      </c>
      <c r="EJ64" s="96">
        <v>2000</v>
      </c>
      <c r="EK64" s="96">
        <f>EJ64*EK2</f>
        <v>3554673.6</v>
      </c>
      <c r="EL64" s="96">
        <f>EK64*118%</f>
        <v>4194514.8480000002</v>
      </c>
      <c r="EM64" s="201"/>
      <c r="EN64" s="151">
        <v>2655293</v>
      </c>
      <c r="EO64" s="151">
        <f>EN64/118%</f>
        <v>2250248.3050847459</v>
      </c>
      <c r="EP64" s="151">
        <f>EO64/EO2</f>
        <v>500.05517890772131</v>
      </c>
      <c r="EQ64" s="159">
        <v>700</v>
      </c>
      <c r="ER64" s="159">
        <f>EQ64*ER2</f>
        <v>3642927.12</v>
      </c>
      <c r="ES64" s="159">
        <f>ER64*118%</f>
        <v>4298654.0016000001</v>
      </c>
      <c r="ET64" s="118"/>
      <c r="EU64" s="151">
        <v>7378957.0600000005</v>
      </c>
      <c r="EV64" s="151">
        <f>EU64/118%</f>
        <v>6253353.4406779669</v>
      </c>
      <c r="EW64" s="151">
        <f>EV64/EV2</f>
        <v>6117.5439646624609</v>
      </c>
      <c r="EX64" s="96">
        <v>7000</v>
      </c>
      <c r="EY64" s="96">
        <f>EX64*EY2</f>
        <v>7532000</v>
      </c>
      <c r="EZ64" s="96">
        <f>EY64*118%</f>
        <v>8887760</v>
      </c>
      <c r="FA64" s="118"/>
      <c r="FB64" s="151">
        <v>542067</v>
      </c>
      <c r="FC64" s="151">
        <f>FB64/118%</f>
        <v>459378.81355932204</v>
      </c>
      <c r="FD64" s="151">
        <f>FC64/FC2</f>
        <v>3062.5254237288136</v>
      </c>
      <c r="FE64" s="159">
        <v>2000</v>
      </c>
      <c r="FF64" s="159">
        <f>FE64*FF2</f>
        <v>3665501.5999999996</v>
      </c>
      <c r="FG64" s="159">
        <f>FF64*118%</f>
        <v>4325291.8879999993</v>
      </c>
      <c r="FH64" s="118"/>
      <c r="FI64" s="151">
        <v>243670</v>
      </c>
      <c r="FJ64" s="151">
        <f>FI64/118%</f>
        <v>206500</v>
      </c>
      <c r="FK64" s="151">
        <f>FJ64/FJ2</f>
        <v>2950</v>
      </c>
      <c r="FL64" s="96">
        <v>6000</v>
      </c>
      <c r="FM64" s="96">
        <f>FL64*FM2</f>
        <v>1129800</v>
      </c>
      <c r="FN64" s="96">
        <f>FM64*118%</f>
        <v>1333164</v>
      </c>
      <c r="FO64" s="118"/>
      <c r="FP64" s="151"/>
      <c r="FQ64" s="151">
        <f>FP64/118%</f>
        <v>0</v>
      </c>
      <c r="FR64" s="151">
        <f>FQ64/FQ2</f>
        <v>0</v>
      </c>
      <c r="FS64" s="159"/>
      <c r="FT64" s="159">
        <f>FS64*FT2</f>
        <v>0</v>
      </c>
      <c r="FU64" s="159">
        <f>FT64*118%</f>
        <v>0</v>
      </c>
      <c r="FV64" s="118"/>
      <c r="FW64" s="151"/>
      <c r="FX64" s="151">
        <f>FW64/118%</f>
        <v>0</v>
      </c>
      <c r="FY64" s="151">
        <f>FX64/FX2</f>
        <v>0</v>
      </c>
      <c r="FZ64" s="96"/>
      <c r="GA64" s="96">
        <f>FZ64*GA2</f>
        <v>0</v>
      </c>
      <c r="GB64" s="96">
        <f>GA64*118%</f>
        <v>0</v>
      </c>
      <c r="GC64" s="118"/>
      <c r="GD64" s="151"/>
      <c r="GE64" s="151">
        <f>GD64/118%</f>
        <v>0</v>
      </c>
      <c r="GF64" s="151">
        <f>GE64/GE2</f>
        <v>0</v>
      </c>
      <c r="GG64" s="159"/>
      <c r="GH64" s="159">
        <f>GG64*GH2</f>
        <v>0</v>
      </c>
      <c r="GI64" s="159">
        <f>GH64*118%</f>
        <v>0</v>
      </c>
      <c r="GJ64" s="118"/>
      <c r="GK64" s="151">
        <v>242599.74</v>
      </c>
      <c r="GL64" s="151">
        <f>GK64/118%</f>
        <v>205593</v>
      </c>
      <c r="GM64" s="151">
        <f>GL64/GL2</f>
        <v>2937.042857142857</v>
      </c>
      <c r="GN64" s="159">
        <v>6000</v>
      </c>
      <c r="GO64" s="159">
        <f>GN64*GO2</f>
        <v>968400</v>
      </c>
      <c r="GP64" s="159">
        <f>GO64*118%</f>
        <v>1142712</v>
      </c>
      <c r="GQ64" s="118"/>
      <c r="GR64" s="151">
        <v>44658.28</v>
      </c>
      <c r="GS64" s="151">
        <f>GR64/118%</f>
        <v>37846</v>
      </c>
      <c r="GT64" s="151">
        <f>GS64/GS2</f>
        <v>468.97149938042128</v>
      </c>
      <c r="GU64" s="96">
        <v>5000</v>
      </c>
      <c r="GV64" s="96">
        <f>GU64*GV2</f>
        <v>538000</v>
      </c>
      <c r="GW64" s="96">
        <f>GV64*118%</f>
        <v>634840</v>
      </c>
      <c r="GX64" s="201"/>
      <c r="GY64" s="151">
        <v>129190.38</v>
      </c>
      <c r="GZ64" s="151">
        <f>GY64/118%</f>
        <v>109483.37288135594</v>
      </c>
      <c r="HA64" s="151">
        <f>GZ64/GZ2</f>
        <v>1017.5034654401111</v>
      </c>
      <c r="HB64" s="159">
        <v>5000</v>
      </c>
      <c r="HC64" s="159">
        <f>HB64*HC2</f>
        <v>1380507.9999999998</v>
      </c>
      <c r="HD64" s="159">
        <f>HC64*118%</f>
        <v>1628999.4399999997</v>
      </c>
      <c r="HE64" s="118"/>
      <c r="HF64" s="151"/>
      <c r="HG64" s="151">
        <f>HF64/118%</f>
        <v>0</v>
      </c>
      <c r="HH64" s="151">
        <f>HG64/HG2</f>
        <v>0</v>
      </c>
      <c r="HI64" s="210"/>
      <c r="HJ64" s="210">
        <f>HI64*HJ2</f>
        <v>0</v>
      </c>
      <c r="HK64" s="210">
        <f>HJ64*118%</f>
        <v>0</v>
      </c>
      <c r="HL64" s="118"/>
      <c r="HM64" s="151">
        <v>242599.74</v>
      </c>
      <c r="HN64" s="151">
        <f>HM64/118%</f>
        <v>205593</v>
      </c>
      <c r="HO64" s="151">
        <f>HN64/HN2</f>
        <v>2937.042857142857</v>
      </c>
      <c r="HP64" s="159">
        <v>6000</v>
      </c>
      <c r="HQ64" s="159">
        <f>HP64*HQ2</f>
        <v>968400</v>
      </c>
      <c r="HR64" s="159">
        <f>HQ64*118%</f>
        <v>1142712</v>
      </c>
      <c r="HS64" s="118"/>
      <c r="HT64" s="151">
        <v>1770000</v>
      </c>
      <c r="HU64" s="151">
        <f>HT64/118%</f>
        <v>1500000</v>
      </c>
      <c r="HV64" s="151">
        <f>HU64/HU2</f>
        <v>810.49537477306126</v>
      </c>
      <c r="HW64" s="96">
        <v>3000</v>
      </c>
      <c r="HX64" s="96">
        <f>HW64*HX2</f>
        <v>1918077.5999999999</v>
      </c>
      <c r="HY64" s="96">
        <f>HX64*118%</f>
        <v>2263331.5679999995</v>
      </c>
      <c r="HZ64" s="201"/>
      <c r="IA64" s="42"/>
    </row>
    <row r="65" spans="1:235">
      <c r="A65" s="37">
        <v>2</v>
      </c>
      <c r="B65" s="38" t="s">
        <v>59</v>
      </c>
      <c r="C65" s="118"/>
      <c r="D65" s="151"/>
      <c r="E65" s="151">
        <f>D65/118%</f>
        <v>0</v>
      </c>
      <c r="F65" s="151">
        <f>E65/E2</f>
        <v>0</v>
      </c>
      <c r="G65" s="159"/>
      <c r="H65" s="159">
        <f>G65*H2</f>
        <v>0</v>
      </c>
      <c r="I65" s="159">
        <f>H65*118%</f>
        <v>0</v>
      </c>
      <c r="J65" s="118"/>
      <c r="K65" s="151"/>
      <c r="L65" s="151">
        <f>K65/118%</f>
        <v>0</v>
      </c>
      <c r="M65" s="151">
        <f>L65/L2</f>
        <v>0</v>
      </c>
      <c r="N65" s="96"/>
      <c r="O65" s="96">
        <f>N65*O2</f>
        <v>0</v>
      </c>
      <c r="P65" s="96">
        <f>O65*118%</f>
        <v>0</v>
      </c>
      <c r="Q65" s="118"/>
      <c r="R65" s="151"/>
      <c r="S65" s="151">
        <f>R65/118%</f>
        <v>0</v>
      </c>
      <c r="T65" s="151">
        <f>S65/S2</f>
        <v>0</v>
      </c>
      <c r="U65" s="159"/>
      <c r="V65" s="159">
        <f>U65*V2</f>
        <v>0</v>
      </c>
      <c r="W65" s="159">
        <f>V65*118%</f>
        <v>0</v>
      </c>
      <c r="X65" s="118"/>
      <c r="Y65" s="151"/>
      <c r="Z65" s="151">
        <f>Y65/118%</f>
        <v>0</v>
      </c>
      <c r="AA65" s="151">
        <f>Z65/Z2</f>
        <v>0</v>
      </c>
      <c r="AB65" s="96"/>
      <c r="AC65" s="96">
        <f>AB65*AC2</f>
        <v>0</v>
      </c>
      <c r="AD65" s="96">
        <f>AC65*118%</f>
        <v>0</v>
      </c>
      <c r="AE65" s="118"/>
      <c r="AF65" s="151"/>
      <c r="AG65" s="151">
        <f>AF65/118%</f>
        <v>0</v>
      </c>
      <c r="AH65" s="151">
        <f>AG65/AG2</f>
        <v>0</v>
      </c>
      <c r="AI65" s="159"/>
      <c r="AJ65" s="159">
        <f>AI65*AJ2</f>
        <v>0</v>
      </c>
      <c r="AK65" s="159">
        <f>AJ65*118%</f>
        <v>0</v>
      </c>
      <c r="AL65" s="118"/>
      <c r="AM65" s="151"/>
      <c r="AN65" s="151">
        <f>AM65/118%</f>
        <v>0</v>
      </c>
      <c r="AO65" s="151">
        <f>AN65/AN2</f>
        <v>0</v>
      </c>
      <c r="AP65" s="96"/>
      <c r="AQ65" s="96">
        <f>AP65*AQ2</f>
        <v>0</v>
      </c>
      <c r="AR65" s="96">
        <f>AQ65*118%</f>
        <v>0</v>
      </c>
      <c r="AS65" s="118"/>
      <c r="AT65" s="151"/>
      <c r="AU65" s="151">
        <f>AT65/118%</f>
        <v>0</v>
      </c>
      <c r="AV65" s="151">
        <f>AU65/AU2</f>
        <v>0</v>
      </c>
      <c r="AW65" s="210"/>
      <c r="AX65" s="210">
        <f>AW65*AX2</f>
        <v>0</v>
      </c>
      <c r="AY65" s="210">
        <f>AX65*118%</f>
        <v>0</v>
      </c>
      <c r="AZ65" s="118"/>
      <c r="BA65" s="151"/>
      <c r="BB65" s="151">
        <f>BA65/118%</f>
        <v>0</v>
      </c>
      <c r="BC65" s="151">
        <f>BB65/BB2</f>
        <v>0</v>
      </c>
      <c r="BD65" s="159"/>
      <c r="BE65" s="159">
        <f>BD65*BE2</f>
        <v>0</v>
      </c>
      <c r="BF65" s="159">
        <f>BE65*118%</f>
        <v>0</v>
      </c>
      <c r="BG65" s="118"/>
      <c r="BH65" s="151"/>
      <c r="BI65" s="151">
        <f>BH65/118%</f>
        <v>0</v>
      </c>
      <c r="BJ65" s="151">
        <f>BI65/BI2</f>
        <v>0</v>
      </c>
      <c r="BK65" s="210"/>
      <c r="BL65" s="210">
        <f>BK65*BL2</f>
        <v>0</v>
      </c>
      <c r="BM65" s="210">
        <f>BL65*118%</f>
        <v>0</v>
      </c>
      <c r="BN65" s="118"/>
      <c r="BO65" s="151"/>
      <c r="BP65" s="151">
        <f>BO65/118%</f>
        <v>0</v>
      </c>
      <c r="BQ65" s="151">
        <f>BP65/BP2</f>
        <v>0</v>
      </c>
      <c r="BR65" s="96"/>
      <c r="BS65" s="96">
        <f>BR65*BS2</f>
        <v>0</v>
      </c>
      <c r="BT65" s="96">
        <f>BS65*118%</f>
        <v>0</v>
      </c>
      <c r="BU65" s="118"/>
      <c r="BV65" s="151"/>
      <c r="BW65" s="151">
        <f>BV65/118%</f>
        <v>0</v>
      </c>
      <c r="BX65" s="151">
        <f>BW65/BW2</f>
        <v>0</v>
      </c>
      <c r="BY65" s="159"/>
      <c r="BZ65" s="159">
        <f>BY65*BZ2</f>
        <v>0</v>
      </c>
      <c r="CA65" s="159">
        <f>BZ65*118%</f>
        <v>0</v>
      </c>
      <c r="CB65" s="118"/>
      <c r="CC65" s="151"/>
      <c r="CD65" s="151">
        <f>CC65/118%</f>
        <v>0</v>
      </c>
      <c r="CE65" s="151">
        <f>CD65/CD2</f>
        <v>0</v>
      </c>
      <c r="CF65" s="96"/>
      <c r="CG65" s="96">
        <f>CF65*CG2</f>
        <v>0</v>
      </c>
      <c r="CH65" s="96">
        <f>CG65*118%</f>
        <v>0</v>
      </c>
      <c r="CI65" s="118"/>
      <c r="CJ65" s="151"/>
      <c r="CK65" s="151">
        <f>CJ65/118%</f>
        <v>0</v>
      </c>
      <c r="CL65" s="151">
        <f>CK65/CK2</f>
        <v>0</v>
      </c>
      <c r="CM65" s="210"/>
      <c r="CN65" s="210">
        <f>CM65*CN2</f>
        <v>0</v>
      </c>
      <c r="CO65" s="210">
        <f>CN65*118%</f>
        <v>0</v>
      </c>
      <c r="CP65" s="118"/>
      <c r="CQ65" s="151"/>
      <c r="CR65" s="151">
        <f>CQ65/118%</f>
        <v>0</v>
      </c>
      <c r="CS65" s="151">
        <f>CR65/CR2</f>
        <v>0</v>
      </c>
      <c r="CT65" s="159"/>
      <c r="CU65" s="159">
        <f>CT65*CU2</f>
        <v>0</v>
      </c>
      <c r="CV65" s="159">
        <f>CU65*118%</f>
        <v>0</v>
      </c>
      <c r="CW65" s="118"/>
      <c r="CX65" s="151"/>
      <c r="CY65" s="151">
        <f>CX65/118%</f>
        <v>0</v>
      </c>
      <c r="CZ65" s="151">
        <f>CY65/CY2</f>
        <v>0</v>
      </c>
      <c r="DA65" s="96"/>
      <c r="DB65" s="96">
        <f>DA65*DB2</f>
        <v>0</v>
      </c>
      <c r="DC65" s="96">
        <f>DB65*118%</f>
        <v>0</v>
      </c>
      <c r="DD65" s="201"/>
      <c r="DE65" s="151"/>
      <c r="DF65" s="151">
        <f>DE65/118%</f>
        <v>0</v>
      </c>
      <c r="DG65" s="151">
        <f>DF65/DF2</f>
        <v>0</v>
      </c>
      <c r="DH65" s="159"/>
      <c r="DI65" s="159">
        <f>DH65*DI2</f>
        <v>0</v>
      </c>
      <c r="DJ65" s="159">
        <f>DI65*118%</f>
        <v>0</v>
      </c>
      <c r="DK65" s="118"/>
      <c r="DL65" s="151"/>
      <c r="DM65" s="151">
        <f>DL65/118%</f>
        <v>0</v>
      </c>
      <c r="DN65" s="151">
        <f>DM65/DM2</f>
        <v>0</v>
      </c>
      <c r="DO65" s="96"/>
      <c r="DP65" s="96">
        <f>DO65*DP2</f>
        <v>0</v>
      </c>
      <c r="DQ65" s="96">
        <f>DP65*118%</f>
        <v>0</v>
      </c>
      <c r="DR65" s="118"/>
      <c r="DS65" s="151"/>
      <c r="DT65" s="151">
        <f>DS65/118%</f>
        <v>0</v>
      </c>
      <c r="DU65" s="151">
        <f>DT65/DT2</f>
        <v>0</v>
      </c>
      <c r="DV65" s="210"/>
      <c r="DW65" s="210">
        <f>DV65*DW2</f>
        <v>0</v>
      </c>
      <c r="DX65" s="210">
        <f>DW65*118%</f>
        <v>0</v>
      </c>
      <c r="DY65" s="118"/>
      <c r="DZ65" s="151"/>
      <c r="EA65" s="151">
        <f>DZ65/118%</f>
        <v>0</v>
      </c>
      <c r="EB65" s="151">
        <f>EA65/EA2</f>
        <v>0</v>
      </c>
      <c r="EC65" s="159"/>
      <c r="ED65" s="159">
        <f>EC65*ED2</f>
        <v>0</v>
      </c>
      <c r="EE65" s="159">
        <f>ED65*118%</f>
        <v>0</v>
      </c>
      <c r="EF65" s="118"/>
      <c r="EG65" s="151"/>
      <c r="EH65" s="151">
        <f>EG65/118%</f>
        <v>0</v>
      </c>
      <c r="EI65" s="151">
        <f>EH65/EH2</f>
        <v>0</v>
      </c>
      <c r="EJ65" s="96"/>
      <c r="EK65" s="96">
        <f>EJ65*EK2</f>
        <v>0</v>
      </c>
      <c r="EL65" s="96">
        <f>EK65*118%</f>
        <v>0</v>
      </c>
      <c r="EM65" s="201"/>
      <c r="EN65" s="151"/>
      <c r="EO65" s="151">
        <f>EN65/118%</f>
        <v>0</v>
      </c>
      <c r="EP65" s="151">
        <f>EO65/EO2</f>
        <v>0</v>
      </c>
      <c r="EQ65" s="159"/>
      <c r="ER65" s="159">
        <f>EQ65*ER2</f>
        <v>0</v>
      </c>
      <c r="ES65" s="159">
        <f>ER65*118%</f>
        <v>0</v>
      </c>
      <c r="ET65" s="118"/>
      <c r="EU65" s="151"/>
      <c r="EV65" s="151">
        <f>EU65/118%</f>
        <v>0</v>
      </c>
      <c r="EW65" s="151">
        <f>EV65/EV2</f>
        <v>0</v>
      </c>
      <c r="EX65" s="96"/>
      <c r="EY65" s="96">
        <f>EX65*EY2</f>
        <v>0</v>
      </c>
      <c r="EZ65" s="96">
        <f>EY65*118%</f>
        <v>0</v>
      </c>
      <c r="FA65" s="118"/>
      <c r="FB65" s="151"/>
      <c r="FC65" s="151">
        <f>FB65/118%</f>
        <v>0</v>
      </c>
      <c r="FD65" s="151">
        <f>FC65/FC2</f>
        <v>0</v>
      </c>
      <c r="FE65" s="159"/>
      <c r="FF65" s="159">
        <f>FE65*FF2</f>
        <v>0</v>
      </c>
      <c r="FG65" s="159">
        <f>FF65*118%</f>
        <v>0</v>
      </c>
      <c r="FH65" s="118"/>
      <c r="FI65" s="151"/>
      <c r="FJ65" s="151">
        <f>FI65/118%</f>
        <v>0</v>
      </c>
      <c r="FK65" s="151">
        <f>FJ65/FJ2</f>
        <v>0</v>
      </c>
      <c r="FL65" s="96"/>
      <c r="FM65" s="96">
        <f>FL65*FM2</f>
        <v>0</v>
      </c>
      <c r="FN65" s="96">
        <f>FM65*118%</f>
        <v>0</v>
      </c>
      <c r="FO65" s="118"/>
      <c r="FP65" s="151"/>
      <c r="FQ65" s="151">
        <f>FP65/118%</f>
        <v>0</v>
      </c>
      <c r="FR65" s="151">
        <f>FQ65/FQ2</f>
        <v>0</v>
      </c>
      <c r="FS65" s="159"/>
      <c r="FT65" s="159">
        <f>FS65*FT2</f>
        <v>0</v>
      </c>
      <c r="FU65" s="159">
        <f>FT65*118%</f>
        <v>0</v>
      </c>
      <c r="FV65" s="118"/>
      <c r="FW65" s="151"/>
      <c r="FX65" s="151">
        <f>FW65/118%</f>
        <v>0</v>
      </c>
      <c r="FY65" s="151">
        <f>FX65/FX2</f>
        <v>0</v>
      </c>
      <c r="FZ65" s="96"/>
      <c r="GA65" s="96">
        <f>FZ65*GA2</f>
        <v>0</v>
      </c>
      <c r="GB65" s="96">
        <f>GA65*118%</f>
        <v>0</v>
      </c>
      <c r="GC65" s="118"/>
      <c r="GD65" s="151"/>
      <c r="GE65" s="151">
        <f>GD65/118%</f>
        <v>0</v>
      </c>
      <c r="GF65" s="151">
        <f>GE65/GE2</f>
        <v>0</v>
      </c>
      <c r="GG65" s="159"/>
      <c r="GH65" s="159">
        <f>GG65*GH2</f>
        <v>0</v>
      </c>
      <c r="GI65" s="159">
        <f>GH65*118%</f>
        <v>0</v>
      </c>
      <c r="GJ65" s="118"/>
      <c r="GK65" s="151"/>
      <c r="GL65" s="151">
        <f>GK65/118%</f>
        <v>0</v>
      </c>
      <c r="GM65" s="151">
        <f>GL65/GL2</f>
        <v>0</v>
      </c>
      <c r="GN65" s="159"/>
      <c r="GO65" s="159">
        <f>GN65*GO2</f>
        <v>0</v>
      </c>
      <c r="GP65" s="159">
        <f>GO65*118%</f>
        <v>0</v>
      </c>
      <c r="GQ65" s="118"/>
      <c r="GR65" s="151"/>
      <c r="GS65" s="151">
        <f>GR65/118%</f>
        <v>0</v>
      </c>
      <c r="GT65" s="151">
        <f>GS65/GS2</f>
        <v>0</v>
      </c>
      <c r="GU65" s="96"/>
      <c r="GV65" s="96">
        <f>GU65*GV2</f>
        <v>0</v>
      </c>
      <c r="GW65" s="96">
        <f>GV65*118%</f>
        <v>0</v>
      </c>
      <c r="GX65" s="201"/>
      <c r="GY65" s="151"/>
      <c r="GZ65" s="151">
        <f>GY65/118%</f>
        <v>0</v>
      </c>
      <c r="HA65" s="151">
        <f>GZ65/GZ2</f>
        <v>0</v>
      </c>
      <c r="HB65" s="159"/>
      <c r="HC65" s="159">
        <f>HB65*HC2</f>
        <v>0</v>
      </c>
      <c r="HD65" s="159">
        <f>HC65*118%</f>
        <v>0</v>
      </c>
      <c r="HE65" s="118"/>
      <c r="HF65" s="151"/>
      <c r="HG65" s="151">
        <f>HF65/118%</f>
        <v>0</v>
      </c>
      <c r="HH65" s="151">
        <f>HG65/HG2</f>
        <v>0</v>
      </c>
      <c r="HI65" s="210"/>
      <c r="HJ65" s="210">
        <f>HI65*HJ2</f>
        <v>0</v>
      </c>
      <c r="HK65" s="210">
        <f>HJ65*118%</f>
        <v>0</v>
      </c>
      <c r="HL65" s="118"/>
      <c r="HM65" s="151"/>
      <c r="HN65" s="151">
        <f>HM65/118%</f>
        <v>0</v>
      </c>
      <c r="HO65" s="151">
        <f>HN65/HN2</f>
        <v>0</v>
      </c>
      <c r="HP65" s="159"/>
      <c r="HQ65" s="159">
        <f>HP65*HQ2</f>
        <v>0</v>
      </c>
      <c r="HR65" s="159">
        <f>HQ65*118%</f>
        <v>0</v>
      </c>
      <c r="HS65" s="118"/>
      <c r="HT65" s="151"/>
      <c r="HU65" s="151">
        <f>HT65/118%</f>
        <v>0</v>
      </c>
      <c r="HV65" s="151">
        <f>HU65/HU2</f>
        <v>0</v>
      </c>
      <c r="HW65" s="96"/>
      <c r="HX65" s="96">
        <f>HW65*HX2</f>
        <v>0</v>
      </c>
      <c r="HY65" s="96">
        <f>HX65*118%</f>
        <v>0</v>
      </c>
      <c r="HZ65" s="201"/>
      <c r="IA65" s="42"/>
    </row>
    <row r="66" spans="1:235">
      <c r="A66" s="37">
        <v>3</v>
      </c>
      <c r="B66" s="38" t="s">
        <v>214</v>
      </c>
      <c r="C66" s="118"/>
      <c r="D66" s="151"/>
      <c r="E66" s="151">
        <f>D66/118%</f>
        <v>0</v>
      </c>
      <c r="F66" s="151">
        <f>E66/E2</f>
        <v>0</v>
      </c>
      <c r="G66" s="73"/>
      <c r="H66" s="159">
        <f>G66*H2</f>
        <v>0</v>
      </c>
      <c r="I66" s="73">
        <f>H66*118%</f>
        <v>0</v>
      </c>
      <c r="J66" s="118"/>
      <c r="K66" s="151"/>
      <c r="L66" s="151">
        <f>K66/118%</f>
        <v>0</v>
      </c>
      <c r="M66" s="151">
        <f>L66/L2</f>
        <v>0</v>
      </c>
      <c r="N66" s="96"/>
      <c r="O66" s="96">
        <f>N66*O2</f>
        <v>0</v>
      </c>
      <c r="P66" s="96">
        <f>O66*118%</f>
        <v>0</v>
      </c>
      <c r="Q66" s="118"/>
      <c r="R66" s="20"/>
      <c r="S66" s="20">
        <f>R66/118%</f>
        <v>0</v>
      </c>
      <c r="T66" s="151">
        <f>S66/S2</f>
        <v>0</v>
      </c>
      <c r="U66" s="73"/>
      <c r="V66" s="159">
        <f>U66*V2</f>
        <v>0</v>
      </c>
      <c r="W66" s="73">
        <f>V66*118%</f>
        <v>0</v>
      </c>
      <c r="X66" s="118"/>
      <c r="Y66" s="20"/>
      <c r="Z66" s="20">
        <f>Y66/118%</f>
        <v>0</v>
      </c>
      <c r="AA66" s="151">
        <f>Z66/Z2</f>
        <v>0</v>
      </c>
      <c r="AB66" s="96"/>
      <c r="AC66" s="96">
        <f>AB66*AC2</f>
        <v>0</v>
      </c>
      <c r="AD66" s="96">
        <f>AC66*118%</f>
        <v>0</v>
      </c>
      <c r="AE66" s="118"/>
      <c r="AF66" s="131"/>
      <c r="AG66" s="131">
        <f>AF66/118%</f>
        <v>0</v>
      </c>
      <c r="AH66" s="151">
        <f>AG66/AG2</f>
        <v>0</v>
      </c>
      <c r="AI66" s="73"/>
      <c r="AJ66" s="159">
        <f>AI66*AJ2</f>
        <v>0</v>
      </c>
      <c r="AK66" s="73">
        <f>AJ66*118%</f>
        <v>0</v>
      </c>
      <c r="AL66" s="118"/>
      <c r="AM66" s="20"/>
      <c r="AN66" s="20">
        <f>AM66/118%</f>
        <v>0</v>
      </c>
      <c r="AO66" s="151">
        <f>AN66/AN2</f>
        <v>0</v>
      </c>
      <c r="AP66" s="96"/>
      <c r="AQ66" s="96">
        <f>AP66*AQ2</f>
        <v>0</v>
      </c>
      <c r="AR66" s="96">
        <f>AQ66*118%</f>
        <v>0</v>
      </c>
      <c r="AS66" s="118"/>
      <c r="AT66" s="151"/>
      <c r="AU66" s="151">
        <f>AT66/118%</f>
        <v>0</v>
      </c>
      <c r="AV66" s="151">
        <f>AU66/AU2</f>
        <v>0</v>
      </c>
      <c r="AW66" s="210"/>
      <c r="AX66" s="210">
        <f>AW66*AX2</f>
        <v>0</v>
      </c>
      <c r="AY66" s="210">
        <f>AX66*118%</f>
        <v>0</v>
      </c>
      <c r="AZ66" s="118"/>
      <c r="BA66" s="151"/>
      <c r="BB66" s="151">
        <f>BA66/118%</f>
        <v>0</v>
      </c>
      <c r="BC66" s="151">
        <f>BB66/BB2</f>
        <v>0</v>
      </c>
      <c r="BD66" s="73"/>
      <c r="BE66" s="159">
        <f>BD66*BE2</f>
        <v>0</v>
      </c>
      <c r="BF66" s="73">
        <f>BE66*118%</f>
        <v>0</v>
      </c>
      <c r="BG66" s="118"/>
      <c r="BH66" s="151"/>
      <c r="BI66" s="151">
        <f>BH66/118%</f>
        <v>0</v>
      </c>
      <c r="BJ66" s="151">
        <f>BI66/BI2</f>
        <v>0</v>
      </c>
      <c r="BK66" s="210"/>
      <c r="BL66" s="210">
        <f>BK66*BL2</f>
        <v>0</v>
      </c>
      <c r="BM66" s="210">
        <f>BL66*118%</f>
        <v>0</v>
      </c>
      <c r="BN66" s="118"/>
      <c r="BO66" s="151"/>
      <c r="BP66" s="151">
        <f>BO66/118%</f>
        <v>0</v>
      </c>
      <c r="BQ66" s="151">
        <f>BP66/BP2</f>
        <v>0</v>
      </c>
      <c r="BR66" s="96"/>
      <c r="BS66" s="96">
        <f>BR66*BS2</f>
        <v>0</v>
      </c>
      <c r="BT66" s="96">
        <f>BS66*118%</f>
        <v>0</v>
      </c>
      <c r="BU66" s="118"/>
      <c r="BV66" s="151"/>
      <c r="BW66" s="151">
        <f>BV66/118%</f>
        <v>0</v>
      </c>
      <c r="BX66" s="151">
        <f>BW66/BW2</f>
        <v>0</v>
      </c>
      <c r="BY66" s="73"/>
      <c r="BZ66" s="159">
        <f>BY66*BZ2</f>
        <v>0</v>
      </c>
      <c r="CA66" s="73">
        <f>BZ66*118%</f>
        <v>0</v>
      </c>
      <c r="CB66" s="118"/>
      <c r="CC66" s="151"/>
      <c r="CD66" s="151">
        <f>CC66/118%</f>
        <v>0</v>
      </c>
      <c r="CE66" s="151">
        <f>CD66/CD2</f>
        <v>0</v>
      </c>
      <c r="CF66" s="96"/>
      <c r="CG66" s="96">
        <f>CF66*CG2</f>
        <v>0</v>
      </c>
      <c r="CH66" s="96">
        <f>CG66*118%</f>
        <v>0</v>
      </c>
      <c r="CI66" s="118"/>
      <c r="CJ66" s="151"/>
      <c r="CK66" s="151">
        <f>CJ66/118%</f>
        <v>0</v>
      </c>
      <c r="CL66" s="151">
        <f>CK66/CK2</f>
        <v>0</v>
      </c>
      <c r="CM66" s="210"/>
      <c r="CN66" s="210">
        <f>CM66*CN2</f>
        <v>0</v>
      </c>
      <c r="CO66" s="210">
        <f>CN66*118%</f>
        <v>0</v>
      </c>
      <c r="CP66" s="118"/>
      <c r="CQ66" s="151"/>
      <c r="CR66" s="151">
        <f>CQ66/118%</f>
        <v>0</v>
      </c>
      <c r="CS66" s="151">
        <f>CR66/CR2</f>
        <v>0</v>
      </c>
      <c r="CT66" s="159"/>
      <c r="CU66" s="159">
        <f>CT66*CU2</f>
        <v>0</v>
      </c>
      <c r="CV66" s="159">
        <f>CU66*118%</f>
        <v>0</v>
      </c>
      <c r="CW66" s="118"/>
      <c r="CX66" s="151"/>
      <c r="CY66" s="151">
        <f>CX66/118%</f>
        <v>0</v>
      </c>
      <c r="CZ66" s="151">
        <f>CY66/CY2</f>
        <v>0</v>
      </c>
      <c r="DA66" s="96"/>
      <c r="DB66" s="96">
        <f>DA66*DB2</f>
        <v>0</v>
      </c>
      <c r="DC66" s="96">
        <f>DB66*118%</f>
        <v>0</v>
      </c>
      <c r="DD66" s="201"/>
      <c r="DE66" s="151"/>
      <c r="DF66" s="151">
        <f>DE66/118%</f>
        <v>0</v>
      </c>
      <c r="DG66" s="151">
        <f>DF66/DF2</f>
        <v>0</v>
      </c>
      <c r="DH66" s="159"/>
      <c r="DI66" s="159">
        <f>DH66*DI2</f>
        <v>0</v>
      </c>
      <c r="DJ66" s="159">
        <f>DI66*118%</f>
        <v>0</v>
      </c>
      <c r="DK66" s="118"/>
      <c r="DL66" s="151"/>
      <c r="DM66" s="151">
        <f>DL66/118%</f>
        <v>0</v>
      </c>
      <c r="DN66" s="151">
        <f>DM66/DM2</f>
        <v>0</v>
      </c>
      <c r="DO66" s="96"/>
      <c r="DP66" s="96">
        <f>DO66*DP2</f>
        <v>0</v>
      </c>
      <c r="DQ66" s="96">
        <f>DP66*118%</f>
        <v>0</v>
      </c>
      <c r="DR66" s="118"/>
      <c r="DS66" s="151"/>
      <c r="DT66" s="151">
        <f>DS66/118%</f>
        <v>0</v>
      </c>
      <c r="DU66" s="151">
        <f>DT66/DT2</f>
        <v>0</v>
      </c>
      <c r="DV66" s="210"/>
      <c r="DW66" s="210">
        <f>DV66*DW2</f>
        <v>0</v>
      </c>
      <c r="DX66" s="210">
        <f>DW66*118%</f>
        <v>0</v>
      </c>
      <c r="DY66" s="118"/>
      <c r="DZ66" s="151"/>
      <c r="EA66" s="151">
        <f>DZ66/118%</f>
        <v>0</v>
      </c>
      <c r="EB66" s="151">
        <f>EA66/EA2</f>
        <v>0</v>
      </c>
      <c r="EC66" s="159"/>
      <c r="ED66" s="159">
        <f>EC66*ED2</f>
        <v>0</v>
      </c>
      <c r="EE66" s="159">
        <f>ED66*118%</f>
        <v>0</v>
      </c>
      <c r="EF66" s="118"/>
      <c r="EG66" s="151"/>
      <c r="EH66" s="151">
        <f>EG66/118%</f>
        <v>0</v>
      </c>
      <c r="EI66" s="151">
        <f>EH66/EH2</f>
        <v>0</v>
      </c>
      <c r="EJ66" s="96"/>
      <c r="EK66" s="96">
        <f>EJ66*EK2</f>
        <v>0</v>
      </c>
      <c r="EL66" s="96">
        <f>EK66*118%</f>
        <v>0</v>
      </c>
      <c r="EM66" s="201"/>
      <c r="EN66" s="151"/>
      <c r="EO66" s="151">
        <f>EN66/118%</f>
        <v>0</v>
      </c>
      <c r="EP66" s="151">
        <f>EO66/EO2</f>
        <v>0</v>
      </c>
      <c r="EQ66" s="159"/>
      <c r="ER66" s="159">
        <f>EQ66*ER2</f>
        <v>0</v>
      </c>
      <c r="ES66" s="159">
        <f>ER66*118%</f>
        <v>0</v>
      </c>
      <c r="ET66" s="118"/>
      <c r="EU66" s="151"/>
      <c r="EV66" s="151">
        <f>EU66/118%</f>
        <v>0</v>
      </c>
      <c r="EW66" s="151">
        <f>EV66/EV2</f>
        <v>0</v>
      </c>
      <c r="EX66" s="96"/>
      <c r="EY66" s="96">
        <f>EX66*EY2</f>
        <v>0</v>
      </c>
      <c r="EZ66" s="96">
        <f>EY66*118%</f>
        <v>0</v>
      </c>
      <c r="FA66" s="118"/>
      <c r="FB66" s="151"/>
      <c r="FC66" s="151">
        <f>FB66/118%</f>
        <v>0</v>
      </c>
      <c r="FD66" s="151">
        <f>FC66/FC2</f>
        <v>0</v>
      </c>
      <c r="FE66" s="159"/>
      <c r="FF66" s="159">
        <f>FE66*FF2</f>
        <v>0</v>
      </c>
      <c r="FG66" s="159">
        <f>FF66*118%</f>
        <v>0</v>
      </c>
      <c r="FH66" s="118"/>
      <c r="FI66" s="151"/>
      <c r="FJ66" s="151">
        <f>FI66/118%</f>
        <v>0</v>
      </c>
      <c r="FK66" s="151">
        <f>FJ66/FJ2</f>
        <v>0</v>
      </c>
      <c r="FL66" s="96"/>
      <c r="FM66" s="96">
        <f>FL66*FM2</f>
        <v>0</v>
      </c>
      <c r="FN66" s="96">
        <f>FM66*118%</f>
        <v>0</v>
      </c>
      <c r="FO66" s="118"/>
      <c r="FP66" s="151"/>
      <c r="FQ66" s="151">
        <f>FP66/118%</f>
        <v>0</v>
      </c>
      <c r="FR66" s="151">
        <f>FQ66/FQ2</f>
        <v>0</v>
      </c>
      <c r="FS66" s="159"/>
      <c r="FT66" s="159">
        <f>FS66*FT2</f>
        <v>0</v>
      </c>
      <c r="FU66" s="159">
        <f>FT66*118%</f>
        <v>0</v>
      </c>
      <c r="FV66" s="118"/>
      <c r="FW66" s="151"/>
      <c r="FX66" s="151">
        <f>FW66/118%</f>
        <v>0</v>
      </c>
      <c r="FY66" s="151">
        <f>FX66/FX2</f>
        <v>0</v>
      </c>
      <c r="FZ66" s="96"/>
      <c r="GA66" s="96">
        <f>FZ66*GA2</f>
        <v>0</v>
      </c>
      <c r="GB66" s="96">
        <f>GA66*118%</f>
        <v>0</v>
      </c>
      <c r="GC66" s="118"/>
      <c r="GD66" s="151"/>
      <c r="GE66" s="151">
        <f>GD66/118%</f>
        <v>0</v>
      </c>
      <c r="GF66" s="151">
        <f>GE66/GE2</f>
        <v>0</v>
      </c>
      <c r="GG66" s="159"/>
      <c r="GH66" s="159">
        <f>GG66*GH2</f>
        <v>0</v>
      </c>
      <c r="GI66" s="159">
        <f>GH66*118%</f>
        <v>0</v>
      </c>
      <c r="GJ66" s="118"/>
      <c r="GK66" s="151"/>
      <c r="GL66" s="151">
        <f>GK66/118%</f>
        <v>0</v>
      </c>
      <c r="GM66" s="151">
        <f>GL66/GL2</f>
        <v>0</v>
      </c>
      <c r="GN66" s="159"/>
      <c r="GO66" s="159">
        <f>GN66*GO2</f>
        <v>0</v>
      </c>
      <c r="GP66" s="159">
        <f>GO66*118%</f>
        <v>0</v>
      </c>
      <c r="GQ66" s="118"/>
      <c r="GR66" s="151"/>
      <c r="GS66" s="151">
        <f>GR66/118%</f>
        <v>0</v>
      </c>
      <c r="GT66" s="151">
        <f>GS66/GS2</f>
        <v>0</v>
      </c>
      <c r="GU66" s="96"/>
      <c r="GV66" s="96">
        <f>GU66*GV2</f>
        <v>0</v>
      </c>
      <c r="GW66" s="96">
        <f>GV66*118%</f>
        <v>0</v>
      </c>
      <c r="GX66" s="201"/>
      <c r="GY66" s="151"/>
      <c r="GZ66" s="151">
        <f>GY66/118%</f>
        <v>0</v>
      </c>
      <c r="HA66" s="151">
        <f>GZ66/GZ2</f>
        <v>0</v>
      </c>
      <c r="HB66" s="159"/>
      <c r="HC66" s="159">
        <f>HB66*HC2</f>
        <v>0</v>
      </c>
      <c r="HD66" s="159">
        <f>HC66*118%</f>
        <v>0</v>
      </c>
      <c r="HE66" s="118"/>
      <c r="HF66" s="151"/>
      <c r="HG66" s="151">
        <f>HF66/118%</f>
        <v>0</v>
      </c>
      <c r="HH66" s="151">
        <f>HG66/HG2</f>
        <v>0</v>
      </c>
      <c r="HI66" s="210"/>
      <c r="HJ66" s="210">
        <f>HI66*HJ2</f>
        <v>0</v>
      </c>
      <c r="HK66" s="210">
        <f>HJ66*118%</f>
        <v>0</v>
      </c>
      <c r="HL66" s="118"/>
      <c r="HM66" s="151"/>
      <c r="HN66" s="151">
        <f>HM66/118%</f>
        <v>0</v>
      </c>
      <c r="HO66" s="151">
        <f>HN66/HN2</f>
        <v>0</v>
      </c>
      <c r="HP66" s="159"/>
      <c r="HQ66" s="159">
        <f>HP66*HQ2</f>
        <v>0</v>
      </c>
      <c r="HR66" s="159">
        <f>HQ66*118%</f>
        <v>0</v>
      </c>
      <c r="HS66" s="118"/>
      <c r="HT66" s="151"/>
      <c r="HU66" s="151">
        <f>HT66/118%</f>
        <v>0</v>
      </c>
      <c r="HV66" s="151">
        <f>HU66/HU2</f>
        <v>0</v>
      </c>
      <c r="HW66" s="96"/>
      <c r="HX66" s="96">
        <f>HW66*HX2</f>
        <v>0</v>
      </c>
      <c r="HY66" s="96">
        <f>HX66*118%</f>
        <v>0</v>
      </c>
      <c r="HZ66" s="201"/>
      <c r="IA66" s="40"/>
    </row>
    <row r="67" spans="1:235" s="26" customFormat="1" ht="15">
      <c r="A67" s="12"/>
      <c r="B67" s="23" t="s">
        <v>69</v>
      </c>
      <c r="C67" s="121"/>
      <c r="D67" s="154">
        <f>SUM(D64:D66)</f>
        <v>754925.65280000004</v>
      </c>
      <c r="E67" s="154">
        <f>SUM(E64:E66)</f>
        <v>639767.5023728814</v>
      </c>
      <c r="F67" s="152"/>
      <c r="G67" s="77"/>
      <c r="H67" s="78">
        <f>SUM(H64:H66)</f>
        <v>1015744</v>
      </c>
      <c r="I67" s="78">
        <f>SUM(I64:I66)</f>
        <v>1198577.92</v>
      </c>
      <c r="J67" s="121"/>
      <c r="K67" s="154">
        <f>SUM(K64:K66)</f>
        <v>754925.65280000004</v>
      </c>
      <c r="L67" s="154">
        <f>SUM(L64:L66)</f>
        <v>639767.5023728814</v>
      </c>
      <c r="M67" s="152"/>
      <c r="N67" s="99"/>
      <c r="O67" s="100">
        <f>SUM(O64:O66)</f>
        <v>830887.2</v>
      </c>
      <c r="P67" s="100">
        <f>SUM(P64:P66)</f>
        <v>980446.89599999995</v>
      </c>
      <c r="Q67" s="121"/>
      <c r="R67" s="30">
        <f>SUM(R64:R66)</f>
        <v>44658.28</v>
      </c>
      <c r="S67" s="30">
        <f>SUM(S64:S66)</f>
        <v>37846</v>
      </c>
      <c r="T67" s="24"/>
      <c r="U67" s="77"/>
      <c r="V67" s="78">
        <f>SUM(V64:V66)</f>
        <v>538000</v>
      </c>
      <c r="W67" s="78">
        <f>SUM(W64:W66)</f>
        <v>634840</v>
      </c>
      <c r="X67" s="121"/>
      <c r="Y67" s="30">
        <f>SUM(Y64:Y66)</f>
        <v>243670</v>
      </c>
      <c r="Z67" s="30">
        <f>SUM(Z64:Z66)</f>
        <v>206500</v>
      </c>
      <c r="AA67" s="24"/>
      <c r="AB67" s="99"/>
      <c r="AC67" s="100">
        <f>SUM(AC64:AC66)</f>
        <v>1153687.2000000002</v>
      </c>
      <c r="AD67" s="100">
        <f>SUM(AD64:AD66)</f>
        <v>1361350.8960000002</v>
      </c>
      <c r="AE67" s="121"/>
      <c r="AF67" s="137">
        <f>SUM(AF64:AF66)</f>
        <v>2062490.3107999999</v>
      </c>
      <c r="AG67" s="137">
        <f>SUM(AG64:AG66)</f>
        <v>1747873.1447457627</v>
      </c>
      <c r="AH67" s="135"/>
      <c r="AI67" s="77"/>
      <c r="AJ67" s="78">
        <f>SUM(AJ64:AJ66)</f>
        <v>3576624</v>
      </c>
      <c r="AK67" s="78">
        <f>SUM(AK64:AK66)</f>
        <v>4220416.3199999994</v>
      </c>
      <c r="AL67" s="121"/>
      <c r="AM67" s="30">
        <f>SUM(AM64:AM66)</f>
        <v>691303</v>
      </c>
      <c r="AN67" s="30">
        <f>SUM(AN64:AN66)</f>
        <v>585850</v>
      </c>
      <c r="AO67" s="24"/>
      <c r="AP67" s="99"/>
      <c r="AQ67" s="100">
        <f>SUM(AQ64:AQ66)</f>
        <v>2247656.4</v>
      </c>
      <c r="AR67" s="100">
        <f>SUM(AR64:AR66)</f>
        <v>2652234.5519999997</v>
      </c>
      <c r="AS67" s="121"/>
      <c r="AT67" s="154">
        <f>SUM(AT64:AT66)</f>
        <v>0</v>
      </c>
      <c r="AU67" s="154">
        <f>SUM(AU64:AU66)</f>
        <v>0</v>
      </c>
      <c r="AV67" s="152"/>
      <c r="AW67" s="213"/>
      <c r="AX67" s="214">
        <f>SUM(AX64:AX66)</f>
        <v>0</v>
      </c>
      <c r="AY67" s="214">
        <f>SUM(AY64:AY66)</f>
        <v>0</v>
      </c>
      <c r="AZ67" s="121"/>
      <c r="BA67" s="154">
        <f>SUM(BA64:BA66)</f>
        <v>1770000</v>
      </c>
      <c r="BB67" s="154">
        <f>SUM(BB64:BB66)</f>
        <v>1500000</v>
      </c>
      <c r="BC67" s="152"/>
      <c r="BD67" s="77"/>
      <c r="BE67" s="78">
        <f>SUM(BE64:BE66)</f>
        <v>2914884</v>
      </c>
      <c r="BF67" s="78">
        <f>SUM(BF64:BF66)</f>
        <v>3439563.1199999996</v>
      </c>
      <c r="BG67" s="121"/>
      <c r="BH67" s="154">
        <f>SUM(BH64:BH66)</f>
        <v>0</v>
      </c>
      <c r="BI67" s="154">
        <f>SUM(BI64:BI66)</f>
        <v>0</v>
      </c>
      <c r="BJ67" s="152"/>
      <c r="BK67" s="213"/>
      <c r="BL67" s="214">
        <f>SUM(BL64:BL66)</f>
        <v>0</v>
      </c>
      <c r="BM67" s="214">
        <f>SUM(BM64:BM66)</f>
        <v>0</v>
      </c>
      <c r="BN67" s="121"/>
      <c r="BO67" s="154">
        <f>SUM(BO64:BO66)</f>
        <v>2655293</v>
      </c>
      <c r="BP67" s="154">
        <f>SUM(BP64:BP66)</f>
        <v>2250248.3050847459</v>
      </c>
      <c r="BQ67" s="152"/>
      <c r="BR67" s="99"/>
      <c r="BS67" s="100">
        <f>SUM(BS64:BS66)</f>
        <v>3195720</v>
      </c>
      <c r="BT67" s="100">
        <f>SUM(BT64:BT66)</f>
        <v>3770949.5999999996</v>
      </c>
      <c r="BU67" s="121"/>
      <c r="BV67" s="154">
        <f>SUM(BV64:BV66)</f>
        <v>754925.65280000004</v>
      </c>
      <c r="BW67" s="154">
        <f>SUM(BW64:BW66)</f>
        <v>639767.5023728814</v>
      </c>
      <c r="BX67" s="152"/>
      <c r="BY67" s="77"/>
      <c r="BZ67" s="78">
        <f>SUM(BZ64:BZ66)</f>
        <v>1614000</v>
      </c>
      <c r="CA67" s="78">
        <f>SUM(CA64:CA66)</f>
        <v>1904520</v>
      </c>
      <c r="CB67" s="121"/>
      <c r="CC67" s="154">
        <f>SUM(CC64:CC66)</f>
        <v>1770000</v>
      </c>
      <c r="CD67" s="154">
        <f>SUM(CD64:CD66)</f>
        <v>1500000</v>
      </c>
      <c r="CE67" s="152"/>
      <c r="CF67" s="99"/>
      <c r="CG67" s="100">
        <f>SUM(CG64:CG66)</f>
        <v>2146620</v>
      </c>
      <c r="CH67" s="100">
        <f>SUM(CH64:CH66)</f>
        <v>2533011.6</v>
      </c>
      <c r="CI67" s="121"/>
      <c r="CJ67" s="154">
        <f>SUM(CJ64:CJ66)</f>
        <v>0</v>
      </c>
      <c r="CK67" s="154">
        <f>SUM(CK64:CK66)</f>
        <v>0</v>
      </c>
      <c r="CL67" s="152"/>
      <c r="CM67" s="213"/>
      <c r="CN67" s="214">
        <f>SUM(CN64:CN66)</f>
        <v>0</v>
      </c>
      <c r="CO67" s="214">
        <f>SUM(CO64:CO66)</f>
        <v>0</v>
      </c>
      <c r="CP67" s="121"/>
      <c r="CQ67" s="154">
        <f>SUM(CQ64:CQ66)</f>
        <v>243670</v>
      </c>
      <c r="CR67" s="154">
        <f>SUM(CR64:CR66)</f>
        <v>206500</v>
      </c>
      <c r="CS67" s="152"/>
      <c r="CT67" s="77"/>
      <c r="CU67" s="78">
        <f>SUM(CU64:CU66)</f>
        <v>1139161.2</v>
      </c>
      <c r="CV67" s="78">
        <f>SUM(CV64:CV66)</f>
        <v>1344210.2159999998</v>
      </c>
      <c r="CW67" s="121"/>
      <c r="CX67" s="154">
        <f>SUM(CX64:CX66)</f>
        <v>754925.65280000004</v>
      </c>
      <c r="CY67" s="154">
        <f>SUM(CY64:CY66)</f>
        <v>639767.5023728814</v>
      </c>
      <c r="CZ67" s="152"/>
      <c r="DA67" s="99"/>
      <c r="DB67" s="100">
        <f>SUM(DB64:DB66)</f>
        <v>1480360.8</v>
      </c>
      <c r="DC67" s="100">
        <f>SUM(DC64:DC66)</f>
        <v>1746825.7439999999</v>
      </c>
      <c r="DD67" s="122"/>
      <c r="DE67" s="154">
        <f>SUM(DE64:DE66)</f>
        <v>2062490.3107999999</v>
      </c>
      <c r="DF67" s="154">
        <f>SUM(DF64:DF66)</f>
        <v>1747873.1447457627</v>
      </c>
      <c r="DG67" s="152"/>
      <c r="DH67" s="77"/>
      <c r="DI67" s="78">
        <f>SUM(DI64:DI66)</f>
        <v>2303177.9999999995</v>
      </c>
      <c r="DJ67" s="78">
        <f>SUM(DJ64:DJ66)</f>
        <v>2717750.0399999991</v>
      </c>
      <c r="DK67" s="121"/>
      <c r="DL67" s="154">
        <f>SUM(DL64:DL66)</f>
        <v>1770000</v>
      </c>
      <c r="DM67" s="154">
        <f>SUM(DM64:DM66)</f>
        <v>1500000</v>
      </c>
      <c r="DN67" s="152"/>
      <c r="DO67" s="99"/>
      <c r="DP67" s="100">
        <f>SUM(DP64:DP66)</f>
        <v>2130157.1999999997</v>
      </c>
      <c r="DQ67" s="100">
        <f>SUM(DQ64:DQ66)</f>
        <v>2513585.4959999993</v>
      </c>
      <c r="DR67" s="121"/>
      <c r="DS67" s="154">
        <f>SUM(DS64:DS66)</f>
        <v>0</v>
      </c>
      <c r="DT67" s="154">
        <f>SUM(DT64:DT66)</f>
        <v>0</v>
      </c>
      <c r="DU67" s="152"/>
      <c r="DV67" s="213"/>
      <c r="DW67" s="214">
        <f>SUM(DW64:DW66)</f>
        <v>0</v>
      </c>
      <c r="DX67" s="214">
        <f>SUM(DX64:DX66)</f>
        <v>0</v>
      </c>
      <c r="DY67" s="121"/>
      <c r="DZ67" s="154">
        <f>SUM(DZ64:DZ66)</f>
        <v>691303</v>
      </c>
      <c r="EA67" s="154">
        <f>SUM(EA64:EA66)</f>
        <v>585850</v>
      </c>
      <c r="EB67" s="152"/>
      <c r="EC67" s="77"/>
      <c r="ED67" s="78">
        <f>SUM(ED64:ED66)</f>
        <v>2582400</v>
      </c>
      <c r="EE67" s="78">
        <f>SUM(EE64:EE66)</f>
        <v>3047232</v>
      </c>
      <c r="EF67" s="121"/>
      <c r="EG67" s="154">
        <f>SUM(EG64:EG66)</f>
        <v>542067</v>
      </c>
      <c r="EH67" s="154">
        <f>SUM(EH64:EH66)</f>
        <v>459378.81355932204</v>
      </c>
      <c r="EI67" s="152"/>
      <c r="EJ67" s="99"/>
      <c r="EK67" s="100">
        <f>SUM(EK64:EK66)</f>
        <v>3554673.6</v>
      </c>
      <c r="EL67" s="100">
        <f>SUM(EL64:EL66)</f>
        <v>4194514.8480000002</v>
      </c>
      <c r="EM67" s="122"/>
      <c r="EN67" s="154">
        <f>SUM(EN64:EN66)</f>
        <v>2655293</v>
      </c>
      <c r="EO67" s="154">
        <f>SUM(EO64:EO66)</f>
        <v>2250248.3050847459</v>
      </c>
      <c r="EP67" s="152"/>
      <c r="EQ67" s="77"/>
      <c r="ER67" s="78">
        <f>SUM(ER64:ER66)</f>
        <v>3642927.12</v>
      </c>
      <c r="ES67" s="78">
        <f>SUM(ES64:ES66)</f>
        <v>4298654.0016000001</v>
      </c>
      <c r="ET67" s="121"/>
      <c r="EU67" s="154">
        <f>SUM(EU64:EU66)</f>
        <v>7378957.0600000005</v>
      </c>
      <c r="EV67" s="154">
        <f>SUM(EV64:EV66)</f>
        <v>6253353.4406779669</v>
      </c>
      <c r="EW67" s="152"/>
      <c r="EX67" s="99"/>
      <c r="EY67" s="100">
        <f>SUM(EY64:EY66)</f>
        <v>7532000</v>
      </c>
      <c r="EZ67" s="100">
        <f>SUM(EZ64:EZ66)</f>
        <v>8887760</v>
      </c>
      <c r="FA67" s="121"/>
      <c r="FB67" s="154">
        <f>SUM(FB64:FB66)</f>
        <v>542067</v>
      </c>
      <c r="FC67" s="154">
        <f>SUM(FC64:FC66)</f>
        <v>459378.81355932204</v>
      </c>
      <c r="FD67" s="152"/>
      <c r="FE67" s="77"/>
      <c r="FF67" s="78">
        <f>SUM(FF64:FF66)</f>
        <v>3665501.5999999996</v>
      </c>
      <c r="FG67" s="78">
        <f>SUM(FG64:FG66)</f>
        <v>4325291.8879999993</v>
      </c>
      <c r="FH67" s="121"/>
      <c r="FI67" s="154">
        <f>SUM(FI64:FI66)</f>
        <v>243670</v>
      </c>
      <c r="FJ67" s="154">
        <f>SUM(FJ64:FJ66)</f>
        <v>206500</v>
      </c>
      <c r="FK67" s="152"/>
      <c r="FL67" s="99"/>
      <c r="FM67" s="100">
        <f>SUM(FM64:FM66)</f>
        <v>1129800</v>
      </c>
      <c r="FN67" s="100">
        <f>SUM(FN64:FN66)</f>
        <v>1333164</v>
      </c>
      <c r="FO67" s="121"/>
      <c r="FP67" s="154">
        <f>SUM(FP64:FP66)</f>
        <v>0</v>
      </c>
      <c r="FQ67" s="154">
        <f>SUM(FQ64:FQ66)</f>
        <v>0</v>
      </c>
      <c r="FR67" s="152"/>
      <c r="FS67" s="77"/>
      <c r="FT67" s="78">
        <f>SUM(FT64:FT66)</f>
        <v>0</v>
      </c>
      <c r="FU67" s="78">
        <f>SUM(FU64:FU66)</f>
        <v>0</v>
      </c>
      <c r="FV67" s="121"/>
      <c r="FW67" s="154">
        <f>SUM(FW64:FW66)</f>
        <v>0</v>
      </c>
      <c r="FX67" s="154">
        <f>SUM(FX64:FX66)</f>
        <v>0</v>
      </c>
      <c r="FY67" s="152"/>
      <c r="FZ67" s="99"/>
      <c r="GA67" s="100">
        <f>SUM(GA64:GA66)</f>
        <v>0</v>
      </c>
      <c r="GB67" s="100">
        <f>SUM(GB64:GB66)</f>
        <v>0</v>
      </c>
      <c r="GC67" s="121"/>
      <c r="GD67" s="154">
        <f>SUM(GD64:GD66)</f>
        <v>0</v>
      </c>
      <c r="GE67" s="154">
        <f>SUM(GE64:GE66)</f>
        <v>0</v>
      </c>
      <c r="GF67" s="152"/>
      <c r="GG67" s="77"/>
      <c r="GH67" s="78">
        <f>SUM(GH64:GH66)</f>
        <v>0</v>
      </c>
      <c r="GI67" s="78">
        <f>SUM(GI64:GI66)</f>
        <v>0</v>
      </c>
      <c r="GJ67" s="121"/>
      <c r="GK67" s="154">
        <f>SUM(GK64:GK66)</f>
        <v>242599.74</v>
      </c>
      <c r="GL67" s="154">
        <f>SUM(GL64:GL66)</f>
        <v>205593</v>
      </c>
      <c r="GM67" s="152"/>
      <c r="GN67" s="77"/>
      <c r="GO67" s="78">
        <f>SUM(GO64:GO66)</f>
        <v>968400</v>
      </c>
      <c r="GP67" s="78">
        <f>SUM(GP64:GP66)</f>
        <v>1142712</v>
      </c>
      <c r="GQ67" s="121"/>
      <c r="GR67" s="154">
        <f>SUM(GR64:GR66)</f>
        <v>44658.28</v>
      </c>
      <c r="GS67" s="154">
        <f>SUM(GS64:GS66)</f>
        <v>37846</v>
      </c>
      <c r="GT67" s="152"/>
      <c r="GU67" s="99"/>
      <c r="GV67" s="100">
        <f>SUM(GV64:GV66)</f>
        <v>538000</v>
      </c>
      <c r="GW67" s="100">
        <f>SUM(GW64:GW66)</f>
        <v>634840</v>
      </c>
      <c r="GX67" s="122"/>
      <c r="GY67" s="154">
        <f>SUM(GY64:GY66)</f>
        <v>129190.38</v>
      </c>
      <c r="GZ67" s="154">
        <f>SUM(GZ64:GZ66)</f>
        <v>109483.37288135594</v>
      </c>
      <c r="HA67" s="152"/>
      <c r="HB67" s="77"/>
      <c r="HC67" s="78">
        <f>SUM(HC64:HC66)</f>
        <v>1380507.9999999998</v>
      </c>
      <c r="HD67" s="78">
        <f>SUM(HD64:HD66)</f>
        <v>1628999.4399999997</v>
      </c>
      <c r="HE67" s="121"/>
      <c r="HF67" s="154">
        <f>SUM(HF64:HF66)</f>
        <v>0</v>
      </c>
      <c r="HG67" s="154">
        <f>SUM(HG64:HG66)</f>
        <v>0</v>
      </c>
      <c r="HH67" s="152"/>
      <c r="HI67" s="213"/>
      <c r="HJ67" s="214">
        <f>SUM(HJ64:HJ66)</f>
        <v>0</v>
      </c>
      <c r="HK67" s="214">
        <f>SUM(HK64:HK66)</f>
        <v>0</v>
      </c>
      <c r="HL67" s="121"/>
      <c r="HM67" s="154">
        <f>SUM(HM64:HM66)</f>
        <v>242599.74</v>
      </c>
      <c r="HN67" s="154">
        <f>SUM(HN64:HN66)</f>
        <v>205593</v>
      </c>
      <c r="HO67" s="152"/>
      <c r="HP67" s="77"/>
      <c r="HQ67" s="78">
        <f>SUM(HQ64:HQ66)</f>
        <v>968400</v>
      </c>
      <c r="HR67" s="78">
        <f>SUM(HR64:HR66)</f>
        <v>1142712</v>
      </c>
      <c r="HS67" s="121"/>
      <c r="HT67" s="154">
        <f>SUM(HT64:HT66)</f>
        <v>1770000</v>
      </c>
      <c r="HU67" s="154">
        <f>SUM(HU64:HU66)</f>
        <v>1500000</v>
      </c>
      <c r="HV67" s="152"/>
      <c r="HW67" s="99"/>
      <c r="HX67" s="100">
        <f>SUM(HX64:HX66)</f>
        <v>1918077.5999999999</v>
      </c>
      <c r="HY67" s="100">
        <f>SUM(HY64:HY66)</f>
        <v>2263331.5679999995</v>
      </c>
      <c r="HZ67" s="122"/>
      <c r="IA67" s="36"/>
    </row>
    <row r="68" spans="1:235" ht="15.75" thickBot="1">
      <c r="A68" s="43"/>
      <c r="B68" s="44"/>
      <c r="C68" s="125"/>
      <c r="D68" s="156"/>
      <c r="E68" s="156"/>
      <c r="F68" s="156"/>
      <c r="G68" s="80"/>
      <c r="H68" s="80"/>
      <c r="I68" s="80"/>
      <c r="J68" s="125"/>
      <c r="K68" s="156"/>
      <c r="L68" s="156"/>
      <c r="M68" s="156"/>
      <c r="N68" s="102"/>
      <c r="O68" s="102"/>
      <c r="P68" s="102"/>
      <c r="Q68" s="125"/>
      <c r="R68" s="45"/>
      <c r="S68" s="45"/>
      <c r="T68" s="45"/>
      <c r="U68" s="80"/>
      <c r="V68" s="80"/>
      <c r="W68" s="80"/>
      <c r="X68" s="125"/>
      <c r="Y68" s="45"/>
      <c r="Z68" s="45"/>
      <c r="AA68" s="45"/>
      <c r="AB68" s="102"/>
      <c r="AC68" s="102"/>
      <c r="AD68" s="102"/>
      <c r="AE68" s="125"/>
      <c r="AF68" s="45"/>
      <c r="AG68" s="45"/>
      <c r="AH68" s="45"/>
      <c r="AI68" s="80"/>
      <c r="AJ68" s="80"/>
      <c r="AK68" s="80"/>
      <c r="AL68" s="125"/>
      <c r="AM68" s="45"/>
      <c r="AN68" s="45"/>
      <c r="AO68" s="45"/>
      <c r="AP68" s="102"/>
      <c r="AQ68" s="102"/>
      <c r="AR68" s="102"/>
      <c r="AS68" s="125"/>
      <c r="AT68" s="156"/>
      <c r="AU68" s="156"/>
      <c r="AV68" s="156"/>
      <c r="AW68" s="217"/>
      <c r="AX68" s="217"/>
      <c r="AY68" s="217"/>
      <c r="AZ68" s="125"/>
      <c r="BA68" s="156"/>
      <c r="BB68" s="156"/>
      <c r="BC68" s="156"/>
      <c r="BD68" s="80"/>
      <c r="BE68" s="80"/>
      <c r="BF68" s="80"/>
      <c r="BG68" s="125"/>
      <c r="BH68" s="156"/>
      <c r="BI68" s="156"/>
      <c r="BJ68" s="156"/>
      <c r="BK68" s="217"/>
      <c r="BL68" s="217"/>
      <c r="BM68" s="217"/>
      <c r="BN68" s="125"/>
      <c r="BO68" s="156"/>
      <c r="BP68" s="156"/>
      <c r="BQ68" s="156"/>
      <c r="BR68" s="102"/>
      <c r="BS68" s="102"/>
      <c r="BT68" s="102"/>
      <c r="BU68" s="125"/>
      <c r="BV68" s="156"/>
      <c r="BW68" s="156"/>
      <c r="BX68" s="156"/>
      <c r="BY68" s="80"/>
      <c r="BZ68" s="80"/>
      <c r="CA68" s="80"/>
      <c r="CB68" s="125"/>
      <c r="CC68" s="156"/>
      <c r="CD68" s="156"/>
      <c r="CE68" s="156"/>
      <c r="CF68" s="102"/>
      <c r="CG68" s="102"/>
      <c r="CH68" s="102"/>
      <c r="CI68" s="125"/>
      <c r="CJ68" s="156"/>
      <c r="CK68" s="156"/>
      <c r="CL68" s="156"/>
      <c r="CM68" s="217"/>
      <c r="CN68" s="217"/>
      <c r="CO68" s="217"/>
      <c r="CP68" s="125"/>
      <c r="CQ68" s="156"/>
      <c r="CR68" s="156"/>
      <c r="CS68" s="156"/>
      <c r="CT68" s="80"/>
      <c r="CU68" s="80"/>
      <c r="CV68" s="80"/>
      <c r="CW68" s="125"/>
      <c r="CX68" s="156"/>
      <c r="CY68" s="156"/>
      <c r="CZ68" s="156"/>
      <c r="DA68" s="102"/>
      <c r="DB68" s="102"/>
      <c r="DC68" s="102"/>
      <c r="DD68" s="202"/>
      <c r="DE68" s="156"/>
      <c r="DF68" s="156"/>
      <c r="DG68" s="156"/>
      <c r="DH68" s="80"/>
      <c r="DI68" s="80"/>
      <c r="DJ68" s="80"/>
      <c r="DK68" s="125"/>
      <c r="DL68" s="156"/>
      <c r="DM68" s="156"/>
      <c r="DN68" s="156"/>
      <c r="DO68" s="102"/>
      <c r="DP68" s="102"/>
      <c r="DQ68" s="102"/>
      <c r="DR68" s="125"/>
      <c r="DS68" s="156"/>
      <c r="DT68" s="156"/>
      <c r="DU68" s="156"/>
      <c r="DV68" s="217"/>
      <c r="DW68" s="217"/>
      <c r="DX68" s="217"/>
      <c r="DY68" s="125"/>
      <c r="DZ68" s="156"/>
      <c r="EA68" s="156"/>
      <c r="EB68" s="156"/>
      <c r="EC68" s="80"/>
      <c r="ED68" s="80"/>
      <c r="EE68" s="80"/>
      <c r="EF68" s="125"/>
      <c r="EG68" s="156"/>
      <c r="EH68" s="156"/>
      <c r="EI68" s="156"/>
      <c r="EJ68" s="102"/>
      <c r="EK68" s="102"/>
      <c r="EL68" s="102"/>
      <c r="EM68" s="202"/>
      <c r="EN68" s="156"/>
      <c r="EO68" s="156"/>
      <c r="EP68" s="156"/>
      <c r="EQ68" s="80"/>
      <c r="ER68" s="80"/>
      <c r="ES68" s="80"/>
      <c r="ET68" s="125"/>
      <c r="EU68" s="156"/>
      <c r="EV68" s="156"/>
      <c r="EW68" s="156"/>
      <c r="EX68" s="102"/>
      <c r="EY68" s="102"/>
      <c r="EZ68" s="102"/>
      <c r="FA68" s="125"/>
      <c r="FB68" s="156"/>
      <c r="FC68" s="156"/>
      <c r="FD68" s="156"/>
      <c r="FE68" s="80"/>
      <c r="FF68" s="80"/>
      <c r="FG68" s="80"/>
      <c r="FH68" s="125"/>
      <c r="FI68" s="156"/>
      <c r="FJ68" s="156"/>
      <c r="FK68" s="156"/>
      <c r="FL68" s="102"/>
      <c r="FM68" s="102"/>
      <c r="FN68" s="102"/>
      <c r="FO68" s="125"/>
      <c r="FP68" s="156"/>
      <c r="FQ68" s="156"/>
      <c r="FR68" s="156"/>
      <c r="FS68" s="80"/>
      <c r="FT68" s="80"/>
      <c r="FU68" s="80"/>
      <c r="FV68" s="125"/>
      <c r="FW68" s="156"/>
      <c r="FX68" s="156"/>
      <c r="FY68" s="156"/>
      <c r="FZ68" s="102"/>
      <c r="GA68" s="102"/>
      <c r="GB68" s="102"/>
      <c r="GC68" s="125"/>
      <c r="GD68" s="156"/>
      <c r="GE68" s="156"/>
      <c r="GF68" s="156"/>
      <c r="GG68" s="80"/>
      <c r="GH68" s="80"/>
      <c r="GI68" s="80"/>
      <c r="GJ68" s="125"/>
      <c r="GK68" s="156"/>
      <c r="GL68" s="156"/>
      <c r="GM68" s="156"/>
      <c r="GN68" s="80"/>
      <c r="GO68" s="80"/>
      <c r="GP68" s="80"/>
      <c r="GQ68" s="125"/>
      <c r="GR68" s="156"/>
      <c r="GS68" s="156"/>
      <c r="GT68" s="156"/>
      <c r="GU68" s="102"/>
      <c r="GV68" s="102"/>
      <c r="GW68" s="102"/>
      <c r="GX68" s="202"/>
      <c r="GY68" s="156"/>
      <c r="GZ68" s="156"/>
      <c r="HA68" s="156"/>
      <c r="HB68" s="80"/>
      <c r="HC68" s="80"/>
      <c r="HD68" s="80"/>
      <c r="HE68" s="125"/>
      <c r="HF68" s="156"/>
      <c r="HG68" s="156"/>
      <c r="HH68" s="156"/>
      <c r="HI68" s="217"/>
      <c r="HJ68" s="217"/>
      <c r="HK68" s="217"/>
      <c r="HL68" s="125"/>
      <c r="HM68" s="156"/>
      <c r="HN68" s="156"/>
      <c r="HO68" s="156"/>
      <c r="HP68" s="80"/>
      <c r="HQ68" s="80"/>
      <c r="HR68" s="80"/>
      <c r="HS68" s="125"/>
      <c r="HT68" s="156"/>
      <c r="HU68" s="156"/>
      <c r="HV68" s="156"/>
      <c r="HW68" s="102"/>
      <c r="HX68" s="102"/>
      <c r="HY68" s="102"/>
      <c r="HZ68" s="202"/>
      <c r="IA68" s="46"/>
    </row>
    <row r="69" spans="1:235" ht="15">
      <c r="A69" s="47"/>
      <c r="B69" s="48"/>
      <c r="C69" s="126"/>
      <c r="D69" s="157"/>
      <c r="E69" s="157"/>
      <c r="F69" s="157"/>
      <c r="G69" s="81"/>
      <c r="H69" s="81"/>
      <c r="I69" s="81"/>
      <c r="J69" s="126"/>
      <c r="K69" s="157"/>
      <c r="L69" s="157"/>
      <c r="M69" s="157"/>
      <c r="N69" s="103"/>
      <c r="O69" s="103"/>
      <c r="P69" s="103"/>
      <c r="Q69" s="126"/>
      <c r="R69" s="49"/>
      <c r="S69" s="49"/>
      <c r="T69" s="49"/>
      <c r="U69" s="81"/>
      <c r="V69" s="81"/>
      <c r="W69" s="81"/>
      <c r="X69" s="126"/>
      <c r="Y69" s="49"/>
      <c r="Z69" s="49"/>
      <c r="AA69" s="49"/>
      <c r="AB69" s="103"/>
      <c r="AC69" s="103"/>
      <c r="AD69" s="103"/>
      <c r="AE69" s="126"/>
      <c r="AF69" s="49"/>
      <c r="AG69" s="49"/>
      <c r="AH69" s="49"/>
      <c r="AI69" s="81"/>
      <c r="AJ69" s="81"/>
      <c r="AK69" s="81"/>
      <c r="AL69" s="126"/>
      <c r="AM69" s="49"/>
      <c r="AN69" s="49"/>
      <c r="AO69" s="49"/>
      <c r="AP69" s="103"/>
      <c r="AQ69" s="103"/>
      <c r="AR69" s="103"/>
      <c r="AS69" s="126"/>
      <c r="AT69" s="157"/>
      <c r="AU69" s="157"/>
      <c r="AV69" s="157"/>
      <c r="AW69" s="218"/>
      <c r="AX69" s="218"/>
      <c r="AY69" s="218"/>
      <c r="AZ69" s="126"/>
      <c r="BA69" s="157"/>
      <c r="BB69" s="157"/>
      <c r="BC69" s="157"/>
      <c r="BD69" s="81"/>
      <c r="BE69" s="81"/>
      <c r="BF69" s="81"/>
      <c r="BG69" s="126"/>
      <c r="BH69" s="157"/>
      <c r="BI69" s="157"/>
      <c r="BJ69" s="157"/>
      <c r="BK69" s="218"/>
      <c r="BL69" s="218"/>
      <c r="BM69" s="218"/>
      <c r="BN69" s="126"/>
      <c r="BO69" s="157"/>
      <c r="BP69" s="157"/>
      <c r="BQ69" s="157"/>
      <c r="BR69" s="103"/>
      <c r="BS69" s="103"/>
      <c r="BT69" s="103"/>
      <c r="BU69" s="126"/>
      <c r="BV69" s="157"/>
      <c r="BW69" s="157"/>
      <c r="BX69" s="157"/>
      <c r="BY69" s="81"/>
      <c r="BZ69" s="81"/>
      <c r="CA69" s="81"/>
      <c r="CB69" s="126"/>
      <c r="CC69" s="157"/>
      <c r="CD69" s="157"/>
      <c r="CE69" s="157"/>
      <c r="CF69" s="103"/>
      <c r="CG69" s="103"/>
      <c r="CH69" s="103"/>
      <c r="CI69" s="126"/>
      <c r="CJ69" s="157"/>
      <c r="CK69" s="157"/>
      <c r="CL69" s="157"/>
      <c r="CM69" s="218"/>
      <c r="CN69" s="218"/>
      <c r="CO69" s="218"/>
      <c r="CP69" s="126"/>
      <c r="CQ69" s="157"/>
      <c r="CR69" s="157"/>
      <c r="CS69" s="157"/>
      <c r="CT69" s="81"/>
      <c r="CU69" s="81"/>
      <c r="CV69" s="81"/>
      <c r="CW69" s="126"/>
      <c r="CX69" s="157"/>
      <c r="CY69" s="157"/>
      <c r="CZ69" s="157"/>
      <c r="DA69" s="103"/>
      <c r="DB69" s="103"/>
      <c r="DC69" s="103"/>
      <c r="DD69" s="126"/>
      <c r="DE69" s="157"/>
      <c r="DF69" s="157"/>
      <c r="DG69" s="157"/>
      <c r="DH69" s="81"/>
      <c r="DI69" s="81"/>
      <c r="DJ69" s="81"/>
      <c r="DK69" s="126"/>
      <c r="DL69" s="157"/>
      <c r="DM69" s="157"/>
      <c r="DN69" s="157"/>
      <c r="DO69" s="103"/>
      <c r="DP69" s="103"/>
      <c r="DQ69" s="103"/>
      <c r="DR69" s="126"/>
      <c r="DS69" s="157"/>
      <c r="DT69" s="157"/>
      <c r="DU69" s="157"/>
      <c r="DV69" s="218"/>
      <c r="DW69" s="218"/>
      <c r="DX69" s="218"/>
      <c r="DY69" s="126"/>
      <c r="DZ69" s="157"/>
      <c r="EA69" s="157"/>
      <c r="EB69" s="157"/>
      <c r="EC69" s="81"/>
      <c r="ED69" s="81"/>
      <c r="EE69" s="81"/>
      <c r="EF69" s="126"/>
      <c r="EG69" s="157"/>
      <c r="EH69" s="157"/>
      <c r="EI69" s="157"/>
      <c r="EJ69" s="103"/>
      <c r="EK69" s="103"/>
      <c r="EL69" s="103"/>
      <c r="EM69" s="126"/>
      <c r="EN69" s="157"/>
      <c r="EO69" s="157"/>
      <c r="EP69" s="157"/>
      <c r="EQ69" s="81"/>
      <c r="ER69" s="81"/>
      <c r="ES69" s="81"/>
      <c r="ET69" s="126"/>
      <c r="EU69" s="157"/>
      <c r="EV69" s="157"/>
      <c r="EW69" s="157"/>
      <c r="EX69" s="103"/>
      <c r="EY69" s="103"/>
      <c r="EZ69" s="103"/>
      <c r="FA69" s="126"/>
      <c r="FB69" s="157"/>
      <c r="FC69" s="157"/>
      <c r="FD69" s="157"/>
      <c r="FE69" s="81"/>
      <c r="FF69" s="81"/>
      <c r="FG69" s="81"/>
      <c r="FH69" s="126"/>
      <c r="FI69" s="157"/>
      <c r="FJ69" s="157"/>
      <c r="FK69" s="157"/>
      <c r="FL69" s="103"/>
      <c r="FM69" s="103"/>
      <c r="FN69" s="103"/>
      <c r="FO69" s="126"/>
      <c r="FP69" s="157"/>
      <c r="FQ69" s="157"/>
      <c r="FR69" s="157"/>
      <c r="FS69" s="81"/>
      <c r="FT69" s="81"/>
      <c r="FU69" s="81"/>
      <c r="FV69" s="126"/>
      <c r="FW69" s="157"/>
      <c r="FX69" s="157"/>
      <c r="FY69" s="157"/>
      <c r="FZ69" s="103"/>
      <c r="GA69" s="103"/>
      <c r="GB69" s="103"/>
      <c r="GC69" s="126"/>
      <c r="GD69" s="157"/>
      <c r="GE69" s="157"/>
      <c r="GF69" s="157"/>
      <c r="GG69" s="81"/>
      <c r="GH69" s="81"/>
      <c r="GI69" s="81"/>
      <c r="GJ69" s="126"/>
      <c r="GK69" s="157"/>
      <c r="GL69" s="157"/>
      <c r="GM69" s="157"/>
      <c r="GN69" s="81"/>
      <c r="GO69" s="81"/>
      <c r="GP69" s="81"/>
      <c r="GQ69" s="126"/>
      <c r="GR69" s="157"/>
      <c r="GS69" s="157"/>
      <c r="GT69" s="157"/>
      <c r="GU69" s="103"/>
      <c r="GV69" s="103"/>
      <c r="GW69" s="103"/>
      <c r="GX69" s="126"/>
      <c r="GY69" s="157"/>
      <c r="GZ69" s="157"/>
      <c r="HA69" s="157"/>
      <c r="HB69" s="81"/>
      <c r="HC69" s="81"/>
      <c r="HD69" s="81"/>
      <c r="HE69" s="126"/>
      <c r="HF69" s="157"/>
      <c r="HG69" s="157"/>
      <c r="HH69" s="157"/>
      <c r="HI69" s="218"/>
      <c r="HJ69" s="218"/>
      <c r="HK69" s="218"/>
      <c r="HL69" s="126"/>
      <c r="HM69" s="157"/>
      <c r="HN69" s="157"/>
      <c r="HO69" s="157"/>
      <c r="HP69" s="81"/>
      <c r="HQ69" s="81"/>
      <c r="HR69" s="81"/>
      <c r="HS69" s="126"/>
      <c r="HT69" s="157"/>
      <c r="HU69" s="157"/>
      <c r="HV69" s="157"/>
      <c r="HW69" s="103"/>
      <c r="HX69" s="103"/>
      <c r="HY69" s="103"/>
      <c r="HZ69" s="126"/>
      <c r="IA69" s="50"/>
    </row>
    <row r="70" spans="1:235" ht="15">
      <c r="A70" s="51"/>
      <c r="B70" s="52" t="s">
        <v>61</v>
      </c>
      <c r="C70" s="127"/>
      <c r="D70" s="158">
        <f>D18+D27+D43+D54+D61+D67</f>
        <v>3823148.96953288</v>
      </c>
      <c r="E70" s="158">
        <f>E18+E27+E43+E54+E61+E67</f>
        <v>3239956.7538414239</v>
      </c>
      <c r="F70" s="158"/>
      <c r="G70" s="53"/>
      <c r="H70" s="53">
        <f>H18+H27+H43+H54+H61+H67</f>
        <v>6805484.7999999998</v>
      </c>
      <c r="I70" s="53">
        <f>I18+I27+I43+I54+I61+I67</f>
        <v>8030472.0639999993</v>
      </c>
      <c r="J70" s="127"/>
      <c r="K70" s="158">
        <f>K18+K27+K43+K54+K61+K67</f>
        <v>3823148.96953288</v>
      </c>
      <c r="L70" s="158">
        <f>L18+L27+L43+L54+L61+L67</f>
        <v>3239956.7538414239</v>
      </c>
      <c r="M70" s="158"/>
      <c r="N70" s="53"/>
      <c r="O70" s="53">
        <f>O18+O27+O43+O54+O61+O67</f>
        <v>3489726.24</v>
      </c>
      <c r="P70" s="53">
        <f>P18+P27+P43+P54+P61+P67</f>
        <v>4117876.9632000001</v>
      </c>
      <c r="Q70" s="127"/>
      <c r="R70" s="53">
        <f>R18+R27+R43+R54+R61+R67</f>
        <v>73469.16</v>
      </c>
      <c r="S70" s="53">
        <f>S18+S27+S43+S54+S61+S67</f>
        <v>62262</v>
      </c>
      <c r="T70" s="53"/>
      <c r="U70" s="53"/>
      <c r="V70" s="53">
        <f>V18+V27+V43+V54+V61+V67</f>
        <v>796240</v>
      </c>
      <c r="W70" s="53">
        <f>W18+W27+W43+W54+W61+W67</f>
        <v>939563.2</v>
      </c>
      <c r="X70" s="127"/>
      <c r="Y70" s="53">
        <f>Y18+Y27+Y43+Y54+Y61+Y67</f>
        <v>1352015</v>
      </c>
      <c r="Z70" s="53">
        <f>Z18+Z27+Z43+Z54+Z61+Z67</f>
        <v>1145775.4237288137</v>
      </c>
      <c r="AA70" s="53"/>
      <c r="AB70" s="53"/>
      <c r="AC70" s="53">
        <f>AC18+AC27+AC43+AC54+AC61+AC67</f>
        <v>4845486.24</v>
      </c>
      <c r="AD70" s="53">
        <f>AD18+AD27+AD43+AD54+AD61+AD67</f>
        <v>5717673.7631999999</v>
      </c>
      <c r="AE70" s="127"/>
      <c r="AF70" s="53">
        <f>AF18+AF27+AF43+AF54+AF61+AF67</f>
        <v>14546763.058709042</v>
      </c>
      <c r="AG70" s="53">
        <f>AG18+AG27+AG43+AG54+AG61+AG67</f>
        <v>12327765.303990716</v>
      </c>
      <c r="AH70" s="53"/>
      <c r="AI70" s="53"/>
      <c r="AJ70" s="53">
        <f>AJ18+AJ27+AJ43+AJ54+AJ61+AJ67</f>
        <v>39342863.999999993</v>
      </c>
      <c r="AK70" s="53">
        <f>AK18+AK27+AK43+AK54+AK61+AK67</f>
        <v>46424579.519999996</v>
      </c>
      <c r="AL70" s="127"/>
      <c r="AM70" s="53">
        <f>AM18+AM27+AM43+AM54+AM61+AM67</f>
        <v>2161062.5</v>
      </c>
      <c r="AN70" s="53">
        <f>AN18+AN27+AN43+AN54+AN61+AN67</f>
        <v>1831408.8983050848</v>
      </c>
      <c r="AO70" s="53"/>
      <c r="AP70" s="53"/>
      <c r="AQ70" s="53">
        <f>AQ18+AQ27+AQ43+AQ54+AQ61+AQ67</f>
        <v>10788750.720000001</v>
      </c>
      <c r="AR70" s="53">
        <f>AR18+AR27+AR43+AR54+AR61+AR67</f>
        <v>12730725.849599998</v>
      </c>
      <c r="AS70" s="127"/>
      <c r="AT70" s="158">
        <f>AT18+AT27+AT43+AT54+AT61+AT67</f>
        <v>8889212.5399999991</v>
      </c>
      <c r="AU70" s="158">
        <f>AU18+AU27+AU43+AU54+AU61+AU67</f>
        <v>7533230.9661016949</v>
      </c>
      <c r="AV70" s="158"/>
      <c r="AW70" s="158"/>
      <c r="AX70" s="158">
        <f>AX18+AX27+AX43+AX54+AX61+AX67</f>
        <v>3544064.24</v>
      </c>
      <c r="AY70" s="158">
        <f>AY18+AY27+AY43+AY54+AY61+AY67</f>
        <v>4181995.8032</v>
      </c>
      <c r="AZ70" s="127"/>
      <c r="BA70" s="158">
        <f>BA18+BA27+BA43+BA54+BA61+BA67</f>
        <v>30012692.300000001</v>
      </c>
      <c r="BB70" s="158">
        <f>BB18+BB27+BB43+BB54+BB61+BB67</f>
        <v>25434485</v>
      </c>
      <c r="BC70" s="158"/>
      <c r="BD70" s="53"/>
      <c r="BE70" s="53">
        <f>BE18+BE27+BE43+BE54+BE61+BE67</f>
        <v>15157396.800000001</v>
      </c>
      <c r="BF70" s="53">
        <f>BF18+BF27+BF43+BF54+BF61+BF67</f>
        <v>17885728.223999996</v>
      </c>
      <c r="BG70" s="127"/>
      <c r="BH70" s="158">
        <f>BH18+BH27+BH43+BH54+BH61+BH67</f>
        <v>8889212.5399999991</v>
      </c>
      <c r="BI70" s="158">
        <f>BI18+BI27+BI43+BI54+BI61+BI67</f>
        <v>7533230.9661016949</v>
      </c>
      <c r="BJ70" s="158"/>
      <c r="BK70" s="158"/>
      <c r="BL70" s="158">
        <f>BL18+BL27+BL43+BL54+BL61+BL67</f>
        <v>4015836.4400000004</v>
      </c>
      <c r="BM70" s="158">
        <f>BM18+BM27+BM43+BM54+BM61+BM67</f>
        <v>4738686.9992000004</v>
      </c>
      <c r="BN70" s="127"/>
      <c r="BO70" s="158">
        <f>BO18+BO27+BO43+BO54+BO61+BO67</f>
        <v>35652761.449999996</v>
      </c>
      <c r="BP70" s="158">
        <f>BP18+BP27+BP43+BP54+BP61+BP67</f>
        <v>30214204.618644066</v>
      </c>
      <c r="BQ70" s="158"/>
      <c r="BR70" s="53"/>
      <c r="BS70" s="53">
        <f>BS18+BS27+BS43+BS54+BS61+BS67</f>
        <v>38987784</v>
      </c>
      <c r="BT70" s="53">
        <f>BT18+BT27+BT43+BT54+BT61+BT67</f>
        <v>46005585.120000005</v>
      </c>
      <c r="BU70" s="127"/>
      <c r="BV70" s="158">
        <f>BV18+BV27+BV43+BV54+BV61+BV67</f>
        <v>3823148.96953288</v>
      </c>
      <c r="BW70" s="158">
        <f>BW18+BW27+BW43+BW54+BW61+BW67</f>
        <v>3239956.7538414239</v>
      </c>
      <c r="BX70" s="158"/>
      <c r="BY70" s="53"/>
      <c r="BZ70" s="53">
        <f>BZ18+BZ27+BZ43+BZ54+BZ61+BZ67</f>
        <v>5783500</v>
      </c>
      <c r="CA70" s="53">
        <f>CA18+CA27+CA43+CA54+CA61+CA67</f>
        <v>6824530</v>
      </c>
      <c r="CB70" s="127"/>
      <c r="CC70" s="158">
        <f>CC18+CC27+CC43+CC54+CC61+CC67</f>
        <v>30012692.300000001</v>
      </c>
      <c r="CD70" s="158">
        <f>CD18+CD27+CD43+CD54+CD61+CD67</f>
        <v>25434485</v>
      </c>
      <c r="CE70" s="158"/>
      <c r="CF70" s="53"/>
      <c r="CG70" s="53">
        <f>CG18+CG27+CG43+CG54+CG61+CG67</f>
        <v>11377086</v>
      </c>
      <c r="CH70" s="53">
        <f>CH18+CH27+CH43+CH54+CH61+CH67</f>
        <v>13424961.479999999</v>
      </c>
      <c r="CI70" s="127"/>
      <c r="CJ70" s="158">
        <f>CJ18+CJ27+CJ43+CJ54+CJ61+CJ67</f>
        <v>8889212.5399999991</v>
      </c>
      <c r="CK70" s="158">
        <f>CK18+CK27+CK43+CK54+CK61+CK67</f>
        <v>7533230.9661016949</v>
      </c>
      <c r="CL70" s="158"/>
      <c r="CM70" s="158"/>
      <c r="CN70" s="158">
        <f>CN18+CN27+CN43+CN54+CN61+CN67</f>
        <v>2370008.36</v>
      </c>
      <c r="CO70" s="158">
        <f>CO18+CO27+CO43+CO54+CO61+CO67</f>
        <v>2796609.8647999996</v>
      </c>
      <c r="CP70" s="127"/>
      <c r="CQ70" s="158">
        <f>CQ18+CQ27+CQ43+CQ54+CQ61+CQ67</f>
        <v>1352015</v>
      </c>
      <c r="CR70" s="158">
        <f>CR18+CR27+CR43+CR54+CR61+CR67</f>
        <v>1145775.4237288137</v>
      </c>
      <c r="CS70" s="158"/>
      <c r="CT70" s="158"/>
      <c r="CU70" s="158">
        <f>CU18+CU27+CU43+CU54+CU61+CU67</f>
        <v>7024827.4000000004</v>
      </c>
      <c r="CV70" s="158">
        <f>CV18+CV27+CV43+CV54+CV61+CV67</f>
        <v>8289296.3319999995</v>
      </c>
      <c r="CW70" s="127"/>
      <c r="CX70" s="158">
        <f>CX18+CX27+CX43+CX54+CX61+CX67</f>
        <v>3823148.96953288</v>
      </c>
      <c r="CY70" s="158">
        <f>CY18+CY27+CY43+CY54+CY61+CY67</f>
        <v>3239956.7538414239</v>
      </c>
      <c r="CZ70" s="158"/>
      <c r="DA70" s="158"/>
      <c r="DB70" s="158">
        <f>DB18+DB27+DB43+DB54+DB61+DB67</f>
        <v>8413383.8800000008</v>
      </c>
      <c r="DC70" s="158">
        <f>DC18+DC27+DC43+DC54+DC61+DC67</f>
        <v>9927792.9783999994</v>
      </c>
      <c r="DD70" s="203"/>
      <c r="DE70" s="158">
        <f>DE18+DE27+DE43+DE54+DE61+DE67</f>
        <v>14546763.058709042</v>
      </c>
      <c r="DF70" s="158">
        <f>DF18+DF27+DF43+DF54+DF61+DF67</f>
        <v>12327765.303990716</v>
      </c>
      <c r="DG70" s="158"/>
      <c r="DH70" s="158"/>
      <c r="DI70" s="158">
        <f>DI18+DI27+DI43+DI54+DI61+DI67</f>
        <v>14010999.499999998</v>
      </c>
      <c r="DJ70" s="158">
        <f>DJ18+DJ27+DJ43+DJ54+DJ61+DJ67</f>
        <v>16532979.409999996</v>
      </c>
      <c r="DK70" s="127"/>
      <c r="DL70" s="158">
        <f>DL18+DL27+DL43+DL54+DL61+DL67</f>
        <v>30012692.300000001</v>
      </c>
      <c r="DM70" s="158">
        <f>DM18+DM27+DM43+DM54+DM61+DM67</f>
        <v>25434485</v>
      </c>
      <c r="DN70" s="158"/>
      <c r="DO70" s="158"/>
      <c r="DP70" s="158">
        <f>DP18+DP27+DP43+DP54+DP61+DP67</f>
        <v>11644859.359999999</v>
      </c>
      <c r="DQ70" s="158">
        <f>DQ18+DQ27+DQ43+DQ54+DQ61+DQ67</f>
        <v>13740934.044799995</v>
      </c>
      <c r="DR70" s="127"/>
      <c r="DS70" s="158">
        <f>DS18+DS27+DS43+DS54+DS61+DS67</f>
        <v>8889212.5399999991</v>
      </c>
      <c r="DT70" s="158">
        <f>DT18+DT27+DT43+DT54+DT61+DT67</f>
        <v>7533230.9661016949</v>
      </c>
      <c r="DU70" s="158"/>
      <c r="DV70" s="158"/>
      <c r="DW70" s="158">
        <f>DW18+DW27+DW43+DW54+DW61+DW67</f>
        <v>2866560.8400000003</v>
      </c>
      <c r="DX70" s="158">
        <f>DX18+DX27+DX43+DX54+DX61+DX67</f>
        <v>3382541.7912000008</v>
      </c>
      <c r="DY70" s="127"/>
      <c r="DZ70" s="158">
        <f>DZ18+DZ27+DZ43+DZ54+DZ61+DZ67</f>
        <v>2161062.5</v>
      </c>
      <c r="EA70" s="158">
        <f>EA18+EA27+EA43+EA54+EA61+EA67</f>
        <v>1831408.8983050848</v>
      </c>
      <c r="EB70" s="158"/>
      <c r="EC70" s="158"/>
      <c r="ED70" s="158">
        <f>ED18+ED27+ED43+ED54+ED61+ED67</f>
        <v>10975200</v>
      </c>
      <c r="EE70" s="158">
        <f>EE18+EE27+EE43+EE54+EE61+EE67</f>
        <v>12950736</v>
      </c>
      <c r="EF70" s="127"/>
      <c r="EG70" s="158">
        <f>EG18+EG27+EG43+EG54+EG61+EG67</f>
        <v>1504266</v>
      </c>
      <c r="EH70" s="158">
        <f>EH18+EH27+EH43+EH54+EH61+EH67</f>
        <v>1274801.6949152544</v>
      </c>
      <c r="EI70" s="158"/>
      <c r="EJ70" s="158"/>
      <c r="EK70" s="158">
        <f>EK18+EK27+EK43+EK54+EK61+EK67</f>
        <v>22127843.16</v>
      </c>
      <c r="EL70" s="158">
        <f>EL18+EL27+EL43+EL54+EL61+EL67</f>
        <v>26110854.928799994</v>
      </c>
      <c r="EM70" s="203"/>
      <c r="EN70" s="158">
        <f>EN18+EN27+EN43+EN54+EN61+EN67</f>
        <v>35652761.449999996</v>
      </c>
      <c r="EO70" s="158">
        <f>EO18+EO27+EO43+EO54+EO61+EO67</f>
        <v>30214204.618644066</v>
      </c>
      <c r="EP70" s="158"/>
      <c r="EQ70" s="158"/>
      <c r="ER70" s="158">
        <f>ER18+ER27+ER43+ER54+ER61+ER67</f>
        <v>56465370.359999992</v>
      </c>
      <c r="ES70" s="158">
        <f>ES18+ES27+ES43+ES54+ES61+ES67</f>
        <v>66629137.024799988</v>
      </c>
      <c r="ET70" s="127"/>
      <c r="EU70" s="158">
        <f>EU18+EU27+EU43+EU54+EU61+EU67</f>
        <v>15126972.372000001</v>
      </c>
      <c r="EV70" s="158">
        <f>EV18+EV27+EV43+EV54+EV61+EV67</f>
        <v>12819468.111864407</v>
      </c>
      <c r="EW70" s="158"/>
      <c r="EX70" s="158"/>
      <c r="EY70" s="158">
        <f>EY18+EY27+EY43+EY54+EY61+EY67</f>
        <v>20336400</v>
      </c>
      <c r="EZ70" s="158">
        <f>EZ18+EZ27+EZ43+EZ54+EZ61+EZ67</f>
        <v>23996952</v>
      </c>
      <c r="FA70" s="127"/>
      <c r="FB70" s="158">
        <f>FB18+FB27+FB43+FB54+FB61+FB67</f>
        <v>1504266</v>
      </c>
      <c r="FC70" s="158">
        <f>FC18+FC27+FC43+FC54+FC61+FC67</f>
        <v>1274801.6949152544</v>
      </c>
      <c r="FD70" s="158"/>
      <c r="FE70" s="158"/>
      <c r="FF70" s="158">
        <f>FF18+FF27+FF43+FF54+FF61+FF67</f>
        <v>25750148.740000002</v>
      </c>
      <c r="FG70" s="158">
        <f>FG18+FG27+FG43+FG54+FG61+FG67</f>
        <v>30385175.513199996</v>
      </c>
      <c r="FH70" s="127"/>
      <c r="FI70" s="158">
        <f>FI18+FI27+FI43+FI54+FI61+FI67</f>
        <v>1352015</v>
      </c>
      <c r="FJ70" s="158">
        <f>FJ18+FJ27+FJ43+FJ54+FJ61+FJ67</f>
        <v>1145775.4237288137</v>
      </c>
      <c r="FK70" s="158"/>
      <c r="FL70" s="158"/>
      <c r="FM70" s="158">
        <f>FM18+FM27+FM43+FM54+FM61+FM67</f>
        <v>4500370</v>
      </c>
      <c r="FN70" s="158">
        <f>FN18+FN27+FN43+FN54+FN61+FN67</f>
        <v>5310436.5999999996</v>
      </c>
      <c r="FO70" s="127"/>
      <c r="FP70" s="158">
        <f>FP18+FP27+FP43+FP54+FP61+FP67</f>
        <v>0</v>
      </c>
      <c r="FQ70" s="158">
        <f>FQ18+FQ27+FQ43+FQ54+FQ61+FQ67</f>
        <v>0</v>
      </c>
      <c r="FR70" s="158"/>
      <c r="FS70" s="158"/>
      <c r="FT70" s="158">
        <f>FT18+FT27+FT43+FT54+FT61+FT67</f>
        <v>0</v>
      </c>
      <c r="FU70" s="158">
        <f>FU18+FU27+FU43+FU54+FU61+FU67</f>
        <v>0</v>
      </c>
      <c r="FV70" s="127"/>
      <c r="FW70" s="158">
        <f>FW18+FW27+FW43+FW54+FW61+FW67</f>
        <v>0</v>
      </c>
      <c r="FX70" s="158">
        <f>FX18+FX27+FX43+FX54+FX61+FX67</f>
        <v>0</v>
      </c>
      <c r="FY70" s="158"/>
      <c r="FZ70" s="158"/>
      <c r="GA70" s="158">
        <f>GA18+GA27+GA43+GA54+GA61+GA67</f>
        <v>0</v>
      </c>
      <c r="GB70" s="158">
        <f>GB18+GB27+GB43+GB54+GB61+GB67</f>
        <v>0</v>
      </c>
      <c r="GC70" s="127"/>
      <c r="GD70" s="158">
        <f>GD18+GD27+GD43+GD54+GD61+GD67</f>
        <v>0</v>
      </c>
      <c r="GE70" s="158">
        <f>GE18+GE27+GE43+GE54+GE61+GE67</f>
        <v>0</v>
      </c>
      <c r="GF70" s="158"/>
      <c r="GG70" s="158"/>
      <c r="GH70" s="158">
        <f>GH18+GH27+GH43+GH54+GH61+GH67</f>
        <v>0</v>
      </c>
      <c r="GI70" s="158">
        <f>GI18+GI27+GI43+GI54+GI61+GI67</f>
        <v>0</v>
      </c>
      <c r="GJ70" s="127"/>
      <c r="GK70" s="158">
        <f>GK18+GK27+GK43+GK54+GK61+GK67</f>
        <v>1171656.54</v>
      </c>
      <c r="GL70" s="158">
        <f>GL18+GL27+GL43+GL54+GL61+GL67</f>
        <v>992929.27118644072</v>
      </c>
      <c r="GM70" s="158"/>
      <c r="GN70" s="158"/>
      <c r="GO70" s="158">
        <f>GO18+GO27+GO43+GO54+GO61+GO67</f>
        <v>3938160</v>
      </c>
      <c r="GP70" s="158">
        <f>GP18+GP27+GP43+GP54+GP61+GP67</f>
        <v>4647028.8</v>
      </c>
      <c r="GQ70" s="127"/>
      <c r="GR70" s="158">
        <f>GR18+GR27+GR43+GR54+GR61+GR67</f>
        <v>73469.16</v>
      </c>
      <c r="GS70" s="158">
        <f>GS18+GS27+GS43+GS54+GS61+GS67</f>
        <v>62262</v>
      </c>
      <c r="GT70" s="158"/>
      <c r="GU70" s="158"/>
      <c r="GV70" s="158">
        <f>GV18+GV27+GV43+GV54+GV61+GV67</f>
        <v>796240</v>
      </c>
      <c r="GW70" s="158">
        <f>GW18+GW27+GW43+GW54+GW61+GW67</f>
        <v>939563.2</v>
      </c>
      <c r="GX70" s="203"/>
      <c r="GY70" s="158">
        <f>GY18+GY27+GY43+GY54+GY61+GY67</f>
        <v>859672.42</v>
      </c>
      <c r="GZ70" s="158">
        <f>GZ18+GZ27+GZ43+GZ54+GZ61+GZ67</f>
        <v>728535.94915254239</v>
      </c>
      <c r="HA70" s="158"/>
      <c r="HB70" s="158"/>
      <c r="HC70" s="158">
        <f>HC18+HC27+HC43+HC54+HC61+HC67</f>
        <v>6460777.4399999995</v>
      </c>
      <c r="HD70" s="158">
        <f>HD18+HD27+HD43+HD54+HD61+HD67</f>
        <v>7623717.3791999994</v>
      </c>
      <c r="HE70" s="127"/>
      <c r="HF70" s="158">
        <f>HF18+HF27+HF43+HF54+HF61+HF67</f>
        <v>8889212.5399999991</v>
      </c>
      <c r="HG70" s="158">
        <f>HG18+HG27+HG43+HG54+HG61+HG67</f>
        <v>7533230.9661016949</v>
      </c>
      <c r="HH70" s="158"/>
      <c r="HI70" s="158"/>
      <c r="HJ70" s="158">
        <f>HJ18+HJ27+HJ43+HJ54+HJ61+HJ67</f>
        <v>3837607.8</v>
      </c>
      <c r="HK70" s="158">
        <f>HK18+HK27+HK43+HK54+HK61+HK67</f>
        <v>4528377.2039999999</v>
      </c>
      <c r="HL70" s="127"/>
      <c r="HM70" s="158">
        <f>HM18+HM27+HM43+HM54+HM61+HM67</f>
        <v>1171656.54</v>
      </c>
      <c r="HN70" s="158">
        <f>HN18+HN27+HN43+HN54+HN61+HN67</f>
        <v>992929.27118644072</v>
      </c>
      <c r="HO70" s="158"/>
      <c r="HP70" s="158"/>
      <c r="HQ70" s="158">
        <f>HQ18+HQ27+HQ43+HQ54+HQ61+HQ67</f>
        <v>3728340</v>
      </c>
      <c r="HR70" s="158">
        <f>HR18+HR27+HR43+HR54+HR61+HR67</f>
        <v>4399441.2</v>
      </c>
      <c r="HS70" s="127"/>
      <c r="HT70" s="158">
        <f>HT18+HT27+HT43+HT54+HT61+HT67</f>
        <v>30012692.300000001</v>
      </c>
      <c r="HU70" s="158">
        <f>HU18+HU27+HU43+HU54+HU61+HU67</f>
        <v>25434485</v>
      </c>
      <c r="HV70" s="158"/>
      <c r="HW70" s="158"/>
      <c r="HX70" s="158">
        <f>HX18+HX27+HX43+HX54+HX61+HX67</f>
        <v>8119861.8399999989</v>
      </c>
      <c r="HY70" s="158">
        <f>HY18+HY27+HY43+HY54+HY61+HY67</f>
        <v>9581436.9711999986</v>
      </c>
      <c r="HZ70" s="203"/>
      <c r="IA70" s="54"/>
    </row>
    <row r="71" spans="1:235" ht="14.25" thickBot="1">
      <c r="A71" s="55"/>
      <c r="B71" s="56"/>
      <c r="C71" s="128"/>
      <c r="D71" s="57"/>
      <c r="E71" s="57"/>
      <c r="F71" s="57"/>
      <c r="G71" s="82"/>
      <c r="H71" s="82"/>
      <c r="I71" s="82"/>
      <c r="J71" s="128"/>
      <c r="K71" s="57"/>
      <c r="L71" s="57"/>
      <c r="M71" s="57"/>
      <c r="N71" s="104"/>
      <c r="O71" s="104"/>
      <c r="P71" s="104"/>
      <c r="Q71" s="128"/>
      <c r="R71" s="57"/>
      <c r="S71" s="57"/>
      <c r="T71" s="57"/>
      <c r="U71" s="82"/>
      <c r="V71" s="82"/>
      <c r="W71" s="82"/>
      <c r="X71" s="128"/>
      <c r="Y71" s="57"/>
      <c r="Z71" s="57"/>
      <c r="AA71" s="57"/>
      <c r="AB71" s="104"/>
      <c r="AC71" s="104"/>
      <c r="AD71" s="104"/>
      <c r="AE71" s="128"/>
      <c r="AF71" s="57"/>
      <c r="AG71" s="57"/>
      <c r="AH71" s="57"/>
      <c r="AI71" s="82"/>
      <c r="AJ71" s="82"/>
      <c r="AK71" s="82"/>
      <c r="AL71" s="128"/>
      <c r="AM71" s="57"/>
      <c r="AN71" s="57"/>
      <c r="AO71" s="57"/>
      <c r="AP71" s="104"/>
      <c r="AQ71" s="104"/>
      <c r="AR71" s="104"/>
      <c r="AS71" s="128"/>
      <c r="AT71" s="57"/>
      <c r="AU71" s="57"/>
      <c r="AV71" s="57"/>
      <c r="AW71" s="219"/>
      <c r="AX71" s="219"/>
      <c r="AY71" s="219"/>
      <c r="AZ71" s="128"/>
      <c r="BA71" s="57"/>
      <c r="BB71" s="57"/>
      <c r="BC71" s="57"/>
      <c r="BD71" s="82"/>
      <c r="BE71" s="82"/>
      <c r="BF71" s="82"/>
      <c r="BG71" s="128"/>
      <c r="BH71" s="57"/>
      <c r="BI71" s="57"/>
      <c r="BJ71" s="57"/>
      <c r="BK71" s="219"/>
      <c r="BL71" s="219"/>
      <c r="BM71" s="219"/>
      <c r="BN71" s="128"/>
      <c r="BO71" s="57"/>
      <c r="BP71" s="57"/>
      <c r="BQ71" s="57"/>
      <c r="BR71" s="104"/>
      <c r="BS71" s="104"/>
      <c r="BT71" s="104"/>
      <c r="BU71" s="128"/>
      <c r="BV71" s="57"/>
      <c r="BW71" s="57"/>
      <c r="BX71" s="57"/>
      <c r="BY71" s="82"/>
      <c r="BZ71" s="82"/>
      <c r="CA71" s="82"/>
      <c r="CB71" s="128"/>
      <c r="CC71" s="57"/>
      <c r="CD71" s="57"/>
      <c r="CE71" s="57"/>
      <c r="CF71" s="104"/>
      <c r="CG71" s="104"/>
      <c r="CH71" s="104"/>
      <c r="CI71" s="128"/>
      <c r="CJ71" s="57"/>
      <c r="CK71" s="57"/>
      <c r="CL71" s="57"/>
      <c r="CM71" s="219"/>
      <c r="CN71" s="219"/>
      <c r="CO71" s="219"/>
      <c r="CP71" s="128"/>
      <c r="CQ71" s="57"/>
      <c r="CR71" s="57"/>
      <c r="CS71" s="57"/>
      <c r="CT71" s="82"/>
      <c r="CU71" s="82"/>
      <c r="CV71" s="82"/>
      <c r="CW71" s="128"/>
      <c r="CX71" s="57"/>
      <c r="CY71" s="57"/>
      <c r="CZ71" s="57"/>
      <c r="DA71" s="104"/>
      <c r="DB71" s="104"/>
      <c r="DC71" s="104"/>
      <c r="DD71" s="128"/>
      <c r="DE71" s="57"/>
      <c r="DF71" s="57"/>
      <c r="DG71" s="57"/>
      <c r="DH71" s="82"/>
      <c r="DI71" s="82"/>
      <c r="DJ71" s="82"/>
      <c r="DK71" s="128"/>
      <c r="DL71" s="57"/>
      <c r="DM71" s="57"/>
      <c r="DN71" s="57"/>
      <c r="DO71" s="104"/>
      <c r="DP71" s="104"/>
      <c r="DQ71" s="104"/>
      <c r="DR71" s="128"/>
      <c r="DS71" s="57"/>
      <c r="DT71" s="57"/>
      <c r="DU71" s="57"/>
      <c r="DV71" s="219"/>
      <c r="DW71" s="219"/>
      <c r="DX71" s="219"/>
      <c r="DY71" s="128"/>
      <c r="DZ71" s="57"/>
      <c r="EA71" s="57"/>
      <c r="EB71" s="57"/>
      <c r="EC71" s="82"/>
      <c r="ED71" s="82"/>
      <c r="EE71" s="82"/>
      <c r="EF71" s="128"/>
      <c r="EG71" s="57"/>
      <c r="EH71" s="57"/>
      <c r="EI71" s="57"/>
      <c r="EJ71" s="104"/>
      <c r="EK71" s="104"/>
      <c r="EL71" s="104"/>
      <c r="EM71" s="128"/>
      <c r="EN71" s="57"/>
      <c r="EO71" s="57"/>
      <c r="EP71" s="57"/>
      <c r="EQ71" s="82"/>
      <c r="ER71" s="82"/>
      <c r="ES71" s="82"/>
      <c r="ET71" s="128"/>
      <c r="EU71" s="57"/>
      <c r="EV71" s="57"/>
      <c r="EW71" s="57"/>
      <c r="EX71" s="104"/>
      <c r="EY71" s="104"/>
      <c r="EZ71" s="104"/>
      <c r="FA71" s="128"/>
      <c r="FB71" s="57"/>
      <c r="FC71" s="57"/>
      <c r="FD71" s="57"/>
      <c r="FE71" s="82"/>
      <c r="FF71" s="82"/>
      <c r="FG71" s="82"/>
      <c r="FH71" s="128"/>
      <c r="FI71" s="57"/>
      <c r="FJ71" s="57"/>
      <c r="FK71" s="57"/>
      <c r="FL71" s="104"/>
      <c r="FM71" s="104"/>
      <c r="FN71" s="104"/>
      <c r="FO71" s="128"/>
      <c r="FP71" s="57"/>
      <c r="FQ71" s="57"/>
      <c r="FR71" s="57"/>
      <c r="FS71" s="82"/>
      <c r="FT71" s="82"/>
      <c r="FU71" s="82"/>
      <c r="FV71" s="128"/>
      <c r="FW71" s="57"/>
      <c r="FX71" s="57"/>
      <c r="FY71" s="57"/>
      <c r="FZ71" s="104"/>
      <c r="GA71" s="104"/>
      <c r="GB71" s="104"/>
      <c r="GC71" s="128"/>
      <c r="GD71" s="57"/>
      <c r="GE71" s="57"/>
      <c r="GF71" s="57"/>
      <c r="GG71" s="82"/>
      <c r="GH71" s="82"/>
      <c r="GI71" s="82"/>
      <c r="GJ71" s="128"/>
      <c r="GK71" s="57"/>
      <c r="GL71" s="57"/>
      <c r="GM71" s="57"/>
      <c r="GN71" s="82"/>
      <c r="GO71" s="82"/>
      <c r="GP71" s="82"/>
      <c r="GQ71" s="128"/>
      <c r="GR71" s="57"/>
      <c r="GS71" s="57"/>
      <c r="GT71" s="57"/>
      <c r="GU71" s="104"/>
      <c r="GV71" s="104"/>
      <c r="GW71" s="104"/>
      <c r="GX71" s="128"/>
      <c r="GY71" s="57"/>
      <c r="GZ71" s="57"/>
      <c r="HA71" s="57"/>
      <c r="HB71" s="82"/>
      <c r="HC71" s="82"/>
      <c r="HD71" s="82"/>
      <c r="HE71" s="128"/>
      <c r="HF71" s="57"/>
      <c r="HG71" s="57"/>
      <c r="HH71" s="57"/>
      <c r="HI71" s="219"/>
      <c r="HJ71" s="219"/>
      <c r="HK71" s="219"/>
      <c r="HL71" s="128"/>
      <c r="HM71" s="57"/>
      <c r="HN71" s="57"/>
      <c r="HO71" s="57"/>
      <c r="HP71" s="82"/>
      <c r="HQ71" s="82"/>
      <c r="HR71" s="82"/>
      <c r="HS71" s="128"/>
      <c r="HT71" s="57"/>
      <c r="HU71" s="57"/>
      <c r="HV71" s="57"/>
      <c r="HW71" s="104"/>
      <c r="HX71" s="104"/>
      <c r="HY71" s="104"/>
      <c r="HZ71" s="128"/>
      <c r="IA71" s="58"/>
    </row>
    <row r="72" spans="1:235">
      <c r="A72" s="143"/>
      <c r="B72" s="144"/>
      <c r="C72" s="144"/>
      <c r="G72" s="144"/>
      <c r="H72" s="144"/>
      <c r="I72" s="144"/>
      <c r="J72" s="144"/>
      <c r="K72" s="144"/>
      <c r="L72" s="144"/>
      <c r="M72" s="144"/>
      <c r="N72" s="144"/>
      <c r="O72" s="144"/>
      <c r="P72" s="144"/>
      <c r="Q72" s="144"/>
      <c r="R72" s="144"/>
      <c r="S72" s="144"/>
      <c r="T72" s="144"/>
      <c r="U72" s="144"/>
      <c r="V72" s="144"/>
      <c r="W72" s="144"/>
      <c r="X72" s="144"/>
      <c r="Y72" s="144"/>
      <c r="Z72" s="144"/>
      <c r="AA72" s="144"/>
      <c r="AB72" s="144"/>
      <c r="AC72" s="144"/>
      <c r="AD72" s="144"/>
      <c r="AE72" s="144"/>
      <c r="AF72" s="144"/>
      <c r="AG72" s="144"/>
      <c r="AH72" s="144"/>
      <c r="AI72" s="144"/>
      <c r="AJ72" s="144"/>
      <c r="AK72" s="144"/>
      <c r="AL72" s="144"/>
      <c r="AM72" s="144"/>
      <c r="AN72" s="144"/>
      <c r="AO72" s="144"/>
      <c r="AP72" s="144"/>
      <c r="AQ72" s="144"/>
      <c r="AR72" s="144"/>
      <c r="AS72" s="144"/>
      <c r="AT72" s="144"/>
      <c r="AU72" s="144"/>
      <c r="AV72" s="144"/>
      <c r="AW72" s="144"/>
      <c r="AX72" s="144"/>
      <c r="AY72" s="144"/>
      <c r="AZ72" s="144"/>
      <c r="BA72" s="144"/>
      <c r="BB72" s="144"/>
      <c r="BC72" s="144"/>
      <c r="BD72" s="144"/>
      <c r="BE72" s="144"/>
      <c r="BF72" s="144"/>
      <c r="BG72" s="144"/>
      <c r="BH72" s="144"/>
      <c r="BI72" s="144"/>
      <c r="BJ72" s="144"/>
      <c r="BK72" s="144"/>
      <c r="BL72" s="144"/>
      <c r="BM72" s="144"/>
      <c r="BN72" s="144"/>
      <c r="BO72" s="144"/>
      <c r="BP72" s="144"/>
      <c r="BQ72" s="144"/>
      <c r="BR72" s="144"/>
      <c r="BS72" s="144"/>
      <c r="BT72" s="144"/>
      <c r="BU72" s="144"/>
      <c r="BV72" s="144"/>
      <c r="BW72" s="144"/>
      <c r="BX72" s="144"/>
      <c r="BY72" s="144"/>
      <c r="BZ72" s="144"/>
      <c r="CA72" s="144"/>
      <c r="CB72" s="144"/>
      <c r="CC72" s="144"/>
      <c r="CD72" s="144"/>
      <c r="CE72" s="144"/>
      <c r="CF72" s="144"/>
      <c r="CG72" s="144"/>
      <c r="CH72" s="144"/>
      <c r="CI72" s="144"/>
      <c r="CJ72" s="144"/>
      <c r="CK72" s="144"/>
      <c r="CL72" s="144"/>
      <c r="CM72" s="144"/>
      <c r="CN72" s="144"/>
      <c r="CO72" s="144"/>
      <c r="CP72" s="144"/>
      <c r="CQ72" s="144"/>
      <c r="CR72" s="144"/>
      <c r="CS72" s="144"/>
      <c r="CT72" s="144"/>
      <c r="CU72" s="144"/>
      <c r="CV72" s="144"/>
      <c r="CW72" s="144"/>
      <c r="CX72" s="144"/>
      <c r="CY72" s="144"/>
      <c r="CZ72" s="144"/>
      <c r="DA72" s="144"/>
      <c r="DB72" s="144"/>
      <c r="DC72" s="144"/>
      <c r="DD72" s="144"/>
      <c r="DE72" s="144"/>
      <c r="DF72" s="144"/>
      <c r="DG72" s="144"/>
      <c r="DH72" s="144"/>
      <c r="DI72" s="144"/>
      <c r="DJ72" s="144"/>
      <c r="DK72" s="144"/>
      <c r="DL72" s="144"/>
      <c r="DM72" s="144"/>
      <c r="DN72" s="144"/>
      <c r="DO72" s="144"/>
      <c r="DP72" s="144"/>
      <c r="DQ72" s="144"/>
      <c r="DR72" s="144"/>
      <c r="DS72" s="144"/>
      <c r="DT72" s="144"/>
      <c r="DU72" s="144"/>
      <c r="DV72" s="144"/>
      <c r="DW72" s="144"/>
      <c r="DX72" s="144"/>
      <c r="DY72" s="144"/>
      <c r="DZ72" s="144"/>
      <c r="EA72" s="144"/>
      <c r="EB72" s="144"/>
      <c r="EC72" s="144"/>
      <c r="ED72" s="144"/>
      <c r="EE72" s="144"/>
      <c r="EF72" s="144"/>
      <c r="EG72" s="144"/>
      <c r="EH72" s="144"/>
      <c r="EI72" s="144"/>
      <c r="EJ72" s="144"/>
      <c r="EK72" s="144"/>
      <c r="EL72" s="144"/>
      <c r="EM72" s="144"/>
      <c r="EN72" s="144"/>
      <c r="EO72" s="144"/>
      <c r="EP72" s="144"/>
      <c r="EQ72" s="144"/>
      <c r="ER72" s="144"/>
      <c r="ES72" s="144"/>
      <c r="ET72" s="144"/>
      <c r="EU72" s="144"/>
      <c r="EV72" s="144"/>
      <c r="EW72" s="144"/>
      <c r="EX72" s="144"/>
      <c r="EY72" s="144"/>
      <c r="EZ72" s="144"/>
      <c r="FA72" s="144"/>
      <c r="FB72" s="144"/>
      <c r="FC72" s="144"/>
      <c r="FD72" s="144"/>
      <c r="FE72" s="144"/>
      <c r="FF72" s="144"/>
      <c r="FG72" s="144"/>
      <c r="FH72" s="144"/>
      <c r="FI72" s="144"/>
      <c r="FJ72" s="144"/>
      <c r="FK72" s="144"/>
      <c r="FL72" s="144"/>
      <c r="FM72" s="144"/>
      <c r="FN72" s="144"/>
      <c r="FO72" s="144"/>
      <c r="FP72" s="144"/>
      <c r="FQ72" s="144"/>
      <c r="FR72" s="144"/>
      <c r="FS72" s="144"/>
      <c r="FT72" s="144"/>
      <c r="FU72" s="144"/>
      <c r="FV72" s="144"/>
      <c r="FW72" s="144"/>
      <c r="FX72" s="144"/>
      <c r="FY72" s="144"/>
      <c r="FZ72" s="144"/>
      <c r="GA72" s="144"/>
      <c r="GB72" s="144"/>
      <c r="GC72" s="144"/>
      <c r="GD72" s="144"/>
      <c r="GE72" s="144"/>
      <c r="GF72" s="144"/>
      <c r="GG72" s="144"/>
      <c r="GH72" s="144"/>
      <c r="GI72" s="144"/>
      <c r="GJ72" s="144"/>
      <c r="GK72" s="144"/>
      <c r="GL72" s="144"/>
      <c r="GM72" s="144"/>
      <c r="GN72" s="144"/>
      <c r="GO72" s="144"/>
      <c r="GP72" s="144"/>
      <c r="GQ72" s="144"/>
      <c r="GR72" s="144"/>
      <c r="GS72" s="144"/>
      <c r="GT72" s="144"/>
      <c r="GU72" s="144"/>
      <c r="GV72" s="144"/>
      <c r="GW72" s="144"/>
      <c r="GX72" s="144"/>
      <c r="GY72" s="144"/>
      <c r="GZ72" s="144"/>
      <c r="HA72" s="144"/>
      <c r="HB72" s="144"/>
      <c r="HC72" s="144"/>
      <c r="HD72" s="144"/>
      <c r="HE72" s="144"/>
      <c r="HF72" s="144"/>
      <c r="HG72" s="144"/>
      <c r="HH72" s="144"/>
      <c r="HI72" s="144"/>
      <c r="HJ72" s="144"/>
      <c r="HK72" s="144"/>
      <c r="HL72" s="144"/>
      <c r="HM72" s="144"/>
      <c r="HN72" s="144"/>
      <c r="HO72" s="144"/>
      <c r="HP72" s="144"/>
      <c r="HQ72" s="144"/>
      <c r="HR72" s="144"/>
      <c r="HS72" s="144"/>
      <c r="HT72" s="144"/>
      <c r="HU72" s="144"/>
      <c r="HV72" s="144"/>
      <c r="HW72" s="144"/>
      <c r="HX72" s="144"/>
      <c r="HY72" s="144"/>
      <c r="HZ72" s="144"/>
      <c r="IA72" s="145"/>
    </row>
    <row r="73" spans="1:235" ht="15">
      <c r="A73" s="59" t="s">
        <v>62</v>
      </c>
      <c r="IA73" s="61"/>
    </row>
    <row r="74" spans="1:235">
      <c r="A74" s="62" t="s">
        <v>63</v>
      </c>
      <c r="B74" s="63"/>
      <c r="C74" s="110"/>
      <c r="D74" s="63"/>
      <c r="E74" s="63"/>
      <c r="F74" s="63"/>
      <c r="G74" s="63"/>
      <c r="H74" s="63"/>
      <c r="I74" s="63"/>
      <c r="J74" s="110"/>
      <c r="K74" s="63"/>
      <c r="L74" s="63"/>
      <c r="M74" s="63"/>
      <c r="N74" s="63"/>
      <c r="O74" s="63"/>
      <c r="P74" s="63"/>
      <c r="Q74" s="110"/>
      <c r="R74" s="63"/>
      <c r="S74" s="63"/>
      <c r="T74" s="63"/>
      <c r="U74" s="63"/>
      <c r="V74" s="63"/>
      <c r="W74" s="63"/>
      <c r="X74" s="110"/>
      <c r="Y74" s="63"/>
      <c r="Z74" s="63"/>
      <c r="AA74" s="63"/>
      <c r="AB74" s="63"/>
      <c r="AC74" s="63"/>
      <c r="AD74" s="63"/>
      <c r="AE74" s="110"/>
      <c r="AF74" s="63"/>
      <c r="AG74" s="63"/>
      <c r="AH74" s="63"/>
      <c r="AI74" s="63"/>
      <c r="AJ74" s="63"/>
      <c r="AK74" s="63"/>
      <c r="AL74" s="110"/>
      <c r="AM74" s="63"/>
      <c r="AN74" s="63"/>
      <c r="AO74" s="63"/>
      <c r="AP74" s="63"/>
      <c r="AQ74" s="63"/>
      <c r="AR74" s="63"/>
      <c r="AS74" s="110"/>
      <c r="AT74" s="63"/>
      <c r="AU74" s="63"/>
      <c r="AV74" s="63"/>
      <c r="AW74" s="63"/>
      <c r="AX74" s="63"/>
      <c r="AY74" s="63"/>
      <c r="AZ74" s="110"/>
      <c r="BA74" s="63"/>
      <c r="BB74" s="63"/>
      <c r="BC74" s="63"/>
      <c r="BD74" s="63"/>
      <c r="BE74" s="63"/>
      <c r="BF74" s="63"/>
      <c r="BG74" s="110"/>
      <c r="BH74" s="63"/>
      <c r="BI74" s="63"/>
      <c r="BJ74" s="63"/>
      <c r="BK74" s="63"/>
      <c r="BL74" s="63"/>
      <c r="BM74" s="63"/>
      <c r="BN74" s="110"/>
      <c r="BO74" s="63"/>
      <c r="BP74" s="63"/>
      <c r="BQ74" s="63"/>
      <c r="BR74" s="63"/>
      <c r="BS74" s="63"/>
      <c r="BT74" s="63"/>
      <c r="BU74" s="110"/>
      <c r="BV74" s="63"/>
      <c r="BW74" s="63"/>
      <c r="BX74" s="63"/>
      <c r="BY74" s="63"/>
      <c r="BZ74" s="63"/>
      <c r="CA74" s="63"/>
      <c r="CB74" s="110"/>
      <c r="CC74" s="63"/>
      <c r="CD74" s="63"/>
      <c r="CE74" s="63"/>
      <c r="CF74" s="63"/>
      <c r="CG74" s="63"/>
      <c r="CH74" s="63"/>
      <c r="CI74" s="110"/>
      <c r="CJ74" s="63"/>
      <c r="CK74" s="63"/>
      <c r="CL74" s="63"/>
      <c r="CM74" s="63"/>
      <c r="CN74" s="63"/>
      <c r="CO74" s="63"/>
      <c r="CP74" s="110"/>
      <c r="CQ74" s="63"/>
      <c r="CR74" s="63"/>
      <c r="CS74" s="63"/>
      <c r="CT74" s="63"/>
      <c r="CU74" s="63"/>
      <c r="CV74" s="63"/>
      <c r="CW74" s="110"/>
      <c r="CX74" s="63"/>
      <c r="CY74" s="63"/>
      <c r="CZ74" s="63"/>
      <c r="DA74" s="63"/>
      <c r="DB74" s="63"/>
      <c r="DC74" s="63"/>
      <c r="DD74" s="110"/>
      <c r="DE74" s="63"/>
      <c r="DF74" s="63"/>
      <c r="DG74" s="63"/>
      <c r="DH74" s="63"/>
      <c r="DI74" s="63"/>
      <c r="DJ74" s="63"/>
      <c r="DK74" s="110"/>
      <c r="DL74" s="63"/>
      <c r="DM74" s="63"/>
      <c r="DN74" s="63"/>
      <c r="DO74" s="63"/>
      <c r="DP74" s="63"/>
      <c r="DQ74" s="63"/>
      <c r="DR74" s="110"/>
      <c r="DS74" s="63"/>
      <c r="DT74" s="63"/>
      <c r="DU74" s="63"/>
      <c r="DV74" s="63"/>
      <c r="DW74" s="63"/>
      <c r="DX74" s="63"/>
      <c r="DY74" s="110"/>
      <c r="DZ74" s="63"/>
      <c r="EA74" s="63"/>
      <c r="EB74" s="63"/>
      <c r="EC74" s="63"/>
      <c r="ED74" s="63"/>
      <c r="EE74" s="63"/>
      <c r="EF74" s="110"/>
      <c r="EG74" s="63"/>
      <c r="EH74" s="63"/>
      <c r="EI74" s="63"/>
      <c r="EJ74" s="63"/>
      <c r="EK74" s="63"/>
      <c r="EL74" s="63"/>
      <c r="EM74" s="110"/>
      <c r="EN74" s="63"/>
      <c r="EO74" s="63"/>
      <c r="EP74" s="63"/>
      <c r="EQ74" s="63"/>
      <c r="ER74" s="63"/>
      <c r="ES74" s="63"/>
      <c r="ET74" s="110"/>
      <c r="EU74" s="63"/>
      <c r="EV74" s="63"/>
      <c r="EW74" s="63"/>
      <c r="EX74" s="63"/>
      <c r="EY74" s="63"/>
      <c r="EZ74" s="63"/>
      <c r="FA74" s="110"/>
      <c r="FB74" s="63"/>
      <c r="FC74" s="63"/>
      <c r="FD74" s="63"/>
      <c r="FE74" s="63"/>
      <c r="FF74" s="63"/>
      <c r="FG74" s="63"/>
      <c r="FH74" s="110"/>
      <c r="FI74" s="63"/>
      <c r="FJ74" s="63"/>
      <c r="FK74" s="63"/>
      <c r="FL74" s="63"/>
      <c r="FM74" s="63"/>
      <c r="FN74" s="63"/>
      <c r="FO74" s="110"/>
      <c r="FP74" s="63"/>
      <c r="FQ74" s="63"/>
      <c r="FR74" s="63"/>
      <c r="FS74" s="63"/>
      <c r="FT74" s="63"/>
      <c r="FU74" s="63"/>
      <c r="FV74" s="110"/>
      <c r="FW74" s="63"/>
      <c r="FX74" s="63"/>
      <c r="FY74" s="63"/>
      <c r="FZ74" s="63"/>
      <c r="GA74" s="63"/>
      <c r="GB74" s="63"/>
      <c r="GC74" s="110"/>
      <c r="GD74" s="63"/>
      <c r="GE74" s="63"/>
      <c r="GF74" s="63"/>
      <c r="GG74" s="63"/>
      <c r="GH74" s="63"/>
      <c r="GI74" s="63"/>
      <c r="GJ74" s="110"/>
      <c r="GK74" s="63"/>
      <c r="GL74" s="63"/>
      <c r="GM74" s="63"/>
      <c r="GN74" s="63"/>
      <c r="GO74" s="63"/>
      <c r="GP74" s="63"/>
      <c r="GQ74" s="110"/>
      <c r="GR74" s="63"/>
      <c r="GS74" s="63"/>
      <c r="GT74" s="63"/>
      <c r="GU74" s="63"/>
      <c r="GV74" s="63"/>
      <c r="GW74" s="63"/>
      <c r="GX74" s="110"/>
      <c r="GY74" s="63"/>
      <c r="GZ74" s="63"/>
      <c r="HA74" s="63"/>
      <c r="HB74" s="63"/>
      <c r="HC74" s="63"/>
      <c r="HD74" s="63"/>
      <c r="HE74" s="110"/>
      <c r="HF74" s="63"/>
      <c r="HG74" s="63"/>
      <c r="HH74" s="63"/>
      <c r="HI74" s="63"/>
      <c r="HJ74" s="63"/>
      <c r="HK74" s="63"/>
      <c r="HL74" s="110"/>
      <c r="HM74" s="63"/>
      <c r="HN74" s="63"/>
      <c r="HO74" s="63"/>
      <c r="HP74" s="63"/>
      <c r="HQ74" s="63"/>
      <c r="HR74" s="63"/>
      <c r="HS74" s="110"/>
      <c r="HT74" s="63"/>
      <c r="HU74" s="63"/>
      <c r="HV74" s="63"/>
      <c r="HW74" s="63"/>
      <c r="HX74" s="63"/>
      <c r="HY74" s="63"/>
      <c r="HZ74" s="110"/>
      <c r="IA74" s="64"/>
    </row>
    <row r="75" spans="1:235" ht="14.25" thickBot="1">
      <c r="A75" s="65"/>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c r="EO75" s="66"/>
      <c r="EP75" s="66"/>
      <c r="EQ75" s="66"/>
      <c r="ER75" s="66"/>
      <c r="ES75" s="66"/>
      <c r="ET75" s="66"/>
      <c r="EU75" s="66"/>
      <c r="EV75" s="66"/>
      <c r="EW75" s="66"/>
      <c r="EX75" s="66"/>
      <c r="EY75" s="66"/>
      <c r="EZ75" s="66"/>
      <c r="FA75" s="66"/>
      <c r="FB75" s="66"/>
      <c r="FC75" s="66"/>
      <c r="FD75" s="66"/>
      <c r="FE75" s="66"/>
      <c r="FF75" s="66"/>
      <c r="FG75" s="66"/>
      <c r="FH75" s="66"/>
      <c r="FI75" s="66"/>
      <c r="FJ75" s="66"/>
      <c r="FK75" s="66"/>
      <c r="FL75" s="66"/>
      <c r="FM75" s="66"/>
      <c r="FN75" s="66"/>
      <c r="FO75" s="66"/>
      <c r="FP75" s="66"/>
      <c r="FQ75" s="66"/>
      <c r="FR75" s="66"/>
      <c r="FS75" s="66"/>
      <c r="FT75" s="66"/>
      <c r="FU75" s="66"/>
      <c r="FV75" s="66"/>
      <c r="FW75" s="66"/>
      <c r="FX75" s="66"/>
      <c r="FY75" s="66"/>
      <c r="FZ75" s="66"/>
      <c r="GA75" s="66"/>
      <c r="GB75" s="66"/>
      <c r="GC75" s="66"/>
      <c r="GD75" s="66"/>
      <c r="GE75" s="66"/>
      <c r="GF75" s="66"/>
      <c r="GG75" s="66"/>
      <c r="GH75" s="66"/>
      <c r="GI75" s="66"/>
      <c r="GJ75" s="66"/>
      <c r="GK75" s="66"/>
      <c r="GL75" s="66"/>
      <c r="GM75" s="66"/>
      <c r="GN75" s="66"/>
      <c r="GO75" s="66"/>
      <c r="GP75" s="66"/>
      <c r="GQ75" s="66"/>
      <c r="GR75" s="66"/>
      <c r="GS75" s="66"/>
      <c r="GT75" s="66"/>
      <c r="GU75" s="66"/>
      <c r="GV75" s="66"/>
      <c r="GW75" s="66"/>
      <c r="GX75" s="66"/>
      <c r="GY75" s="66"/>
      <c r="GZ75" s="66"/>
      <c r="HA75" s="66"/>
      <c r="HB75" s="66"/>
      <c r="HC75" s="66"/>
      <c r="HD75" s="66"/>
      <c r="HE75" s="66"/>
      <c r="HF75" s="66"/>
      <c r="HG75" s="66"/>
      <c r="HH75" s="66"/>
      <c r="HI75" s="66"/>
      <c r="HJ75" s="66"/>
      <c r="HK75" s="66"/>
      <c r="HL75" s="66"/>
      <c r="HM75" s="66"/>
      <c r="HN75" s="66"/>
      <c r="HO75" s="66"/>
      <c r="HP75" s="66"/>
      <c r="HQ75" s="66"/>
      <c r="HR75" s="66"/>
      <c r="HS75" s="66"/>
      <c r="HT75" s="66"/>
      <c r="HU75" s="66"/>
      <c r="HV75" s="66"/>
      <c r="HW75" s="66"/>
      <c r="HX75" s="66"/>
      <c r="HY75" s="66"/>
      <c r="HZ75" s="66"/>
      <c r="IA75" s="67"/>
    </row>
  </sheetData>
  <mergeCells count="135">
    <mergeCell ref="HT6:HV6"/>
    <mergeCell ref="HW6:HY6"/>
    <mergeCell ref="HB6:HD6"/>
    <mergeCell ref="HF6:HH6"/>
    <mergeCell ref="HI6:HK6"/>
    <mergeCell ref="HM6:HO6"/>
    <mergeCell ref="HP6:HR6"/>
    <mergeCell ref="GK6:GM6"/>
    <mergeCell ref="GN6:GP6"/>
    <mergeCell ref="GR6:GT6"/>
    <mergeCell ref="GU6:GW6"/>
    <mergeCell ref="GY6:HA6"/>
    <mergeCell ref="HM5:HO5"/>
    <mergeCell ref="HP5:HR5"/>
    <mergeCell ref="HT5:HV5"/>
    <mergeCell ref="HW5:HY5"/>
    <mergeCell ref="EN6:EP6"/>
    <mergeCell ref="EQ6:ES6"/>
    <mergeCell ref="EU6:EW6"/>
    <mergeCell ref="EX6:EZ6"/>
    <mergeCell ref="FB6:FD6"/>
    <mergeCell ref="FE6:FG6"/>
    <mergeCell ref="FI6:FK6"/>
    <mergeCell ref="FL6:FN6"/>
    <mergeCell ref="FP6:FR6"/>
    <mergeCell ref="FS6:FU6"/>
    <mergeCell ref="FW6:FY6"/>
    <mergeCell ref="FZ6:GB6"/>
    <mergeCell ref="GU5:GW5"/>
    <mergeCell ref="GY5:HA5"/>
    <mergeCell ref="HB5:HD5"/>
    <mergeCell ref="HF5:HH5"/>
    <mergeCell ref="HI5:HK5"/>
    <mergeCell ref="FW5:FY5"/>
    <mergeCell ref="FZ5:GB5"/>
    <mergeCell ref="GK5:GM5"/>
    <mergeCell ref="GN5:GP5"/>
    <mergeCell ref="GR5:GT5"/>
    <mergeCell ref="FE5:FG5"/>
    <mergeCell ref="FI5:FK5"/>
    <mergeCell ref="FL5:FN5"/>
    <mergeCell ref="FP5:FR5"/>
    <mergeCell ref="FS5:FU5"/>
    <mergeCell ref="EN5:EP5"/>
    <mergeCell ref="EQ5:ES5"/>
    <mergeCell ref="EU5:EW5"/>
    <mergeCell ref="EX5:EZ5"/>
    <mergeCell ref="FB5:FD5"/>
    <mergeCell ref="GD5:GF5"/>
    <mergeCell ref="GG5:GI5"/>
    <mergeCell ref="BO5:BQ5"/>
    <mergeCell ref="BR5:BT5"/>
    <mergeCell ref="CF5:CH5"/>
    <mergeCell ref="EJ5:EL5"/>
    <mergeCell ref="DE6:DG6"/>
    <mergeCell ref="DH6:DJ6"/>
    <mergeCell ref="DL6:DN6"/>
    <mergeCell ref="DO6:DQ6"/>
    <mergeCell ref="DZ6:EB6"/>
    <mergeCell ref="EC6:EE6"/>
    <mergeCell ref="EG6:EI6"/>
    <mergeCell ref="EJ6:EL6"/>
    <mergeCell ref="DL5:DN5"/>
    <mergeCell ref="DO5:DQ5"/>
    <mergeCell ref="DZ5:EB5"/>
    <mergeCell ref="EC5:EE5"/>
    <mergeCell ref="EG5:EI5"/>
    <mergeCell ref="DE5:DG5"/>
    <mergeCell ref="DH5:DJ5"/>
    <mergeCell ref="CT5:CV5"/>
    <mergeCell ref="CX5:CZ5"/>
    <mergeCell ref="DA5:DC5"/>
    <mergeCell ref="CT6:CV6"/>
    <mergeCell ref="CX6:CZ6"/>
    <mergeCell ref="BA6:BC6"/>
    <mergeCell ref="BD6:BF6"/>
    <mergeCell ref="G6:I6"/>
    <mergeCell ref="N6:P6"/>
    <mergeCell ref="U6:W6"/>
    <mergeCell ref="AP6:AR6"/>
    <mergeCell ref="AB6:AD6"/>
    <mergeCell ref="AI6:AK6"/>
    <mergeCell ref="R6:T6"/>
    <mergeCell ref="Y6:AA6"/>
    <mergeCell ref="AF6:AH6"/>
    <mergeCell ref="K6:M6"/>
    <mergeCell ref="AM6:AO6"/>
    <mergeCell ref="DA6:DC6"/>
    <mergeCell ref="BY6:CA6"/>
    <mergeCell ref="CC5:CE5"/>
    <mergeCell ref="CQ5:CS5"/>
    <mergeCell ref="BD5:BF5"/>
    <mergeCell ref="A2:B2"/>
    <mergeCell ref="A3:B3"/>
    <mergeCell ref="A4:B4"/>
    <mergeCell ref="D5:F5"/>
    <mergeCell ref="K5:M5"/>
    <mergeCell ref="G5:I5"/>
    <mergeCell ref="N5:P5"/>
    <mergeCell ref="BA5:BC5"/>
    <mergeCell ref="R5:T5"/>
    <mergeCell ref="Y5:AA5"/>
    <mergeCell ref="AB5:AD5"/>
    <mergeCell ref="AF5:AH5"/>
    <mergeCell ref="U5:W5"/>
    <mergeCell ref="AI5:AK5"/>
    <mergeCell ref="AM5:AO5"/>
    <mergeCell ref="AP5:AR5"/>
    <mergeCell ref="D6:F6"/>
    <mergeCell ref="BR6:BT6"/>
    <mergeCell ref="BO6:BQ6"/>
    <mergeCell ref="CC6:CE6"/>
    <mergeCell ref="CF6:CH6"/>
    <mergeCell ref="BV5:BX5"/>
    <mergeCell ref="BY5:CA5"/>
    <mergeCell ref="BV6:BX6"/>
    <mergeCell ref="GD6:GF6"/>
    <mergeCell ref="GG6:GI6"/>
    <mergeCell ref="AT5:AV5"/>
    <mergeCell ref="AW5:AY5"/>
    <mergeCell ref="AT6:AV6"/>
    <mergeCell ref="AW6:AY6"/>
    <mergeCell ref="BH5:BJ5"/>
    <mergeCell ref="BK5:BM5"/>
    <mergeCell ref="BH6:BJ6"/>
    <mergeCell ref="BK6:BM6"/>
    <mergeCell ref="CJ5:CL5"/>
    <mergeCell ref="CM5:CO5"/>
    <mergeCell ref="CJ6:CL6"/>
    <mergeCell ref="CM6:CO6"/>
    <mergeCell ref="DS5:DU5"/>
    <mergeCell ref="DV5:DX5"/>
    <mergeCell ref="DS6:DU6"/>
    <mergeCell ref="DV6:DX6"/>
    <mergeCell ref="CQ6:CS6"/>
  </mergeCells>
  <pageMargins left="0.25" right="0.25" top="0.75" bottom="0.75" header="0.3" footer="0.3"/>
  <pageSetup paperSize="8" scale="64" fitToWidth="0" orientation="landscape" r:id="rId1"/>
  <rowBreaks count="1" manualBreakCount="1">
    <brk id="4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workbookViewId="0">
      <selection activeCell="L14" sqref="L14"/>
    </sheetView>
  </sheetViews>
  <sheetFormatPr defaultColWidth="8.7109375" defaultRowHeight="12.75"/>
  <cols>
    <col min="1" max="1" width="6.85546875" style="172" customWidth="1"/>
    <col min="2" max="2" width="13.5703125" style="172" customWidth="1"/>
    <col min="3" max="3" width="16.5703125" style="172" customWidth="1"/>
    <col min="4" max="4" width="10.85546875" style="172" customWidth="1"/>
    <col min="5" max="5" width="10.7109375" style="172" customWidth="1"/>
    <col min="6" max="6" width="11.85546875" style="172" customWidth="1"/>
    <col min="7" max="7" width="17.85546875" style="172" customWidth="1"/>
    <col min="8" max="8" width="11.7109375" style="172" customWidth="1"/>
    <col min="9" max="9" width="45.42578125" style="172" bestFit="1" customWidth="1"/>
    <col min="10" max="16384" width="8.7109375" style="172"/>
  </cols>
  <sheetData>
    <row r="1" spans="1:12" ht="15.75" customHeight="1">
      <c r="A1" s="166" t="s">
        <v>94</v>
      </c>
      <c r="B1" s="167" t="s">
        <v>95</v>
      </c>
      <c r="C1" s="167" t="s">
        <v>96</v>
      </c>
      <c r="D1" s="168" t="s">
        <v>97</v>
      </c>
      <c r="E1" s="169" t="s">
        <v>98</v>
      </c>
      <c r="F1" s="170" t="s">
        <v>99</v>
      </c>
      <c r="G1" s="170" t="s">
        <v>100</v>
      </c>
      <c r="H1" s="170" t="s">
        <v>101</v>
      </c>
      <c r="I1" s="171" t="s">
        <v>102</v>
      </c>
    </row>
    <row r="2" spans="1:12" ht="15.75" customHeight="1">
      <c r="A2" s="173">
        <v>1</v>
      </c>
      <c r="B2" s="167" t="s">
        <v>103</v>
      </c>
      <c r="C2" s="167" t="s">
        <v>104</v>
      </c>
      <c r="D2" s="169" t="s">
        <v>105</v>
      </c>
      <c r="E2" s="174">
        <v>94.4</v>
      </c>
      <c r="F2" s="167" t="s">
        <v>106</v>
      </c>
      <c r="G2" s="167" t="s">
        <v>107</v>
      </c>
      <c r="H2" s="167" t="s">
        <v>108</v>
      </c>
      <c r="I2" s="175" t="s">
        <v>109</v>
      </c>
    </row>
    <row r="3" spans="1:12" ht="15.75" customHeight="1">
      <c r="A3" s="173">
        <v>2</v>
      </c>
      <c r="B3" s="167" t="s">
        <v>103</v>
      </c>
      <c r="C3" s="167" t="s">
        <v>110</v>
      </c>
      <c r="D3" s="169" t="s">
        <v>111</v>
      </c>
      <c r="E3" s="176">
        <v>35.74</v>
      </c>
      <c r="F3" s="167" t="s">
        <v>106</v>
      </c>
      <c r="G3" s="167" t="s">
        <v>107</v>
      </c>
      <c r="H3" s="167" t="s">
        <v>112</v>
      </c>
      <c r="I3" s="177" t="s">
        <v>113</v>
      </c>
      <c r="J3" s="172">
        <v>50</v>
      </c>
      <c r="K3" s="172">
        <v>50</v>
      </c>
    </row>
    <row r="4" spans="1:12" ht="15.75" customHeight="1">
      <c r="A4" s="173">
        <v>3</v>
      </c>
      <c r="B4" s="167" t="s">
        <v>103</v>
      </c>
      <c r="C4" s="167" t="s">
        <v>110</v>
      </c>
      <c r="D4" s="169" t="s">
        <v>114</v>
      </c>
      <c r="E4" s="176">
        <v>35.74</v>
      </c>
      <c r="F4" s="167" t="s">
        <v>106</v>
      </c>
      <c r="G4" s="167" t="s">
        <v>115</v>
      </c>
      <c r="H4" s="167" t="s">
        <v>112</v>
      </c>
      <c r="I4" s="178" t="s">
        <v>116</v>
      </c>
    </row>
    <row r="5" spans="1:12" ht="16.7" customHeight="1">
      <c r="A5" s="173">
        <v>4</v>
      </c>
      <c r="B5" s="167" t="s">
        <v>103</v>
      </c>
      <c r="C5" s="167" t="s">
        <v>110</v>
      </c>
      <c r="D5" s="179" t="s">
        <v>117</v>
      </c>
      <c r="E5" s="180">
        <v>332.4</v>
      </c>
      <c r="F5" s="167" t="s">
        <v>106</v>
      </c>
      <c r="G5" s="167" t="s">
        <v>118</v>
      </c>
      <c r="H5" s="167" t="s">
        <v>108</v>
      </c>
      <c r="I5" s="167" t="s">
        <v>119</v>
      </c>
    </row>
    <row r="6" spans="1:12" ht="15.75" customHeight="1">
      <c r="A6" s="173">
        <v>5</v>
      </c>
      <c r="B6" s="167" t="s">
        <v>103</v>
      </c>
      <c r="C6" s="167" t="s">
        <v>110</v>
      </c>
      <c r="D6" s="179" t="s">
        <v>120</v>
      </c>
      <c r="E6" s="176">
        <v>69.63</v>
      </c>
      <c r="F6" s="167" t="s">
        <v>106</v>
      </c>
      <c r="G6" s="167" t="s">
        <v>107</v>
      </c>
      <c r="H6" s="167" t="s">
        <v>108</v>
      </c>
      <c r="I6" s="810" t="s">
        <v>121</v>
      </c>
      <c r="J6" s="172">
        <v>30</v>
      </c>
      <c r="K6" s="172">
        <v>30</v>
      </c>
    </row>
    <row r="7" spans="1:12" ht="15.75" customHeight="1">
      <c r="A7" s="173">
        <v>6</v>
      </c>
      <c r="B7" s="167" t="s">
        <v>103</v>
      </c>
      <c r="C7" s="167" t="s">
        <v>110</v>
      </c>
      <c r="D7" s="179" t="s">
        <v>122</v>
      </c>
      <c r="E7" s="174">
        <v>90.3</v>
      </c>
      <c r="F7" s="167" t="s">
        <v>106</v>
      </c>
      <c r="G7" s="167" t="s">
        <v>107</v>
      </c>
      <c r="H7" s="167" t="s">
        <v>108</v>
      </c>
      <c r="I7" s="811"/>
    </row>
    <row r="8" spans="1:12" ht="16.7" customHeight="1">
      <c r="A8" s="173">
        <v>7</v>
      </c>
      <c r="B8" s="167" t="s">
        <v>103</v>
      </c>
      <c r="C8" s="167" t="s">
        <v>110</v>
      </c>
      <c r="D8" s="179" t="s">
        <v>123</v>
      </c>
      <c r="E8" s="181">
        <v>297</v>
      </c>
      <c r="F8" s="167" t="s">
        <v>124</v>
      </c>
      <c r="G8" s="167" t="s">
        <v>124</v>
      </c>
      <c r="H8" s="167" t="s">
        <v>108</v>
      </c>
      <c r="I8" s="182" t="s">
        <v>125</v>
      </c>
    </row>
    <row r="9" spans="1:12" ht="42.75">
      <c r="A9" s="173">
        <v>8</v>
      </c>
      <c r="B9" s="167" t="s">
        <v>103</v>
      </c>
      <c r="C9" s="167" t="s">
        <v>110</v>
      </c>
      <c r="D9" s="179" t="s">
        <v>126</v>
      </c>
      <c r="E9" s="174">
        <v>91.5</v>
      </c>
      <c r="F9" s="167" t="s">
        <v>106</v>
      </c>
      <c r="G9" s="167" t="s">
        <v>127</v>
      </c>
      <c r="H9" s="167" t="s">
        <v>108</v>
      </c>
      <c r="I9" s="183" t="s">
        <v>128</v>
      </c>
      <c r="J9" s="172">
        <v>30</v>
      </c>
      <c r="K9" s="172">
        <v>20</v>
      </c>
    </row>
    <row r="10" spans="1:12" ht="15.75" customHeight="1">
      <c r="A10" s="173">
        <v>9</v>
      </c>
      <c r="B10" s="167" t="s">
        <v>103</v>
      </c>
      <c r="C10" s="167" t="s">
        <v>110</v>
      </c>
      <c r="D10" s="179" t="s">
        <v>129</v>
      </c>
      <c r="E10" s="176">
        <v>35.29</v>
      </c>
      <c r="F10" s="167" t="s">
        <v>106</v>
      </c>
      <c r="G10" s="167" t="s">
        <v>130</v>
      </c>
      <c r="H10" s="167" t="s">
        <v>108</v>
      </c>
      <c r="I10" s="179" t="s">
        <v>131</v>
      </c>
    </row>
    <row r="11" spans="1:12" ht="15.75" customHeight="1">
      <c r="A11" s="184">
        <v>10</v>
      </c>
      <c r="B11" s="167" t="s">
        <v>103</v>
      </c>
      <c r="C11" s="167" t="s">
        <v>110</v>
      </c>
      <c r="D11" s="179" t="s">
        <v>132</v>
      </c>
      <c r="E11" s="176">
        <v>61.35</v>
      </c>
      <c r="F11" s="167" t="s">
        <v>106</v>
      </c>
      <c r="G11" s="167" t="s">
        <v>107</v>
      </c>
      <c r="H11" s="167" t="s">
        <v>112</v>
      </c>
      <c r="I11" s="175" t="s">
        <v>109</v>
      </c>
    </row>
    <row r="12" spans="1:12" ht="16.350000000000001" customHeight="1">
      <c r="A12" s="184">
        <v>11</v>
      </c>
      <c r="B12" s="167" t="s">
        <v>103</v>
      </c>
      <c r="C12" s="167" t="s">
        <v>110</v>
      </c>
      <c r="D12" s="179" t="s">
        <v>133</v>
      </c>
      <c r="E12" s="176">
        <v>71.349999999999994</v>
      </c>
      <c r="F12" s="167" t="s">
        <v>106</v>
      </c>
      <c r="G12" s="167" t="s">
        <v>118</v>
      </c>
      <c r="H12" s="167" t="s">
        <v>112</v>
      </c>
      <c r="I12" s="167" t="s">
        <v>134</v>
      </c>
    </row>
    <row r="13" spans="1:12" ht="15.75" customHeight="1">
      <c r="A13" s="184">
        <v>12</v>
      </c>
      <c r="B13" s="167" t="s">
        <v>103</v>
      </c>
      <c r="C13" s="167" t="s">
        <v>110</v>
      </c>
      <c r="D13" s="179" t="s">
        <v>135</v>
      </c>
      <c r="E13" s="176">
        <v>65.989999999999995</v>
      </c>
      <c r="F13" s="167" t="s">
        <v>106</v>
      </c>
      <c r="G13" s="167" t="s">
        <v>106</v>
      </c>
      <c r="H13" s="167" t="s">
        <v>112</v>
      </c>
      <c r="I13" s="179" t="s">
        <v>136</v>
      </c>
    </row>
    <row r="14" spans="1:12" ht="15.75" customHeight="1">
      <c r="A14" s="184">
        <v>13</v>
      </c>
      <c r="B14" s="167" t="s">
        <v>103</v>
      </c>
      <c r="C14" s="167" t="s">
        <v>110</v>
      </c>
      <c r="D14" s="179" t="s">
        <v>137</v>
      </c>
      <c r="E14" s="176">
        <v>225.18</v>
      </c>
      <c r="F14" s="167" t="s">
        <v>106</v>
      </c>
      <c r="G14" s="167" t="s">
        <v>138</v>
      </c>
      <c r="H14" s="167" t="s">
        <v>112</v>
      </c>
      <c r="I14" s="185" t="s">
        <v>139</v>
      </c>
      <c r="J14" s="172">
        <v>30</v>
      </c>
      <c r="K14" s="172">
        <v>30</v>
      </c>
      <c r="L14" s="172">
        <v>30</v>
      </c>
    </row>
    <row r="15" spans="1:12" ht="15.75" customHeight="1">
      <c r="A15" s="184">
        <v>14</v>
      </c>
      <c r="B15" s="167" t="s">
        <v>103</v>
      </c>
      <c r="C15" s="167" t="s">
        <v>110</v>
      </c>
      <c r="D15" s="179" t="s">
        <v>140</v>
      </c>
      <c r="E15" s="176">
        <v>483.66</v>
      </c>
      <c r="F15" s="167" t="s">
        <v>124</v>
      </c>
      <c r="G15" s="167" t="s">
        <v>124</v>
      </c>
      <c r="H15" s="167" t="s">
        <v>112</v>
      </c>
      <c r="I15" s="182" t="s">
        <v>125</v>
      </c>
    </row>
    <row r="16" spans="1:12" ht="15.75" customHeight="1">
      <c r="A16" s="184">
        <v>15</v>
      </c>
      <c r="B16" s="167" t="s">
        <v>103</v>
      </c>
      <c r="C16" s="167" t="s">
        <v>110</v>
      </c>
      <c r="D16" s="179" t="s">
        <v>141</v>
      </c>
      <c r="E16" s="176">
        <v>270.33</v>
      </c>
      <c r="F16" s="167" t="s">
        <v>106</v>
      </c>
      <c r="G16" s="167" t="s">
        <v>127</v>
      </c>
      <c r="H16" s="167" t="s">
        <v>112</v>
      </c>
      <c r="I16" s="186" t="s">
        <v>142</v>
      </c>
      <c r="J16" s="172">
        <v>90</v>
      </c>
      <c r="K16" s="172">
        <v>30</v>
      </c>
    </row>
    <row r="17" spans="1:11" ht="15.75" customHeight="1">
      <c r="A17" s="184">
        <v>16</v>
      </c>
      <c r="B17" s="167" t="s">
        <v>103</v>
      </c>
      <c r="C17" s="167" t="s">
        <v>110</v>
      </c>
      <c r="D17" s="179" t="s">
        <v>143</v>
      </c>
      <c r="E17" s="174">
        <v>17.5</v>
      </c>
      <c r="F17" s="167" t="s">
        <v>106</v>
      </c>
      <c r="G17" s="167" t="s">
        <v>130</v>
      </c>
      <c r="H17" s="167" t="s">
        <v>112</v>
      </c>
      <c r="I17" s="167" t="s">
        <v>144</v>
      </c>
    </row>
    <row r="18" spans="1:11" ht="15.75" customHeight="1">
      <c r="A18" s="190">
        <v>17</v>
      </c>
      <c r="B18" s="191" t="s">
        <v>103</v>
      </c>
      <c r="C18" s="191" t="s">
        <v>110</v>
      </c>
      <c r="D18" s="192" t="s">
        <v>145</v>
      </c>
      <c r="E18" s="193">
        <v>34.299999999999997</v>
      </c>
      <c r="F18" s="191" t="s">
        <v>106</v>
      </c>
      <c r="G18" s="191" t="s">
        <v>107</v>
      </c>
      <c r="H18" s="191" t="s">
        <v>112</v>
      </c>
      <c r="I18" s="194" t="s">
        <v>146</v>
      </c>
    </row>
    <row r="19" spans="1:11" ht="15.75" customHeight="1">
      <c r="A19" s="190">
        <v>18</v>
      </c>
      <c r="B19" s="191" t="s">
        <v>103</v>
      </c>
      <c r="C19" s="191" t="s">
        <v>110</v>
      </c>
      <c r="D19" s="192" t="s">
        <v>147</v>
      </c>
      <c r="E19" s="195">
        <v>26.16</v>
      </c>
      <c r="F19" s="191" t="s">
        <v>106</v>
      </c>
      <c r="G19" s="191" t="s">
        <v>130</v>
      </c>
      <c r="H19" s="191" t="s">
        <v>112</v>
      </c>
      <c r="I19" s="194" t="s">
        <v>146</v>
      </c>
    </row>
    <row r="20" spans="1:11" ht="15.75" customHeight="1">
      <c r="A20" s="184">
        <v>19</v>
      </c>
      <c r="B20" s="167" t="s">
        <v>148</v>
      </c>
      <c r="C20" s="167" t="s">
        <v>148</v>
      </c>
      <c r="D20" s="179" t="s">
        <v>149</v>
      </c>
      <c r="E20" s="176">
        <v>62.75</v>
      </c>
      <c r="F20" s="167" t="s">
        <v>106</v>
      </c>
      <c r="G20" s="167" t="s">
        <v>107</v>
      </c>
      <c r="H20" s="167" t="s">
        <v>112</v>
      </c>
      <c r="I20" s="169" t="s">
        <v>150</v>
      </c>
      <c r="J20" s="172">
        <v>15</v>
      </c>
      <c r="K20" s="172">
        <v>20</v>
      </c>
    </row>
    <row r="21" spans="1:11" ht="15.75" customHeight="1">
      <c r="A21" s="184">
        <v>20</v>
      </c>
      <c r="B21" s="167" t="s">
        <v>148</v>
      </c>
      <c r="C21" s="167" t="s">
        <v>148</v>
      </c>
      <c r="D21" s="169" t="s">
        <v>151</v>
      </c>
      <c r="E21" s="176">
        <v>61.12</v>
      </c>
      <c r="F21" s="167" t="s">
        <v>106</v>
      </c>
      <c r="G21" s="167" t="s">
        <v>152</v>
      </c>
      <c r="H21" s="167" t="s">
        <v>112</v>
      </c>
      <c r="I21" s="167" t="s">
        <v>152</v>
      </c>
    </row>
    <row r="22" spans="1:11" ht="31.5" customHeight="1">
      <c r="A22" s="184">
        <v>21</v>
      </c>
      <c r="B22" s="167" t="s">
        <v>148</v>
      </c>
      <c r="C22" s="167" t="s">
        <v>148</v>
      </c>
      <c r="D22" s="179" t="s">
        <v>153</v>
      </c>
      <c r="E22" s="176">
        <v>74.42</v>
      </c>
      <c r="F22" s="167" t="s">
        <v>106</v>
      </c>
      <c r="G22" s="167" t="s">
        <v>107</v>
      </c>
      <c r="H22" s="167" t="s">
        <v>112</v>
      </c>
      <c r="I22" s="183" t="s">
        <v>154</v>
      </c>
      <c r="J22" s="172">
        <v>20</v>
      </c>
      <c r="K22" s="172">
        <v>30</v>
      </c>
    </row>
    <row r="23" spans="1:11" ht="17.100000000000001" customHeight="1">
      <c r="A23" s="187"/>
      <c r="B23" s="187"/>
      <c r="C23" s="187"/>
      <c r="D23" s="188" t="s">
        <v>155</v>
      </c>
      <c r="E23" s="189">
        <v>2536.11</v>
      </c>
      <c r="F23" s="187"/>
      <c r="G23" s="187"/>
      <c r="H23" s="187"/>
      <c r="I23" s="187"/>
    </row>
  </sheetData>
  <mergeCells count="1">
    <mergeCell ref="I6:I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77B4FCFFCAC74E936BB64A56CC1143" ma:contentTypeVersion="15" ma:contentTypeDescription="Create a new document." ma:contentTypeScope="" ma:versionID="ab2e67a13b10d5317b37e5a1411e59f3">
  <xsd:schema xmlns:xsd="http://www.w3.org/2001/XMLSchema" xmlns:xs="http://www.w3.org/2001/XMLSchema" xmlns:p="http://schemas.microsoft.com/office/2006/metadata/properties" xmlns:ns3="1edca550-45ec-413d-b410-eb5899b7564f" xmlns:ns4="93f5a7a4-2ad1-46b6-8cf3-ba87f7d66d3e" targetNamespace="http://schemas.microsoft.com/office/2006/metadata/properties" ma:root="true" ma:fieldsID="639b1d36cc42e4d6169195526aa97892" ns3:_="" ns4:_="">
    <xsd:import namespace="1edca550-45ec-413d-b410-eb5899b7564f"/>
    <xsd:import namespace="93f5a7a4-2ad1-46b6-8cf3-ba87f7d66d3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_activity" minOccurs="0"/>
                <xsd:element ref="ns4:SharedWithUsers" minOccurs="0"/>
                <xsd:element ref="ns4:SharedWithDetails" minOccurs="0"/>
                <xsd:element ref="ns4:SharingHintHash"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dca550-45ec-413d-b410-eb5899b75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f5a7a4-2ad1-46b6-8cf3-ba87f7d66d3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1edca550-45ec-413d-b410-eb5899b7564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58D14B-933D-48A9-A6F3-48DA3224B5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dca550-45ec-413d-b410-eb5899b7564f"/>
    <ds:schemaRef ds:uri="93f5a7a4-2ad1-46b6-8cf3-ba87f7d66d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D9AE74-763B-405D-A4CE-DACD6EB20A0B}">
  <ds:schemaRefs>
    <ds:schemaRef ds:uri="1edca550-45ec-413d-b410-eb5899b7564f"/>
    <ds:schemaRef ds:uri="http://purl.org/dc/terms/"/>
    <ds:schemaRef ds:uri="http://www.w3.org/XML/1998/namespace"/>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93f5a7a4-2ad1-46b6-8cf3-ba87f7d66d3e"/>
    <ds:schemaRef ds:uri="http://schemas.microsoft.com/office/2006/metadata/properties"/>
  </ds:schemaRefs>
</ds:datastoreItem>
</file>

<file path=customXml/itemProps3.xml><?xml version="1.0" encoding="utf-8"?>
<ds:datastoreItem xmlns:ds="http://schemas.openxmlformats.org/officeDocument/2006/customXml" ds:itemID="{BAEC02DF-6768-4E65-9990-8756975675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Summary_Old</vt:lpstr>
      <vt:lpstr>Sheet1</vt:lpstr>
      <vt:lpstr>Capex Summary</vt:lpstr>
      <vt:lpstr>PO Tracker summary</vt:lpstr>
      <vt:lpstr>Sheet2</vt:lpstr>
      <vt:lpstr>Capex breakup</vt:lpstr>
      <vt:lpstr>PO Tracker</vt:lpstr>
      <vt:lpstr>Summary_Old outlets</vt:lpstr>
      <vt:lpstr>Details_OLD2</vt:lpstr>
      <vt:lpstr>Details_Old</vt:lpstr>
      <vt:lpstr>Table 1_Hide</vt:lpstr>
      <vt:lpstr>https___travelfoodservices_my.sharepoint.com_personal_suraj_kumbhar_travelfoodservices_com_Documents_Suraj_20Kumbhar_20Working_Semolina_20Capex_20trackers_LKO_20POs_SKPL_001004_23_24_LKO_Cafeccino_NSA_20DESIGN_20STUDIO_Consultant.pdf</vt:lpstr>
      <vt:lpstr>Sheet2!Print_Area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Shashank Mahadik</dc:creator>
  <cp:lastModifiedBy>Suraj Kumbhar</cp:lastModifiedBy>
  <cp:lastPrinted>2024-01-03T13:08:06Z</cp:lastPrinted>
  <dcterms:created xsi:type="dcterms:W3CDTF">2020-10-29T14:49:20Z</dcterms:created>
  <dcterms:modified xsi:type="dcterms:W3CDTF">2024-02-07T14:15:44Z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0x010100FB77B4FCFFCAC74E936BB64A56CC1143</vt:lpwstr>
  </property>
</Properties>
</file>