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0" yWindow="0" windowWidth="19200" windowHeight="6930"/>
  </bookViews>
  <sheets>
    <sheet name="Summary " sheetId="4" r:id="rId1"/>
    <sheet name="RA-02 " sheetId="6" r:id="rId2"/>
    <sheet name="RA-02 JMS " sheetId="8" r:id="rId3"/>
    <sheet name="RA-01 JMS " sheetId="5" r:id="rId4"/>
  </sheets>
  <definedNames>
    <definedName name="_xlnm._FilterDatabase" localSheetId="3" hidden="1">'RA-01 JMS '!$A$2:$D$157</definedName>
    <definedName name="_xlnm._FilterDatabase" localSheetId="1" hidden="1">'RA-02 '!$A$2:$D$130</definedName>
    <definedName name="_xlnm.Print_Area" localSheetId="1">'RA-02 '!$A$1:$R$131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 l="1"/>
  <c r="E11" i="4" s="1"/>
  <c r="K35" i="6"/>
  <c r="K31" i="6"/>
  <c r="K29" i="6"/>
  <c r="K28" i="6"/>
  <c r="K27" i="6"/>
  <c r="O14" i="6"/>
  <c r="J7" i="6"/>
  <c r="J8" i="6"/>
  <c r="J123" i="6"/>
  <c r="J124" i="6"/>
  <c r="J125" i="6"/>
  <c r="J126" i="6"/>
  <c r="J127" i="6"/>
  <c r="J128" i="6"/>
  <c r="J129" i="6"/>
  <c r="J130" i="6"/>
  <c r="J131" i="6"/>
  <c r="J122" i="6"/>
  <c r="J115" i="6"/>
  <c r="J116" i="6"/>
  <c r="J117" i="6"/>
  <c r="J118" i="6"/>
  <c r="J114" i="6"/>
  <c r="J89" i="6"/>
  <c r="J90" i="6"/>
  <c r="J91" i="6"/>
  <c r="J92" i="6"/>
  <c r="J93" i="6"/>
  <c r="J94" i="6"/>
  <c r="J95" i="6"/>
  <c r="J96" i="6"/>
  <c r="J97" i="6"/>
  <c r="J98" i="6"/>
  <c r="J99" i="6"/>
  <c r="J100" i="6"/>
  <c r="J101" i="6"/>
  <c r="J102" i="6"/>
  <c r="J103" i="6"/>
  <c r="J104" i="6"/>
  <c r="J105" i="6"/>
  <c r="J106" i="6"/>
  <c r="J107" i="6"/>
  <c r="J108" i="6"/>
  <c r="J109" i="6"/>
  <c r="J110" i="6"/>
  <c r="J8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14" i="6"/>
  <c r="J9" i="6"/>
  <c r="J11" i="6"/>
  <c r="J10" i="6"/>
  <c r="J6" i="6"/>
  <c r="E12" i="4" l="1"/>
  <c r="H7" i="4"/>
  <c r="N46" i="6"/>
  <c r="H6" i="4" s="1"/>
  <c r="N84" i="6"/>
  <c r="N120" i="6"/>
  <c r="H9" i="4" s="1"/>
  <c r="I26" i="6"/>
  <c r="K26" i="6" s="1"/>
  <c r="L26" i="6" s="1"/>
  <c r="I32" i="6"/>
  <c r="K32" i="6" s="1"/>
  <c r="L32" i="6" s="1"/>
  <c r="I34" i="6"/>
  <c r="K34" i="6" s="1"/>
  <c r="L34" i="6" s="1"/>
  <c r="I110" i="6"/>
  <c r="I109" i="6"/>
  <c r="I99" i="6"/>
  <c r="I96" i="6"/>
  <c r="I95" i="6"/>
  <c r="I82" i="6"/>
  <c r="I81" i="6"/>
  <c r="I80" i="6"/>
  <c r="I78" i="6"/>
  <c r="I77" i="6"/>
  <c r="I76" i="6"/>
  <c r="K76" i="6" s="1"/>
  <c r="L76" i="6" s="1"/>
  <c r="I75" i="6"/>
  <c r="K75" i="6" s="1"/>
  <c r="L75" i="6" s="1"/>
  <c r="I73" i="6"/>
  <c r="I71" i="6"/>
  <c r="K71" i="6" s="1"/>
  <c r="L71" i="6" s="1"/>
  <c r="I68" i="6"/>
  <c r="I67" i="6"/>
  <c r="I66" i="6"/>
  <c r="I65" i="6"/>
  <c r="K65" i="6" s="1"/>
  <c r="L65" i="6" s="1"/>
  <c r="I63" i="6"/>
  <c r="I62" i="6"/>
  <c r="I61" i="6"/>
  <c r="I58" i="6"/>
  <c r="I57" i="6"/>
  <c r="K57" i="6" s="1"/>
  <c r="L57" i="6" s="1"/>
  <c r="I55" i="6"/>
  <c r="I53" i="6"/>
  <c r="I52" i="6"/>
  <c r="K52" i="6" s="1"/>
  <c r="L52" i="6" s="1"/>
  <c r="K54" i="6"/>
  <c r="L54" i="6" s="1"/>
  <c r="K61" i="6"/>
  <c r="L61" i="6" s="1"/>
  <c r="I51" i="6"/>
  <c r="I50" i="6"/>
  <c r="I49" i="6"/>
  <c r="J48" i="6"/>
  <c r="I48" i="6"/>
  <c r="K48" i="6" s="1"/>
  <c r="L48" i="6" s="1"/>
  <c r="M117" i="6"/>
  <c r="N117" i="6" s="1"/>
  <c r="I116" i="6"/>
  <c r="M115" i="6"/>
  <c r="N115" i="6" s="1"/>
  <c r="I123" i="6"/>
  <c r="K123" i="6" s="1"/>
  <c r="L123" i="6" s="1"/>
  <c r="I23" i="6"/>
  <c r="M21" i="6"/>
  <c r="N21" i="6" s="1"/>
  <c r="K14" i="6"/>
  <c r="L14" i="6" s="1"/>
  <c r="K24" i="6"/>
  <c r="L24" i="6"/>
  <c r="L27" i="6"/>
  <c r="L28" i="6"/>
  <c r="L29" i="6"/>
  <c r="L31" i="6"/>
  <c r="L35" i="6"/>
  <c r="K36" i="6"/>
  <c r="L36" i="6"/>
  <c r="K44" i="6"/>
  <c r="L44" i="6" s="1"/>
  <c r="K51" i="6"/>
  <c r="L51" i="6" s="1"/>
  <c r="K53" i="6"/>
  <c r="L53" i="6" s="1"/>
  <c r="K56" i="6"/>
  <c r="L56" i="6" s="1"/>
  <c r="K58" i="6"/>
  <c r="L58" i="6" s="1"/>
  <c r="K59" i="6"/>
  <c r="L59" i="6" s="1"/>
  <c r="K60" i="6"/>
  <c r="L60" i="6" s="1"/>
  <c r="K66" i="6"/>
  <c r="L66" i="6" s="1"/>
  <c r="K68" i="6"/>
  <c r="L68" i="6" s="1"/>
  <c r="K69" i="6"/>
  <c r="L69" i="6" s="1"/>
  <c r="K70" i="6"/>
  <c r="L70" i="6" s="1"/>
  <c r="K72" i="6"/>
  <c r="L72" i="6" s="1"/>
  <c r="K73" i="6"/>
  <c r="L73" i="6" s="1"/>
  <c r="K74" i="6"/>
  <c r="L74" i="6" s="1"/>
  <c r="K77" i="6"/>
  <c r="L77" i="6" s="1"/>
  <c r="K78" i="6"/>
  <c r="L78" i="6" s="1"/>
  <c r="K79" i="6"/>
  <c r="L79" i="6" s="1"/>
  <c r="K82" i="6"/>
  <c r="L82" i="6" s="1"/>
  <c r="K89" i="6"/>
  <c r="L89" i="6" s="1"/>
  <c r="K90" i="6"/>
  <c r="L90" i="6" s="1"/>
  <c r="K92" i="6"/>
  <c r="L92" i="6" s="1"/>
  <c r="K93" i="6"/>
  <c r="L93" i="6" s="1"/>
  <c r="K94" i="6"/>
  <c r="L94" i="6" s="1"/>
  <c r="K95" i="6"/>
  <c r="L95" i="6" s="1"/>
  <c r="K96" i="6"/>
  <c r="L96" i="6" s="1"/>
  <c r="K97" i="6"/>
  <c r="L97" i="6" s="1"/>
  <c r="K98" i="6"/>
  <c r="L98" i="6" s="1"/>
  <c r="K99" i="6"/>
  <c r="L99" i="6" s="1"/>
  <c r="K100" i="6"/>
  <c r="L100" i="6" s="1"/>
  <c r="K102" i="6"/>
  <c r="L102" i="6" s="1"/>
  <c r="K104" i="6"/>
  <c r="L104" i="6"/>
  <c r="K106" i="6"/>
  <c r="L106" i="6" s="1"/>
  <c r="K108" i="6"/>
  <c r="L108" i="6" s="1"/>
  <c r="K109" i="6"/>
  <c r="L109" i="6" s="1"/>
  <c r="K110" i="6"/>
  <c r="L110" i="6" s="1"/>
  <c r="K116" i="6"/>
  <c r="L116" i="6" s="1"/>
  <c r="K117" i="6"/>
  <c r="L117" i="6" s="1"/>
  <c r="K118" i="6"/>
  <c r="L118" i="6" s="1"/>
  <c r="K119" i="6"/>
  <c r="L119" i="6" s="1"/>
  <c r="K122" i="6"/>
  <c r="L122" i="6" s="1"/>
  <c r="K124" i="6"/>
  <c r="L124" i="6" s="1"/>
  <c r="K125" i="6"/>
  <c r="L125" i="6" s="1"/>
  <c r="K126" i="6"/>
  <c r="L126" i="6" s="1"/>
  <c r="K127" i="6"/>
  <c r="L127" i="6" s="1"/>
  <c r="K128" i="6"/>
  <c r="L128" i="6" s="1"/>
  <c r="K129" i="6"/>
  <c r="L129" i="6" s="1"/>
  <c r="K130" i="6"/>
  <c r="L130" i="6" s="1"/>
  <c r="K131" i="6"/>
  <c r="L131" i="6" s="1"/>
  <c r="K5" i="6"/>
  <c r="L5" i="6" s="1"/>
  <c r="F137" i="8"/>
  <c r="E137" i="8"/>
  <c r="F136" i="8"/>
  <c r="E136" i="8"/>
  <c r="I136" i="8" s="1"/>
  <c r="F135" i="8"/>
  <c r="E135" i="8"/>
  <c r="F134" i="8"/>
  <c r="E134" i="8"/>
  <c r="I134" i="8" s="1"/>
  <c r="F133" i="8"/>
  <c r="E133" i="8"/>
  <c r="I133" i="8" s="1"/>
  <c r="F132" i="8"/>
  <c r="I132" i="8" s="1"/>
  <c r="E132" i="8"/>
  <c r="F89" i="8"/>
  <c r="I89" i="8" s="1"/>
  <c r="E89" i="8"/>
  <c r="F88" i="8"/>
  <c r="E88" i="8"/>
  <c r="F84" i="8"/>
  <c r="E84" i="8"/>
  <c r="F83" i="8"/>
  <c r="E83" i="8"/>
  <c r="F80" i="8"/>
  <c r="E80" i="8"/>
  <c r="F79" i="8"/>
  <c r="E79" i="8"/>
  <c r="F76" i="8"/>
  <c r="E76" i="8"/>
  <c r="F75" i="8"/>
  <c r="I75" i="8" s="1"/>
  <c r="E75" i="8"/>
  <c r="F74" i="8"/>
  <c r="I74" i="8" s="1"/>
  <c r="E74" i="8"/>
  <c r="F70" i="8"/>
  <c r="E70" i="8"/>
  <c r="F69" i="8"/>
  <c r="I69" i="8" s="1"/>
  <c r="E69" i="8"/>
  <c r="F68" i="8"/>
  <c r="E68" i="8"/>
  <c r="I67" i="8"/>
  <c r="F67" i="8"/>
  <c r="E67" i="8"/>
  <c r="F66" i="8"/>
  <c r="E66" i="8"/>
  <c r="E63" i="8"/>
  <c r="I63" i="8" s="1"/>
  <c r="E62" i="8"/>
  <c r="I62" i="8" s="1"/>
  <c r="E61" i="8"/>
  <c r="I61" i="8" s="1"/>
  <c r="E60" i="8"/>
  <c r="I60" i="8" s="1"/>
  <c r="F56" i="8"/>
  <c r="I56" i="8" s="1"/>
  <c r="E56" i="8"/>
  <c r="F55" i="8"/>
  <c r="I55" i="8" s="1"/>
  <c r="E55" i="8"/>
  <c r="F54" i="8"/>
  <c r="E54" i="8"/>
  <c r="F53" i="8"/>
  <c r="I53" i="8" s="1"/>
  <c r="E53" i="8"/>
  <c r="F52" i="8"/>
  <c r="I52" i="8" s="1"/>
  <c r="E52" i="8"/>
  <c r="F51" i="8"/>
  <c r="E51" i="8"/>
  <c r="F50" i="8"/>
  <c r="E50" i="8"/>
  <c r="F49" i="8"/>
  <c r="E49" i="8"/>
  <c r="G46" i="8"/>
  <c r="E46" i="8"/>
  <c r="F43" i="8"/>
  <c r="E43" i="8"/>
  <c r="I43" i="8" s="1"/>
  <c r="I42" i="8" s="1"/>
  <c r="M29" i="6" s="1"/>
  <c r="N29" i="6" s="1"/>
  <c r="I40" i="8"/>
  <c r="F40" i="8"/>
  <c r="E40" i="8"/>
  <c r="F39" i="8"/>
  <c r="E39" i="8"/>
  <c r="F38" i="8"/>
  <c r="E38" i="8"/>
  <c r="F37" i="8"/>
  <c r="E37" i="8"/>
  <c r="F36" i="8"/>
  <c r="I36" i="8" s="1"/>
  <c r="E36" i="8"/>
  <c r="I33" i="8"/>
  <c r="F33" i="8"/>
  <c r="E33" i="8"/>
  <c r="F32" i="8"/>
  <c r="E32" i="8"/>
  <c r="F31" i="8"/>
  <c r="E31" i="8"/>
  <c r="I31" i="8" s="1"/>
  <c r="F30" i="8"/>
  <c r="E30" i="8"/>
  <c r="I30" i="8" s="1"/>
  <c r="I25" i="8"/>
  <c r="I24" i="8"/>
  <c r="F20" i="8"/>
  <c r="E20" i="8"/>
  <c r="F19" i="8"/>
  <c r="E19" i="8"/>
  <c r="I19" i="8" s="1"/>
  <c r="F15" i="8"/>
  <c r="E15" i="8"/>
  <c r="F14" i="8"/>
  <c r="E14" i="8"/>
  <c r="F13" i="8"/>
  <c r="I13" i="8" s="1"/>
  <c r="E13" i="8"/>
  <c r="G9" i="8"/>
  <c r="I9" i="8" s="1"/>
  <c r="I8" i="8" s="1"/>
  <c r="I7" i="6" s="1"/>
  <c r="E9" i="8"/>
  <c r="G6" i="8"/>
  <c r="I6" i="8" s="1"/>
  <c r="I5" i="8" s="1"/>
  <c r="I6" i="6" s="1"/>
  <c r="E6" i="8"/>
  <c r="I20" i="8" l="1"/>
  <c r="I39" i="8"/>
  <c r="I46" i="8"/>
  <c r="N31" i="6" s="1"/>
  <c r="I66" i="8"/>
  <c r="I65" i="8" s="1"/>
  <c r="I37" i="6" s="1"/>
  <c r="I80" i="8"/>
  <c r="I78" i="8" s="1"/>
  <c r="I40" i="6" s="1"/>
  <c r="I68" i="8"/>
  <c r="K50" i="6"/>
  <c r="L50" i="6" s="1"/>
  <c r="I15" i="8"/>
  <c r="I32" i="8"/>
  <c r="I29" i="8" s="1"/>
  <c r="M27" i="6" s="1"/>
  <c r="N27" i="6" s="1"/>
  <c r="I37" i="8"/>
  <c r="I50" i="8"/>
  <c r="I76" i="8"/>
  <c r="I84" i="8"/>
  <c r="K67" i="6"/>
  <c r="L67" i="6" s="1"/>
  <c r="I54" i="8"/>
  <c r="I70" i="8"/>
  <c r="I14" i="8"/>
  <c r="I12" i="8" s="1"/>
  <c r="I9" i="6" s="1"/>
  <c r="I38" i="8"/>
  <c r="I35" i="8" s="1"/>
  <c r="M28" i="6" s="1"/>
  <c r="N28" i="6" s="1"/>
  <c r="I49" i="8"/>
  <c r="I48" i="8" s="1"/>
  <c r="I33" i="6" s="1"/>
  <c r="I51" i="8"/>
  <c r="I79" i="8"/>
  <c r="I83" i="8"/>
  <c r="I88" i="8"/>
  <c r="I87" i="8" s="1"/>
  <c r="I43" i="6" s="1"/>
  <c r="I135" i="8"/>
  <c r="I131" i="8" s="1"/>
  <c r="M114" i="6" s="1"/>
  <c r="N114" i="6" s="1"/>
  <c r="N112" i="6" s="1"/>
  <c r="H8" i="4" s="1"/>
  <c r="I137" i="8"/>
  <c r="K81" i="6"/>
  <c r="L81" i="6" s="1"/>
  <c r="K49" i="6"/>
  <c r="L49" i="6" s="1"/>
  <c r="K80" i="6"/>
  <c r="L80" i="6" s="1"/>
  <c r="K63" i="6"/>
  <c r="L63" i="6" s="1"/>
  <c r="K62" i="6"/>
  <c r="L62" i="6" s="1"/>
  <c r="K55" i="6"/>
  <c r="L55" i="6" s="1"/>
  <c r="J46" i="6"/>
  <c r="F6" i="4" s="1"/>
  <c r="G6" i="4" s="1"/>
  <c r="I18" i="8"/>
  <c r="I20" i="6" s="1"/>
  <c r="I82" i="8"/>
  <c r="I41" i="6" s="1"/>
  <c r="I59" i="8"/>
  <c r="M35" i="6" s="1"/>
  <c r="N35" i="6" s="1"/>
  <c r="I73" i="8"/>
  <c r="I39" i="6" s="1"/>
  <c r="K9" i="6" l="1"/>
  <c r="L9" i="6" s="1"/>
  <c r="K33" i="6"/>
  <c r="L33" i="6" s="1"/>
  <c r="K40" i="6"/>
  <c r="L40" i="6" s="1"/>
  <c r="K41" i="6"/>
  <c r="L41" i="6" s="1"/>
  <c r="K43" i="6"/>
  <c r="L43" i="6" s="1"/>
  <c r="K39" i="6"/>
  <c r="L39" i="6" s="1"/>
  <c r="K37" i="6"/>
  <c r="L37" i="6" s="1"/>
  <c r="J120" i="6"/>
  <c r="F9" i="4" s="1"/>
  <c r="G9" i="4" s="1"/>
  <c r="G115" i="6"/>
  <c r="G114" i="6"/>
  <c r="G21" i="6"/>
  <c r="G20" i="6"/>
  <c r="G16" i="6"/>
  <c r="G15" i="6"/>
  <c r="F130" i="6"/>
  <c r="F129" i="6"/>
  <c r="F128" i="6"/>
  <c r="F127" i="6"/>
  <c r="F126" i="6"/>
  <c r="F125" i="6"/>
  <c r="F124" i="6"/>
  <c r="F123" i="6"/>
  <c r="F122" i="6"/>
  <c r="H120" i="6"/>
  <c r="D9" i="4" s="1"/>
  <c r="F118" i="6"/>
  <c r="F117" i="6"/>
  <c r="F116" i="6"/>
  <c r="F115" i="6"/>
  <c r="F114" i="6"/>
  <c r="F110" i="6"/>
  <c r="F109" i="6"/>
  <c r="F108" i="6"/>
  <c r="F106" i="6"/>
  <c r="F105" i="6"/>
  <c r="F104" i="6"/>
  <c r="F103" i="6"/>
  <c r="F102" i="6"/>
  <c r="F100" i="6"/>
  <c r="F99" i="6"/>
  <c r="F98" i="6"/>
  <c r="F97" i="6"/>
  <c r="F96" i="6"/>
  <c r="F95" i="6"/>
  <c r="F94" i="6"/>
  <c r="F93" i="6"/>
  <c r="F92" i="6"/>
  <c r="F90" i="6"/>
  <c r="F89" i="6"/>
  <c r="F88" i="6"/>
  <c r="F82" i="6"/>
  <c r="F81" i="6"/>
  <c r="F80" i="6"/>
  <c r="F79" i="6"/>
  <c r="F78" i="6"/>
  <c r="F77" i="6"/>
  <c r="F76" i="6"/>
  <c r="F75" i="6"/>
  <c r="F74" i="6"/>
  <c r="F73" i="6"/>
  <c r="F72" i="6"/>
  <c r="F71" i="6"/>
  <c r="F70" i="6"/>
  <c r="F69" i="6"/>
  <c r="F68" i="6"/>
  <c r="F67" i="6"/>
  <c r="F66" i="6"/>
  <c r="F65" i="6"/>
  <c r="F63" i="6"/>
  <c r="F62" i="6"/>
  <c r="F61" i="6"/>
  <c r="F60" i="6"/>
  <c r="F59" i="6"/>
  <c r="F58" i="6"/>
  <c r="F57" i="6"/>
  <c r="F56" i="6"/>
  <c r="F55" i="6"/>
  <c r="F54" i="6"/>
  <c r="F53" i="6"/>
  <c r="F52" i="6"/>
  <c r="F51" i="6"/>
  <c r="F50" i="6"/>
  <c r="F49" i="6"/>
  <c r="F48" i="6"/>
  <c r="H46" i="6"/>
  <c r="D6" i="4" s="1"/>
  <c r="F44" i="6"/>
  <c r="F43" i="6"/>
  <c r="F41" i="6"/>
  <c r="F40" i="6"/>
  <c r="F39" i="6"/>
  <c r="F37" i="6"/>
  <c r="F36" i="6"/>
  <c r="F35" i="6"/>
  <c r="F34" i="6"/>
  <c r="F33" i="6"/>
  <c r="F32" i="6"/>
  <c r="F31" i="6"/>
  <c r="F29" i="6"/>
  <c r="F28" i="6"/>
  <c r="F27" i="6"/>
  <c r="F26" i="6"/>
  <c r="F24" i="6"/>
  <c r="F23" i="6"/>
  <c r="F21" i="6"/>
  <c r="F20" i="6"/>
  <c r="F19" i="6"/>
  <c r="F16" i="6"/>
  <c r="F15" i="6"/>
  <c r="H14" i="6"/>
  <c r="F14" i="6"/>
  <c r="F11" i="6"/>
  <c r="F10" i="6"/>
  <c r="H9" i="6"/>
  <c r="F9" i="6"/>
  <c r="F7" i="6"/>
  <c r="F6" i="6"/>
  <c r="F5" i="6"/>
  <c r="I132" i="5"/>
  <c r="G105" i="6" s="1"/>
  <c r="E130" i="5"/>
  <c r="I130" i="5" s="1"/>
  <c r="G103" i="6" s="1"/>
  <c r="I115" i="5"/>
  <c r="G88" i="6" s="1"/>
  <c r="I49" i="5"/>
  <c r="I48" i="5"/>
  <c r="I47" i="5"/>
  <c r="I46" i="5"/>
  <c r="I45" i="5"/>
  <c r="I44" i="5"/>
  <c r="I43" i="5"/>
  <c r="I42" i="5" s="1"/>
  <c r="G23" i="6" s="1"/>
  <c r="I40" i="5"/>
  <c r="I39" i="5"/>
  <c r="I38" i="5"/>
  <c r="I37" i="5"/>
  <c r="I36" i="5" s="1"/>
  <c r="G19" i="6" s="1"/>
  <c r="I30" i="5"/>
  <c r="F29" i="5"/>
  <c r="I29" i="5" s="1"/>
  <c r="I28" i="5"/>
  <c r="I24" i="5"/>
  <c r="I22" i="5" s="1"/>
  <c r="G11" i="6" s="1"/>
  <c r="I23" i="5"/>
  <c r="I21" i="5"/>
  <c r="G10" i="6" s="1"/>
  <c r="K10" i="6" s="1"/>
  <c r="L10" i="6" s="1"/>
  <c r="I17" i="5"/>
  <c r="I16" i="5"/>
  <c r="I15" i="5"/>
  <c r="I14" i="5"/>
  <c r="I13" i="5"/>
  <c r="I12" i="5"/>
  <c r="G7" i="6" s="1"/>
  <c r="I10" i="5"/>
  <c r="I9" i="5"/>
  <c r="I8" i="5"/>
  <c r="I7" i="5"/>
  <c r="I6" i="5" s="1"/>
  <c r="G6" i="6" s="1"/>
  <c r="I27" i="5" l="1"/>
  <c r="M14" i="6" s="1"/>
  <c r="N14" i="6" s="1"/>
  <c r="N4" i="6" s="1"/>
  <c r="H10" i="6"/>
  <c r="H20" i="6"/>
  <c r="K20" i="6"/>
  <c r="L20" i="6" s="1"/>
  <c r="H7" i="6"/>
  <c r="K7" i="6"/>
  <c r="L7" i="6" s="1"/>
  <c r="H16" i="6"/>
  <c r="K16" i="6"/>
  <c r="L16" i="6" s="1"/>
  <c r="H23" i="6"/>
  <c r="K23" i="6"/>
  <c r="L23" i="6" s="1"/>
  <c r="H114" i="6"/>
  <c r="K114" i="6"/>
  <c r="L114" i="6" s="1"/>
  <c r="H11" i="6"/>
  <c r="K11" i="6"/>
  <c r="L11" i="6" s="1"/>
  <c r="H103" i="6"/>
  <c r="K103" i="6"/>
  <c r="L103" i="6" s="1"/>
  <c r="F112" i="6"/>
  <c r="C8" i="4" s="1"/>
  <c r="H6" i="6"/>
  <c r="K6" i="6"/>
  <c r="L6" i="6" s="1"/>
  <c r="H15" i="6"/>
  <c r="K15" i="6"/>
  <c r="L15" i="6" s="1"/>
  <c r="H21" i="6"/>
  <c r="K21" i="6"/>
  <c r="L21" i="6" s="1"/>
  <c r="H105" i="6"/>
  <c r="K105" i="6"/>
  <c r="L105" i="6" s="1"/>
  <c r="J112" i="6"/>
  <c r="F8" i="4" s="1"/>
  <c r="G8" i="4" s="1"/>
  <c r="H19" i="6"/>
  <c r="K19" i="6"/>
  <c r="L19" i="6" s="1"/>
  <c r="H88" i="6"/>
  <c r="K88" i="6"/>
  <c r="L88" i="6" s="1"/>
  <c r="H115" i="6"/>
  <c r="K115" i="6"/>
  <c r="L115" i="6" s="1"/>
  <c r="J84" i="6"/>
  <c r="F7" i="4" s="1"/>
  <c r="G7" i="4" s="1"/>
  <c r="F4" i="6"/>
  <c r="C5" i="4" s="1"/>
  <c r="F84" i="6"/>
  <c r="C7" i="4" s="1"/>
  <c r="F120" i="6"/>
  <c r="C9" i="4" s="1"/>
  <c r="F46" i="6"/>
  <c r="H5" i="4" l="1"/>
  <c r="H10" i="4" s="1"/>
  <c r="H11" i="4" s="1"/>
  <c r="H12" i="4" s="1"/>
  <c r="N3" i="6"/>
  <c r="H84" i="6"/>
  <c r="D7" i="4" s="1"/>
  <c r="H112" i="6"/>
  <c r="D8" i="4" s="1"/>
  <c r="J4" i="6"/>
  <c r="H4" i="6"/>
  <c r="D5" i="4" s="1"/>
  <c r="F3" i="6"/>
  <c r="C6" i="4"/>
  <c r="C10" i="4" s="1"/>
  <c r="C11" i="4" s="1"/>
  <c r="C12" i="4" s="1"/>
  <c r="J3" i="6" l="1"/>
  <c r="F5" i="4"/>
  <c r="D10" i="4"/>
  <c r="D11" i="4" s="1"/>
  <c r="D12" i="4" s="1"/>
  <c r="H3" i="6"/>
  <c r="F10" i="4" l="1"/>
  <c r="F11" i="4" s="1"/>
  <c r="F12" i="4" s="1"/>
  <c r="G5" i="4"/>
  <c r="G10" i="4" s="1"/>
  <c r="G11" i="4" l="1"/>
  <c r="G12" i="4"/>
</calcChain>
</file>

<file path=xl/sharedStrings.xml><?xml version="1.0" encoding="utf-8"?>
<sst xmlns="http://schemas.openxmlformats.org/spreadsheetml/2006/main" count="874" uniqueCount="225">
  <si>
    <t>Qty</t>
  </si>
  <si>
    <t>Unit Price</t>
  </si>
  <si>
    <t/>
  </si>
  <si>
    <t>Civil &amp; Interior Work of AHM Wow China</t>
  </si>
  <si>
    <t>no</t>
  </si>
  <si>
    <t>Electrical Work of AHM Wow China</t>
  </si>
  <si>
    <t>Plumbing Work of AHM Wow China</t>
  </si>
  <si>
    <t>HVAC Work of AHM Wow China</t>
  </si>
  <si>
    <t>FIRE WORKS &amp; FIRE ALARM SYSTEM  for AHM Wow China</t>
  </si>
  <si>
    <t>Sr No.</t>
  </si>
  <si>
    <t>Item Name</t>
  </si>
  <si>
    <t>UOM</t>
  </si>
  <si>
    <t>Amount</t>
  </si>
  <si>
    <t>BOH MOH FOH - ANTI TERMITE TREATMENT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including a 1 year guarantee under suitable undertaking on stamp paper etc, complete as directed by Architect.(Mode of measurement is to be carpet area of floor and not the area of surface treated).</t>
  </si>
  <si>
    <t>SFT</t>
  </si>
  <si>
    <t xml:space="preserve">BOH MOH FOH - CIVIL AND ALLIED WORKS - 
Providing And Laying of half brick partitions with well burnt 1st class good quality bricks in cement mortar 1 4 ( 1 cement   4 coarse sand ) including providing 2 NOS. of 6mm dia MS round bars at every 4th coarse in true line,level and plumb including racking the joints up to 20 mm depth, rubbing and cleaning the surface with necessary scaffolding, curing etc. Complete as directed.Note   MS bar paid extra.
Full height 4.5  Thick wall with 1 4 cement mortar Above raw slab Level.  (Ref. to civil plan) Brick work Fly Ash Brick </t>
  </si>
  <si>
    <t xml:space="preserve">PLASTER WORK- Providing And Laying of 12 mm thick wall plaster 1 4. (Kitchen area   Toilet area FOH MOH Etc. ) (Ref. to civil plan) Internal Plastering </t>
  </si>
  <si>
    <t xml:space="preserve">Water-Proffing Work </t>
  </si>
  <si>
    <t>Providing And Laying of 3 mm APP Waterproofing PU liquid Mebrance (3 Coat or as per mall specification) coating surface as per . manufacture specs, Included Racking hacking of Surface for Waterprofing, Finished smooth in line, level and plumb including curing,  of R.C.C surfaces, racking of joints corner coving  etc. Complete at all levels.   (Ref. to waterproofing plan )  (Option-2) Dr. Fixit Asian Equivalent</t>
  </si>
  <si>
    <t>Providing And Laying of 12 mm thick wall plaster 1 4. (Kitchen area   toilet area FOH MOH Etc. ) (Ref. to civil plan) Protection Plastering.</t>
  </si>
  <si>
    <t>PCC WORK- 1 2 4 - 
Providing And Laying of Upto 50mm PPC above floor filling. (kitchen area ) Ratio 1 4 8</t>
  </si>
  <si>
    <t>FLOOR FILLING</t>
  </si>
  <si>
    <t>Providing and laying cinder filling of light weight of AAC blocks Brick coba (Auto Areated Concrete),   placing the same in sunken area   raised floor surrounded by 115 mm thick brick wall. All Complete As Per Detail Drawing, As Specified And As Directed By Architect  Project - In - Charge. (Depth as per site)</t>
  </si>
  <si>
    <t>Depth upto 200 mm</t>
  </si>
  <si>
    <t>Repairing of Wall Punctures size upto 2feetx2feet</t>
  </si>
  <si>
    <t>NOS</t>
  </si>
  <si>
    <t>Core cutting or Demolotion of wall for the same (For Exhaust   Fresh Air Duct Ac Pipe etc.)</t>
  </si>
  <si>
    <t>FLOORING</t>
  </si>
  <si>
    <t>VITRIFIED TILE KOTA STONE FLOORING -( INSIDE AREA ) 
Providing   laying  2 -0  X2 -0   Vitrified Floor Tiles on a bed
of 50mm thk. cement mortar (1 4)  adhesive of approved make and   design, complete with tile grout in white cement and pigment of   latecrete balendura) matching color of tile.                                                                                                                                                             (Base rate -Rs 70) (Make-Nitco kajaria) (Ref. to Flooring plan)</t>
  </si>
  <si>
    <t>Tile-1 - Polished Kota Stone Flooring 550 X 550 MM (PREMIUM - FULL BODY, DRY MATTE, As per drawings Kajaria NITCO -2 -0  X2 -0  LATICRETE EPOXY GROUT</t>
  </si>
  <si>
    <t>Tile-1 -  ONTARIO GIRIS 600 X 600MM
 (PSTONE CREST - FULL BODY,
 MATTE FINISHing 600 X 600 MM (PREMIUM - FULL BODY, DRY MATTE, As per drawings Kajaria NITCO -2 -0  X2 -0  LATICRETE EPOXY GROUT</t>
  </si>
  <si>
    <t xml:space="preserve">8  wide black granite Kota stone band supply and installation using cement mortar paste in proper line and level with Half round chamfer and Half Nosing. </t>
  </si>
  <si>
    <t>RFT</t>
  </si>
  <si>
    <t>TILE CLADIING (FOR WALL)</t>
  </si>
  <si>
    <t xml:space="preserve">Tile wall cladding -Providing   Fixing of WOW CHICKEN  Multicolored Tile upto slab bottom OR 8 feet with 12mm thk cement slurry base1 4  and joined with white cement slurry mixed with pigment to match the shade of tile .All Complete As Per Detail Drawing, As Specified And As Directed By Architect  Project - In - Charge. (size- 200x200mm) (Base rate-70)(make-Nitco Kajaria Jonshan)                                                                                                                     </t>
  </si>
  <si>
    <t>COUNTER, PANELING   WALL CLADDING</t>
  </si>
  <si>
    <t>WOW CHICKEN COUNTER  Fixed Dispensing Counter- Providing and placing in position rectangular counter (POS counter or main counter) with under counter open shelf as per detail in drawing.  Base shall be made by 19 mm thk. Ply with Drawers finished with solid laminate   edge will be finished with edge binding tape. All Complete As Per Detail Drawing, As Specified And As Directed By Architect  Project - In - Charge. Includs counter with GI corrugated sheet for Taglines. GI Corrugated sheet having deco finished fixed as per drawings having arrangements. Finish with laminet from inside.Length of counter varies as per drawings   Height to be Considered 4feet.</t>
  </si>
  <si>
    <t>PANELLING WORK   Providing and fixing 12mm thick commercial ply on seasoned 2   X 2   kailwood or MS framework with spacing 2 0  x 2 0 , Including two coats of anti - termite coat on all surfaces with necessary support as required including providing   fixing of 1 mm laminate wherever indicated as per drawing, complete in all respects.Laminate shall be GREENLAM or as approved</t>
  </si>
  <si>
    <t xml:space="preserve">Corrugated Sheet with Duco Finish  - Supply and Fixing of GI corrugated sheet Duco finish using PU filler and Primer base. Borders to have 2 *2  Pine wood insatlled with clear polished on all sides. </t>
  </si>
  <si>
    <t>12 mm Ply without Laminate -</t>
  </si>
  <si>
    <t>Providing and fixing wall huge storage cabinet 15   deep,dimensions as per drawing, made out of 19mm Commercial board in sides, shelves, partitions, shutters etc . 6mm thick commercial ply at the back ,shutters etc . 6mm thick commercial ply at the back ,shutters etc . 6mm thick commercial ply at the back,6    high pelmet, all exposed   concealed surfaces to be laminated including concealed brass hinges, ball catchers,tower bolt inside, multipurpose lock, power coated aluminium handles, PVC stip or laminate lipping etc.Complete as per details.</t>
  </si>
  <si>
    <t>DB Cabinet</t>
  </si>
  <si>
    <t>Storage Cabinet on left side of counter - 21  deep</t>
  </si>
  <si>
    <t xml:space="preserve">Yellow and Red CORIAN - Providing   Fixing of 12mm thk. Corian fixed above counter top   facia. All Complete As Per Detail Drawing, As Specified And As Directed By Architect  Project - In - Charge. </t>
  </si>
  <si>
    <t>Back Box-Providing and placing in position rectangular backlit box fixing in  12 mm thk. MR ply as detail   finished with laminate outside   white paint inside. box edge should  be finihsed in pine wood frame surrounding .All Complete As Per Detail Drawing, As Specified And As Directed By Architect  Project - In - Charge. Note- led module of back box will be chargeable extra.    (back box size - 11 -0 x1 -2.5 )</t>
  </si>
  <si>
    <t>Wooden Beading-  Providing   Fixing of poilished  pine wood beading fixed at paneling  top with cove light provision as specified in detail drawing. (for front counter top   facia)</t>
  </si>
  <si>
    <t xml:space="preserve">GLASS WORK - 
TOUGHENED GLASS IN WINDOW PARTITION
12 mm thick toughened glass partition                                                                                             </t>
  </si>
  <si>
    <t>POP OR PUTTY WORK - 
Providing and applying Putty or pop punning over plastered wall   slab bottom up to 12 mm thick layer of super fine Plaster of Paris.                                                                                                       [ Make  Sakarni Super Fine]</t>
  </si>
  <si>
    <t>PAINT WORK</t>
  </si>
  <si>
    <t xml:space="preserve">Providing and applying of 3 or more coats of Plastic emulsion paint of approved make (dulux ICI  Asian or equivalent) on walls as specified. (for walls   ceiling) </t>
  </si>
  <si>
    <t>Perlina Texture Paint</t>
  </si>
  <si>
    <t>Antique Linen Paint on perlina texture</t>
  </si>
  <si>
    <t>CEILING WORK</t>
  </si>
  <si>
    <t>Providing and fixing of Metal Grid ceiling of approved make.All Complete As Per Detail Drawing, As Specified And As Directed By Architect  Project - In - Charge.          (Ref.ceiling plan) Providing and fixing suspended MS Grid ceiling, including Alminium Perameter of size 0.55 mm thick having one flange of 20mm and another flange of 30mm and a web of 27mm along with perimeter of ceiling, screw fixed to brick wall partition with the help of nylon sleeves and 
screw, at 610mm centers. The suspending Aluminium T channels of size 25mm 0.9mm thick with two flanges of 15mm each from the soffit at 600mm
centers with ceiling angle of width 25X25 mm thick fixed to soffit with GI cleat and steel expansion fasteners. Ceiling section of 0.55mm thickness having
knurled web of 51.5mm and two flanges of 26mm each with lips of 10.5mm are these fixed to the Main channel with the help of connecting clips and in direction
perpendicular to the intermediate channel MS Grid Tile to IS-2095-1982) is then put at 600 mm centers.</t>
  </si>
  <si>
    <t>ACP WORK - 
Housekeeping   Providing services for Daily Site Cleaning   proper House keeping on Handover day</t>
  </si>
  <si>
    <t>LS</t>
  </si>
  <si>
    <t>ELECTRICAL WORKS</t>
  </si>
  <si>
    <t xml:space="preserve">Supply and installation Testing   Commessioning of all electricalWork i.e  Wiring (POLYCAB KEI OR Equevalent), in MS conduit for lighting, Power both RAW and by UPS , Power points for all sitting  table   kitchen, all switch sockets for power and lights to be a North West Anchor ROMA make. including TV wiring , Aircurtain Wiring, Speaker complete in all respect includeds                                                                        Note- all wire should be FRLS.                                                                     Light Circuit will be on 1.5 sqmm with 1mm earthing                                     All industrial Socket wiring will be 4sqmm with 2.5 sqmm earthing                                                                                             Other Power will be 2.5 sqmm with 1.5 sqmm Earthing etc. </t>
  </si>
  <si>
    <t xml:space="preserve">12 WAY TPN DB  as per Site Requirement with ELCB in each Phase. Commesioning with Proper Lugs, thimbling etc.                                                                                              63-100A 4P MCB as incomer, 3 Nos ELCB 30mili Amp rating, 30 Poles of  6-32 A SP TP MCB as outgoings </t>
  </si>
  <si>
    <t xml:space="preserve">12 WAY SPN DB as per Site Requirement with ELCB in each Phase. Commesioning with Proper Lux,thimbling etc                                                                32 A, 2P, MCB as incomer  - 10 n.o 6-32 A, SP, MCB as outgoings .               </t>
  </si>
  <si>
    <t>SITC of 100-63A 4P MCCB MCB with box</t>
  </si>
  <si>
    <t>Surface Ceiling light  (Make Philips Osram wipro- 18 watt. )</t>
  </si>
  <si>
    <t>2X2Concealed Ceiling light (Make Philips Osram Wipro- 22 watt. )</t>
  </si>
  <si>
    <t>Track light Cylinderical Light (Make Philips Osram Equvalent  18 watt. )</t>
  </si>
  <si>
    <t xml:space="preserve">Hanging Lights with Led Bulb </t>
  </si>
  <si>
    <t>Led strip light (make- Philips Havells or similar)</t>
  </si>
  <si>
    <t>Speaker as per Client Requirement Ahuja 10Watt AHUJA PS-300TM</t>
  </si>
  <si>
    <t>Ahuja Amplifire 350Watt AhujaDPA-370M</t>
  </si>
  <si>
    <t>Wall fans  (make- Philips Havells or similar)</t>
  </si>
  <si>
    <t>Digital meter Depend on electric Load</t>
  </si>
  <si>
    <t>Providing   Laying 4Core35 Sqmm Al Armoured Cable</t>
  </si>
  <si>
    <t>RMT</t>
  </si>
  <si>
    <t>Termination of Above cable Upto 35sqmm</t>
  </si>
  <si>
    <t>Termination of Above cable avove 35sqmm</t>
  </si>
  <si>
    <t xml:space="preserve">Supply   fixing of Industrial type plug   socket MCB in enclosure complete in all respects including MCB s and of following ratings </t>
  </si>
  <si>
    <t>20A single phase 3 pin Ind  socket with 20 A, MCB Metal Box</t>
  </si>
  <si>
    <t xml:space="preserve">20A single phase 3 pin Ind  socket with 20 A, MCB Neptune Box </t>
  </si>
  <si>
    <t xml:space="preserve">CAT6 Information outlet &lt;FRLS wire Conduits </t>
  </si>
  <si>
    <t xml:space="preserve">cctv wiring </t>
  </si>
  <si>
    <t>Exhasut Freshair 5HP L T Motor Starter</t>
  </si>
  <si>
    <t>Exhasut Freshair 7.5HP L T Motor Starter</t>
  </si>
  <si>
    <t>MS Cable Tray of 150mmx50mm put in the kitchen area for the fixing of lights and wires to be painted in Grey color including all necessary fixing hardware like treadrod, nut bolt, fastner etc.</t>
  </si>
  <si>
    <t xml:space="preserve">2 KVA UPS </t>
  </si>
  <si>
    <t xml:space="preserve">MS Stand </t>
  </si>
  <si>
    <t>Samsung led TV 32  - Supply and installation</t>
  </si>
  <si>
    <t>Nos.</t>
  </si>
  <si>
    <t>Supply and insatllation of all CCTV works - HD 2MP DOME CAMERA 8</t>
  </si>
  <si>
    <t>DVR 8 CH</t>
  </si>
  <si>
    <t>4CH SMPS</t>
  </si>
  <si>
    <t>2TB SV</t>
  </si>
  <si>
    <t>RACK</t>
  </si>
  <si>
    <t>Connector</t>
  </si>
  <si>
    <t>PVC BOX</t>
  </si>
  <si>
    <t>Electric Board</t>
  </si>
  <si>
    <t xml:space="preserve">PLUMBING </t>
  </si>
  <si>
    <t>Water supply</t>
  </si>
  <si>
    <t>Laying   chasing new Water Supply lines to kitchen area sink, R.O.,   geyser ,toilet wc, health faucet   wash basin  connecting to existing lines, to make fully functional, incl.all tees, bends, junctions, elbows etc as also chasing   making good with plastered surfaceas prescribed by the architect.  Providing, laying and jointing PPR pipes ( PN-20 ) complete (PRINCE) with PPR fittings and clamps, including cutting and making good the walls and floors and excavation and back filling wherever necessary etc.complet (as per drawing)</t>
  </si>
  <si>
    <t xml:space="preserve">20 mm nominal bore                                                                                                                                                                                                                                                                                                                                                                                       </t>
  </si>
  <si>
    <t xml:space="preserve">25 mm nominal bore                      </t>
  </si>
  <si>
    <t xml:space="preserve">32 mm nominal bore        </t>
  </si>
  <si>
    <t xml:space="preserve">Providing and fixing brass ball balve with SS 304 stem and ball, teflon seat complete.                                                                                                                                                                                 </t>
  </si>
  <si>
    <t xml:space="preserve">25 mm nominal bore                                                                                                                                                                                                                                                                                                                                                                                       </t>
  </si>
  <si>
    <t>Providing and installation of  RO Water tank (o.h.w.t.) as site provisition.(For Kitchen @ cap.-200 ltr.)</t>
  </si>
  <si>
    <t>Water pressure Pump ( Make  Crompton, 0.5HP )</t>
  </si>
  <si>
    <t>Providing   fixing bottle trap</t>
  </si>
  <si>
    <t>Waste coupling</t>
  </si>
  <si>
    <t xml:space="preserve">Providing and fixing 15mm C.P. brass Angle Valve (Jaguar-Continental) with C.P. copper connecting pipe 375mm long   nuts, washer and C.P. brass flange complete, including cutting and making good the wall wherever required. </t>
  </si>
  <si>
    <t>C.P basin mixer with regular spout and pop-up waste system with 18  long copper connection</t>
  </si>
  <si>
    <t>Drainage</t>
  </si>
  <si>
    <t>Laying   chasing new drain discharge lines for kitchen area sink,new drain discharge lines for toilet wash basin connecting to existing lines, to make fully functional, incl all tees, bends, junctions, elbows etc as also chasing   making good with plastered surface (avg.110 mm dia)6kg mtr as prescribed by the architect or connected  to be existing waste water pipe line. 110mm</t>
  </si>
  <si>
    <t xml:space="preserve">110 mm                                                                                                                                                                           </t>
  </si>
  <si>
    <t>SS Floor Trap  100 OR 150mm Jali Providing and fixing 100mm x 100mm Floor trap including making good of floor .(Cockroach Trap)</t>
  </si>
  <si>
    <t>Providing and installation of Inspection chamber (size - 1 -3 x1 -3 )</t>
  </si>
  <si>
    <t>Providing and fixing SS grating, 6mm thick with rim including setting in floor with cement mortar.</t>
  </si>
  <si>
    <t xml:space="preserve"> FIXTURES</t>
  </si>
  <si>
    <t>Health Faucet (hindware jacqar or similar)</t>
  </si>
  <si>
    <t>6 LTR (INSTANT GEYSER)</t>
  </si>
  <si>
    <t xml:space="preserve">Providing   Fixing Hand dryer </t>
  </si>
  <si>
    <t>HVAC WORKS</t>
  </si>
  <si>
    <t>Providing and installation of 24G SWG GI duct complete in all respect. Note- Measurement of Ducting to be in sq.ft.</t>
  </si>
  <si>
    <t xml:space="preserve">Nitrile rubber insullation of Class O Grade </t>
  </si>
  <si>
    <t>VOLUME CONTROL DAMPERS</t>
  </si>
  <si>
    <t>SUPPLY AIR DIFFUSERS Size upto 600x600</t>
  </si>
  <si>
    <t>AIR  CURTAIN</t>
  </si>
  <si>
    <t xml:space="preserve">FIRE WORKS    FIRE ALARM SYSTEM </t>
  </si>
  <si>
    <t xml:space="preserve">Providing and fixing  of point of  smoke detector </t>
  </si>
  <si>
    <t>Providing and fixing  of Fire Sprinkler line work</t>
  </si>
  <si>
    <t xml:space="preserve">Fire alarm pannel -2 Zone - Conventional type Commessioning with Mall Panel </t>
  </si>
  <si>
    <t xml:space="preserve">Providing and fixing of 2c x 1.5 Sqmm FRLS cable </t>
  </si>
  <si>
    <t>Mtr</t>
  </si>
  <si>
    <t xml:space="preserve">Supply, installation ,testing   Commissioning of optical  Photoelectric type R.I.  of photo optic sensing chamber Make - Agni </t>
  </si>
  <si>
    <t xml:space="preserve">Supply, installation ,testing   Commissioning of Hooter  Make - Agni </t>
  </si>
  <si>
    <t xml:space="preserve">Supply, installation ,testing   Commissioning of Mannual Call Point  Make - Agni </t>
  </si>
  <si>
    <t xml:space="preserve">Monitor Module for Intergration </t>
  </si>
  <si>
    <t xml:space="preserve">ISI Mark Rubber Mat </t>
  </si>
  <si>
    <t>sales1@tirupatioffice.com</t>
  </si>
  <si>
    <t xml:space="preserve">QTY </t>
  </si>
  <si>
    <t xml:space="preserve">RA-01 </t>
  </si>
  <si>
    <t xml:space="preserve">WOW China_AHM_Bill Of Quantities_Civil&amp;Interior_Plumbing _Electrical </t>
  </si>
  <si>
    <t xml:space="preserve">Length </t>
  </si>
  <si>
    <t xml:space="preserve">Width </t>
  </si>
  <si>
    <t xml:space="preserve">Height </t>
  </si>
  <si>
    <t xml:space="preserve">Nos </t>
  </si>
  <si>
    <t xml:space="preserve">Left Wall </t>
  </si>
  <si>
    <t xml:space="preserve">Front Wall </t>
  </si>
  <si>
    <t xml:space="preserve">RHS WALL </t>
  </si>
  <si>
    <t xml:space="preserve">Low Height Wall </t>
  </si>
  <si>
    <t xml:space="preserve">Front Wall  Full Height </t>
  </si>
  <si>
    <t xml:space="preserve">Less Pillar </t>
  </si>
  <si>
    <t>BOH area</t>
  </si>
  <si>
    <t>FOD area</t>
  </si>
  <si>
    <t xml:space="preserve">LHS Wall </t>
  </si>
  <si>
    <t xml:space="preserve">RHS </t>
  </si>
  <si>
    <t xml:space="preserve">Low height </t>
  </si>
  <si>
    <t xml:space="preserve">Front Side </t>
  </si>
  <si>
    <t>Wall</t>
  </si>
  <si>
    <t xml:space="preserve">Civil &amp; Interior </t>
  </si>
  <si>
    <t xml:space="preserve">PO Value </t>
  </si>
  <si>
    <t xml:space="preserve">Plumbing Work </t>
  </si>
  <si>
    <t xml:space="preserve">HVAC </t>
  </si>
  <si>
    <t xml:space="preserve">Fire </t>
  </si>
  <si>
    <t xml:space="preserve">Total </t>
  </si>
  <si>
    <t xml:space="preserve">Electrical Work </t>
  </si>
  <si>
    <t xml:space="preserve">Item </t>
  </si>
  <si>
    <t xml:space="preserve">S.N </t>
  </si>
  <si>
    <t xml:space="preserve">AHM_WOW China _Billing Summary </t>
  </si>
  <si>
    <t xml:space="preserve">Revised RA 01 Measurement Sheet </t>
  </si>
  <si>
    <t>GST 18%</t>
  </si>
  <si>
    <t xml:space="preserve">Total Amount </t>
  </si>
  <si>
    <t xml:space="preserve">RA-01 Value </t>
  </si>
  <si>
    <t>RA-02</t>
  </si>
  <si>
    <t xml:space="preserve">RA 02 Joint  Measurement Sheet </t>
  </si>
  <si>
    <t xml:space="preserve">Qty </t>
  </si>
  <si>
    <t>Extension of wall patta near LHS counter</t>
  </si>
  <si>
    <t>Floor wateproofing</t>
  </si>
  <si>
    <t>Less Pillar</t>
  </si>
  <si>
    <t>Chamber waterproofing</t>
  </si>
  <si>
    <t xml:space="preserve">Floor tile extension till façade </t>
  </si>
  <si>
    <t xml:space="preserve">Skirting </t>
  </si>
  <si>
    <t>Black tile installation on gas line wall</t>
  </si>
  <si>
    <t>Ply panelling above bulkhead ceiling</t>
  </si>
  <si>
    <t xml:space="preserve">RHS L Shape cladding </t>
  </si>
  <si>
    <t>LHS wall L shape</t>
  </si>
  <si>
    <t>Inside bulkhead vertical</t>
  </si>
  <si>
    <t>LHS Vertical</t>
  </si>
  <si>
    <t>RHS Vertical</t>
  </si>
  <si>
    <t>RHS Vertical bottom</t>
  </si>
  <si>
    <t>Door</t>
  </si>
  <si>
    <t>Ceiling top</t>
  </si>
  <si>
    <t>RHS wall base</t>
  </si>
  <si>
    <t>Counter top corian</t>
  </si>
  <si>
    <t>Front Counter</t>
  </si>
  <si>
    <t>Vertical counter</t>
  </si>
  <si>
    <t>Grey Patta</t>
  </si>
  <si>
    <t>Grey pillar patta</t>
  </si>
  <si>
    <t>Counter billing position</t>
  </si>
  <si>
    <t>Beading</t>
  </si>
  <si>
    <t>RHS wall</t>
  </si>
  <si>
    <t>LHS wall</t>
  </si>
  <si>
    <t>Top ceiling</t>
  </si>
  <si>
    <t>Low height top</t>
  </si>
  <si>
    <t xml:space="preserve"> </t>
  </si>
  <si>
    <t xml:space="preserve">Gyspum ceiling area </t>
  </si>
  <si>
    <t>Wall Patta paint</t>
  </si>
  <si>
    <t>Vertical wall inside</t>
  </si>
  <si>
    <t xml:space="preserve">RHS wall </t>
  </si>
  <si>
    <t>LHS Wall</t>
  </si>
  <si>
    <t>RHS Wall</t>
  </si>
  <si>
    <t>FAD</t>
  </si>
  <si>
    <t>SAD</t>
  </si>
  <si>
    <t>RAD</t>
  </si>
  <si>
    <t xml:space="preserve">Variation </t>
  </si>
  <si>
    <t xml:space="preserve">Additional </t>
  </si>
  <si>
    <t xml:space="preserve">Amount </t>
  </si>
  <si>
    <t xml:space="preserve">Additional Value </t>
  </si>
  <si>
    <t xml:space="preserve">PO Date </t>
  </si>
  <si>
    <t xml:space="preserve">PO No </t>
  </si>
  <si>
    <t>Semolina/PO/23-24/000638</t>
  </si>
  <si>
    <t>11.03.2024</t>
  </si>
  <si>
    <t xml:space="preserve">RA-01 JMS </t>
  </si>
  <si>
    <t xml:space="preserve">RA-02 JMS </t>
  </si>
  <si>
    <t>RA-02 Revised 09.07.24</t>
  </si>
  <si>
    <t>Credit Note 09.07.2024</t>
  </si>
  <si>
    <t xml:space="preserve">RA-02 Invoice Value </t>
  </si>
  <si>
    <t xml:space="preserve"> Credit Note (RA_02)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</si>
</sst>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0"/>
  </numFmts>
  <fonts count="9">
    <font>
      <sz val="11"/>
      <name val="Calibri"/>
    </font>
    <font>
      <sz val="11"/>
      <color theme="1"/>
      <name val="Calibri"/>
      <family val="2"/>
      <scheme val="minor"/>
    </font>
    <font>
      <sz val="11"/>
      <name val="Cambria"/>
      <family val="1"/>
    </font>
    <font>
      <b/>
      <sz val="11"/>
      <name val="Cambria"/>
      <family val="1"/>
    </font>
    <font>
      <sz val="11"/>
      <name val="Calibri"/>
    </font>
    <font>
      <sz val="11"/>
      <name val="Calibri"/>
      <family val="2"/>
    </font>
    <font>
      <b/>
      <sz val="11"/>
      <name val="Calibri"/>
      <family val="2"/>
    </font>
    <font>
      <sz val="10"/>
      <color rgb="FF000000"/>
      <name val="Calibri"/>
      <family val="2"/>
    </font>
    <font>
      <b/>
      <sz val="12"/>
      <name val="Calibri"/>
      <family val="2"/>
    </font>
  </fonts>
  <fills count="10">
    <fill>
      <patternFill patternType="none"/>
    </fill>
    <fill>
      <patternFill patternType="gray125"/>
    </fill>
    <fill>
      <patternFill patternType="solid">
        <fgColor rgb="FFD3D3D3"/>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108">
    <xf numFmtId="0" fontId="0" fillId="0" borderId="0" xfId="0"/>
    <xf numFmtId="0" fontId="2" fillId="0" borderId="0" xfId="0" applyFont="1"/>
    <xf numFmtId="0" fontId="3" fillId="2" borderId="1" xfId="0" applyFont="1" applyFill="1" applyBorder="1"/>
    <xf numFmtId="0" fontId="2" fillId="0" borderId="1" xfId="0" applyFont="1" applyBorder="1"/>
    <xf numFmtId="0" fontId="2" fillId="0" borderId="1" xfId="0" applyFont="1" applyBorder="1" applyAlignment="1">
      <alignment horizontal="center"/>
    </xf>
    <xf numFmtId="0" fontId="2" fillId="3" borderId="1" xfId="0" applyFont="1" applyFill="1" applyBorder="1" applyAlignment="1">
      <alignment horizontal="center"/>
    </xf>
    <xf numFmtId="0" fontId="2" fillId="0" borderId="1" xfId="0" applyFont="1" applyBorder="1" applyAlignment="1">
      <alignment wrapText="1"/>
    </xf>
    <xf numFmtId="0" fontId="2" fillId="6" borderId="1" xfId="0" applyFont="1" applyFill="1" applyBorder="1" applyAlignment="1">
      <alignment horizontal="center"/>
    </xf>
    <xf numFmtId="0" fontId="2" fillId="6" borderId="1" xfId="0" applyFont="1" applyFill="1" applyBorder="1" applyAlignment="1">
      <alignment wrapText="1"/>
    </xf>
    <xf numFmtId="0" fontId="2" fillId="7" borderId="1" xfId="0" applyFont="1" applyFill="1" applyBorder="1" applyAlignment="1">
      <alignment wrapText="1"/>
    </xf>
    <xf numFmtId="0" fontId="2" fillId="0" borderId="0" xfId="2" applyFont="1"/>
    <xf numFmtId="0" fontId="3" fillId="2" borderId="1" xfId="2" applyFont="1" applyFill="1" applyBorder="1"/>
    <xf numFmtId="0" fontId="2" fillId="6" borderId="1" xfId="2" applyFont="1" applyFill="1" applyBorder="1" applyAlignment="1">
      <alignment horizontal="center"/>
    </xf>
    <xf numFmtId="0" fontId="2" fillId="6" borderId="1" xfId="2" applyFont="1" applyFill="1" applyBorder="1" applyAlignment="1">
      <alignment wrapText="1"/>
    </xf>
    <xf numFmtId="0" fontId="2" fillId="6" borderId="1" xfId="2" applyFont="1" applyFill="1" applyBorder="1"/>
    <xf numFmtId="1" fontId="2" fillId="6" borderId="1" xfId="2" applyNumberFormat="1" applyFont="1" applyFill="1" applyBorder="1"/>
    <xf numFmtId="0" fontId="2" fillId="0" borderId="1" xfId="2" applyFont="1" applyBorder="1" applyAlignment="1">
      <alignment horizontal="center"/>
    </xf>
    <xf numFmtId="0" fontId="2" fillId="0" borderId="1" xfId="2" applyFont="1" applyBorder="1" applyAlignment="1">
      <alignment wrapText="1"/>
    </xf>
    <xf numFmtId="0" fontId="2" fillId="0" borderId="1" xfId="2" applyFont="1" applyBorder="1" applyAlignment="1">
      <alignment horizontal="center" vertical="center"/>
    </xf>
    <xf numFmtId="1" fontId="2" fillId="0" borderId="1"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 fillId="0" borderId="1" xfId="2" applyNumberFormat="1" applyFont="1" applyBorder="1" applyAlignment="1">
      <alignment horizontal="center" vertical="center"/>
    </xf>
    <xf numFmtId="0" fontId="2" fillId="0" borderId="1" xfId="2" applyFont="1" applyBorder="1"/>
    <xf numFmtId="1" fontId="2" fillId="0" borderId="1" xfId="2" applyNumberFormat="1" applyFont="1" applyBorder="1"/>
    <xf numFmtId="164" fontId="2" fillId="0" borderId="1" xfId="2" applyNumberFormat="1" applyFont="1" applyBorder="1"/>
    <xf numFmtId="0" fontId="2" fillId="3" borderId="1" xfId="2" applyFont="1" applyFill="1" applyBorder="1" applyAlignment="1">
      <alignment horizontal="center"/>
    </xf>
    <xf numFmtId="164" fontId="3" fillId="0" borderId="1" xfId="2" applyNumberFormat="1" applyFont="1" applyBorder="1"/>
    <xf numFmtId="164" fontId="2" fillId="6" borderId="1" xfId="2" applyNumberFormat="1" applyFont="1" applyFill="1" applyBorder="1"/>
    <xf numFmtId="0" fontId="2" fillId="7" borderId="1" xfId="2" applyFont="1" applyFill="1" applyBorder="1" applyAlignment="1">
      <alignment wrapText="1"/>
    </xf>
    <xf numFmtId="0" fontId="2" fillId="7" borderId="1" xfId="2" applyFont="1" applyFill="1" applyBorder="1"/>
    <xf numFmtId="1" fontId="2" fillId="7" borderId="1" xfId="2" applyNumberFormat="1" applyFont="1" applyFill="1" applyBorder="1"/>
    <xf numFmtId="164" fontId="2" fillId="7" borderId="1" xfId="2" applyNumberFormat="1" applyFont="1" applyFill="1" applyBorder="1"/>
    <xf numFmtId="0" fontId="2" fillId="4" borderId="1" xfId="2" applyFont="1" applyFill="1" applyBorder="1" applyAlignment="1">
      <alignment horizontal="center"/>
    </xf>
    <xf numFmtId="0" fontId="2" fillId="4" borderId="1" xfId="2" applyFont="1" applyFill="1" applyBorder="1" applyAlignment="1">
      <alignment wrapText="1"/>
    </xf>
    <xf numFmtId="0" fontId="2" fillId="4" borderId="1" xfId="2" applyFont="1" applyFill="1" applyBorder="1"/>
    <xf numFmtId="1" fontId="2" fillId="4" borderId="1" xfId="2" applyNumberFormat="1" applyFont="1" applyFill="1" applyBorder="1"/>
    <xf numFmtId="164" fontId="2" fillId="4" borderId="1" xfId="2" applyNumberFormat="1" applyFont="1" applyFill="1" applyBorder="1"/>
    <xf numFmtId="164" fontId="3" fillId="4" borderId="1" xfId="2" applyNumberFormat="1"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6" fillId="8" borderId="1" xfId="0" applyFont="1" applyFill="1" applyBorder="1" applyAlignment="1">
      <alignment horizontal="center"/>
    </xf>
    <xf numFmtId="0" fontId="6" fillId="8" borderId="1" xfId="0" applyFont="1" applyFill="1" applyBorder="1" applyAlignment="1">
      <alignment horizontal="center" vertical="center"/>
    </xf>
    <xf numFmtId="0" fontId="6" fillId="5" borderId="1" xfId="0" applyFont="1" applyFill="1" applyBorder="1" applyAlignment="1">
      <alignment horizontal="center"/>
    </xf>
    <xf numFmtId="1" fontId="6" fillId="5" borderId="1" xfId="0" applyNumberFormat="1" applyFont="1" applyFill="1" applyBorder="1" applyAlignment="1">
      <alignment horizontal="center" vertical="center"/>
    </xf>
    <xf numFmtId="164" fontId="3" fillId="4" borderId="1" xfId="2" applyNumberFormat="1" applyFont="1" applyFill="1" applyBorder="1"/>
    <xf numFmtId="2" fontId="0" fillId="0" borderId="1" xfId="0" applyNumberFormat="1" applyBorder="1" applyAlignment="1">
      <alignment horizontal="center" vertical="center"/>
    </xf>
    <xf numFmtId="0" fontId="6" fillId="9" borderId="1" xfId="0" applyFont="1" applyFill="1" applyBorder="1" applyAlignment="1">
      <alignment horizontal="center" vertical="center"/>
    </xf>
    <xf numFmtId="1" fontId="6" fillId="9" borderId="1" xfId="0" applyNumberFormat="1" applyFont="1" applyFill="1" applyBorder="1" applyAlignment="1">
      <alignment horizontal="center" vertical="center"/>
    </xf>
    <xf numFmtId="2" fontId="6" fillId="9" borderId="1" xfId="0" applyNumberFormat="1" applyFont="1" applyFill="1" applyBorder="1" applyAlignment="1">
      <alignment horizontal="center" vertical="center"/>
    </xf>
    <xf numFmtId="0" fontId="2" fillId="0" borderId="0" xfId="3" applyFont="1"/>
    <xf numFmtId="0" fontId="3" fillId="2" borderId="1" xfId="3" applyFont="1" applyFill="1" applyBorder="1"/>
    <xf numFmtId="0" fontId="2" fillId="6" borderId="1" xfId="3" applyFont="1" applyFill="1" applyBorder="1" applyAlignment="1">
      <alignment horizontal="center"/>
    </xf>
    <xf numFmtId="0" fontId="2" fillId="6" borderId="1" xfId="3" applyFont="1" applyFill="1" applyBorder="1" applyAlignment="1">
      <alignment wrapText="1"/>
    </xf>
    <xf numFmtId="0" fontId="2" fillId="6" borderId="1" xfId="3" applyFont="1" applyFill="1" applyBorder="1"/>
    <xf numFmtId="1" fontId="2" fillId="6" borderId="1" xfId="3" applyNumberFormat="1" applyFont="1" applyFill="1" applyBorder="1"/>
    <xf numFmtId="0" fontId="2" fillId="0" borderId="1" xfId="3" applyFont="1" applyBorder="1" applyAlignment="1">
      <alignment horizontal="center"/>
    </xf>
    <xf numFmtId="0" fontId="2" fillId="0" borderId="1" xfId="3" applyFont="1" applyBorder="1" applyAlignment="1">
      <alignment wrapText="1"/>
    </xf>
    <xf numFmtId="0" fontId="2" fillId="0" borderId="1" xfId="3" applyFont="1" applyBorder="1" applyAlignment="1">
      <alignment horizontal="center" vertical="center"/>
    </xf>
    <xf numFmtId="1" fontId="2" fillId="0" borderId="1" xfId="3" applyNumberFormat="1" applyFont="1" applyBorder="1" applyAlignment="1">
      <alignment horizontal="center" vertical="center"/>
    </xf>
    <xf numFmtId="43" fontId="2" fillId="0" borderId="1" xfId="4" applyFont="1" applyBorder="1" applyAlignment="1">
      <alignment horizontal="center" vertical="center"/>
    </xf>
    <xf numFmtId="43" fontId="3" fillId="0" borderId="1" xfId="4" applyFont="1" applyBorder="1" applyAlignment="1">
      <alignment horizontal="center" vertical="center"/>
    </xf>
    <xf numFmtId="0" fontId="2" fillId="0" borderId="1" xfId="3" applyFont="1" applyBorder="1"/>
    <xf numFmtId="1" fontId="2" fillId="0" borderId="1" xfId="3" applyNumberFormat="1" applyFont="1" applyBorder="1"/>
    <xf numFmtId="43" fontId="2" fillId="0" borderId="1" xfId="4" applyFont="1" applyBorder="1"/>
    <xf numFmtId="0" fontId="2" fillId="3" borderId="1" xfId="3" applyFont="1" applyFill="1" applyBorder="1" applyAlignment="1">
      <alignment horizontal="center"/>
    </xf>
    <xf numFmtId="43" fontId="3" fillId="0" borderId="1" xfId="4" applyFont="1" applyBorder="1"/>
    <xf numFmtId="43" fontId="2" fillId="6" borderId="1" xfId="4" applyFont="1" applyFill="1" applyBorder="1"/>
    <xf numFmtId="0" fontId="2" fillId="4" borderId="1" xfId="3" applyFont="1" applyFill="1" applyBorder="1" applyAlignment="1">
      <alignment horizontal="center"/>
    </xf>
    <xf numFmtId="0" fontId="2" fillId="4" borderId="1" xfId="3" applyFont="1" applyFill="1" applyBorder="1" applyAlignment="1">
      <alignment wrapText="1"/>
    </xf>
    <xf numFmtId="0" fontId="2" fillId="4" borderId="1" xfId="3" applyFont="1" applyFill="1" applyBorder="1"/>
    <xf numFmtId="1" fontId="2" fillId="4" borderId="1" xfId="3" applyNumberFormat="1" applyFont="1" applyFill="1" applyBorder="1"/>
    <xf numFmtId="43" fontId="2" fillId="4" borderId="1" xfId="4" applyFont="1" applyFill="1" applyBorder="1"/>
    <xf numFmtId="43" fontId="2" fillId="0" borderId="0" xfId="4" applyFont="1"/>
    <xf numFmtId="0" fontId="2" fillId="7" borderId="1" xfId="0" applyFont="1" applyFill="1" applyBorder="1" applyAlignment="1">
      <alignment horizontal="center"/>
    </xf>
    <xf numFmtId="0" fontId="3"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43" fontId="3" fillId="5" borderId="1" xfId="1" applyFont="1" applyFill="1" applyBorder="1" applyAlignment="1">
      <alignment horizontal="center" vertical="center"/>
    </xf>
    <xf numFmtId="1" fontId="3" fillId="5"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1" fontId="2" fillId="6" borderId="1" xfId="0" applyNumberFormat="1" applyFont="1" applyFill="1" applyBorder="1" applyAlignment="1">
      <alignment horizontal="center" vertical="center"/>
    </xf>
    <xf numFmtId="1" fontId="3" fillId="6"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43"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4" borderId="1" xfId="0" applyNumberFormat="1" applyFont="1" applyFill="1" applyBorder="1" applyAlignment="1">
      <alignment horizontal="center" vertical="center"/>
    </xf>
    <xf numFmtId="2" fontId="2" fillId="6"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1" fontId="2"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vertical="center"/>
    </xf>
    <xf numFmtId="2" fontId="2" fillId="7" borderId="1" xfId="0" applyNumberFormat="1" applyFont="1" applyFill="1" applyBorder="1" applyAlignment="1">
      <alignment horizontal="center" vertical="center"/>
    </xf>
    <xf numFmtId="43" fontId="2" fillId="4" borderId="1" xfId="0" applyNumberFormat="1" applyFont="1" applyFill="1" applyBorder="1" applyAlignment="1">
      <alignment horizontal="center" vertical="center"/>
    </xf>
    <xf numFmtId="0" fontId="3" fillId="9"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left"/>
    </xf>
    <xf numFmtId="4" fontId="7" fillId="0" borderId="0" xfId="0" applyNumberFormat="1" applyFont="1"/>
    <xf numFmtId="2" fontId="0" fillId="0" borderId="0" xfId="0" applyNumberFormat="1"/>
    <xf numFmtId="0" fontId="3" fillId="0" borderId="0" xfId="0" applyFont="1"/>
    <xf numFmtId="0" fontId="3" fillId="0" borderId="0" xfId="0" applyFont="1" applyAlignment="1">
      <alignment horizontal="center" vertical="center"/>
    </xf>
    <xf numFmtId="0" fontId="6" fillId="4" borderId="1" xfId="0" applyFont="1" applyFill="1" applyBorder="1" applyAlignment="1">
      <alignment horizontal="center"/>
    </xf>
    <xf numFmtId="0" fontId="3" fillId="4" borderId="2" xfId="0" applyFont="1" applyFill="1" applyBorder="1" applyAlignment="1">
      <alignment horizontal="center"/>
    </xf>
    <xf numFmtId="0" fontId="3" fillId="4" borderId="1" xfId="0" applyFont="1" applyFill="1" applyBorder="1" applyAlignment="1">
      <alignment horizontal="center" vertical="center"/>
    </xf>
    <xf numFmtId="0" fontId="3" fillId="4" borderId="1" xfId="3" applyFont="1" applyFill="1" applyBorder="1" applyAlignment="1">
      <alignment horizontal="center"/>
    </xf>
    <xf numFmtId="0" fontId="3" fillId="4" borderId="1" xfId="2" applyFont="1" applyFill="1" applyBorder="1" applyAlignment="1">
      <alignment horizontal="center"/>
    </xf>
    <xf numFmtId="0" fontId="8" fillId="4" borderId="1" xfId="0" applyFont="1" applyFill="1" applyBorder="1" applyAlignment="1">
      <alignment horizontal="center"/>
    </xf>
  </cellXfs>
  <cellStyles count="5">
    <cellStyle name="Comma" xfId="1" builtinId="3"/>
    <cellStyle name="Comma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Normal="100" zoomScaleSheetLayoutView="100" workbookViewId="0">
      <selection activeCell="E15" sqref="E15"/>
    </sheetView>
  </sheetViews>
  <sheetFormatPr defaultRowHeight="14.5"/>
  <cols>
    <col min="1" max="1" width="8.1796875" customWidth="1"/>
    <col min="2" max="2" width="24.26953125" bestFit="1" customWidth="1"/>
    <col min="3" max="3" width="16.54296875" customWidth="1"/>
    <col min="4" max="5" width="21.81640625" customWidth="1"/>
    <col min="6" max="7" width="21.36328125" customWidth="1"/>
    <col min="8" max="8" width="17.81640625" customWidth="1"/>
  </cols>
  <sheetData>
    <row r="1" spans="1:8" ht="15.5">
      <c r="A1" s="107" t="s">
        <v>165</v>
      </c>
      <c r="B1" s="107"/>
      <c r="C1" s="107"/>
      <c r="D1" s="107"/>
      <c r="E1" s="107"/>
      <c r="F1" s="107"/>
      <c r="G1" s="107"/>
      <c r="H1" s="107"/>
    </row>
    <row r="2" spans="1:8">
      <c r="A2" s="102" t="s">
        <v>215</v>
      </c>
      <c r="B2" s="102" t="s">
        <v>218</v>
      </c>
      <c r="C2" s="102"/>
      <c r="D2" s="102"/>
      <c r="E2" s="102"/>
      <c r="F2" s="102"/>
      <c r="G2" s="102"/>
      <c r="H2" s="102"/>
    </row>
    <row r="3" spans="1:8">
      <c r="A3" s="97" t="s">
        <v>216</v>
      </c>
      <c r="B3" s="97" t="s">
        <v>217</v>
      </c>
      <c r="C3" s="97"/>
      <c r="D3" s="96"/>
      <c r="E3" s="96"/>
      <c r="F3" s="102"/>
      <c r="G3" s="96" t="s">
        <v>224</v>
      </c>
      <c r="H3" s="96"/>
    </row>
    <row r="4" spans="1:8">
      <c r="A4" s="41" t="s">
        <v>164</v>
      </c>
      <c r="B4" s="41" t="s">
        <v>163</v>
      </c>
      <c r="C4" s="42" t="s">
        <v>157</v>
      </c>
      <c r="D4" s="42" t="s">
        <v>169</v>
      </c>
      <c r="E4" s="42" t="s">
        <v>223</v>
      </c>
      <c r="F4" s="42" t="s">
        <v>221</v>
      </c>
      <c r="G4" s="42" t="s">
        <v>222</v>
      </c>
      <c r="H4" s="42" t="s">
        <v>214</v>
      </c>
    </row>
    <row r="5" spans="1:8">
      <c r="A5" s="38">
        <v>1</v>
      </c>
      <c r="B5" s="38" t="s">
        <v>156</v>
      </c>
      <c r="C5" s="40">
        <f>'RA-02 '!F4</f>
        <v>973020</v>
      </c>
      <c r="D5" s="40">
        <f>'RA-02 '!H4</f>
        <v>352687.32646799996</v>
      </c>
      <c r="E5" s="40">
        <v>391145</v>
      </c>
      <c r="F5" s="40">
        <f>'RA-02 '!J4</f>
        <v>387980.75274880003</v>
      </c>
      <c r="G5" s="40">
        <f>E5-F5</f>
        <v>3164.2472511999658</v>
      </c>
      <c r="H5" s="40">
        <f>'RA-02 '!N4</f>
        <v>66124.847896000007</v>
      </c>
    </row>
    <row r="6" spans="1:8">
      <c r="A6" s="38">
        <v>2</v>
      </c>
      <c r="B6" s="38" t="s">
        <v>162</v>
      </c>
      <c r="C6" s="40">
        <f>'RA-02 '!F46</f>
        <v>478060</v>
      </c>
      <c r="D6" s="40">
        <f>'RA-02 '!H46</f>
        <v>0</v>
      </c>
      <c r="E6" s="40">
        <v>294350</v>
      </c>
      <c r="F6" s="40">
        <f>'RA-02 '!J46</f>
        <v>294350</v>
      </c>
      <c r="G6" s="40">
        <f t="shared" ref="G6:G9" si="0">E6-F6</f>
        <v>0</v>
      </c>
      <c r="H6" s="40">
        <f>'RA-02 '!N46</f>
        <v>0</v>
      </c>
    </row>
    <row r="7" spans="1:8">
      <c r="A7" s="38">
        <v>3</v>
      </c>
      <c r="B7" s="38" t="s">
        <v>158</v>
      </c>
      <c r="C7" s="40">
        <f>'RA-02 '!F84</f>
        <v>145475</v>
      </c>
      <c r="D7" s="40">
        <f>'RA-02 '!H84</f>
        <v>19919.5</v>
      </c>
      <c r="E7" s="40">
        <v>60700</v>
      </c>
      <c r="F7" s="40">
        <f>'RA-02 '!J84</f>
        <v>60700</v>
      </c>
      <c r="G7" s="40">
        <f t="shared" si="0"/>
        <v>0</v>
      </c>
      <c r="H7" s="40">
        <f>'RA-02 '!N84</f>
        <v>0</v>
      </c>
    </row>
    <row r="8" spans="1:8">
      <c r="A8" s="38">
        <v>4</v>
      </c>
      <c r="B8" s="38" t="s">
        <v>159</v>
      </c>
      <c r="C8" s="40">
        <f>'RA-02 '!F112</f>
        <v>175120</v>
      </c>
      <c r="D8" s="40">
        <f>'RA-02 '!H112</f>
        <v>115070</v>
      </c>
      <c r="E8" s="40">
        <v>28950</v>
      </c>
      <c r="F8" s="40">
        <f>'RA-02 '!J112</f>
        <v>28950</v>
      </c>
      <c r="G8" s="40">
        <f t="shared" si="0"/>
        <v>0</v>
      </c>
      <c r="H8" s="40">
        <f>'RA-02 '!N112</f>
        <v>37919.908799999997</v>
      </c>
    </row>
    <row r="9" spans="1:8">
      <c r="A9" s="38">
        <v>5</v>
      </c>
      <c r="B9" s="38" t="s">
        <v>160</v>
      </c>
      <c r="C9" s="40">
        <f>'RA-02 '!F120</f>
        <v>66650</v>
      </c>
      <c r="D9" s="40">
        <f>'RA-02 '!H120</f>
        <v>0</v>
      </c>
      <c r="E9" s="40">
        <v>15400</v>
      </c>
      <c r="F9" s="40">
        <f>'RA-02 '!J120</f>
        <v>15400</v>
      </c>
      <c r="G9" s="40">
        <f t="shared" si="0"/>
        <v>0</v>
      </c>
      <c r="H9" s="40">
        <f>'RA-02 '!N120</f>
        <v>0</v>
      </c>
    </row>
    <row r="10" spans="1:8">
      <c r="A10" s="43">
        <v>6</v>
      </c>
      <c r="B10" s="43" t="s">
        <v>161</v>
      </c>
      <c r="C10" s="44">
        <f>SUM(C5:C9)</f>
        <v>1838325</v>
      </c>
      <c r="D10" s="44">
        <f t="shared" ref="D10:H10" si="1">SUM(D5:D9)</f>
        <v>487676.82646799996</v>
      </c>
      <c r="E10" s="44">
        <f t="shared" ref="E10" si="2">SUM(E5:E9)</f>
        <v>790545</v>
      </c>
      <c r="F10" s="44">
        <f t="shared" si="1"/>
        <v>787380.75274879998</v>
      </c>
      <c r="G10" s="44">
        <f t="shared" ref="G10" si="3">SUM(G5:G9)</f>
        <v>3164.2472511999658</v>
      </c>
      <c r="H10" s="44">
        <f t="shared" si="1"/>
        <v>104044.756696</v>
      </c>
    </row>
    <row r="11" spans="1:8">
      <c r="A11" s="39">
        <v>7</v>
      </c>
      <c r="B11" s="39" t="s">
        <v>167</v>
      </c>
      <c r="C11" s="39">
        <f>C10*0.18</f>
        <v>330898.5</v>
      </c>
      <c r="D11" s="46">
        <f t="shared" ref="D11:H11" si="4">D10*0.18</f>
        <v>87781.828764239996</v>
      </c>
      <c r="E11" s="46">
        <f t="shared" ref="E11" si="5">E10*0.18</f>
        <v>142298.1</v>
      </c>
      <c r="F11" s="46">
        <f t="shared" si="4"/>
        <v>141728.53549478398</v>
      </c>
      <c r="G11" s="46">
        <f t="shared" ref="G11" si="6">G10*0.18</f>
        <v>569.56450521599379</v>
      </c>
      <c r="H11" s="46">
        <f t="shared" si="4"/>
        <v>18728.056205279998</v>
      </c>
    </row>
    <row r="12" spans="1:8">
      <c r="A12" s="47">
        <v>8</v>
      </c>
      <c r="B12" s="47" t="s">
        <v>168</v>
      </c>
      <c r="C12" s="48">
        <f>C10+C11</f>
        <v>2169223.5</v>
      </c>
      <c r="D12" s="49">
        <f t="shared" ref="D12:H12" si="7">D10+D11</f>
        <v>575458.65523223998</v>
      </c>
      <c r="E12" s="49">
        <f t="shared" ref="E12" si="8">E10+E11</f>
        <v>932843.1</v>
      </c>
      <c r="F12" s="49">
        <f t="shared" si="7"/>
        <v>929109.28824358399</v>
      </c>
      <c r="G12" s="49">
        <f t="shared" ref="G12" si="9">G10+G11</f>
        <v>3733.8117564159597</v>
      </c>
      <c r="H12" s="49">
        <f t="shared" si="7"/>
        <v>122772.81290127999</v>
      </c>
    </row>
    <row r="14" spans="1:8">
      <c r="D14" s="98"/>
      <c r="E14" s="98"/>
    </row>
    <row r="15" spans="1:8">
      <c r="D15" s="99"/>
      <c r="E15" s="99"/>
    </row>
  </sheetData>
  <mergeCells count="1">
    <mergeCell ref="A1:H1"/>
  </mergeCells>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showGridLines="0" zoomScale="80" zoomScaleNormal="80" zoomScaleSheetLayoutView="70" workbookViewId="0">
      <pane ySplit="1" topLeftCell="A110" activePane="bottomLeft" state="frozen"/>
      <selection pane="bottomLeft" activeCell="M31" sqref="M31"/>
    </sheetView>
  </sheetViews>
  <sheetFormatPr defaultColWidth="9.1796875" defaultRowHeight="14"/>
  <cols>
    <col min="1" max="1" width="9.1796875" style="1" customWidth="1"/>
    <col min="2" max="2" width="71.81640625" style="1" customWidth="1"/>
    <col min="3" max="3" width="6" style="92" bestFit="1" customWidth="1"/>
    <col min="4" max="4" width="8" style="92" customWidth="1"/>
    <col min="5" max="5" width="11.1796875" style="92" customWidth="1"/>
    <col min="6" max="6" width="15.453125" style="92" customWidth="1"/>
    <col min="7" max="7" width="10.1796875" style="92" customWidth="1"/>
    <col min="8" max="8" width="15.1796875" style="92" customWidth="1"/>
    <col min="9" max="9" width="10.1796875" style="92" customWidth="1"/>
    <col min="10" max="10" width="15.1796875" style="92" customWidth="1"/>
    <col min="11" max="11" width="11.81640625" style="92" customWidth="1"/>
    <col min="12" max="12" width="15.81640625" style="92" customWidth="1"/>
    <col min="13" max="13" width="12.08984375" style="92" customWidth="1"/>
    <col min="14" max="14" width="15.453125" style="92" customWidth="1"/>
    <col min="15" max="15" width="9.1796875" style="1"/>
    <col min="16" max="16" width="11.90625" style="1" customWidth="1"/>
    <col min="17" max="16384" width="9.1796875" style="1"/>
  </cols>
  <sheetData>
    <row r="1" spans="1:16">
      <c r="A1" s="103" t="s">
        <v>138</v>
      </c>
      <c r="B1" s="103"/>
      <c r="C1" s="103"/>
      <c r="D1" s="103"/>
      <c r="E1" s="103"/>
      <c r="F1" s="103"/>
      <c r="G1" s="104" t="s">
        <v>137</v>
      </c>
      <c r="H1" s="104"/>
      <c r="I1" s="104" t="s">
        <v>170</v>
      </c>
      <c r="J1" s="104"/>
      <c r="K1" s="75" t="s">
        <v>161</v>
      </c>
      <c r="L1" s="75" t="s">
        <v>211</v>
      </c>
      <c r="M1" s="75" t="s">
        <v>212</v>
      </c>
      <c r="N1" s="75" t="s">
        <v>212</v>
      </c>
    </row>
    <row r="2" spans="1:16">
      <c r="A2" s="2" t="s">
        <v>9</v>
      </c>
      <c r="B2" s="2" t="s">
        <v>10</v>
      </c>
      <c r="C2" s="76" t="s">
        <v>11</v>
      </c>
      <c r="D2" s="76" t="s">
        <v>0</v>
      </c>
      <c r="E2" s="76" t="s">
        <v>1</v>
      </c>
      <c r="F2" s="76" t="s">
        <v>12</v>
      </c>
      <c r="G2" s="76" t="s">
        <v>136</v>
      </c>
      <c r="H2" s="76" t="s">
        <v>12</v>
      </c>
      <c r="I2" s="76" t="s">
        <v>136</v>
      </c>
      <c r="J2" s="76" t="s">
        <v>12</v>
      </c>
      <c r="K2" s="95" t="s">
        <v>172</v>
      </c>
      <c r="L2" s="95" t="s">
        <v>172</v>
      </c>
      <c r="M2" s="95" t="s">
        <v>172</v>
      </c>
      <c r="N2" s="95" t="s">
        <v>213</v>
      </c>
    </row>
    <row r="3" spans="1:16">
      <c r="A3" s="2"/>
      <c r="B3" s="2"/>
      <c r="C3" s="76"/>
      <c r="D3" s="76"/>
      <c r="E3" s="76"/>
      <c r="F3" s="78">
        <f>F4+F46+F84+F112+F120</f>
        <v>1838325</v>
      </c>
      <c r="G3" s="79"/>
      <c r="H3" s="78">
        <f t="shared" ref="H3:J3" si="0">H4+H46+H84+H112+H120</f>
        <v>487676.82646799996</v>
      </c>
      <c r="I3" s="79"/>
      <c r="J3" s="78">
        <f t="shared" si="0"/>
        <v>787380.75274879998</v>
      </c>
      <c r="K3" s="79"/>
      <c r="L3" s="79"/>
      <c r="M3" s="79"/>
      <c r="N3" s="78">
        <f>N4+N46+N84+N112+N120</f>
        <v>104044.756696</v>
      </c>
    </row>
    <row r="4" spans="1:16">
      <c r="A4" s="7">
        <v>1</v>
      </c>
      <c r="B4" s="8" t="s">
        <v>3</v>
      </c>
      <c r="C4" s="80"/>
      <c r="D4" s="81"/>
      <c r="E4" s="81"/>
      <c r="F4" s="82">
        <f>SUM(F5:F44)</f>
        <v>973020</v>
      </c>
      <c r="G4" s="82"/>
      <c r="H4" s="82">
        <f t="shared" ref="H4:J4" si="1">SUM(H5:H44)</f>
        <v>352687.32646799996</v>
      </c>
      <c r="I4" s="82"/>
      <c r="J4" s="82">
        <f t="shared" si="1"/>
        <v>387980.75274880003</v>
      </c>
      <c r="K4" s="82"/>
      <c r="L4" s="82"/>
      <c r="M4" s="82"/>
      <c r="N4" s="82">
        <f>SUM(N5:N44)</f>
        <v>66124.847896000007</v>
      </c>
    </row>
    <row r="5" spans="1:16" ht="112">
      <c r="A5" s="74">
        <v>1</v>
      </c>
      <c r="B5" s="6" t="s">
        <v>13</v>
      </c>
      <c r="C5" s="77" t="s">
        <v>14</v>
      </c>
      <c r="D5" s="83">
        <v>216</v>
      </c>
      <c r="E5" s="77">
        <v>15</v>
      </c>
      <c r="F5" s="77">
        <f>D5*E5</f>
        <v>3240</v>
      </c>
      <c r="G5" s="77"/>
      <c r="H5" s="77"/>
      <c r="I5" s="84"/>
      <c r="J5" s="84"/>
      <c r="K5" s="85">
        <f>G5+I5</f>
        <v>0</v>
      </c>
      <c r="L5" s="85">
        <f>K5-D5</f>
        <v>-216</v>
      </c>
      <c r="M5" s="77"/>
      <c r="N5" s="77"/>
    </row>
    <row r="6" spans="1:16" ht="140">
      <c r="A6" s="74">
        <v>2</v>
      </c>
      <c r="B6" s="6" t="s">
        <v>15</v>
      </c>
      <c r="C6" s="77" t="s">
        <v>14</v>
      </c>
      <c r="D6" s="83">
        <v>585</v>
      </c>
      <c r="E6" s="77">
        <v>220</v>
      </c>
      <c r="F6" s="77">
        <f>D6*E6</f>
        <v>128700</v>
      </c>
      <c r="G6" s="85">
        <f>'RA-01 JMS '!I6</f>
        <v>466.74856799999998</v>
      </c>
      <c r="H6" s="85">
        <f>E6*G6</f>
        <v>102684.68496</v>
      </c>
      <c r="I6" s="85">
        <f>'RA-02 JMS '!I5</f>
        <v>4.0999999999999996</v>
      </c>
      <c r="J6" s="86">
        <f>E6*I6</f>
        <v>901.99999999999989</v>
      </c>
      <c r="K6" s="85">
        <f>G6+I6</f>
        <v>470.848568</v>
      </c>
      <c r="L6" s="85">
        <f>K6-D6</f>
        <v>-114.151432</v>
      </c>
      <c r="M6" s="77"/>
      <c r="N6" s="77"/>
    </row>
    <row r="7" spans="1:16" ht="28">
      <c r="A7" s="74">
        <v>3</v>
      </c>
      <c r="B7" s="6" t="s">
        <v>16</v>
      </c>
      <c r="C7" s="77" t="s">
        <v>14</v>
      </c>
      <c r="D7" s="83">
        <v>1030</v>
      </c>
      <c r="E7" s="77">
        <v>75</v>
      </c>
      <c r="F7" s="77">
        <f>D7*E7</f>
        <v>77250</v>
      </c>
      <c r="G7" s="85">
        <f>'RA-01 JMS '!I12</f>
        <v>696.66760799999997</v>
      </c>
      <c r="H7" s="85">
        <f>E7*G7</f>
        <v>52250.070599999999</v>
      </c>
      <c r="I7" s="85">
        <f>'RA-02 JMS '!I8</f>
        <v>4.0999999999999996</v>
      </c>
      <c r="J7" s="86">
        <f t="shared" ref="J7:J8" si="2">E7*I7</f>
        <v>307.5</v>
      </c>
      <c r="K7" s="85">
        <f t="shared" ref="K7:K70" si="3">G7+I7</f>
        <v>700.767608</v>
      </c>
      <c r="L7" s="85">
        <f t="shared" ref="L7:L70" si="4">K7-D7</f>
        <v>-329.232392</v>
      </c>
      <c r="M7" s="77"/>
      <c r="N7" s="77"/>
    </row>
    <row r="8" spans="1:16">
      <c r="A8" s="74">
        <v>4</v>
      </c>
      <c r="B8" s="6" t="s">
        <v>17</v>
      </c>
      <c r="C8" s="77" t="s">
        <v>2</v>
      </c>
      <c r="D8" s="83" t="s">
        <v>2</v>
      </c>
      <c r="E8" s="77"/>
      <c r="F8" s="77"/>
      <c r="G8" s="85"/>
      <c r="H8" s="85"/>
      <c r="I8" s="85"/>
      <c r="J8" s="93">
        <f t="shared" si="2"/>
        <v>0</v>
      </c>
      <c r="K8" s="85"/>
      <c r="L8" s="85"/>
      <c r="M8" s="77"/>
      <c r="N8" s="77"/>
    </row>
    <row r="9" spans="1:16" ht="84">
      <c r="A9" s="74">
        <v>5</v>
      </c>
      <c r="B9" s="6" t="s">
        <v>18</v>
      </c>
      <c r="C9" s="77" t="s">
        <v>14</v>
      </c>
      <c r="D9" s="83">
        <v>396</v>
      </c>
      <c r="E9" s="77">
        <v>180</v>
      </c>
      <c r="F9" s="77">
        <f>D9*E9</f>
        <v>71280</v>
      </c>
      <c r="G9" s="85"/>
      <c r="H9" s="85">
        <f>E9*G9</f>
        <v>0</v>
      </c>
      <c r="I9" s="85">
        <f>'RA-02 JMS '!I12</f>
        <v>184.70666623999995</v>
      </c>
      <c r="J9" s="93">
        <f>E9*I9</f>
        <v>33247.199923199987</v>
      </c>
      <c r="K9" s="85">
        <f t="shared" si="3"/>
        <v>184.70666623999995</v>
      </c>
      <c r="L9" s="85">
        <f t="shared" si="4"/>
        <v>-211.29333376000005</v>
      </c>
      <c r="M9" s="77"/>
      <c r="N9" s="77"/>
    </row>
    <row r="10" spans="1:16" ht="28">
      <c r="A10" s="74">
        <v>6</v>
      </c>
      <c r="B10" s="6" t="s">
        <v>19</v>
      </c>
      <c r="C10" s="77" t="s">
        <v>14</v>
      </c>
      <c r="D10" s="83">
        <v>216</v>
      </c>
      <c r="E10" s="77">
        <v>75</v>
      </c>
      <c r="F10" s="77">
        <f>D10*E10</f>
        <v>16200</v>
      </c>
      <c r="G10" s="85">
        <f>'RA-01 JMS '!I21</f>
        <v>197.78204159999996</v>
      </c>
      <c r="H10" s="85">
        <f t="shared" ref="H10:H11" si="5">E10*G10</f>
        <v>14833.653119999997</v>
      </c>
      <c r="I10" s="85"/>
      <c r="J10" s="86">
        <f>E10*I10</f>
        <v>0</v>
      </c>
      <c r="K10" s="85">
        <f t="shared" si="3"/>
        <v>197.78204159999996</v>
      </c>
      <c r="L10" s="85">
        <f t="shared" si="4"/>
        <v>-18.217958400000043</v>
      </c>
      <c r="M10" s="77"/>
      <c r="N10" s="77"/>
    </row>
    <row r="11" spans="1:16" ht="42">
      <c r="A11" s="74">
        <v>7</v>
      </c>
      <c r="B11" s="6" t="s">
        <v>20</v>
      </c>
      <c r="C11" s="77" t="s">
        <v>14</v>
      </c>
      <c r="D11" s="83">
        <v>216</v>
      </c>
      <c r="E11" s="77">
        <v>140</v>
      </c>
      <c r="F11" s="77">
        <f>D11*E11</f>
        <v>30240</v>
      </c>
      <c r="G11" s="93">
        <f>'RA-01 JMS '!I22</f>
        <v>188.06860799999995</v>
      </c>
      <c r="H11" s="85">
        <f t="shared" si="5"/>
        <v>26329.605119999993</v>
      </c>
      <c r="I11" s="93"/>
      <c r="J11" s="86">
        <f>E11*I11</f>
        <v>0</v>
      </c>
      <c r="K11" s="85">
        <f t="shared" si="3"/>
        <v>188.06860799999995</v>
      </c>
      <c r="L11" s="85">
        <f t="shared" si="4"/>
        <v>-27.931392000000045</v>
      </c>
      <c r="M11" s="77"/>
      <c r="N11" s="77"/>
    </row>
    <row r="12" spans="1:16">
      <c r="A12" s="74">
        <v>8</v>
      </c>
      <c r="B12" s="6" t="s">
        <v>21</v>
      </c>
      <c r="C12" s="77" t="s">
        <v>2</v>
      </c>
      <c r="D12" s="83" t="s">
        <v>2</v>
      </c>
      <c r="E12" s="77"/>
      <c r="F12" s="77"/>
      <c r="G12" s="85"/>
      <c r="H12" s="85"/>
      <c r="I12" s="85"/>
      <c r="J12" s="85"/>
      <c r="K12" s="85"/>
      <c r="L12" s="85"/>
      <c r="M12" s="77"/>
      <c r="N12" s="77"/>
    </row>
    <row r="13" spans="1:16" ht="56">
      <c r="A13" s="74">
        <v>9</v>
      </c>
      <c r="B13" s="6" t="s">
        <v>22</v>
      </c>
      <c r="C13" s="77" t="s">
        <v>2</v>
      </c>
      <c r="D13" s="83" t="s">
        <v>2</v>
      </c>
      <c r="E13" s="77"/>
      <c r="F13" s="77"/>
      <c r="G13" s="85"/>
      <c r="H13" s="85"/>
      <c r="I13" s="85"/>
      <c r="J13" s="85"/>
      <c r="K13" s="85"/>
      <c r="L13" s="85"/>
      <c r="M13" s="77"/>
      <c r="N13" s="77"/>
    </row>
    <row r="14" spans="1:16">
      <c r="A14" s="74">
        <v>10</v>
      </c>
      <c r="B14" s="6" t="s">
        <v>23</v>
      </c>
      <c r="C14" s="77" t="s">
        <v>14</v>
      </c>
      <c r="D14" s="83">
        <v>130</v>
      </c>
      <c r="E14" s="77">
        <v>225</v>
      </c>
      <c r="F14" s="77">
        <f>D14*E14</f>
        <v>29250</v>
      </c>
      <c r="G14" s="86">
        <v>130</v>
      </c>
      <c r="H14" s="85">
        <f t="shared" ref="H14:H16" si="6">E14*G14</f>
        <v>29250</v>
      </c>
      <c r="I14" s="86"/>
      <c r="J14" s="93">
        <f>E14*I14</f>
        <v>0</v>
      </c>
      <c r="K14" s="85">
        <f t="shared" si="3"/>
        <v>130</v>
      </c>
      <c r="L14" s="85">
        <f t="shared" si="4"/>
        <v>0</v>
      </c>
      <c r="M14" s="86">
        <f>'RA-01 JMS '!I27-D14</f>
        <v>51.937751999999989</v>
      </c>
      <c r="N14" s="91">
        <f>E14*M14</f>
        <v>11685.994199999997</v>
      </c>
      <c r="O14" s="100">
        <f>'RA-01 JMS '!I27</f>
        <v>181.93775199999999</v>
      </c>
      <c r="P14" s="100" t="s">
        <v>219</v>
      </c>
    </row>
    <row r="15" spans="1:16">
      <c r="A15" s="74">
        <v>11</v>
      </c>
      <c r="B15" s="6" t="s">
        <v>24</v>
      </c>
      <c r="C15" s="77" t="s">
        <v>25</v>
      </c>
      <c r="D15" s="83">
        <v>2</v>
      </c>
      <c r="E15" s="77">
        <v>1500</v>
      </c>
      <c r="F15" s="77">
        <f>D15*E15</f>
        <v>3000</v>
      </c>
      <c r="G15" s="85">
        <f>'RA-01 JMS '!I32</f>
        <v>2</v>
      </c>
      <c r="H15" s="85">
        <f t="shared" si="6"/>
        <v>3000</v>
      </c>
      <c r="I15" s="85"/>
      <c r="J15" s="93">
        <f t="shared" ref="J15:J44" si="7">E15*I15</f>
        <v>0</v>
      </c>
      <c r="K15" s="85">
        <f t="shared" si="3"/>
        <v>2</v>
      </c>
      <c r="L15" s="85">
        <f t="shared" si="4"/>
        <v>0</v>
      </c>
      <c r="M15" s="77"/>
      <c r="N15" s="77"/>
    </row>
    <row r="16" spans="1:16" ht="28">
      <c r="A16" s="74">
        <v>12</v>
      </c>
      <c r="B16" s="6" t="s">
        <v>26</v>
      </c>
      <c r="C16" s="77" t="s">
        <v>25</v>
      </c>
      <c r="D16" s="83">
        <v>2</v>
      </c>
      <c r="E16" s="77">
        <v>1500</v>
      </c>
      <c r="F16" s="77">
        <f>D16*E16</f>
        <v>3000</v>
      </c>
      <c r="G16" s="85">
        <f>'RA-01 JMS '!I33</f>
        <v>2</v>
      </c>
      <c r="H16" s="85">
        <f t="shared" si="6"/>
        <v>3000</v>
      </c>
      <c r="I16" s="85"/>
      <c r="J16" s="93">
        <f t="shared" si="7"/>
        <v>0</v>
      </c>
      <c r="K16" s="85">
        <f t="shared" si="3"/>
        <v>2</v>
      </c>
      <c r="L16" s="85">
        <f t="shared" si="4"/>
        <v>0</v>
      </c>
      <c r="M16" s="77"/>
      <c r="N16" s="77"/>
    </row>
    <row r="17" spans="1:16">
      <c r="A17" s="74">
        <v>13</v>
      </c>
      <c r="B17" s="6" t="s">
        <v>27</v>
      </c>
      <c r="C17" s="77" t="s">
        <v>2</v>
      </c>
      <c r="D17" s="83" t="s">
        <v>2</v>
      </c>
      <c r="E17" s="77"/>
      <c r="F17" s="77"/>
      <c r="G17" s="85"/>
      <c r="H17" s="85"/>
      <c r="I17" s="85"/>
      <c r="J17" s="93">
        <f t="shared" si="7"/>
        <v>0</v>
      </c>
      <c r="K17" s="85"/>
      <c r="L17" s="85"/>
      <c r="M17" s="77"/>
      <c r="N17" s="77"/>
    </row>
    <row r="18" spans="1:16" ht="84">
      <c r="A18" s="74">
        <v>14</v>
      </c>
      <c r="B18" s="6" t="s">
        <v>28</v>
      </c>
      <c r="C18" s="77" t="s">
        <v>2</v>
      </c>
      <c r="D18" s="83" t="s">
        <v>2</v>
      </c>
      <c r="E18" s="77"/>
      <c r="F18" s="77"/>
      <c r="G18" s="85"/>
      <c r="H18" s="85"/>
      <c r="I18" s="85"/>
      <c r="J18" s="93">
        <f t="shared" si="7"/>
        <v>0</v>
      </c>
      <c r="K18" s="85"/>
      <c r="L18" s="85"/>
      <c r="M18" s="77"/>
      <c r="N18" s="77"/>
    </row>
    <row r="19" spans="1:16" ht="42">
      <c r="A19" s="74">
        <v>15</v>
      </c>
      <c r="B19" s="6" t="s">
        <v>29</v>
      </c>
      <c r="C19" s="77" t="s">
        <v>14</v>
      </c>
      <c r="D19" s="83">
        <v>130</v>
      </c>
      <c r="E19" s="77">
        <v>190</v>
      </c>
      <c r="F19" s="77">
        <f>D19*E19</f>
        <v>24700</v>
      </c>
      <c r="G19" s="85">
        <f>'RA-01 JMS '!I36</f>
        <v>113.42564999999998</v>
      </c>
      <c r="H19" s="85">
        <f t="shared" ref="H19:H23" si="8">E19*G19</f>
        <v>21550.873499999994</v>
      </c>
      <c r="I19" s="85"/>
      <c r="J19" s="93">
        <f t="shared" si="7"/>
        <v>0</v>
      </c>
      <c r="K19" s="85">
        <f t="shared" si="3"/>
        <v>113.42564999999998</v>
      </c>
      <c r="L19" s="85">
        <f t="shared" si="4"/>
        <v>-16.574350000000024</v>
      </c>
      <c r="M19" s="77"/>
      <c r="N19" s="77"/>
    </row>
    <row r="20" spans="1:16" ht="56">
      <c r="A20" s="74">
        <v>16</v>
      </c>
      <c r="B20" s="6" t="s">
        <v>30</v>
      </c>
      <c r="C20" s="77" t="s">
        <v>14</v>
      </c>
      <c r="D20" s="83">
        <v>86</v>
      </c>
      <c r="E20" s="77">
        <v>210</v>
      </c>
      <c r="F20" s="77">
        <f>D20*E20</f>
        <v>18060</v>
      </c>
      <c r="G20" s="85">
        <f>'RA-01 JMS '!I39</f>
        <v>68.57959679999999</v>
      </c>
      <c r="H20" s="85">
        <f t="shared" si="8"/>
        <v>14401.715327999998</v>
      </c>
      <c r="I20" s="85">
        <f>'RA-02 JMS '!I18</f>
        <v>11.941823999999999</v>
      </c>
      <c r="J20" s="93">
        <f t="shared" si="7"/>
        <v>2507.7830399999998</v>
      </c>
      <c r="K20" s="85">
        <f t="shared" si="3"/>
        <v>80.521420799999987</v>
      </c>
      <c r="L20" s="85">
        <f t="shared" si="4"/>
        <v>-5.4785792000000129</v>
      </c>
      <c r="M20" s="77"/>
      <c r="N20" s="77"/>
    </row>
    <row r="21" spans="1:16" ht="28">
      <c r="A21" s="74">
        <v>17</v>
      </c>
      <c r="B21" s="6" t="s">
        <v>31</v>
      </c>
      <c r="C21" s="77" t="s">
        <v>32</v>
      </c>
      <c r="D21" s="83">
        <v>3</v>
      </c>
      <c r="E21" s="77">
        <v>1500</v>
      </c>
      <c r="F21" s="77">
        <f>D21*E21</f>
        <v>4500</v>
      </c>
      <c r="G21" s="85">
        <f>'RA-01 JMS '!I40</f>
        <v>3</v>
      </c>
      <c r="H21" s="85">
        <f t="shared" si="8"/>
        <v>4500</v>
      </c>
      <c r="I21" s="85"/>
      <c r="J21" s="93">
        <f t="shared" si="7"/>
        <v>0</v>
      </c>
      <c r="K21" s="85">
        <f t="shared" si="3"/>
        <v>3</v>
      </c>
      <c r="L21" s="85">
        <f t="shared" si="4"/>
        <v>0</v>
      </c>
      <c r="M21" s="94">
        <f>'RA-02 JMS '!I22</f>
        <v>3</v>
      </c>
      <c r="N21" s="91">
        <f>E21*M21</f>
        <v>4500</v>
      </c>
    </row>
    <row r="22" spans="1:16">
      <c r="A22" s="74">
        <v>18</v>
      </c>
      <c r="B22" s="6" t="s">
        <v>33</v>
      </c>
      <c r="C22" s="77" t="s">
        <v>2</v>
      </c>
      <c r="D22" s="83" t="s">
        <v>2</v>
      </c>
      <c r="E22" s="77"/>
      <c r="F22" s="77"/>
      <c r="G22" s="85"/>
      <c r="H22" s="85"/>
      <c r="I22" s="85"/>
      <c r="J22" s="93">
        <f t="shared" si="7"/>
        <v>0</v>
      </c>
      <c r="K22" s="85"/>
      <c r="L22" s="85"/>
      <c r="M22" s="77"/>
      <c r="N22" s="77"/>
    </row>
    <row r="23" spans="1:16" ht="70">
      <c r="A23" s="74">
        <v>19</v>
      </c>
      <c r="B23" s="6" t="s">
        <v>34</v>
      </c>
      <c r="C23" s="77" t="s">
        <v>14</v>
      </c>
      <c r="D23" s="83">
        <v>432</v>
      </c>
      <c r="E23" s="77">
        <v>230</v>
      </c>
      <c r="F23" s="77">
        <f>D23*E23</f>
        <v>99360</v>
      </c>
      <c r="G23" s="85">
        <f>'RA-01 JMS '!I42</f>
        <v>351.68140800000003</v>
      </c>
      <c r="H23" s="85">
        <f t="shared" si="8"/>
        <v>80886.723840000006</v>
      </c>
      <c r="I23" s="85">
        <f>'RA-02 JMS '!I24</f>
        <v>10.625</v>
      </c>
      <c r="J23" s="93">
        <f t="shared" si="7"/>
        <v>2443.75</v>
      </c>
      <c r="K23" s="85">
        <f t="shared" si="3"/>
        <v>362.30640800000003</v>
      </c>
      <c r="L23" s="85">
        <f t="shared" si="4"/>
        <v>-69.693591999999967</v>
      </c>
      <c r="M23" s="77"/>
      <c r="N23" s="77"/>
    </row>
    <row r="24" spans="1:16">
      <c r="A24" s="74">
        <v>20</v>
      </c>
      <c r="B24" s="6" t="s">
        <v>135</v>
      </c>
      <c r="C24" s="77" t="s">
        <v>32</v>
      </c>
      <c r="D24" s="83">
        <v>8</v>
      </c>
      <c r="E24" s="77">
        <v>450</v>
      </c>
      <c r="F24" s="77">
        <f>D24*E24</f>
        <v>3600</v>
      </c>
      <c r="G24" s="85"/>
      <c r="H24" s="85"/>
      <c r="I24" s="85"/>
      <c r="J24" s="93">
        <f t="shared" si="7"/>
        <v>0</v>
      </c>
      <c r="K24" s="85">
        <f t="shared" si="3"/>
        <v>0</v>
      </c>
      <c r="L24" s="85">
        <f t="shared" si="4"/>
        <v>-8</v>
      </c>
      <c r="M24" s="77"/>
      <c r="N24" s="77"/>
    </row>
    <row r="25" spans="1:16">
      <c r="A25" s="74">
        <v>21</v>
      </c>
      <c r="B25" s="6" t="s">
        <v>35</v>
      </c>
      <c r="C25" s="77" t="s">
        <v>2</v>
      </c>
      <c r="D25" s="83" t="s">
        <v>2</v>
      </c>
      <c r="E25" s="77"/>
      <c r="F25" s="77"/>
      <c r="G25" s="85"/>
      <c r="H25" s="85"/>
      <c r="I25" s="85"/>
      <c r="J25" s="93">
        <f t="shared" si="7"/>
        <v>0</v>
      </c>
      <c r="K25" s="85"/>
      <c r="L25" s="85"/>
      <c r="M25" s="77"/>
      <c r="N25" s="77"/>
    </row>
    <row r="26" spans="1:16" ht="126">
      <c r="A26" s="74">
        <v>22</v>
      </c>
      <c r="B26" s="6" t="s">
        <v>36</v>
      </c>
      <c r="C26" s="77" t="s">
        <v>32</v>
      </c>
      <c r="D26" s="83">
        <v>10</v>
      </c>
      <c r="E26" s="77">
        <v>11000</v>
      </c>
      <c r="F26" s="77">
        <f>D26*E26</f>
        <v>110000</v>
      </c>
      <c r="G26" s="85"/>
      <c r="H26" s="85"/>
      <c r="I26" s="85">
        <f>'RA-02 JMS '!I28</f>
        <v>10</v>
      </c>
      <c r="J26" s="93">
        <f t="shared" si="7"/>
        <v>110000</v>
      </c>
      <c r="K26" s="85">
        <f t="shared" si="3"/>
        <v>10</v>
      </c>
      <c r="L26" s="85">
        <f t="shared" si="4"/>
        <v>0</v>
      </c>
      <c r="M26" s="77"/>
      <c r="N26" s="77"/>
    </row>
    <row r="27" spans="1:16" ht="70">
      <c r="A27" s="74">
        <v>23</v>
      </c>
      <c r="B27" s="6" t="s">
        <v>37</v>
      </c>
      <c r="C27" s="77" t="s">
        <v>14</v>
      </c>
      <c r="D27" s="83">
        <v>82</v>
      </c>
      <c r="E27" s="77">
        <v>450</v>
      </c>
      <c r="F27" s="77">
        <f>D27*E27</f>
        <v>36900</v>
      </c>
      <c r="G27" s="85"/>
      <c r="H27" s="85"/>
      <c r="I27" s="85">
        <v>82</v>
      </c>
      <c r="J27" s="93">
        <f t="shared" si="7"/>
        <v>36900</v>
      </c>
      <c r="K27" s="85">
        <f>'RA-02 JMS '!I29</f>
        <v>114.36394368000001</v>
      </c>
      <c r="L27" s="85">
        <f t="shared" si="4"/>
        <v>32.363943680000006</v>
      </c>
      <c r="M27" s="94">
        <f>'RA-02 JMS '!I29-I27</f>
        <v>32.363943680000006</v>
      </c>
      <c r="N27" s="94">
        <f>E27*M27</f>
        <v>14563.774656000003</v>
      </c>
      <c r="O27" s="101">
        <v>114.36</v>
      </c>
      <c r="P27" s="101" t="s">
        <v>220</v>
      </c>
    </row>
    <row r="28" spans="1:16" ht="42">
      <c r="A28" s="74">
        <v>24</v>
      </c>
      <c r="B28" s="6" t="s">
        <v>38</v>
      </c>
      <c r="C28" s="77" t="s">
        <v>14</v>
      </c>
      <c r="D28" s="83">
        <v>36</v>
      </c>
      <c r="E28" s="77">
        <v>650</v>
      </c>
      <c r="F28" s="77">
        <f>D28*E28</f>
        <v>23400</v>
      </c>
      <c r="G28" s="85"/>
      <c r="H28" s="85"/>
      <c r="I28" s="85">
        <v>36</v>
      </c>
      <c r="J28" s="93">
        <f t="shared" si="7"/>
        <v>23400</v>
      </c>
      <c r="K28" s="85">
        <f>'RA-02 JMS '!I35</f>
        <v>39.241264000000001</v>
      </c>
      <c r="L28" s="85">
        <f t="shared" si="4"/>
        <v>3.241264000000001</v>
      </c>
      <c r="M28" s="94">
        <f>'RA-02 JMS '!I35-I28</f>
        <v>3.241264000000001</v>
      </c>
      <c r="N28" s="94">
        <f>E28*M28</f>
        <v>2106.8216000000007</v>
      </c>
      <c r="O28" s="92">
        <v>39.24</v>
      </c>
      <c r="P28" s="101" t="s">
        <v>220</v>
      </c>
    </row>
    <row r="29" spans="1:16">
      <c r="A29" s="74">
        <v>25</v>
      </c>
      <c r="B29" s="6" t="s">
        <v>39</v>
      </c>
      <c r="C29" s="77" t="s">
        <v>14</v>
      </c>
      <c r="D29" s="83">
        <v>20</v>
      </c>
      <c r="E29" s="77">
        <v>200</v>
      </c>
      <c r="F29" s="77">
        <f>D29*E29</f>
        <v>4000</v>
      </c>
      <c r="G29" s="85"/>
      <c r="H29" s="85"/>
      <c r="I29" s="85">
        <v>20</v>
      </c>
      <c r="J29" s="93">
        <f t="shared" si="7"/>
        <v>4000</v>
      </c>
      <c r="K29" s="85">
        <f>'RA-02 JMS '!I42</f>
        <v>23.456887200000001</v>
      </c>
      <c r="L29" s="85">
        <f t="shared" si="4"/>
        <v>3.4568872000000006</v>
      </c>
      <c r="M29" s="94">
        <f>'RA-02 JMS '!I42-I29</f>
        <v>3.4568872000000006</v>
      </c>
      <c r="N29" s="94">
        <f>E29*M29</f>
        <v>691.37744000000009</v>
      </c>
      <c r="O29" s="92">
        <v>3.46</v>
      </c>
      <c r="P29" s="101" t="s">
        <v>220</v>
      </c>
    </row>
    <row r="30" spans="1:16" ht="112">
      <c r="A30" s="74">
        <v>26</v>
      </c>
      <c r="B30" s="6" t="s">
        <v>40</v>
      </c>
      <c r="C30" s="77"/>
      <c r="D30" s="83"/>
      <c r="E30" s="77"/>
      <c r="F30" s="77"/>
      <c r="G30" s="85"/>
      <c r="H30" s="85"/>
      <c r="I30" s="85"/>
      <c r="J30" s="93">
        <f t="shared" si="7"/>
        <v>0</v>
      </c>
      <c r="K30" s="85"/>
      <c r="L30" s="85"/>
      <c r="M30" s="77"/>
      <c r="N30" s="77"/>
    </row>
    <row r="31" spans="1:16">
      <c r="A31" s="74">
        <v>27</v>
      </c>
      <c r="B31" s="6" t="s">
        <v>41</v>
      </c>
      <c r="C31" s="77" t="s">
        <v>14</v>
      </c>
      <c r="D31" s="83">
        <v>10</v>
      </c>
      <c r="E31" s="77">
        <v>1800</v>
      </c>
      <c r="F31" s="77">
        <f t="shared" ref="F31:F37" si="9">D31*E31</f>
        <v>18000</v>
      </c>
      <c r="G31" s="85"/>
      <c r="H31" s="85"/>
      <c r="I31" s="85">
        <v>10</v>
      </c>
      <c r="J31" s="93">
        <f t="shared" si="7"/>
        <v>18000</v>
      </c>
      <c r="K31" s="85">
        <f>'RA-02 JMS '!I46</f>
        <v>23.819097599999996</v>
      </c>
      <c r="L31" s="85">
        <f t="shared" si="4"/>
        <v>13.819097599999996</v>
      </c>
      <c r="M31" s="94">
        <v>13.82</v>
      </c>
      <c r="N31" s="94">
        <f>E31*M31</f>
        <v>24876</v>
      </c>
      <c r="O31" s="101">
        <v>13.82</v>
      </c>
      <c r="P31" s="101" t="s">
        <v>220</v>
      </c>
    </row>
    <row r="32" spans="1:16">
      <c r="A32" s="74">
        <v>28</v>
      </c>
      <c r="B32" s="6" t="s">
        <v>42</v>
      </c>
      <c r="C32" s="77" t="s">
        <v>14</v>
      </c>
      <c r="D32" s="83">
        <v>10</v>
      </c>
      <c r="E32" s="77">
        <v>2400</v>
      </c>
      <c r="F32" s="77">
        <f t="shared" si="9"/>
        <v>24000</v>
      </c>
      <c r="G32" s="85"/>
      <c r="H32" s="85"/>
      <c r="I32" s="85">
        <f>'RA-02 JMS '!I47</f>
        <v>10</v>
      </c>
      <c r="J32" s="93">
        <f t="shared" si="7"/>
        <v>24000</v>
      </c>
      <c r="K32" s="85">
        <f t="shared" si="3"/>
        <v>10</v>
      </c>
      <c r="L32" s="85">
        <f t="shared" si="4"/>
        <v>0</v>
      </c>
      <c r="M32" s="77"/>
      <c r="N32" s="77"/>
    </row>
    <row r="33" spans="1:16" ht="42">
      <c r="A33" s="74">
        <v>29</v>
      </c>
      <c r="B33" s="6" t="s">
        <v>43</v>
      </c>
      <c r="C33" s="77" t="s">
        <v>14</v>
      </c>
      <c r="D33" s="83">
        <v>80</v>
      </c>
      <c r="E33" s="77">
        <v>1500</v>
      </c>
      <c r="F33" s="77">
        <f t="shared" si="9"/>
        <v>120000</v>
      </c>
      <c r="G33" s="85"/>
      <c r="H33" s="85"/>
      <c r="I33" s="85">
        <f>'RA-02 JMS '!I48</f>
        <v>43.329455999999993</v>
      </c>
      <c r="J33" s="93">
        <f t="shared" si="7"/>
        <v>64994.183999999987</v>
      </c>
      <c r="K33" s="85">
        <f t="shared" si="3"/>
        <v>43.329455999999993</v>
      </c>
      <c r="L33" s="85">
        <f t="shared" si="4"/>
        <v>-36.670544000000007</v>
      </c>
      <c r="M33" s="77"/>
      <c r="N33" s="77"/>
    </row>
    <row r="34" spans="1:16" ht="84">
      <c r="A34" s="74">
        <v>30</v>
      </c>
      <c r="B34" s="6" t="s">
        <v>44</v>
      </c>
      <c r="C34" s="77" t="s">
        <v>14</v>
      </c>
      <c r="D34" s="83">
        <v>15</v>
      </c>
      <c r="E34" s="77">
        <v>1350</v>
      </c>
      <c r="F34" s="77">
        <f t="shared" si="9"/>
        <v>20250</v>
      </c>
      <c r="G34" s="85"/>
      <c r="H34" s="85"/>
      <c r="I34" s="85">
        <f>'RA-02 JMS '!I58</f>
        <v>15</v>
      </c>
      <c r="J34" s="93">
        <f t="shared" si="7"/>
        <v>20250</v>
      </c>
      <c r="K34" s="85">
        <f t="shared" si="3"/>
        <v>15</v>
      </c>
      <c r="L34" s="85">
        <f t="shared" si="4"/>
        <v>0</v>
      </c>
      <c r="M34" s="77"/>
      <c r="N34" s="77"/>
    </row>
    <row r="35" spans="1:16" ht="42">
      <c r="A35" s="74">
        <v>31</v>
      </c>
      <c r="B35" s="6" t="s">
        <v>45</v>
      </c>
      <c r="C35" s="77" t="s">
        <v>32</v>
      </c>
      <c r="D35" s="83">
        <v>18</v>
      </c>
      <c r="E35" s="77">
        <v>150</v>
      </c>
      <c r="F35" s="77">
        <f t="shared" si="9"/>
        <v>2700</v>
      </c>
      <c r="G35" s="85"/>
      <c r="H35" s="85"/>
      <c r="I35" s="85">
        <v>18</v>
      </c>
      <c r="J35" s="93">
        <f t="shared" si="7"/>
        <v>2700</v>
      </c>
      <c r="K35" s="85">
        <f>'RA-02 JMS '!I59</f>
        <v>69.339200000000005</v>
      </c>
      <c r="L35" s="85">
        <f t="shared" si="4"/>
        <v>51.339200000000005</v>
      </c>
      <c r="M35" s="94">
        <f>'RA-02 JMS '!I59-I35</f>
        <v>51.339200000000005</v>
      </c>
      <c r="N35" s="94">
        <f>E35*M35</f>
        <v>7700.880000000001</v>
      </c>
      <c r="O35" s="101">
        <v>69.34</v>
      </c>
      <c r="P35" s="101" t="s">
        <v>220</v>
      </c>
    </row>
    <row r="36" spans="1:16" ht="42">
      <c r="A36" s="74">
        <v>32</v>
      </c>
      <c r="B36" s="6" t="s">
        <v>46</v>
      </c>
      <c r="C36" s="77" t="s">
        <v>14</v>
      </c>
      <c r="D36" s="83">
        <v>9</v>
      </c>
      <c r="E36" s="77">
        <v>850</v>
      </c>
      <c r="F36" s="77">
        <f t="shared" si="9"/>
        <v>7650</v>
      </c>
      <c r="G36" s="85"/>
      <c r="H36" s="85"/>
      <c r="I36" s="85"/>
      <c r="J36" s="93">
        <f t="shared" si="7"/>
        <v>0</v>
      </c>
      <c r="K36" s="85">
        <f t="shared" si="3"/>
        <v>0</v>
      </c>
      <c r="L36" s="85">
        <f t="shared" si="4"/>
        <v>-9</v>
      </c>
      <c r="M36" s="77"/>
      <c r="N36" s="77"/>
    </row>
    <row r="37" spans="1:16" ht="56">
      <c r="A37" s="74">
        <v>33</v>
      </c>
      <c r="B37" s="6" t="s">
        <v>47</v>
      </c>
      <c r="C37" s="77" t="s">
        <v>14</v>
      </c>
      <c r="D37" s="83">
        <v>226</v>
      </c>
      <c r="E37" s="77">
        <v>55</v>
      </c>
      <c r="F37" s="77">
        <f t="shared" si="9"/>
        <v>12430</v>
      </c>
      <c r="G37" s="85"/>
      <c r="H37" s="85"/>
      <c r="I37" s="85">
        <f>'RA-02 JMS '!I65</f>
        <v>137.36217535999998</v>
      </c>
      <c r="J37" s="93">
        <f t="shared" si="7"/>
        <v>7554.9196447999993</v>
      </c>
      <c r="K37" s="85">
        <f t="shared" si="3"/>
        <v>137.36217535999998</v>
      </c>
      <c r="L37" s="85">
        <f t="shared" si="4"/>
        <v>-88.637824640000019</v>
      </c>
      <c r="M37" s="77"/>
      <c r="N37" s="77"/>
    </row>
    <row r="38" spans="1:16">
      <c r="A38" s="74">
        <v>34</v>
      </c>
      <c r="B38" s="6" t="s">
        <v>48</v>
      </c>
      <c r="C38" s="77" t="s">
        <v>2</v>
      </c>
      <c r="D38" s="83" t="s">
        <v>2</v>
      </c>
      <c r="E38" s="77"/>
      <c r="F38" s="77"/>
      <c r="G38" s="85"/>
      <c r="H38" s="85"/>
      <c r="I38" s="85"/>
      <c r="J38" s="93">
        <f t="shared" si="7"/>
        <v>0</v>
      </c>
      <c r="K38" s="85"/>
      <c r="L38" s="85"/>
      <c r="M38" s="77"/>
      <c r="N38" s="77"/>
    </row>
    <row r="39" spans="1:16" ht="28">
      <c r="A39" s="74">
        <v>35</v>
      </c>
      <c r="B39" s="6" t="s">
        <v>49</v>
      </c>
      <c r="C39" s="77" t="s">
        <v>14</v>
      </c>
      <c r="D39" s="83">
        <v>120</v>
      </c>
      <c r="E39" s="77">
        <v>55</v>
      </c>
      <c r="F39" s="77">
        <f>D39*E39</f>
        <v>6600</v>
      </c>
      <c r="G39" s="85"/>
      <c r="H39" s="85"/>
      <c r="I39" s="85">
        <f>'RA-02 JMS '!I73</f>
        <v>90.708373759999986</v>
      </c>
      <c r="J39" s="93">
        <f t="shared" si="7"/>
        <v>4988.9605567999988</v>
      </c>
      <c r="K39" s="85">
        <f t="shared" si="3"/>
        <v>90.708373759999986</v>
      </c>
      <c r="L39" s="85">
        <f t="shared" si="4"/>
        <v>-29.291626240000014</v>
      </c>
      <c r="M39" s="77"/>
      <c r="N39" s="77"/>
    </row>
    <row r="40" spans="1:16">
      <c r="A40" s="74">
        <v>36</v>
      </c>
      <c r="B40" s="6" t="s">
        <v>50</v>
      </c>
      <c r="C40" s="77" t="s">
        <v>14</v>
      </c>
      <c r="D40" s="83">
        <v>173</v>
      </c>
      <c r="E40" s="77">
        <v>130</v>
      </c>
      <c r="F40" s="77">
        <f>D40*E40</f>
        <v>22490</v>
      </c>
      <c r="G40" s="85"/>
      <c r="H40" s="85"/>
      <c r="I40" s="85">
        <f>'RA-02 JMS '!I78</f>
        <v>46.653801599999987</v>
      </c>
      <c r="J40" s="93">
        <f t="shared" si="7"/>
        <v>6064.9942079999983</v>
      </c>
      <c r="K40" s="85">
        <f t="shared" si="3"/>
        <v>46.653801599999987</v>
      </c>
      <c r="L40" s="85">
        <f t="shared" si="4"/>
        <v>-126.34619840000002</v>
      </c>
      <c r="M40" s="77"/>
      <c r="N40" s="77"/>
    </row>
    <row r="41" spans="1:16">
      <c r="A41" s="74">
        <v>37</v>
      </c>
      <c r="B41" s="6" t="s">
        <v>51</v>
      </c>
      <c r="C41" s="77" t="s">
        <v>14</v>
      </c>
      <c r="D41" s="83">
        <v>173</v>
      </c>
      <c r="E41" s="77">
        <v>40</v>
      </c>
      <c r="F41" s="77">
        <f>D41*E41</f>
        <v>6920</v>
      </c>
      <c r="G41" s="85"/>
      <c r="H41" s="85"/>
      <c r="I41" s="85">
        <f>'RA-02 JMS '!I82</f>
        <v>46.653801599999987</v>
      </c>
      <c r="J41" s="93">
        <f t="shared" si="7"/>
        <v>1866.1520639999994</v>
      </c>
      <c r="K41" s="85">
        <f t="shared" si="3"/>
        <v>46.653801599999987</v>
      </c>
      <c r="L41" s="85">
        <f t="shared" si="4"/>
        <v>-126.34619840000002</v>
      </c>
      <c r="M41" s="77"/>
      <c r="N41" s="77"/>
    </row>
    <row r="42" spans="1:16">
      <c r="A42" s="74">
        <v>38</v>
      </c>
      <c r="B42" s="6" t="s">
        <v>52</v>
      </c>
      <c r="C42" s="77" t="s">
        <v>2</v>
      </c>
      <c r="D42" s="83" t="s">
        <v>2</v>
      </c>
      <c r="E42" s="77"/>
      <c r="F42" s="77"/>
      <c r="G42" s="85"/>
      <c r="H42" s="85"/>
      <c r="I42" s="85"/>
      <c r="J42" s="93">
        <f t="shared" si="7"/>
        <v>0</v>
      </c>
      <c r="K42" s="85"/>
      <c r="L42" s="85"/>
      <c r="M42" s="77"/>
      <c r="N42" s="77"/>
    </row>
    <row r="43" spans="1:16" ht="196">
      <c r="A43" s="74">
        <v>39</v>
      </c>
      <c r="B43" s="6" t="s">
        <v>53</v>
      </c>
      <c r="C43" s="77" t="s">
        <v>14</v>
      </c>
      <c r="D43" s="83">
        <v>130</v>
      </c>
      <c r="E43" s="77">
        <v>210</v>
      </c>
      <c r="F43" s="77">
        <f>D43*E43</f>
        <v>27300</v>
      </c>
      <c r="G43" s="85"/>
      <c r="H43" s="85"/>
      <c r="I43" s="85">
        <f>'RA-02 JMS '!I87</f>
        <v>113.58718719999999</v>
      </c>
      <c r="J43" s="93">
        <f t="shared" si="7"/>
        <v>23853.309311999998</v>
      </c>
      <c r="K43" s="85">
        <f t="shared" si="3"/>
        <v>113.58718719999999</v>
      </c>
      <c r="L43" s="85">
        <f t="shared" si="4"/>
        <v>-16.412812800000012</v>
      </c>
      <c r="M43" s="77"/>
      <c r="N43" s="77"/>
    </row>
    <row r="44" spans="1:16" ht="42">
      <c r="A44" s="74">
        <v>40</v>
      </c>
      <c r="B44" s="6" t="s">
        <v>54</v>
      </c>
      <c r="C44" s="77" t="s">
        <v>55</v>
      </c>
      <c r="D44" s="83">
        <v>5</v>
      </c>
      <c r="E44" s="77">
        <v>3600</v>
      </c>
      <c r="F44" s="77">
        <f>D44*E44</f>
        <v>18000</v>
      </c>
      <c r="G44" s="85"/>
      <c r="H44" s="85"/>
      <c r="I44" s="85"/>
      <c r="J44" s="93">
        <f t="shared" si="7"/>
        <v>0</v>
      </c>
      <c r="K44" s="85">
        <f t="shared" si="3"/>
        <v>0</v>
      </c>
      <c r="L44" s="85">
        <f t="shared" si="4"/>
        <v>-5</v>
      </c>
      <c r="M44" s="77"/>
      <c r="N44" s="77"/>
    </row>
    <row r="45" spans="1:16">
      <c r="A45" s="4"/>
      <c r="B45" s="6"/>
      <c r="C45" s="77"/>
      <c r="D45" s="83"/>
      <c r="E45" s="77"/>
      <c r="F45" s="77"/>
      <c r="G45" s="85"/>
      <c r="H45" s="77"/>
      <c r="I45" s="85"/>
      <c r="J45" s="77"/>
      <c r="K45" s="85"/>
      <c r="L45" s="85"/>
      <c r="M45" s="77"/>
      <c r="N45" s="77"/>
    </row>
    <row r="46" spans="1:16">
      <c r="A46" s="7">
        <v>2</v>
      </c>
      <c r="B46" s="8" t="s">
        <v>5</v>
      </c>
      <c r="C46" s="80" t="s">
        <v>4</v>
      </c>
      <c r="D46" s="81"/>
      <c r="E46" s="81"/>
      <c r="F46" s="82">
        <f>SUM(F48:F82)</f>
        <v>478060</v>
      </c>
      <c r="G46" s="87"/>
      <c r="H46" s="82">
        <f>SUM(H48:H82)</f>
        <v>0</v>
      </c>
      <c r="I46" s="87"/>
      <c r="J46" s="82">
        <f>SUM(J48:J82)</f>
        <v>294350</v>
      </c>
      <c r="K46" s="87"/>
      <c r="L46" s="87"/>
      <c r="M46" s="87"/>
      <c r="N46" s="82">
        <f>SUM(N48:N82)</f>
        <v>0</v>
      </c>
    </row>
    <row r="47" spans="1:16">
      <c r="A47" s="74">
        <v>41</v>
      </c>
      <c r="B47" s="6" t="s">
        <v>56</v>
      </c>
      <c r="C47" s="77" t="s">
        <v>2</v>
      </c>
      <c r="D47" s="83" t="s">
        <v>2</v>
      </c>
      <c r="E47" s="77"/>
      <c r="F47" s="77"/>
      <c r="G47" s="85"/>
      <c r="H47" s="77"/>
      <c r="I47" s="85"/>
      <c r="J47" s="77"/>
      <c r="K47" s="85"/>
      <c r="L47" s="85"/>
      <c r="M47" s="77"/>
      <c r="N47" s="77"/>
    </row>
    <row r="48" spans="1:16" ht="126">
      <c r="A48" s="74">
        <v>42</v>
      </c>
      <c r="B48" s="6" t="s">
        <v>57</v>
      </c>
      <c r="C48" s="77" t="s">
        <v>14</v>
      </c>
      <c r="D48" s="83">
        <v>230</v>
      </c>
      <c r="E48" s="77">
        <v>450</v>
      </c>
      <c r="F48" s="77">
        <f t="shared" ref="F48:F63" si="10">D48*E48</f>
        <v>103500</v>
      </c>
      <c r="G48" s="85"/>
      <c r="H48" s="77"/>
      <c r="I48" s="85">
        <f>'RA-02 JMS '!I93</f>
        <v>230</v>
      </c>
      <c r="J48" s="77">
        <f>E48*I48</f>
        <v>103500</v>
      </c>
      <c r="K48" s="85">
        <f t="shared" si="3"/>
        <v>230</v>
      </c>
      <c r="L48" s="85">
        <f t="shared" si="4"/>
        <v>0</v>
      </c>
      <c r="M48" s="77"/>
      <c r="N48" s="77"/>
    </row>
    <row r="49" spans="1:14" ht="56">
      <c r="A49" s="74">
        <v>43</v>
      </c>
      <c r="B49" s="6" t="s">
        <v>58</v>
      </c>
      <c r="C49" s="77" t="s">
        <v>25</v>
      </c>
      <c r="D49" s="83">
        <v>1</v>
      </c>
      <c r="E49" s="77">
        <v>34500</v>
      </c>
      <c r="F49" s="77">
        <f t="shared" si="10"/>
        <v>34500</v>
      </c>
      <c r="G49" s="85"/>
      <c r="H49" s="77"/>
      <c r="I49" s="85">
        <f>'RA-02 JMS '!I94</f>
        <v>1</v>
      </c>
      <c r="J49" s="77">
        <f t="shared" ref="J49:J82" si="11">E49*I49</f>
        <v>34500</v>
      </c>
      <c r="K49" s="85">
        <f t="shared" si="3"/>
        <v>1</v>
      </c>
      <c r="L49" s="85">
        <f t="shared" si="4"/>
        <v>0</v>
      </c>
      <c r="M49" s="77"/>
      <c r="N49" s="77"/>
    </row>
    <row r="50" spans="1:14" ht="42">
      <c r="A50" s="74">
        <v>44</v>
      </c>
      <c r="B50" s="6" t="s">
        <v>59</v>
      </c>
      <c r="C50" s="77" t="s">
        <v>25</v>
      </c>
      <c r="D50" s="83">
        <v>1</v>
      </c>
      <c r="E50" s="77">
        <v>14000</v>
      </c>
      <c r="F50" s="77">
        <f t="shared" si="10"/>
        <v>14000</v>
      </c>
      <c r="G50" s="85"/>
      <c r="H50" s="77"/>
      <c r="I50" s="85">
        <f>'RA-02 JMS '!I95</f>
        <v>1</v>
      </c>
      <c r="J50" s="77">
        <f t="shared" si="11"/>
        <v>14000</v>
      </c>
      <c r="K50" s="85">
        <f t="shared" si="3"/>
        <v>1</v>
      </c>
      <c r="L50" s="85">
        <f t="shared" si="4"/>
        <v>0</v>
      </c>
      <c r="M50" s="77"/>
      <c r="N50" s="77"/>
    </row>
    <row r="51" spans="1:14">
      <c r="A51" s="74">
        <v>45</v>
      </c>
      <c r="B51" s="6" t="s">
        <v>60</v>
      </c>
      <c r="C51" s="77" t="s">
        <v>25</v>
      </c>
      <c r="D51" s="83">
        <v>1</v>
      </c>
      <c r="E51" s="77">
        <v>7500</v>
      </c>
      <c r="F51" s="77">
        <f t="shared" si="10"/>
        <v>7500</v>
      </c>
      <c r="G51" s="85"/>
      <c r="H51" s="77"/>
      <c r="I51" s="85">
        <f>'RA-02 JMS '!I96</f>
        <v>1</v>
      </c>
      <c r="J51" s="77">
        <f t="shared" si="11"/>
        <v>7500</v>
      </c>
      <c r="K51" s="85">
        <f t="shared" si="3"/>
        <v>1</v>
      </c>
      <c r="L51" s="85">
        <f t="shared" si="4"/>
        <v>0</v>
      </c>
      <c r="M51" s="77"/>
      <c r="N51" s="77"/>
    </row>
    <row r="52" spans="1:14">
      <c r="A52" s="74">
        <v>46</v>
      </c>
      <c r="B52" s="6" t="s">
        <v>61</v>
      </c>
      <c r="C52" s="77" t="s">
        <v>25</v>
      </c>
      <c r="D52" s="83">
        <v>12</v>
      </c>
      <c r="E52" s="77">
        <v>950</v>
      </c>
      <c r="F52" s="77">
        <f t="shared" si="10"/>
        <v>11400</v>
      </c>
      <c r="G52" s="85"/>
      <c r="H52" s="77"/>
      <c r="I52" s="85">
        <f>'RA-02 JMS '!I97</f>
        <v>12</v>
      </c>
      <c r="J52" s="77">
        <f t="shared" si="11"/>
        <v>11400</v>
      </c>
      <c r="K52" s="85">
        <f t="shared" si="3"/>
        <v>12</v>
      </c>
      <c r="L52" s="85">
        <f t="shared" si="4"/>
        <v>0</v>
      </c>
      <c r="M52" s="77"/>
      <c r="N52" s="77"/>
    </row>
    <row r="53" spans="1:14">
      <c r="A53" s="74">
        <v>47</v>
      </c>
      <c r="B53" s="6" t="s">
        <v>62</v>
      </c>
      <c r="C53" s="77" t="s">
        <v>25</v>
      </c>
      <c r="D53" s="83">
        <v>8</v>
      </c>
      <c r="E53" s="77">
        <v>2500</v>
      </c>
      <c r="F53" s="77">
        <f t="shared" si="10"/>
        <v>20000</v>
      </c>
      <c r="G53" s="85"/>
      <c r="H53" s="77"/>
      <c r="I53" s="85">
        <f>'RA-02 JMS '!I98</f>
        <v>6</v>
      </c>
      <c r="J53" s="77">
        <f t="shared" si="11"/>
        <v>15000</v>
      </c>
      <c r="K53" s="85">
        <f t="shared" si="3"/>
        <v>6</v>
      </c>
      <c r="L53" s="85">
        <f t="shared" si="4"/>
        <v>-2</v>
      </c>
      <c r="M53" s="77"/>
      <c r="N53" s="77"/>
    </row>
    <row r="54" spans="1:14">
      <c r="A54" s="74">
        <v>48</v>
      </c>
      <c r="B54" s="6" t="s">
        <v>63</v>
      </c>
      <c r="C54" s="77" t="s">
        <v>25</v>
      </c>
      <c r="D54" s="83">
        <v>2</v>
      </c>
      <c r="E54" s="77">
        <v>3250</v>
      </c>
      <c r="F54" s="77">
        <f t="shared" si="10"/>
        <v>6500</v>
      </c>
      <c r="G54" s="85"/>
      <c r="H54" s="77"/>
      <c r="I54" s="85"/>
      <c r="J54" s="77">
        <f t="shared" si="11"/>
        <v>0</v>
      </c>
      <c r="K54" s="85">
        <f t="shared" si="3"/>
        <v>0</v>
      </c>
      <c r="L54" s="85">
        <f t="shared" si="4"/>
        <v>-2</v>
      </c>
      <c r="M54" s="77"/>
      <c r="N54" s="77"/>
    </row>
    <row r="55" spans="1:14">
      <c r="A55" s="74">
        <v>49</v>
      </c>
      <c r="B55" s="6" t="s">
        <v>64</v>
      </c>
      <c r="C55" s="77" t="s">
        <v>25</v>
      </c>
      <c r="D55" s="83">
        <v>2</v>
      </c>
      <c r="E55" s="77">
        <v>2200</v>
      </c>
      <c r="F55" s="77">
        <f t="shared" si="10"/>
        <v>4400</v>
      </c>
      <c r="G55" s="85"/>
      <c r="H55" s="77"/>
      <c r="I55" s="85">
        <f>'RA-02 JMS '!I99</f>
        <v>2</v>
      </c>
      <c r="J55" s="77">
        <f t="shared" si="11"/>
        <v>4400</v>
      </c>
      <c r="K55" s="85">
        <f t="shared" si="3"/>
        <v>2</v>
      </c>
      <c r="L55" s="85">
        <f t="shared" si="4"/>
        <v>0</v>
      </c>
      <c r="M55" s="77"/>
      <c r="N55" s="77"/>
    </row>
    <row r="56" spans="1:14">
      <c r="A56" s="74">
        <v>50</v>
      </c>
      <c r="B56" s="6" t="s">
        <v>65</v>
      </c>
      <c r="C56" s="77" t="s">
        <v>32</v>
      </c>
      <c r="D56" s="83">
        <v>15</v>
      </c>
      <c r="E56" s="77">
        <v>280</v>
      </c>
      <c r="F56" s="77">
        <f t="shared" si="10"/>
        <v>4200</v>
      </c>
      <c r="G56" s="85"/>
      <c r="H56" s="77"/>
      <c r="I56" s="85"/>
      <c r="J56" s="77">
        <f t="shared" si="11"/>
        <v>0</v>
      </c>
      <c r="K56" s="85">
        <f t="shared" si="3"/>
        <v>0</v>
      </c>
      <c r="L56" s="85">
        <f t="shared" si="4"/>
        <v>-15</v>
      </c>
      <c r="M56" s="77"/>
      <c r="N56" s="77"/>
    </row>
    <row r="57" spans="1:14">
      <c r="A57" s="74">
        <v>51</v>
      </c>
      <c r="B57" s="6" t="s">
        <v>66</v>
      </c>
      <c r="C57" s="77" t="s">
        <v>25</v>
      </c>
      <c r="D57" s="83">
        <v>2</v>
      </c>
      <c r="E57" s="77">
        <v>2400</v>
      </c>
      <c r="F57" s="77">
        <f t="shared" si="10"/>
        <v>4800</v>
      </c>
      <c r="G57" s="85"/>
      <c r="H57" s="77"/>
      <c r="I57" s="85">
        <f>'RA-02 JMS '!I100</f>
        <v>2</v>
      </c>
      <c r="J57" s="77">
        <f t="shared" si="11"/>
        <v>4800</v>
      </c>
      <c r="K57" s="85">
        <f t="shared" si="3"/>
        <v>2</v>
      </c>
      <c r="L57" s="85">
        <f t="shared" si="4"/>
        <v>0</v>
      </c>
      <c r="M57" s="77"/>
      <c r="N57" s="77"/>
    </row>
    <row r="58" spans="1:14">
      <c r="A58" s="74">
        <v>52</v>
      </c>
      <c r="B58" s="6" t="s">
        <v>67</v>
      </c>
      <c r="C58" s="77" t="s">
        <v>25</v>
      </c>
      <c r="D58" s="83">
        <v>1</v>
      </c>
      <c r="E58" s="77">
        <v>8000</v>
      </c>
      <c r="F58" s="77">
        <f t="shared" si="10"/>
        <v>8000</v>
      </c>
      <c r="G58" s="85"/>
      <c r="H58" s="77"/>
      <c r="I58" s="85">
        <f>'RA-02 JMS '!I101</f>
        <v>1</v>
      </c>
      <c r="J58" s="77">
        <f t="shared" si="11"/>
        <v>8000</v>
      </c>
      <c r="K58" s="85">
        <f t="shared" si="3"/>
        <v>1</v>
      </c>
      <c r="L58" s="85">
        <f t="shared" si="4"/>
        <v>0</v>
      </c>
      <c r="M58" s="77"/>
      <c r="N58" s="77"/>
    </row>
    <row r="59" spans="1:14">
      <c r="A59" s="74">
        <v>53</v>
      </c>
      <c r="B59" s="6" t="s">
        <v>68</v>
      </c>
      <c r="C59" s="77" t="s">
        <v>25</v>
      </c>
      <c r="D59" s="83">
        <v>1</v>
      </c>
      <c r="E59" s="77">
        <v>3500</v>
      </c>
      <c r="F59" s="77">
        <f t="shared" si="10"/>
        <v>3500</v>
      </c>
      <c r="G59" s="85"/>
      <c r="H59" s="77"/>
      <c r="I59" s="85"/>
      <c r="J59" s="77">
        <f t="shared" si="11"/>
        <v>0</v>
      </c>
      <c r="K59" s="85">
        <f t="shared" si="3"/>
        <v>0</v>
      </c>
      <c r="L59" s="85">
        <f t="shared" si="4"/>
        <v>-1</v>
      </c>
      <c r="M59" s="77"/>
      <c r="N59" s="77"/>
    </row>
    <row r="60" spans="1:14">
      <c r="A60" s="74">
        <v>54</v>
      </c>
      <c r="B60" s="6" t="s">
        <v>69</v>
      </c>
      <c r="C60" s="77" t="s">
        <v>25</v>
      </c>
      <c r="D60" s="83">
        <v>1</v>
      </c>
      <c r="E60" s="77">
        <v>8500</v>
      </c>
      <c r="F60" s="77">
        <f t="shared" si="10"/>
        <v>8500</v>
      </c>
      <c r="G60" s="85"/>
      <c r="H60" s="77"/>
      <c r="I60" s="85"/>
      <c r="J60" s="77">
        <f t="shared" si="11"/>
        <v>0</v>
      </c>
      <c r="K60" s="85">
        <f t="shared" si="3"/>
        <v>0</v>
      </c>
      <c r="L60" s="85">
        <f t="shared" si="4"/>
        <v>-1</v>
      </c>
      <c r="M60" s="77"/>
      <c r="N60" s="77"/>
    </row>
    <row r="61" spans="1:14">
      <c r="A61" s="74">
        <v>55</v>
      </c>
      <c r="B61" s="6" t="s">
        <v>70</v>
      </c>
      <c r="C61" s="77" t="s">
        <v>71</v>
      </c>
      <c r="D61" s="83">
        <v>40</v>
      </c>
      <c r="E61" s="77">
        <v>480</v>
      </c>
      <c r="F61" s="77">
        <f t="shared" si="10"/>
        <v>19200</v>
      </c>
      <c r="G61" s="85"/>
      <c r="H61" s="77"/>
      <c r="I61" s="85">
        <f>'RA-02 JMS '!I102</f>
        <v>8</v>
      </c>
      <c r="J61" s="77">
        <f t="shared" si="11"/>
        <v>3840</v>
      </c>
      <c r="K61" s="85">
        <f t="shared" si="3"/>
        <v>8</v>
      </c>
      <c r="L61" s="85">
        <f t="shared" si="4"/>
        <v>-32</v>
      </c>
      <c r="M61" s="77"/>
      <c r="N61" s="77"/>
    </row>
    <row r="62" spans="1:14">
      <c r="A62" s="74">
        <v>56</v>
      </c>
      <c r="B62" s="6" t="s">
        <v>72</v>
      </c>
      <c r="C62" s="77" t="s">
        <v>25</v>
      </c>
      <c r="D62" s="83">
        <v>2</v>
      </c>
      <c r="E62" s="77">
        <v>1500</v>
      </c>
      <c r="F62" s="77">
        <f t="shared" si="10"/>
        <v>3000</v>
      </c>
      <c r="G62" s="85"/>
      <c r="H62" s="77"/>
      <c r="I62" s="85">
        <f>'RA-02 JMS '!I103</f>
        <v>2</v>
      </c>
      <c r="J62" s="77">
        <f t="shared" si="11"/>
        <v>3000</v>
      </c>
      <c r="K62" s="85">
        <f t="shared" si="3"/>
        <v>2</v>
      </c>
      <c r="L62" s="85">
        <f t="shared" si="4"/>
        <v>0</v>
      </c>
      <c r="M62" s="77"/>
      <c r="N62" s="77"/>
    </row>
    <row r="63" spans="1:14">
      <c r="A63" s="74">
        <v>57</v>
      </c>
      <c r="B63" s="6" t="s">
        <v>73</v>
      </c>
      <c r="C63" s="77" t="s">
        <v>25</v>
      </c>
      <c r="D63" s="83">
        <v>2</v>
      </c>
      <c r="E63" s="77">
        <v>1500</v>
      </c>
      <c r="F63" s="77">
        <f t="shared" si="10"/>
        <v>3000</v>
      </c>
      <c r="G63" s="85"/>
      <c r="H63" s="77"/>
      <c r="I63" s="85">
        <f>'RA-02 JMS '!I104</f>
        <v>2</v>
      </c>
      <c r="J63" s="77">
        <f t="shared" si="11"/>
        <v>3000</v>
      </c>
      <c r="K63" s="85">
        <f t="shared" si="3"/>
        <v>2</v>
      </c>
      <c r="L63" s="85">
        <f t="shared" si="4"/>
        <v>0</v>
      </c>
      <c r="M63" s="77"/>
      <c r="N63" s="77"/>
    </row>
    <row r="64" spans="1:14" ht="28">
      <c r="A64" s="74">
        <v>58</v>
      </c>
      <c r="B64" s="6" t="s">
        <v>74</v>
      </c>
      <c r="C64" s="77" t="s">
        <v>2</v>
      </c>
      <c r="D64" s="83" t="s">
        <v>2</v>
      </c>
      <c r="E64" s="77"/>
      <c r="F64" s="77"/>
      <c r="G64" s="85"/>
      <c r="H64" s="77"/>
      <c r="I64" s="85"/>
      <c r="J64" s="77">
        <f t="shared" si="11"/>
        <v>0</v>
      </c>
      <c r="K64" s="85"/>
      <c r="L64" s="85"/>
      <c r="M64" s="77"/>
      <c r="N64" s="77"/>
    </row>
    <row r="65" spans="1:14">
      <c r="A65" s="74">
        <v>59</v>
      </c>
      <c r="B65" s="6" t="s">
        <v>75</v>
      </c>
      <c r="C65" s="77" t="s">
        <v>25</v>
      </c>
      <c r="D65" s="83">
        <v>2</v>
      </c>
      <c r="E65" s="77">
        <v>1500</v>
      </c>
      <c r="F65" s="77">
        <f t="shared" ref="F65:F82" si="12">D65*E65</f>
        <v>3000</v>
      </c>
      <c r="G65" s="85"/>
      <c r="H65" s="77"/>
      <c r="I65" s="85">
        <f>'RA-02 JMS '!I106</f>
        <v>2</v>
      </c>
      <c r="J65" s="77">
        <f t="shared" si="11"/>
        <v>3000</v>
      </c>
      <c r="K65" s="85">
        <f t="shared" si="3"/>
        <v>2</v>
      </c>
      <c r="L65" s="85">
        <f t="shared" si="4"/>
        <v>0</v>
      </c>
      <c r="M65" s="77"/>
      <c r="N65" s="77"/>
    </row>
    <row r="66" spans="1:14">
      <c r="A66" s="74">
        <v>60</v>
      </c>
      <c r="B66" s="6" t="s">
        <v>76</v>
      </c>
      <c r="C66" s="77" t="s">
        <v>25</v>
      </c>
      <c r="D66" s="83">
        <v>14</v>
      </c>
      <c r="E66" s="77">
        <v>1550</v>
      </c>
      <c r="F66" s="77">
        <f t="shared" si="12"/>
        <v>21700</v>
      </c>
      <c r="G66" s="85"/>
      <c r="H66" s="77"/>
      <c r="I66" s="85">
        <f>'RA-02 JMS '!I107</f>
        <v>14</v>
      </c>
      <c r="J66" s="77">
        <f t="shared" si="11"/>
        <v>21700</v>
      </c>
      <c r="K66" s="85">
        <f t="shared" si="3"/>
        <v>14</v>
      </c>
      <c r="L66" s="85">
        <f t="shared" si="4"/>
        <v>0</v>
      </c>
      <c r="M66" s="77"/>
      <c r="N66" s="77"/>
    </row>
    <row r="67" spans="1:14">
      <c r="A67" s="74">
        <v>61</v>
      </c>
      <c r="B67" s="6" t="s">
        <v>77</v>
      </c>
      <c r="C67" s="77" t="s">
        <v>71</v>
      </c>
      <c r="D67" s="83">
        <v>70</v>
      </c>
      <c r="E67" s="77">
        <v>75</v>
      </c>
      <c r="F67" s="77">
        <f t="shared" si="12"/>
        <v>5250</v>
      </c>
      <c r="G67" s="85"/>
      <c r="H67" s="77"/>
      <c r="I67" s="85">
        <f>'RA-02 JMS '!I108</f>
        <v>70</v>
      </c>
      <c r="J67" s="77">
        <f t="shared" si="11"/>
        <v>5250</v>
      </c>
      <c r="K67" s="85">
        <f t="shared" si="3"/>
        <v>70</v>
      </c>
      <c r="L67" s="85">
        <f t="shared" si="4"/>
        <v>0</v>
      </c>
      <c r="M67" s="77"/>
      <c r="N67" s="77"/>
    </row>
    <row r="68" spans="1:14">
      <c r="A68" s="74">
        <v>62</v>
      </c>
      <c r="B68" s="6" t="s">
        <v>78</v>
      </c>
      <c r="C68" s="77" t="s">
        <v>71</v>
      </c>
      <c r="D68" s="83">
        <v>70</v>
      </c>
      <c r="E68" s="77">
        <v>75</v>
      </c>
      <c r="F68" s="77">
        <f t="shared" si="12"/>
        <v>5250</v>
      </c>
      <c r="G68" s="85"/>
      <c r="H68" s="77"/>
      <c r="I68" s="85">
        <f>'RA-02 JMS '!I109</f>
        <v>70</v>
      </c>
      <c r="J68" s="77">
        <f t="shared" si="11"/>
        <v>5250</v>
      </c>
      <c r="K68" s="85">
        <f t="shared" si="3"/>
        <v>70</v>
      </c>
      <c r="L68" s="85">
        <f t="shared" si="4"/>
        <v>0</v>
      </c>
      <c r="M68" s="77"/>
      <c r="N68" s="77"/>
    </row>
    <row r="69" spans="1:14">
      <c r="A69" s="74">
        <v>63</v>
      </c>
      <c r="B69" s="9" t="s">
        <v>79</v>
      </c>
      <c r="C69" s="88" t="s">
        <v>25</v>
      </c>
      <c r="D69" s="89">
        <v>1</v>
      </c>
      <c r="E69" s="88">
        <v>5500</v>
      </c>
      <c r="F69" s="88">
        <f t="shared" si="12"/>
        <v>5500</v>
      </c>
      <c r="G69" s="85"/>
      <c r="H69" s="77"/>
      <c r="I69" s="85"/>
      <c r="J69" s="77">
        <f t="shared" si="11"/>
        <v>0</v>
      </c>
      <c r="K69" s="85">
        <f t="shared" si="3"/>
        <v>0</v>
      </c>
      <c r="L69" s="85">
        <f t="shared" si="4"/>
        <v>-1</v>
      </c>
      <c r="M69" s="77"/>
      <c r="N69" s="77"/>
    </row>
    <row r="70" spans="1:14">
      <c r="A70" s="74">
        <v>64</v>
      </c>
      <c r="B70" s="9" t="s">
        <v>80</v>
      </c>
      <c r="C70" s="88" t="s">
        <v>25</v>
      </c>
      <c r="D70" s="89">
        <v>1</v>
      </c>
      <c r="E70" s="88">
        <v>7500</v>
      </c>
      <c r="F70" s="88">
        <f t="shared" si="12"/>
        <v>7500</v>
      </c>
      <c r="G70" s="85"/>
      <c r="H70" s="77"/>
      <c r="I70" s="85"/>
      <c r="J70" s="77">
        <f t="shared" si="11"/>
        <v>0</v>
      </c>
      <c r="K70" s="85">
        <f t="shared" si="3"/>
        <v>0</v>
      </c>
      <c r="L70" s="85">
        <f t="shared" si="4"/>
        <v>-1</v>
      </c>
      <c r="M70" s="77"/>
      <c r="N70" s="77"/>
    </row>
    <row r="71" spans="1:14" ht="42">
      <c r="A71" s="74">
        <v>65</v>
      </c>
      <c r="B71" s="6" t="s">
        <v>81</v>
      </c>
      <c r="C71" s="77" t="s">
        <v>71</v>
      </c>
      <c r="D71" s="83">
        <v>21</v>
      </c>
      <c r="E71" s="77">
        <v>210</v>
      </c>
      <c r="F71" s="77">
        <f t="shared" si="12"/>
        <v>4410</v>
      </c>
      <c r="G71" s="85"/>
      <c r="H71" s="77"/>
      <c r="I71" s="85">
        <f>'RA-02 JMS '!I110</f>
        <v>21</v>
      </c>
      <c r="J71" s="77">
        <f t="shared" si="11"/>
        <v>4410</v>
      </c>
      <c r="K71" s="85">
        <f t="shared" ref="K71:K131" si="13">G71+I71</f>
        <v>21</v>
      </c>
      <c r="L71" s="85">
        <f t="shared" ref="L71:L131" si="14">K71-D71</f>
        <v>0</v>
      </c>
      <c r="M71" s="77"/>
      <c r="N71" s="77"/>
    </row>
    <row r="72" spans="1:14">
      <c r="A72" s="74">
        <v>66</v>
      </c>
      <c r="B72" s="6" t="s">
        <v>82</v>
      </c>
      <c r="C72" s="77" t="s">
        <v>25</v>
      </c>
      <c r="D72" s="83">
        <v>1</v>
      </c>
      <c r="E72" s="77">
        <v>35500</v>
      </c>
      <c r="F72" s="77">
        <f t="shared" si="12"/>
        <v>35500</v>
      </c>
      <c r="G72" s="85"/>
      <c r="H72" s="77"/>
      <c r="I72" s="85"/>
      <c r="J72" s="77">
        <f t="shared" si="11"/>
        <v>0</v>
      </c>
      <c r="K72" s="85">
        <f t="shared" si="13"/>
        <v>0</v>
      </c>
      <c r="L72" s="85">
        <f t="shared" si="14"/>
        <v>-1</v>
      </c>
      <c r="M72" s="77"/>
      <c r="N72" s="77"/>
    </row>
    <row r="73" spans="1:14">
      <c r="A73" s="74">
        <v>67</v>
      </c>
      <c r="B73" s="6" t="s">
        <v>83</v>
      </c>
      <c r="C73" s="77" t="s">
        <v>25</v>
      </c>
      <c r="D73" s="83">
        <v>1</v>
      </c>
      <c r="E73" s="77">
        <v>2500</v>
      </c>
      <c r="F73" s="77">
        <f t="shared" si="12"/>
        <v>2500</v>
      </c>
      <c r="G73" s="85"/>
      <c r="H73" s="77"/>
      <c r="I73" s="85">
        <f>'RA-02 JMS '!I111</f>
        <v>1</v>
      </c>
      <c r="J73" s="77">
        <f t="shared" si="11"/>
        <v>2500</v>
      </c>
      <c r="K73" s="85">
        <f t="shared" si="13"/>
        <v>1</v>
      </c>
      <c r="L73" s="85">
        <f t="shared" si="14"/>
        <v>0</v>
      </c>
      <c r="M73" s="77"/>
      <c r="N73" s="77"/>
    </row>
    <row r="74" spans="1:14">
      <c r="A74" s="74">
        <v>68</v>
      </c>
      <c r="B74" s="6" t="s">
        <v>84</v>
      </c>
      <c r="C74" s="77" t="s">
        <v>85</v>
      </c>
      <c r="D74" s="83">
        <v>4</v>
      </c>
      <c r="E74" s="77">
        <v>19500</v>
      </c>
      <c r="F74" s="77">
        <f t="shared" si="12"/>
        <v>78000</v>
      </c>
      <c r="G74" s="85"/>
      <c r="H74" s="77"/>
      <c r="I74" s="85"/>
      <c r="J74" s="77">
        <f t="shared" si="11"/>
        <v>0</v>
      </c>
      <c r="K74" s="85">
        <f t="shared" si="13"/>
        <v>0</v>
      </c>
      <c r="L74" s="85">
        <f t="shared" si="14"/>
        <v>-4</v>
      </c>
      <c r="M74" s="77"/>
      <c r="N74" s="77"/>
    </row>
    <row r="75" spans="1:14">
      <c r="A75" s="74">
        <v>69</v>
      </c>
      <c r="B75" s="6" t="s">
        <v>86</v>
      </c>
      <c r="C75" s="77" t="s">
        <v>25</v>
      </c>
      <c r="D75" s="83">
        <v>8</v>
      </c>
      <c r="E75" s="77">
        <v>3400</v>
      </c>
      <c r="F75" s="77">
        <f t="shared" si="12"/>
        <v>27200</v>
      </c>
      <c r="G75" s="85"/>
      <c r="H75" s="77"/>
      <c r="I75" s="85">
        <f>'RA-02 JMS '!I112</f>
        <v>5</v>
      </c>
      <c r="J75" s="77">
        <f t="shared" si="11"/>
        <v>17000</v>
      </c>
      <c r="K75" s="85">
        <f t="shared" si="13"/>
        <v>5</v>
      </c>
      <c r="L75" s="85">
        <f t="shared" si="14"/>
        <v>-3</v>
      </c>
      <c r="M75" s="77"/>
      <c r="N75" s="77"/>
    </row>
    <row r="76" spans="1:14">
      <c r="A76" s="74">
        <v>70</v>
      </c>
      <c r="B76" s="6" t="s">
        <v>87</v>
      </c>
      <c r="C76" s="77" t="s">
        <v>25</v>
      </c>
      <c r="D76" s="83">
        <v>1</v>
      </c>
      <c r="E76" s="77">
        <v>9500</v>
      </c>
      <c r="F76" s="77">
        <f t="shared" si="12"/>
        <v>9500</v>
      </c>
      <c r="G76" s="85"/>
      <c r="H76" s="77"/>
      <c r="I76" s="85">
        <f>'RA-02 JMS '!I113</f>
        <v>1</v>
      </c>
      <c r="J76" s="77">
        <f t="shared" si="11"/>
        <v>9500</v>
      </c>
      <c r="K76" s="85">
        <f t="shared" si="13"/>
        <v>1</v>
      </c>
      <c r="L76" s="85">
        <f t="shared" si="14"/>
        <v>0</v>
      </c>
      <c r="M76" s="77"/>
      <c r="N76" s="77"/>
    </row>
    <row r="77" spans="1:14">
      <c r="A77" s="74">
        <v>71</v>
      </c>
      <c r="B77" s="6" t="s">
        <v>88</v>
      </c>
      <c r="C77" s="77" t="s">
        <v>25</v>
      </c>
      <c r="D77" s="83">
        <v>1</v>
      </c>
      <c r="E77" s="77">
        <v>1500</v>
      </c>
      <c r="F77" s="77">
        <f t="shared" si="12"/>
        <v>1500</v>
      </c>
      <c r="G77" s="85"/>
      <c r="H77" s="77"/>
      <c r="I77" s="85">
        <f>'RA-02 JMS '!I114</f>
        <v>1</v>
      </c>
      <c r="J77" s="77">
        <f t="shared" si="11"/>
        <v>1500</v>
      </c>
      <c r="K77" s="85">
        <f t="shared" si="13"/>
        <v>1</v>
      </c>
      <c r="L77" s="85">
        <f t="shared" si="14"/>
        <v>0</v>
      </c>
      <c r="M77" s="77"/>
      <c r="N77" s="77"/>
    </row>
    <row r="78" spans="1:14">
      <c r="A78" s="74">
        <v>72</v>
      </c>
      <c r="B78" s="6" t="s">
        <v>89</v>
      </c>
      <c r="C78" s="77" t="s">
        <v>25</v>
      </c>
      <c r="D78" s="83">
        <v>1</v>
      </c>
      <c r="E78" s="77">
        <v>6500</v>
      </c>
      <c r="F78" s="77">
        <f t="shared" si="12"/>
        <v>6500</v>
      </c>
      <c r="G78" s="85"/>
      <c r="H78" s="77"/>
      <c r="I78" s="85">
        <f>'RA-02 JMS '!I115</f>
        <v>1</v>
      </c>
      <c r="J78" s="77">
        <f t="shared" si="11"/>
        <v>6500</v>
      </c>
      <c r="K78" s="85">
        <f t="shared" si="13"/>
        <v>1</v>
      </c>
      <c r="L78" s="85">
        <f t="shared" si="14"/>
        <v>0</v>
      </c>
      <c r="M78" s="77"/>
      <c r="N78" s="77"/>
    </row>
    <row r="79" spans="1:14">
      <c r="A79" s="74">
        <v>73</v>
      </c>
      <c r="B79" s="6" t="s">
        <v>90</v>
      </c>
      <c r="C79" s="77" t="s">
        <v>25</v>
      </c>
      <c r="D79" s="83">
        <v>1</v>
      </c>
      <c r="E79" s="77">
        <v>3500</v>
      </c>
      <c r="F79" s="77">
        <f t="shared" si="12"/>
        <v>3500</v>
      </c>
      <c r="G79" s="85"/>
      <c r="H79" s="77"/>
      <c r="I79" s="85"/>
      <c r="J79" s="77">
        <f t="shared" si="11"/>
        <v>0</v>
      </c>
      <c r="K79" s="85">
        <f t="shared" si="13"/>
        <v>0</v>
      </c>
      <c r="L79" s="85">
        <f t="shared" si="14"/>
        <v>-1</v>
      </c>
      <c r="M79" s="77"/>
      <c r="N79" s="77"/>
    </row>
    <row r="80" spans="1:14">
      <c r="A80" s="74">
        <v>74</v>
      </c>
      <c r="B80" s="6" t="s">
        <v>91</v>
      </c>
      <c r="C80" s="77" t="s">
        <v>25</v>
      </c>
      <c r="D80" s="83">
        <v>8</v>
      </c>
      <c r="E80" s="77">
        <v>450</v>
      </c>
      <c r="F80" s="77">
        <f t="shared" si="12"/>
        <v>3600</v>
      </c>
      <c r="G80" s="85"/>
      <c r="H80" s="77"/>
      <c r="I80" s="85">
        <f>'RA-02 JMS '!I117</f>
        <v>8</v>
      </c>
      <c r="J80" s="77">
        <f t="shared" si="11"/>
        <v>3600</v>
      </c>
      <c r="K80" s="85">
        <f t="shared" si="13"/>
        <v>8</v>
      </c>
      <c r="L80" s="85">
        <f t="shared" si="14"/>
        <v>0</v>
      </c>
      <c r="M80" s="77"/>
      <c r="N80" s="77"/>
    </row>
    <row r="81" spans="1:14">
      <c r="A81" s="74">
        <v>75</v>
      </c>
      <c r="B81" s="6" t="s">
        <v>92</v>
      </c>
      <c r="C81" s="77" t="s">
        <v>25</v>
      </c>
      <c r="D81" s="83">
        <v>2</v>
      </c>
      <c r="E81" s="77">
        <v>450</v>
      </c>
      <c r="F81" s="77">
        <f t="shared" si="12"/>
        <v>900</v>
      </c>
      <c r="G81" s="85"/>
      <c r="H81" s="77"/>
      <c r="I81" s="85">
        <f>'RA-02 JMS '!I118</f>
        <v>1</v>
      </c>
      <c r="J81" s="77">
        <f t="shared" si="11"/>
        <v>450</v>
      </c>
      <c r="K81" s="85">
        <f t="shared" si="13"/>
        <v>1</v>
      </c>
      <c r="L81" s="85">
        <f t="shared" si="14"/>
        <v>-1</v>
      </c>
      <c r="M81" s="77"/>
      <c r="N81" s="77"/>
    </row>
    <row r="82" spans="1:14">
      <c r="A82" s="74">
        <v>76</v>
      </c>
      <c r="B82" s="6" t="s">
        <v>93</v>
      </c>
      <c r="C82" s="77" t="s">
        <v>25</v>
      </c>
      <c r="D82" s="83">
        <v>1</v>
      </c>
      <c r="E82" s="77">
        <v>750</v>
      </c>
      <c r="F82" s="77">
        <f t="shared" si="12"/>
        <v>750</v>
      </c>
      <c r="G82" s="85"/>
      <c r="H82" s="77"/>
      <c r="I82" s="85">
        <f>'RA-02 JMS '!I119</f>
        <v>1</v>
      </c>
      <c r="J82" s="77">
        <f t="shared" si="11"/>
        <v>750</v>
      </c>
      <c r="K82" s="85">
        <f t="shared" si="13"/>
        <v>1</v>
      </c>
      <c r="L82" s="85">
        <f t="shared" si="14"/>
        <v>0</v>
      </c>
      <c r="M82" s="77"/>
      <c r="N82" s="77"/>
    </row>
    <row r="83" spans="1:14">
      <c r="A83" s="4"/>
      <c r="B83" s="6"/>
      <c r="C83" s="77"/>
      <c r="D83" s="83"/>
      <c r="E83" s="77"/>
      <c r="F83" s="77"/>
      <c r="G83" s="85"/>
      <c r="H83" s="77"/>
      <c r="I83" s="85"/>
      <c r="J83" s="77"/>
      <c r="K83" s="85"/>
      <c r="L83" s="85"/>
      <c r="M83" s="77"/>
      <c r="N83" s="77"/>
    </row>
    <row r="84" spans="1:14">
      <c r="A84" s="7">
        <v>3</v>
      </c>
      <c r="B84" s="8" t="s">
        <v>6</v>
      </c>
      <c r="C84" s="80" t="s">
        <v>4</v>
      </c>
      <c r="D84" s="81">
        <v>1</v>
      </c>
      <c r="E84" s="90"/>
      <c r="F84" s="82">
        <f>SUM(F88:F110)</f>
        <v>145475</v>
      </c>
      <c r="G84" s="90"/>
      <c r="H84" s="82">
        <f t="shared" ref="H84:J84" si="15">SUM(H88:H110)</f>
        <v>19919.5</v>
      </c>
      <c r="I84" s="90"/>
      <c r="J84" s="82">
        <f t="shared" si="15"/>
        <v>60700</v>
      </c>
      <c r="K84" s="90"/>
      <c r="L84" s="90"/>
      <c r="M84" s="90"/>
      <c r="N84" s="82">
        <f>SUM(N88:N110)</f>
        <v>0</v>
      </c>
    </row>
    <row r="85" spans="1:14">
      <c r="A85" s="74">
        <v>77</v>
      </c>
      <c r="B85" s="6" t="s">
        <v>94</v>
      </c>
      <c r="C85" s="77" t="s">
        <v>2</v>
      </c>
      <c r="D85" s="83" t="s">
        <v>2</v>
      </c>
      <c r="E85" s="77"/>
      <c r="F85" s="77"/>
      <c r="G85" s="85"/>
      <c r="H85" s="77"/>
      <c r="I85" s="85"/>
      <c r="J85" s="77"/>
      <c r="K85" s="85"/>
      <c r="L85" s="85"/>
      <c r="M85" s="77"/>
      <c r="N85" s="77"/>
    </row>
    <row r="86" spans="1:14">
      <c r="A86" s="74">
        <v>78</v>
      </c>
      <c r="B86" s="6" t="s">
        <v>95</v>
      </c>
      <c r="C86" s="77" t="s">
        <v>2</v>
      </c>
      <c r="D86" s="83" t="s">
        <v>2</v>
      </c>
      <c r="E86" s="77"/>
      <c r="F86" s="77"/>
      <c r="G86" s="85"/>
      <c r="H86" s="77"/>
      <c r="I86" s="85"/>
      <c r="J86" s="77"/>
      <c r="K86" s="85"/>
      <c r="L86" s="85"/>
      <c r="M86" s="77"/>
      <c r="N86" s="77"/>
    </row>
    <row r="87" spans="1:14" ht="98">
      <c r="A87" s="74">
        <v>79</v>
      </c>
      <c r="B87" s="6" t="s">
        <v>96</v>
      </c>
      <c r="C87" s="77" t="s">
        <v>2</v>
      </c>
      <c r="D87" s="83" t="s">
        <v>2</v>
      </c>
      <c r="E87" s="77"/>
      <c r="F87" s="77"/>
      <c r="G87" s="85"/>
      <c r="H87" s="77"/>
      <c r="I87" s="85"/>
      <c r="J87" s="77"/>
      <c r="K87" s="85"/>
      <c r="L87" s="85"/>
      <c r="M87" s="77"/>
      <c r="N87" s="77"/>
    </row>
    <row r="88" spans="1:14">
      <c r="A88" s="74">
        <v>80</v>
      </c>
      <c r="B88" s="6" t="s">
        <v>97</v>
      </c>
      <c r="C88" s="77" t="s">
        <v>71</v>
      </c>
      <c r="D88" s="83">
        <v>60</v>
      </c>
      <c r="E88" s="77">
        <v>110</v>
      </c>
      <c r="F88" s="77">
        <f>D88*E88</f>
        <v>6600</v>
      </c>
      <c r="G88" s="85">
        <f>'RA-01 JMS '!I115</f>
        <v>17.7</v>
      </c>
      <c r="H88" s="77">
        <f>E88*G88</f>
        <v>1947</v>
      </c>
      <c r="I88" s="85"/>
      <c r="J88" s="77">
        <f t="shared" ref="J88:J110" si="16">E88*I88</f>
        <v>0</v>
      </c>
      <c r="K88" s="85">
        <f t="shared" si="13"/>
        <v>17.7</v>
      </c>
      <c r="L88" s="85">
        <f t="shared" si="14"/>
        <v>-42.3</v>
      </c>
      <c r="M88" s="77"/>
      <c r="N88" s="77"/>
    </row>
    <row r="89" spans="1:14">
      <c r="A89" s="74">
        <v>81</v>
      </c>
      <c r="B89" s="6" t="s">
        <v>98</v>
      </c>
      <c r="C89" s="77" t="s">
        <v>71</v>
      </c>
      <c r="D89" s="83">
        <v>40</v>
      </c>
      <c r="E89" s="77">
        <v>145</v>
      </c>
      <c r="F89" s="77">
        <f>D89*E89</f>
        <v>5800</v>
      </c>
      <c r="G89" s="85"/>
      <c r="H89" s="77"/>
      <c r="I89" s="85"/>
      <c r="J89" s="77">
        <f t="shared" si="16"/>
        <v>0</v>
      </c>
      <c r="K89" s="85">
        <f t="shared" si="13"/>
        <v>0</v>
      </c>
      <c r="L89" s="85">
        <f t="shared" si="14"/>
        <v>-40</v>
      </c>
      <c r="M89" s="77"/>
      <c r="N89" s="77"/>
    </row>
    <row r="90" spans="1:14">
      <c r="A90" s="74">
        <v>82</v>
      </c>
      <c r="B90" s="6" t="s">
        <v>99</v>
      </c>
      <c r="C90" s="77" t="s">
        <v>71</v>
      </c>
      <c r="D90" s="83">
        <v>12</v>
      </c>
      <c r="E90" s="77">
        <v>165</v>
      </c>
      <c r="F90" s="77">
        <f>D90*E90</f>
        <v>1980</v>
      </c>
      <c r="G90" s="85"/>
      <c r="H90" s="77"/>
      <c r="I90" s="85"/>
      <c r="J90" s="77">
        <f t="shared" si="16"/>
        <v>0</v>
      </c>
      <c r="K90" s="85">
        <f t="shared" si="13"/>
        <v>0</v>
      </c>
      <c r="L90" s="85">
        <f t="shared" si="14"/>
        <v>-12</v>
      </c>
      <c r="M90" s="77"/>
      <c r="N90" s="77"/>
    </row>
    <row r="91" spans="1:14" ht="28">
      <c r="A91" s="74">
        <v>83</v>
      </c>
      <c r="B91" s="6" t="s">
        <v>100</v>
      </c>
      <c r="C91" s="77" t="s">
        <v>2</v>
      </c>
      <c r="D91" s="83" t="s">
        <v>2</v>
      </c>
      <c r="E91" s="77"/>
      <c r="F91" s="77"/>
      <c r="G91" s="85"/>
      <c r="H91" s="77"/>
      <c r="I91" s="85"/>
      <c r="J91" s="77">
        <f t="shared" si="16"/>
        <v>0</v>
      </c>
      <c r="K91" s="85"/>
      <c r="L91" s="85"/>
      <c r="M91" s="77"/>
      <c r="N91" s="77"/>
    </row>
    <row r="92" spans="1:14">
      <c r="A92" s="74">
        <v>84</v>
      </c>
      <c r="B92" s="6" t="s">
        <v>101</v>
      </c>
      <c r="C92" s="77" t="s">
        <v>25</v>
      </c>
      <c r="D92" s="83">
        <v>3</v>
      </c>
      <c r="E92" s="77">
        <v>1450</v>
      </c>
      <c r="F92" s="77">
        <f t="shared" ref="F92:F100" si="17">D92*E92</f>
        <v>4350</v>
      </c>
      <c r="G92" s="85"/>
      <c r="H92" s="77"/>
      <c r="I92" s="85"/>
      <c r="J92" s="77">
        <f t="shared" si="16"/>
        <v>0</v>
      </c>
      <c r="K92" s="85">
        <f t="shared" si="13"/>
        <v>0</v>
      </c>
      <c r="L92" s="85">
        <f t="shared" si="14"/>
        <v>-3</v>
      </c>
      <c r="M92" s="77"/>
      <c r="N92" s="77"/>
    </row>
    <row r="93" spans="1:14">
      <c r="A93" s="74">
        <v>85</v>
      </c>
      <c r="B93" s="6" t="s">
        <v>98</v>
      </c>
      <c r="C93" s="77" t="s">
        <v>25</v>
      </c>
      <c r="D93" s="83">
        <v>2</v>
      </c>
      <c r="E93" s="77">
        <v>1450</v>
      </c>
      <c r="F93" s="77">
        <f t="shared" si="17"/>
        <v>2900</v>
      </c>
      <c r="G93" s="85"/>
      <c r="H93" s="77"/>
      <c r="I93" s="85"/>
      <c r="J93" s="77">
        <f t="shared" si="16"/>
        <v>0</v>
      </c>
      <c r="K93" s="85">
        <f t="shared" si="13"/>
        <v>0</v>
      </c>
      <c r="L93" s="85">
        <f t="shared" si="14"/>
        <v>-2</v>
      </c>
      <c r="M93" s="77"/>
      <c r="N93" s="77"/>
    </row>
    <row r="94" spans="1:14">
      <c r="A94" s="74">
        <v>86</v>
      </c>
      <c r="B94" s="6" t="s">
        <v>99</v>
      </c>
      <c r="C94" s="77" t="s">
        <v>25</v>
      </c>
      <c r="D94" s="83">
        <v>1</v>
      </c>
      <c r="E94" s="77">
        <v>1745</v>
      </c>
      <c r="F94" s="77">
        <f t="shared" si="17"/>
        <v>1745</v>
      </c>
      <c r="G94" s="85"/>
      <c r="H94" s="77"/>
      <c r="I94" s="85"/>
      <c r="J94" s="77">
        <f t="shared" si="16"/>
        <v>0</v>
      </c>
      <c r="K94" s="85">
        <f t="shared" si="13"/>
        <v>0</v>
      </c>
      <c r="L94" s="85">
        <f t="shared" si="14"/>
        <v>-1</v>
      </c>
      <c r="M94" s="77"/>
      <c r="N94" s="77"/>
    </row>
    <row r="95" spans="1:14" ht="28">
      <c r="A95" s="74">
        <v>87</v>
      </c>
      <c r="B95" s="9" t="s">
        <v>102</v>
      </c>
      <c r="C95" s="88" t="s">
        <v>25</v>
      </c>
      <c r="D95" s="89">
        <v>1</v>
      </c>
      <c r="E95" s="88">
        <v>4500</v>
      </c>
      <c r="F95" s="88">
        <f t="shared" si="17"/>
        <v>4500</v>
      </c>
      <c r="G95" s="85"/>
      <c r="H95" s="77"/>
      <c r="I95" s="85">
        <f>'RA-02 JMS '!I123</f>
        <v>1</v>
      </c>
      <c r="J95" s="77">
        <f t="shared" si="16"/>
        <v>4500</v>
      </c>
      <c r="K95" s="85">
        <f t="shared" si="13"/>
        <v>1</v>
      </c>
      <c r="L95" s="85">
        <f t="shared" si="14"/>
        <v>0</v>
      </c>
      <c r="M95" s="77"/>
      <c r="N95" s="77"/>
    </row>
    <row r="96" spans="1:14">
      <c r="A96" s="74">
        <v>88</v>
      </c>
      <c r="B96" s="6" t="s">
        <v>103</v>
      </c>
      <c r="C96" s="77" t="s">
        <v>25</v>
      </c>
      <c r="D96" s="83">
        <v>1</v>
      </c>
      <c r="E96" s="77">
        <v>11500</v>
      </c>
      <c r="F96" s="77">
        <f t="shared" si="17"/>
        <v>11500</v>
      </c>
      <c r="G96" s="85"/>
      <c r="H96" s="77"/>
      <c r="I96" s="85">
        <f>'RA-02 JMS '!I124</f>
        <v>1</v>
      </c>
      <c r="J96" s="77">
        <f t="shared" si="16"/>
        <v>11500</v>
      </c>
      <c r="K96" s="85">
        <f t="shared" si="13"/>
        <v>1</v>
      </c>
      <c r="L96" s="85">
        <f t="shared" si="14"/>
        <v>0</v>
      </c>
      <c r="M96" s="77"/>
      <c r="N96" s="77"/>
    </row>
    <row r="97" spans="1:14">
      <c r="A97" s="74">
        <v>89</v>
      </c>
      <c r="B97" s="6" t="s">
        <v>104</v>
      </c>
      <c r="C97" s="77" t="s">
        <v>25</v>
      </c>
      <c r="D97" s="83">
        <v>1</v>
      </c>
      <c r="E97" s="77">
        <v>1750</v>
      </c>
      <c r="F97" s="77">
        <f t="shared" si="17"/>
        <v>1750</v>
      </c>
      <c r="G97" s="85"/>
      <c r="H97" s="77"/>
      <c r="I97" s="85"/>
      <c r="J97" s="77">
        <f t="shared" si="16"/>
        <v>0</v>
      </c>
      <c r="K97" s="85">
        <f t="shared" si="13"/>
        <v>0</v>
      </c>
      <c r="L97" s="85">
        <f t="shared" si="14"/>
        <v>-1</v>
      </c>
      <c r="M97" s="77"/>
      <c r="N97" s="77"/>
    </row>
    <row r="98" spans="1:14">
      <c r="A98" s="74">
        <v>90</v>
      </c>
      <c r="B98" s="6" t="s">
        <v>105</v>
      </c>
      <c r="C98" s="77" t="s">
        <v>25</v>
      </c>
      <c r="D98" s="83">
        <v>1</v>
      </c>
      <c r="E98" s="77">
        <v>950</v>
      </c>
      <c r="F98" s="77">
        <f t="shared" si="17"/>
        <v>950</v>
      </c>
      <c r="G98" s="85"/>
      <c r="H98" s="77"/>
      <c r="I98" s="85"/>
      <c r="J98" s="77">
        <f t="shared" si="16"/>
        <v>0</v>
      </c>
      <c r="K98" s="85">
        <f t="shared" si="13"/>
        <v>0</v>
      </c>
      <c r="L98" s="85">
        <f t="shared" si="14"/>
        <v>-1</v>
      </c>
      <c r="M98" s="77"/>
      <c r="N98" s="77"/>
    </row>
    <row r="99" spans="1:14" ht="42">
      <c r="A99" s="74">
        <v>91</v>
      </c>
      <c r="B99" s="6" t="s">
        <v>106</v>
      </c>
      <c r="C99" s="77" t="s">
        <v>25</v>
      </c>
      <c r="D99" s="83">
        <v>10</v>
      </c>
      <c r="E99" s="77">
        <v>2750</v>
      </c>
      <c r="F99" s="77">
        <f t="shared" si="17"/>
        <v>27500</v>
      </c>
      <c r="G99" s="85"/>
      <c r="H99" s="77"/>
      <c r="I99" s="85">
        <f>'RA-02 JMS '!I125</f>
        <v>10</v>
      </c>
      <c r="J99" s="77">
        <f t="shared" si="16"/>
        <v>27500</v>
      </c>
      <c r="K99" s="85">
        <f t="shared" si="13"/>
        <v>10</v>
      </c>
      <c r="L99" s="85">
        <f t="shared" si="14"/>
        <v>0</v>
      </c>
      <c r="M99" s="77"/>
      <c r="N99" s="77"/>
    </row>
    <row r="100" spans="1:14" ht="28">
      <c r="A100" s="74">
        <v>92</v>
      </c>
      <c r="B100" s="6" t="s">
        <v>107</v>
      </c>
      <c r="C100" s="77" t="s">
        <v>25</v>
      </c>
      <c r="D100" s="83">
        <v>2</v>
      </c>
      <c r="E100" s="77">
        <v>9200</v>
      </c>
      <c r="F100" s="77">
        <f t="shared" si="17"/>
        <v>18400</v>
      </c>
      <c r="G100" s="85"/>
      <c r="H100" s="77"/>
      <c r="I100" s="85"/>
      <c r="J100" s="77">
        <f t="shared" si="16"/>
        <v>0</v>
      </c>
      <c r="K100" s="85">
        <f t="shared" si="13"/>
        <v>0</v>
      </c>
      <c r="L100" s="85">
        <f t="shared" si="14"/>
        <v>-2</v>
      </c>
      <c r="M100" s="77"/>
      <c r="N100" s="77"/>
    </row>
    <row r="101" spans="1:14">
      <c r="A101" s="74">
        <v>93</v>
      </c>
      <c r="B101" s="6" t="s">
        <v>108</v>
      </c>
      <c r="C101" s="77" t="s">
        <v>2</v>
      </c>
      <c r="D101" s="83" t="s">
        <v>2</v>
      </c>
      <c r="E101" s="77"/>
      <c r="F101" s="77"/>
      <c r="G101" s="85"/>
      <c r="H101" s="77"/>
      <c r="I101" s="85"/>
      <c r="J101" s="77">
        <f t="shared" si="16"/>
        <v>0</v>
      </c>
      <c r="K101" s="85"/>
      <c r="L101" s="85"/>
      <c r="M101" s="77"/>
      <c r="N101" s="77"/>
    </row>
    <row r="102" spans="1:14" ht="70">
      <c r="A102" s="74">
        <v>94</v>
      </c>
      <c r="B102" s="6" t="s">
        <v>109</v>
      </c>
      <c r="C102" s="77" t="s">
        <v>71</v>
      </c>
      <c r="D102" s="83">
        <v>5</v>
      </c>
      <c r="E102" s="77">
        <v>1850</v>
      </c>
      <c r="F102" s="77">
        <f>D102*E102</f>
        <v>9250</v>
      </c>
      <c r="G102" s="85"/>
      <c r="H102" s="77"/>
      <c r="I102" s="85"/>
      <c r="J102" s="77">
        <f t="shared" si="16"/>
        <v>0</v>
      </c>
      <c r="K102" s="85">
        <f t="shared" si="13"/>
        <v>0</v>
      </c>
      <c r="L102" s="85">
        <f t="shared" si="14"/>
        <v>-5</v>
      </c>
      <c r="M102" s="77"/>
      <c r="N102" s="77"/>
    </row>
    <row r="103" spans="1:14">
      <c r="A103" s="74">
        <v>95</v>
      </c>
      <c r="B103" s="6" t="s">
        <v>110</v>
      </c>
      <c r="C103" s="77" t="s">
        <v>32</v>
      </c>
      <c r="D103" s="83">
        <v>5</v>
      </c>
      <c r="E103" s="77">
        <v>1850</v>
      </c>
      <c r="F103" s="77">
        <f>D103*E103</f>
        <v>9250</v>
      </c>
      <c r="G103" s="85">
        <f>'RA-01 JMS '!I130</f>
        <v>4.8499999999999996</v>
      </c>
      <c r="H103" s="77">
        <f>G103*E103</f>
        <v>8972.5</v>
      </c>
      <c r="I103" s="85"/>
      <c r="J103" s="77">
        <f t="shared" si="16"/>
        <v>0</v>
      </c>
      <c r="K103" s="85">
        <f t="shared" si="13"/>
        <v>4.8499999999999996</v>
      </c>
      <c r="L103" s="85">
        <f t="shared" si="14"/>
        <v>-0.15000000000000036</v>
      </c>
      <c r="M103" s="77"/>
      <c r="N103" s="77"/>
    </row>
    <row r="104" spans="1:14" ht="28">
      <c r="A104" s="74">
        <v>96</v>
      </c>
      <c r="B104" s="6" t="s">
        <v>111</v>
      </c>
      <c r="C104" s="77" t="s">
        <v>25</v>
      </c>
      <c r="D104" s="83">
        <v>3</v>
      </c>
      <c r="E104" s="77">
        <v>1350</v>
      </c>
      <c r="F104" s="77">
        <f>D104*E104</f>
        <v>4050</v>
      </c>
      <c r="G104" s="85"/>
      <c r="H104" s="77"/>
      <c r="I104" s="85"/>
      <c r="J104" s="77">
        <f t="shared" si="16"/>
        <v>0</v>
      </c>
      <c r="K104" s="85">
        <f t="shared" si="13"/>
        <v>0</v>
      </c>
      <c r="L104" s="85">
        <f t="shared" si="14"/>
        <v>-3</v>
      </c>
      <c r="M104" s="77"/>
      <c r="N104" s="77"/>
    </row>
    <row r="105" spans="1:14">
      <c r="A105" s="74">
        <v>97</v>
      </c>
      <c r="B105" s="6" t="s">
        <v>112</v>
      </c>
      <c r="C105" s="77" t="s">
        <v>25</v>
      </c>
      <c r="D105" s="83">
        <v>2</v>
      </c>
      <c r="E105" s="77">
        <v>4500</v>
      </c>
      <c r="F105" s="77">
        <f>D105*E105</f>
        <v>9000</v>
      </c>
      <c r="G105" s="85">
        <f>'RA-01 JMS '!I132</f>
        <v>2</v>
      </c>
      <c r="H105" s="77">
        <f>G105*E105</f>
        <v>9000</v>
      </c>
      <c r="I105" s="85"/>
      <c r="J105" s="77">
        <f t="shared" si="16"/>
        <v>0</v>
      </c>
      <c r="K105" s="85">
        <f t="shared" si="13"/>
        <v>2</v>
      </c>
      <c r="L105" s="85">
        <f t="shared" si="14"/>
        <v>0</v>
      </c>
      <c r="M105" s="77"/>
      <c r="N105" s="77"/>
    </row>
    <row r="106" spans="1:14" ht="28">
      <c r="A106" s="74">
        <v>98</v>
      </c>
      <c r="B106" s="6" t="s">
        <v>113</v>
      </c>
      <c r="C106" s="77" t="s">
        <v>25</v>
      </c>
      <c r="D106" s="83">
        <v>2</v>
      </c>
      <c r="E106" s="77">
        <v>1750</v>
      </c>
      <c r="F106" s="77">
        <f>D106*E106</f>
        <v>3500</v>
      </c>
      <c r="G106" s="85"/>
      <c r="H106" s="77"/>
      <c r="I106" s="85"/>
      <c r="J106" s="77">
        <f t="shared" si="16"/>
        <v>0</v>
      </c>
      <c r="K106" s="85">
        <f t="shared" si="13"/>
        <v>0</v>
      </c>
      <c r="L106" s="85">
        <f t="shared" si="14"/>
        <v>-2</v>
      </c>
      <c r="M106" s="77"/>
      <c r="N106" s="77"/>
    </row>
    <row r="107" spans="1:14">
      <c r="A107" s="74">
        <v>99</v>
      </c>
      <c r="B107" s="6" t="s">
        <v>114</v>
      </c>
      <c r="C107" s="77" t="s">
        <v>2</v>
      </c>
      <c r="D107" s="83" t="s">
        <v>2</v>
      </c>
      <c r="E107" s="77"/>
      <c r="F107" s="77"/>
      <c r="G107" s="85"/>
      <c r="H107" s="77"/>
      <c r="I107" s="85"/>
      <c r="J107" s="77">
        <f t="shared" si="16"/>
        <v>0</v>
      </c>
      <c r="K107" s="85"/>
      <c r="L107" s="85"/>
      <c r="M107" s="77"/>
      <c r="N107" s="77"/>
    </row>
    <row r="108" spans="1:14">
      <c r="A108" s="74">
        <v>100</v>
      </c>
      <c r="B108" s="6" t="s">
        <v>115</v>
      </c>
      <c r="C108" s="77" t="s">
        <v>25</v>
      </c>
      <c r="D108" s="83">
        <v>3</v>
      </c>
      <c r="E108" s="77">
        <v>1750</v>
      </c>
      <c r="F108" s="77">
        <f>D108*E108</f>
        <v>5250</v>
      </c>
      <c r="G108" s="85"/>
      <c r="H108" s="77"/>
      <c r="I108" s="85"/>
      <c r="J108" s="77">
        <f t="shared" si="16"/>
        <v>0</v>
      </c>
      <c r="K108" s="85">
        <f t="shared" si="13"/>
        <v>0</v>
      </c>
      <c r="L108" s="85">
        <f t="shared" si="14"/>
        <v>-3</v>
      </c>
      <c r="M108" s="77"/>
      <c r="N108" s="77"/>
    </row>
    <row r="109" spans="1:14">
      <c r="A109" s="74">
        <v>101</v>
      </c>
      <c r="B109" s="6" t="s">
        <v>116</v>
      </c>
      <c r="C109" s="77" t="s">
        <v>25</v>
      </c>
      <c r="D109" s="83">
        <v>1</v>
      </c>
      <c r="E109" s="77">
        <v>7200</v>
      </c>
      <c r="F109" s="77">
        <f>D109*E109</f>
        <v>7200</v>
      </c>
      <c r="G109" s="85"/>
      <c r="H109" s="77"/>
      <c r="I109" s="85">
        <f>'RA-02 JMS '!I126</f>
        <v>1</v>
      </c>
      <c r="J109" s="77">
        <f t="shared" si="16"/>
        <v>7200</v>
      </c>
      <c r="K109" s="85">
        <f t="shared" si="13"/>
        <v>1</v>
      </c>
      <c r="L109" s="85">
        <f t="shared" si="14"/>
        <v>0</v>
      </c>
      <c r="M109" s="77"/>
      <c r="N109" s="77"/>
    </row>
    <row r="110" spans="1:14">
      <c r="A110" s="74">
        <v>102</v>
      </c>
      <c r="B110" s="6" t="s">
        <v>117</v>
      </c>
      <c r="C110" s="77" t="s">
        <v>25</v>
      </c>
      <c r="D110" s="83">
        <v>1</v>
      </c>
      <c r="E110" s="77">
        <v>10000</v>
      </c>
      <c r="F110" s="77">
        <f>D110*E110</f>
        <v>10000</v>
      </c>
      <c r="G110" s="85"/>
      <c r="H110" s="77"/>
      <c r="I110" s="85">
        <f>'RA-02 JMS '!I127</f>
        <v>1</v>
      </c>
      <c r="J110" s="77">
        <f t="shared" si="16"/>
        <v>10000</v>
      </c>
      <c r="K110" s="85">
        <f t="shared" si="13"/>
        <v>1</v>
      </c>
      <c r="L110" s="85">
        <f t="shared" si="14"/>
        <v>0</v>
      </c>
      <c r="M110" s="77"/>
      <c r="N110" s="77"/>
    </row>
    <row r="111" spans="1:14">
      <c r="A111" s="4"/>
      <c r="B111" s="6"/>
      <c r="C111" s="77"/>
      <c r="D111" s="83"/>
      <c r="E111" s="77"/>
      <c r="F111" s="77"/>
      <c r="G111" s="85"/>
      <c r="H111" s="77"/>
      <c r="I111" s="85"/>
      <c r="J111" s="77"/>
      <c r="K111" s="85"/>
      <c r="L111" s="85"/>
      <c r="M111" s="77"/>
      <c r="N111" s="77"/>
    </row>
    <row r="112" spans="1:14">
      <c r="A112" s="7">
        <v>4</v>
      </c>
      <c r="B112" s="8" t="s">
        <v>7</v>
      </c>
      <c r="C112" s="80" t="s">
        <v>4</v>
      </c>
      <c r="D112" s="81">
        <v>1</v>
      </c>
      <c r="E112" s="90"/>
      <c r="F112" s="82">
        <f>SUM(F114:F118)</f>
        <v>175120</v>
      </c>
      <c r="G112" s="90"/>
      <c r="H112" s="82">
        <f t="shared" ref="H112:J112" si="18">SUM(H114:H118)</f>
        <v>115070</v>
      </c>
      <c r="I112" s="90"/>
      <c r="J112" s="82">
        <f t="shared" si="18"/>
        <v>28950</v>
      </c>
      <c r="K112" s="90"/>
      <c r="L112" s="90"/>
      <c r="M112" s="90"/>
      <c r="N112" s="82">
        <f>SUM(N114:N118)</f>
        <v>37919.908799999997</v>
      </c>
    </row>
    <row r="113" spans="1:14">
      <c r="A113" s="5">
        <v>103</v>
      </c>
      <c r="B113" s="6" t="s">
        <v>118</v>
      </c>
      <c r="C113" s="77" t="s">
        <v>2</v>
      </c>
      <c r="D113" s="83" t="s">
        <v>2</v>
      </c>
      <c r="E113" s="77"/>
      <c r="F113" s="77"/>
      <c r="G113" s="85"/>
      <c r="H113" s="77"/>
      <c r="I113" s="85"/>
      <c r="J113" s="77"/>
      <c r="K113" s="85"/>
      <c r="L113" s="85"/>
      <c r="M113" s="77"/>
      <c r="N113" s="77"/>
    </row>
    <row r="114" spans="1:14" ht="28">
      <c r="A114" s="4">
        <v>104</v>
      </c>
      <c r="B114" s="6" t="s">
        <v>119</v>
      </c>
      <c r="C114" s="77" t="s">
        <v>14</v>
      </c>
      <c r="D114" s="83">
        <v>650</v>
      </c>
      <c r="E114" s="77">
        <v>150</v>
      </c>
      <c r="F114" s="77">
        <f>D114*E114</f>
        <v>97500</v>
      </c>
      <c r="G114" s="85">
        <f>'RA-01 JMS '!I141</f>
        <v>645</v>
      </c>
      <c r="H114" s="77">
        <f>E114*G114</f>
        <v>96750</v>
      </c>
      <c r="I114" s="85">
        <v>5</v>
      </c>
      <c r="J114" s="77">
        <f t="shared" ref="J114:J118" si="19">E114*I114</f>
        <v>750</v>
      </c>
      <c r="K114" s="85">
        <f t="shared" si="13"/>
        <v>650</v>
      </c>
      <c r="L114" s="85">
        <f t="shared" si="14"/>
        <v>0</v>
      </c>
      <c r="M114" s="94">
        <f>'RA-02 JMS '!I131-I114</f>
        <v>195.19939199999999</v>
      </c>
      <c r="N114" s="94">
        <f>E114*M114</f>
        <v>29279.908799999997</v>
      </c>
    </row>
    <row r="115" spans="1:14">
      <c r="A115" s="4">
        <v>105</v>
      </c>
      <c r="B115" s="6" t="s">
        <v>120</v>
      </c>
      <c r="C115" s="77" t="s">
        <v>14</v>
      </c>
      <c r="D115" s="83">
        <v>234</v>
      </c>
      <c r="E115" s="77">
        <v>80</v>
      </c>
      <c r="F115" s="77">
        <f>D115*E115</f>
        <v>18720</v>
      </c>
      <c r="G115" s="85">
        <f>'RA-01 JMS '!I142</f>
        <v>229</v>
      </c>
      <c r="H115" s="77">
        <f>E115*G115</f>
        <v>18320</v>
      </c>
      <c r="I115" s="85">
        <v>5</v>
      </c>
      <c r="J115" s="77">
        <f t="shared" si="19"/>
        <v>400</v>
      </c>
      <c r="K115" s="85">
        <f t="shared" si="13"/>
        <v>234</v>
      </c>
      <c r="L115" s="85">
        <f t="shared" si="14"/>
        <v>0</v>
      </c>
      <c r="M115" s="94">
        <f>'RA-02 JMS '!I139-I115</f>
        <v>13</v>
      </c>
      <c r="N115" s="94">
        <f>E115*M115</f>
        <v>1040</v>
      </c>
    </row>
    <row r="116" spans="1:14">
      <c r="A116" s="4">
        <v>106</v>
      </c>
      <c r="B116" s="6" t="s">
        <v>121</v>
      </c>
      <c r="C116" s="77" t="s">
        <v>25</v>
      </c>
      <c r="D116" s="83">
        <v>6</v>
      </c>
      <c r="E116" s="77">
        <v>4200</v>
      </c>
      <c r="F116" s="77">
        <f>D116*E116</f>
        <v>25200</v>
      </c>
      <c r="G116" s="85"/>
      <c r="H116" s="77"/>
      <c r="I116" s="85">
        <f>'RA-02 JMS '!I140</f>
        <v>3</v>
      </c>
      <c r="J116" s="77">
        <f t="shared" si="19"/>
        <v>12600</v>
      </c>
      <c r="K116" s="85">
        <f t="shared" si="13"/>
        <v>3</v>
      </c>
      <c r="L116" s="85">
        <f t="shared" si="14"/>
        <v>-3</v>
      </c>
      <c r="M116" s="77"/>
      <c r="N116" s="77"/>
    </row>
    <row r="117" spans="1:14">
      <c r="A117" s="4">
        <v>107</v>
      </c>
      <c r="B117" s="6" t="s">
        <v>122</v>
      </c>
      <c r="C117" s="77" t="s">
        <v>25</v>
      </c>
      <c r="D117" s="83">
        <v>4</v>
      </c>
      <c r="E117" s="77">
        <v>3800</v>
      </c>
      <c r="F117" s="77">
        <f>D117*E117</f>
        <v>15200</v>
      </c>
      <c r="G117" s="85"/>
      <c r="H117" s="77"/>
      <c r="I117" s="85">
        <v>4</v>
      </c>
      <c r="J117" s="77">
        <f t="shared" si="19"/>
        <v>15200</v>
      </c>
      <c r="K117" s="85">
        <f t="shared" si="13"/>
        <v>4</v>
      </c>
      <c r="L117" s="85">
        <f t="shared" si="14"/>
        <v>0</v>
      </c>
      <c r="M117" s="94">
        <f>'RA-02 JMS '!I141-I117</f>
        <v>2</v>
      </c>
      <c r="N117" s="94">
        <f>E117*M117</f>
        <v>7600</v>
      </c>
    </row>
    <row r="118" spans="1:14">
      <c r="A118" s="4">
        <v>108</v>
      </c>
      <c r="B118" s="6" t="s">
        <v>123</v>
      </c>
      <c r="C118" s="77" t="s">
        <v>25</v>
      </c>
      <c r="D118" s="83">
        <v>1</v>
      </c>
      <c r="E118" s="77">
        <v>18500</v>
      </c>
      <c r="F118" s="77">
        <f>D118*E118</f>
        <v>18500</v>
      </c>
      <c r="G118" s="85"/>
      <c r="H118" s="77"/>
      <c r="I118" s="85"/>
      <c r="J118" s="77">
        <f t="shared" si="19"/>
        <v>0</v>
      </c>
      <c r="K118" s="85">
        <f t="shared" si="13"/>
        <v>0</v>
      </c>
      <c r="L118" s="85">
        <f t="shared" si="14"/>
        <v>-1</v>
      </c>
      <c r="M118" s="77"/>
      <c r="N118" s="77"/>
    </row>
    <row r="119" spans="1:14">
      <c r="A119" s="4"/>
      <c r="B119" s="6"/>
      <c r="C119" s="77"/>
      <c r="D119" s="83"/>
      <c r="E119" s="77"/>
      <c r="F119" s="77"/>
      <c r="G119" s="85"/>
      <c r="H119" s="77"/>
      <c r="I119" s="85"/>
      <c r="J119" s="77"/>
      <c r="K119" s="85">
        <f t="shared" si="13"/>
        <v>0</v>
      </c>
      <c r="L119" s="85">
        <f t="shared" si="14"/>
        <v>0</v>
      </c>
      <c r="M119" s="77"/>
      <c r="N119" s="77"/>
    </row>
    <row r="120" spans="1:14">
      <c r="A120" s="7">
        <v>5</v>
      </c>
      <c r="B120" s="8" t="s">
        <v>8</v>
      </c>
      <c r="C120" s="80" t="s">
        <v>4</v>
      </c>
      <c r="D120" s="81">
        <v>1</v>
      </c>
      <c r="E120" s="90"/>
      <c r="F120" s="82">
        <f>SUM(F122:F130)</f>
        <v>66650</v>
      </c>
      <c r="G120" s="90"/>
      <c r="H120" s="82">
        <f t="shared" ref="H120:J120" si="20">SUM(H122:H130)</f>
        <v>0</v>
      </c>
      <c r="I120" s="90"/>
      <c r="J120" s="82">
        <f t="shared" si="20"/>
        <v>15400</v>
      </c>
      <c r="K120" s="90"/>
      <c r="L120" s="90"/>
      <c r="M120" s="90"/>
      <c r="N120" s="82">
        <f>SUM(N122:N130)</f>
        <v>0</v>
      </c>
    </row>
    <row r="121" spans="1:14">
      <c r="A121" s="5">
        <v>109</v>
      </c>
      <c r="B121" s="6" t="s">
        <v>124</v>
      </c>
      <c r="C121" s="77" t="s">
        <v>2</v>
      </c>
      <c r="D121" s="83" t="s">
        <v>2</v>
      </c>
      <c r="E121" s="77"/>
      <c r="F121" s="77"/>
      <c r="G121" s="85"/>
      <c r="H121" s="77"/>
      <c r="I121" s="85"/>
      <c r="J121" s="77"/>
      <c r="K121" s="85"/>
      <c r="L121" s="85"/>
      <c r="M121" s="77"/>
      <c r="N121" s="77"/>
    </row>
    <row r="122" spans="1:14">
      <c r="A122" s="4">
        <v>110</v>
      </c>
      <c r="B122" s="6" t="s">
        <v>125</v>
      </c>
      <c r="C122" s="77" t="s">
        <v>25</v>
      </c>
      <c r="D122" s="83">
        <v>2</v>
      </c>
      <c r="E122" s="77">
        <v>2750</v>
      </c>
      <c r="F122" s="77">
        <f t="shared" ref="F122:F130" si="21">D122*E122</f>
        <v>5500</v>
      </c>
      <c r="G122" s="85"/>
      <c r="H122" s="77"/>
      <c r="I122" s="85"/>
      <c r="J122" s="77">
        <f t="shared" ref="J122:J131" si="22">E122*I122</f>
        <v>0</v>
      </c>
      <c r="K122" s="85">
        <f t="shared" si="13"/>
        <v>0</v>
      </c>
      <c r="L122" s="85">
        <f t="shared" si="14"/>
        <v>-2</v>
      </c>
      <c r="M122" s="77"/>
      <c r="N122" s="77"/>
    </row>
    <row r="123" spans="1:14">
      <c r="A123" s="4">
        <v>111</v>
      </c>
      <c r="B123" s="6" t="s">
        <v>126</v>
      </c>
      <c r="C123" s="77" t="s">
        <v>25</v>
      </c>
      <c r="D123" s="83">
        <v>6</v>
      </c>
      <c r="E123" s="77">
        <v>3850</v>
      </c>
      <c r="F123" s="77">
        <f t="shared" si="21"/>
        <v>23100</v>
      </c>
      <c r="G123" s="85"/>
      <c r="H123" s="77"/>
      <c r="I123" s="85">
        <f>'RA-02 JMS '!I144</f>
        <v>4</v>
      </c>
      <c r="J123" s="77">
        <f t="shared" si="22"/>
        <v>15400</v>
      </c>
      <c r="K123" s="85">
        <f t="shared" si="13"/>
        <v>4</v>
      </c>
      <c r="L123" s="85">
        <f t="shared" si="14"/>
        <v>-2</v>
      </c>
      <c r="M123" s="77"/>
      <c r="N123" s="77"/>
    </row>
    <row r="124" spans="1:14">
      <c r="A124" s="4">
        <v>112</v>
      </c>
      <c r="B124" s="6" t="s">
        <v>127</v>
      </c>
      <c r="C124" s="77" t="s">
        <v>25</v>
      </c>
      <c r="D124" s="83">
        <v>1</v>
      </c>
      <c r="E124" s="77">
        <v>12500</v>
      </c>
      <c r="F124" s="77">
        <f t="shared" si="21"/>
        <v>12500</v>
      </c>
      <c r="G124" s="85"/>
      <c r="H124" s="77"/>
      <c r="I124" s="85"/>
      <c r="J124" s="77">
        <f t="shared" si="22"/>
        <v>0</v>
      </c>
      <c r="K124" s="85">
        <f t="shared" si="13"/>
        <v>0</v>
      </c>
      <c r="L124" s="85">
        <f t="shared" si="14"/>
        <v>-1</v>
      </c>
      <c r="M124" s="77"/>
      <c r="N124" s="77"/>
    </row>
    <row r="125" spans="1:14">
      <c r="A125" s="4">
        <v>113</v>
      </c>
      <c r="B125" s="6" t="s">
        <v>128</v>
      </c>
      <c r="C125" s="77" t="s">
        <v>129</v>
      </c>
      <c r="D125" s="83">
        <v>90</v>
      </c>
      <c r="E125" s="77">
        <v>80</v>
      </c>
      <c r="F125" s="77">
        <f t="shared" si="21"/>
        <v>7200</v>
      </c>
      <c r="G125" s="85"/>
      <c r="H125" s="77"/>
      <c r="I125" s="85"/>
      <c r="J125" s="77">
        <f t="shared" si="22"/>
        <v>0</v>
      </c>
      <c r="K125" s="85">
        <f t="shared" si="13"/>
        <v>0</v>
      </c>
      <c r="L125" s="85">
        <f t="shared" si="14"/>
        <v>-90</v>
      </c>
      <c r="M125" s="77"/>
      <c r="N125" s="77"/>
    </row>
    <row r="126" spans="1:14" ht="28">
      <c r="A126" s="4">
        <v>114</v>
      </c>
      <c r="B126" s="6" t="s">
        <v>130</v>
      </c>
      <c r="C126" s="77" t="s">
        <v>25</v>
      </c>
      <c r="D126" s="83">
        <v>3</v>
      </c>
      <c r="E126" s="77">
        <v>2350</v>
      </c>
      <c r="F126" s="77">
        <f t="shared" si="21"/>
        <v>7050</v>
      </c>
      <c r="G126" s="85"/>
      <c r="H126" s="77"/>
      <c r="I126" s="85"/>
      <c r="J126" s="77">
        <f t="shared" si="22"/>
        <v>0</v>
      </c>
      <c r="K126" s="85">
        <f t="shared" si="13"/>
        <v>0</v>
      </c>
      <c r="L126" s="85">
        <f t="shared" si="14"/>
        <v>-3</v>
      </c>
      <c r="M126" s="77"/>
      <c r="N126" s="77"/>
    </row>
    <row r="127" spans="1:14">
      <c r="A127" s="4">
        <v>115</v>
      </c>
      <c r="B127" s="6" t="s">
        <v>131</v>
      </c>
      <c r="C127" s="77" t="s">
        <v>25</v>
      </c>
      <c r="D127" s="83">
        <v>1</v>
      </c>
      <c r="E127" s="77">
        <v>2250</v>
      </c>
      <c r="F127" s="77">
        <f t="shared" si="21"/>
        <v>2250</v>
      </c>
      <c r="G127" s="85"/>
      <c r="H127" s="77"/>
      <c r="I127" s="85"/>
      <c r="J127" s="77">
        <f t="shared" si="22"/>
        <v>0</v>
      </c>
      <c r="K127" s="85">
        <f t="shared" si="13"/>
        <v>0</v>
      </c>
      <c r="L127" s="85">
        <f t="shared" si="14"/>
        <v>-1</v>
      </c>
      <c r="M127" s="77"/>
      <c r="N127" s="77"/>
    </row>
    <row r="128" spans="1:14">
      <c r="A128" s="4">
        <v>116</v>
      </c>
      <c r="B128" s="6" t="s">
        <v>132</v>
      </c>
      <c r="C128" s="77" t="s">
        <v>25</v>
      </c>
      <c r="D128" s="83">
        <v>1</v>
      </c>
      <c r="E128" s="77">
        <v>1850</v>
      </c>
      <c r="F128" s="77">
        <f t="shared" si="21"/>
        <v>1850</v>
      </c>
      <c r="G128" s="85"/>
      <c r="H128" s="77"/>
      <c r="I128" s="85"/>
      <c r="J128" s="77">
        <f t="shared" si="22"/>
        <v>0</v>
      </c>
      <c r="K128" s="85">
        <f t="shared" si="13"/>
        <v>0</v>
      </c>
      <c r="L128" s="85">
        <f t="shared" si="14"/>
        <v>-1</v>
      </c>
      <c r="M128" s="77"/>
      <c r="N128" s="77"/>
    </row>
    <row r="129" spans="1:14">
      <c r="A129" s="4">
        <v>117</v>
      </c>
      <c r="B129" s="6" t="s">
        <v>133</v>
      </c>
      <c r="C129" s="77" t="s">
        <v>25</v>
      </c>
      <c r="D129" s="83">
        <v>2</v>
      </c>
      <c r="E129" s="77">
        <v>2350</v>
      </c>
      <c r="F129" s="77">
        <f t="shared" si="21"/>
        <v>4700</v>
      </c>
      <c r="G129" s="85"/>
      <c r="H129" s="77"/>
      <c r="I129" s="85"/>
      <c r="J129" s="77">
        <f t="shared" si="22"/>
        <v>0</v>
      </c>
      <c r="K129" s="85">
        <f t="shared" si="13"/>
        <v>0</v>
      </c>
      <c r="L129" s="85">
        <f t="shared" si="14"/>
        <v>-2</v>
      </c>
      <c r="M129" s="77"/>
      <c r="N129" s="77"/>
    </row>
    <row r="130" spans="1:14">
      <c r="A130" s="4">
        <v>118</v>
      </c>
      <c r="B130" s="6" t="s">
        <v>134</v>
      </c>
      <c r="C130" s="77" t="s">
        <v>25</v>
      </c>
      <c r="D130" s="83">
        <v>1</v>
      </c>
      <c r="E130" s="77">
        <v>2500</v>
      </c>
      <c r="F130" s="77">
        <f t="shared" si="21"/>
        <v>2500</v>
      </c>
      <c r="G130" s="85"/>
      <c r="H130" s="77"/>
      <c r="I130" s="85"/>
      <c r="J130" s="77">
        <f t="shared" si="22"/>
        <v>0</v>
      </c>
      <c r="K130" s="85">
        <f t="shared" si="13"/>
        <v>0</v>
      </c>
      <c r="L130" s="85">
        <f t="shared" si="14"/>
        <v>-1</v>
      </c>
      <c r="M130" s="77"/>
      <c r="N130" s="77"/>
    </row>
    <row r="131" spans="1:14">
      <c r="A131" s="3"/>
      <c r="B131" s="3"/>
      <c r="C131" s="77"/>
      <c r="D131" s="83"/>
      <c r="E131" s="77"/>
      <c r="F131" s="77"/>
      <c r="G131" s="85"/>
      <c r="H131" s="77"/>
      <c r="I131" s="85"/>
      <c r="J131" s="77">
        <f t="shared" si="22"/>
        <v>0</v>
      </c>
      <c r="K131" s="85">
        <f t="shared" si="13"/>
        <v>0</v>
      </c>
      <c r="L131" s="85">
        <f t="shared" si="14"/>
        <v>0</v>
      </c>
      <c r="M131" s="77"/>
      <c r="N131" s="77"/>
    </row>
  </sheetData>
  <mergeCells count="3">
    <mergeCell ref="A1:F1"/>
    <mergeCell ref="G1:H1"/>
    <mergeCell ref="I1:J1"/>
  </mergeCells>
  <pageMargins left="0.26" right="0.22" top="0.31" bottom="0.3" header="0.3" footer="0.3"/>
  <pageSetup scale="49" orientation="landscape" r:id="rId1"/>
  <rowBreaks count="1" manualBreakCount="1">
    <brk id="7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view="pageBreakPreview" zoomScaleNormal="100" zoomScaleSheetLayoutView="100" workbookViewId="0">
      <pane ySplit="2" topLeftCell="A51" activePane="bottomLeft" state="frozen"/>
      <selection pane="bottomLeft" activeCell="K19" sqref="K19"/>
    </sheetView>
  </sheetViews>
  <sheetFormatPr defaultColWidth="9.1796875" defaultRowHeight="14"/>
  <cols>
    <col min="1" max="1" width="9.1796875" style="50"/>
    <col min="2" max="2" width="71.81640625" style="50" customWidth="1"/>
    <col min="3" max="3" width="6" style="50" bestFit="1" customWidth="1"/>
    <col min="4" max="8" width="8" style="50" customWidth="1"/>
    <col min="9" max="9" width="10.1796875" style="50" customWidth="1"/>
    <col min="10" max="16384" width="9.1796875" style="50"/>
  </cols>
  <sheetData>
    <row r="1" spans="1:9">
      <c r="A1" s="105" t="s">
        <v>138</v>
      </c>
      <c r="B1" s="105"/>
      <c r="C1" s="105"/>
      <c r="D1" s="105"/>
      <c r="E1" s="105" t="s">
        <v>171</v>
      </c>
      <c r="F1" s="105"/>
      <c r="G1" s="105"/>
      <c r="H1" s="105"/>
      <c r="I1" s="105"/>
    </row>
    <row r="2" spans="1:9">
      <c r="A2" s="51" t="s">
        <v>9</v>
      </c>
      <c r="B2" s="51" t="s">
        <v>10</v>
      </c>
      <c r="C2" s="51" t="s">
        <v>11</v>
      </c>
      <c r="D2" s="51" t="s">
        <v>0</v>
      </c>
      <c r="E2" s="51" t="s">
        <v>139</v>
      </c>
      <c r="F2" s="51" t="s">
        <v>140</v>
      </c>
      <c r="G2" s="51" t="s">
        <v>141</v>
      </c>
      <c r="H2" s="51" t="s">
        <v>142</v>
      </c>
      <c r="I2" s="51" t="s">
        <v>172</v>
      </c>
    </row>
    <row r="3" spans="1:9">
      <c r="A3" s="51"/>
      <c r="B3" s="51"/>
      <c r="C3" s="51"/>
      <c r="D3" s="51"/>
      <c r="E3" s="51"/>
      <c r="F3" s="51"/>
      <c r="G3" s="51"/>
      <c r="H3" s="51"/>
      <c r="I3" s="51"/>
    </row>
    <row r="4" spans="1:9">
      <c r="A4" s="52">
        <v>1</v>
      </c>
      <c r="B4" s="53" t="s">
        <v>3</v>
      </c>
      <c r="C4" s="54" t="s">
        <v>4</v>
      </c>
      <c r="D4" s="55">
        <v>1</v>
      </c>
      <c r="E4" s="55"/>
      <c r="F4" s="55"/>
      <c r="G4" s="55"/>
      <c r="H4" s="55"/>
      <c r="I4" s="55"/>
    </row>
    <row r="5" spans="1:9" ht="140">
      <c r="A5" s="56">
        <v>2</v>
      </c>
      <c r="B5" s="57" t="s">
        <v>15</v>
      </c>
      <c r="C5" s="58" t="s">
        <v>14</v>
      </c>
      <c r="D5" s="59">
        <v>585</v>
      </c>
      <c r="E5" s="60"/>
      <c r="F5" s="60"/>
      <c r="G5" s="60"/>
      <c r="H5" s="60"/>
      <c r="I5" s="61">
        <f>I6</f>
        <v>4.0999999999999996</v>
      </c>
    </row>
    <row r="6" spans="1:9">
      <c r="A6" s="56"/>
      <c r="B6" s="57" t="s">
        <v>173</v>
      </c>
      <c r="C6" s="58" t="s">
        <v>14</v>
      </c>
      <c r="D6" s="59"/>
      <c r="E6" s="60">
        <f>0.5</f>
        <v>0.5</v>
      </c>
      <c r="F6" s="60"/>
      <c r="G6" s="60">
        <f>2.5*3.28</f>
        <v>8.1999999999999993</v>
      </c>
      <c r="H6" s="60"/>
      <c r="I6" s="60">
        <f>G6*E6</f>
        <v>4.0999999999999996</v>
      </c>
    </row>
    <row r="7" spans="1:9">
      <c r="A7" s="56"/>
      <c r="B7" s="57"/>
      <c r="C7" s="62"/>
      <c r="D7" s="63"/>
      <c r="E7" s="64"/>
      <c r="F7" s="64"/>
      <c r="G7" s="64"/>
      <c r="H7" s="64"/>
      <c r="I7" s="64"/>
    </row>
    <row r="8" spans="1:9" ht="28">
      <c r="A8" s="56">
        <v>3</v>
      </c>
      <c r="B8" s="57" t="s">
        <v>16</v>
      </c>
      <c r="C8" s="58" t="s">
        <v>14</v>
      </c>
      <c r="D8" s="59">
        <v>1030</v>
      </c>
      <c r="E8" s="60"/>
      <c r="F8" s="60"/>
      <c r="G8" s="60"/>
      <c r="H8" s="60"/>
      <c r="I8" s="61">
        <f>I9</f>
        <v>4.0999999999999996</v>
      </c>
    </row>
    <row r="9" spans="1:9">
      <c r="A9" s="56"/>
      <c r="B9" s="57" t="s">
        <v>173</v>
      </c>
      <c r="C9" s="58" t="s">
        <v>14</v>
      </c>
      <c r="D9" s="59"/>
      <c r="E9" s="60">
        <f>0.5</f>
        <v>0.5</v>
      </c>
      <c r="F9" s="60"/>
      <c r="G9" s="60">
        <f>2.5*3.28</f>
        <v>8.1999999999999993</v>
      </c>
      <c r="H9" s="60"/>
      <c r="I9" s="60">
        <f>G9*E9</f>
        <v>4.0999999999999996</v>
      </c>
    </row>
    <row r="10" spans="1:9">
      <c r="A10" s="56"/>
      <c r="B10" s="57"/>
      <c r="C10" s="62"/>
      <c r="D10" s="63"/>
      <c r="E10" s="64"/>
      <c r="F10" s="64"/>
      <c r="G10" s="64"/>
      <c r="H10" s="64"/>
      <c r="I10" s="64"/>
    </row>
    <row r="11" spans="1:9">
      <c r="A11" s="65">
        <v>4</v>
      </c>
      <c r="B11" s="57" t="s">
        <v>17</v>
      </c>
      <c r="C11" s="62" t="s">
        <v>2</v>
      </c>
      <c r="D11" s="63" t="s">
        <v>2</v>
      </c>
      <c r="E11" s="64"/>
      <c r="F11" s="64"/>
      <c r="G11" s="64"/>
      <c r="H11" s="64"/>
      <c r="I11" s="64"/>
    </row>
    <row r="12" spans="1:9" ht="84">
      <c r="A12" s="56">
        <v>5</v>
      </c>
      <c r="B12" s="57" t="s">
        <v>18</v>
      </c>
      <c r="C12" s="58" t="s">
        <v>14</v>
      </c>
      <c r="D12" s="59">
        <v>396</v>
      </c>
      <c r="E12" s="60"/>
      <c r="F12" s="60"/>
      <c r="G12" s="60"/>
      <c r="H12" s="60"/>
      <c r="I12" s="61">
        <f>I13+I14+I15</f>
        <v>184.70666623999995</v>
      </c>
    </row>
    <row r="13" spans="1:9">
      <c r="A13" s="56"/>
      <c r="B13" s="57" t="s">
        <v>174</v>
      </c>
      <c r="C13" s="58" t="s">
        <v>14</v>
      </c>
      <c r="D13" s="59"/>
      <c r="E13" s="60">
        <f>4.96*3.28</f>
        <v>16.268799999999999</v>
      </c>
      <c r="F13" s="60">
        <f>3.46*3.28</f>
        <v>11.348799999999999</v>
      </c>
      <c r="G13" s="60"/>
      <c r="H13" s="60"/>
      <c r="I13" s="60">
        <f>F13*E13</f>
        <v>184.63135743999996</v>
      </c>
    </row>
    <row r="14" spans="1:9">
      <c r="A14" s="56"/>
      <c r="B14" s="57" t="s">
        <v>175</v>
      </c>
      <c r="C14" s="58" t="s">
        <v>14</v>
      </c>
      <c r="D14" s="59"/>
      <c r="E14" s="60">
        <f>0.95*3.28</f>
        <v>3.1159999999999997</v>
      </c>
      <c r="F14" s="60">
        <f>-0.94*3.28</f>
        <v>-3.0831999999999997</v>
      </c>
      <c r="G14" s="60"/>
      <c r="H14" s="60"/>
      <c r="I14" s="60">
        <f t="shared" ref="I14" si="0">F14*E14</f>
        <v>-9.6072511999999985</v>
      </c>
    </row>
    <row r="15" spans="1:9">
      <c r="A15" s="56"/>
      <c r="B15" s="57" t="s">
        <v>176</v>
      </c>
      <c r="C15" s="58" t="s">
        <v>14</v>
      </c>
      <c r="D15" s="59"/>
      <c r="E15" s="60">
        <f>1.5*3.28</f>
        <v>4.92</v>
      </c>
      <c r="F15" s="60">
        <f>0.3*3.28</f>
        <v>0.98399999999999987</v>
      </c>
      <c r="G15" s="60"/>
      <c r="H15" s="60">
        <v>2</v>
      </c>
      <c r="I15" s="60">
        <f>H15*F15*E15</f>
        <v>9.6825599999999987</v>
      </c>
    </row>
    <row r="16" spans="1:9">
      <c r="A16" s="56"/>
      <c r="B16" s="57"/>
      <c r="C16" s="58"/>
      <c r="D16" s="59"/>
      <c r="E16" s="60"/>
      <c r="F16" s="60"/>
      <c r="G16" s="60"/>
      <c r="H16" s="60"/>
      <c r="I16" s="60"/>
    </row>
    <row r="17" spans="1:9">
      <c r="A17" s="65">
        <v>13</v>
      </c>
      <c r="B17" s="57" t="s">
        <v>27</v>
      </c>
      <c r="C17" s="62" t="s">
        <v>2</v>
      </c>
      <c r="D17" s="63" t="s">
        <v>2</v>
      </c>
      <c r="E17" s="64"/>
      <c r="F17" s="64"/>
      <c r="G17" s="64"/>
      <c r="H17" s="64"/>
      <c r="I17" s="64"/>
    </row>
    <row r="18" spans="1:9" ht="56">
      <c r="A18" s="56">
        <v>16</v>
      </c>
      <c r="B18" s="57" t="s">
        <v>30</v>
      </c>
      <c r="C18" s="62" t="s">
        <v>14</v>
      </c>
      <c r="D18" s="63">
        <v>86</v>
      </c>
      <c r="E18" s="64"/>
      <c r="F18" s="64"/>
      <c r="G18" s="64"/>
      <c r="H18" s="64"/>
      <c r="I18" s="66">
        <f>I19+I20</f>
        <v>11.941823999999999</v>
      </c>
    </row>
    <row r="19" spans="1:9">
      <c r="A19" s="56"/>
      <c r="B19" s="57" t="s">
        <v>177</v>
      </c>
      <c r="C19" s="62" t="s">
        <v>14</v>
      </c>
      <c r="D19" s="63"/>
      <c r="E19" s="64">
        <f>3.7*3.28</f>
        <v>12.135999999999999</v>
      </c>
      <c r="F19" s="64">
        <f>0.2*3.28</f>
        <v>0.65600000000000003</v>
      </c>
      <c r="G19" s="64"/>
      <c r="H19" s="64"/>
      <c r="I19" s="64">
        <f>E19*F19</f>
        <v>7.9612159999999994</v>
      </c>
    </row>
    <row r="20" spans="1:9">
      <c r="A20" s="56"/>
      <c r="B20" s="57" t="s">
        <v>178</v>
      </c>
      <c r="C20" s="62" t="s">
        <v>14</v>
      </c>
      <c r="D20" s="63"/>
      <c r="E20" s="64">
        <f>3.7*3.28</f>
        <v>12.135999999999999</v>
      </c>
      <c r="F20" s="64">
        <f>0.1*3.28</f>
        <v>0.32800000000000001</v>
      </c>
      <c r="G20" s="64"/>
      <c r="H20" s="64"/>
      <c r="I20" s="64">
        <f>F20*E20</f>
        <v>3.9806079999999997</v>
      </c>
    </row>
    <row r="21" spans="1:9">
      <c r="A21" s="56"/>
      <c r="B21" s="57"/>
      <c r="C21" s="62"/>
      <c r="D21" s="63"/>
      <c r="E21" s="64"/>
      <c r="F21" s="64"/>
      <c r="G21" s="64"/>
      <c r="H21" s="64"/>
      <c r="I21" s="66"/>
    </row>
    <row r="22" spans="1:9" ht="28">
      <c r="A22" s="56">
        <v>17</v>
      </c>
      <c r="B22" s="57" t="s">
        <v>31</v>
      </c>
      <c r="C22" s="62" t="s">
        <v>32</v>
      </c>
      <c r="D22" s="63">
        <v>3</v>
      </c>
      <c r="E22" s="64"/>
      <c r="F22" s="64"/>
      <c r="G22" s="64"/>
      <c r="H22" s="64"/>
      <c r="I22" s="66">
        <v>3</v>
      </c>
    </row>
    <row r="23" spans="1:9">
      <c r="A23" s="65">
        <v>18</v>
      </c>
      <c r="B23" s="57" t="s">
        <v>33</v>
      </c>
      <c r="C23" s="62" t="s">
        <v>2</v>
      </c>
      <c r="D23" s="63" t="s">
        <v>2</v>
      </c>
      <c r="E23" s="64"/>
      <c r="F23" s="64"/>
      <c r="G23" s="64"/>
      <c r="H23" s="64"/>
      <c r="I23" s="64"/>
    </row>
    <row r="24" spans="1:9" ht="70">
      <c r="A24" s="56">
        <v>19</v>
      </c>
      <c r="B24" s="57" t="s">
        <v>34</v>
      </c>
      <c r="C24" s="58" t="s">
        <v>14</v>
      </c>
      <c r="D24" s="59">
        <v>432</v>
      </c>
      <c r="E24" s="60"/>
      <c r="F24" s="60"/>
      <c r="G24" s="60"/>
      <c r="H24" s="60"/>
      <c r="I24" s="61">
        <f>I25</f>
        <v>10.625</v>
      </c>
    </row>
    <row r="25" spans="1:9">
      <c r="A25" s="56"/>
      <c r="B25" s="57" t="s">
        <v>179</v>
      </c>
      <c r="C25" s="58" t="s">
        <v>14</v>
      </c>
      <c r="D25" s="59"/>
      <c r="E25" s="60">
        <v>8.5</v>
      </c>
      <c r="F25" s="60">
        <v>1.25</v>
      </c>
      <c r="G25" s="60"/>
      <c r="H25" s="60"/>
      <c r="I25" s="61">
        <f>E25*F25</f>
        <v>10.625</v>
      </c>
    </row>
    <row r="26" spans="1:9">
      <c r="A26" s="56"/>
      <c r="B26" s="57"/>
      <c r="C26" s="58"/>
      <c r="D26" s="59"/>
      <c r="E26" s="60"/>
      <c r="F26" s="60"/>
      <c r="G26" s="60"/>
      <c r="H26" s="60"/>
      <c r="I26" s="61"/>
    </row>
    <row r="27" spans="1:9">
      <c r="A27" s="65">
        <v>21</v>
      </c>
      <c r="B27" s="57" t="s">
        <v>35</v>
      </c>
      <c r="C27" s="62" t="s">
        <v>2</v>
      </c>
      <c r="D27" s="63" t="s">
        <v>2</v>
      </c>
      <c r="E27" s="64"/>
      <c r="F27" s="64"/>
      <c r="G27" s="64"/>
      <c r="H27" s="64"/>
      <c r="I27" s="64"/>
    </row>
    <row r="28" spans="1:9" ht="126">
      <c r="A28" s="56">
        <v>22</v>
      </c>
      <c r="B28" s="57" t="s">
        <v>36</v>
      </c>
      <c r="C28" s="62" t="s">
        <v>32</v>
      </c>
      <c r="D28" s="63">
        <v>10</v>
      </c>
      <c r="E28" s="64"/>
      <c r="F28" s="64"/>
      <c r="G28" s="64"/>
      <c r="H28" s="64"/>
      <c r="I28" s="66">
        <v>10</v>
      </c>
    </row>
    <row r="29" spans="1:9" ht="70">
      <c r="A29" s="56">
        <v>23</v>
      </c>
      <c r="B29" s="57" t="s">
        <v>37</v>
      </c>
      <c r="C29" s="62" t="s">
        <v>14</v>
      </c>
      <c r="D29" s="63">
        <v>82</v>
      </c>
      <c r="E29" s="64"/>
      <c r="F29" s="64"/>
      <c r="G29" s="64"/>
      <c r="H29" s="64"/>
      <c r="I29" s="66">
        <f>SUM(I30:I33)</f>
        <v>114.36394368000001</v>
      </c>
    </row>
    <row r="30" spans="1:9">
      <c r="A30" s="56"/>
      <c r="B30" s="57" t="s">
        <v>180</v>
      </c>
      <c r="C30" s="62" t="s">
        <v>14</v>
      </c>
      <c r="D30" s="63"/>
      <c r="E30" s="64">
        <f>2.58*3.28</f>
        <v>8.4624000000000006</v>
      </c>
      <c r="F30" s="64">
        <f>0.81*3.28</f>
        <v>2.6568000000000001</v>
      </c>
      <c r="G30" s="64"/>
      <c r="H30" s="64"/>
      <c r="I30" s="64">
        <f>E30*F30</f>
        <v>22.482904320000003</v>
      </c>
    </row>
    <row r="31" spans="1:9">
      <c r="A31" s="56"/>
      <c r="B31" s="57" t="s">
        <v>181</v>
      </c>
      <c r="C31" s="62" t="s">
        <v>14</v>
      </c>
      <c r="D31" s="63"/>
      <c r="E31" s="64">
        <f>1.89*3.28</f>
        <v>6.1991999999999994</v>
      </c>
      <c r="F31" s="64">
        <f>2.7*3.28</f>
        <v>8.8559999999999999</v>
      </c>
      <c r="G31" s="64"/>
      <c r="H31" s="64"/>
      <c r="I31" s="64">
        <f>E31*F31</f>
        <v>54.900115199999995</v>
      </c>
    </row>
    <row r="32" spans="1:9">
      <c r="A32" s="56"/>
      <c r="B32" s="57" t="s">
        <v>182</v>
      </c>
      <c r="C32" s="62" t="s">
        <v>14</v>
      </c>
      <c r="D32" s="63"/>
      <c r="E32" s="64">
        <f>0.91*3.28</f>
        <v>2.9847999999999999</v>
      </c>
      <c r="F32" s="64">
        <f>2.7*3.28</f>
        <v>8.8559999999999999</v>
      </c>
      <c r="G32" s="64"/>
      <c r="H32" s="64"/>
      <c r="I32" s="64">
        <f t="shared" ref="I32:I33" si="1">E32*F32</f>
        <v>26.433388799999999</v>
      </c>
    </row>
    <row r="33" spans="1:9">
      <c r="A33" s="56"/>
      <c r="B33" s="57" t="s">
        <v>183</v>
      </c>
      <c r="C33" s="62" t="s">
        <v>14</v>
      </c>
      <c r="D33" s="63"/>
      <c r="E33" s="64">
        <f>0.38*3.28</f>
        <v>1.2464</v>
      </c>
      <c r="F33" s="64">
        <f>2.58*3.28</f>
        <v>8.4624000000000006</v>
      </c>
      <c r="G33" s="64"/>
      <c r="H33" s="64"/>
      <c r="I33" s="64">
        <f t="shared" si="1"/>
        <v>10.547535359999999</v>
      </c>
    </row>
    <row r="34" spans="1:9">
      <c r="A34" s="56"/>
      <c r="B34" s="57"/>
      <c r="C34" s="62"/>
      <c r="D34" s="63"/>
      <c r="E34" s="64"/>
      <c r="F34" s="64"/>
      <c r="G34" s="64"/>
      <c r="H34" s="64"/>
      <c r="I34" s="64"/>
    </row>
    <row r="35" spans="1:9" ht="42">
      <c r="A35" s="56">
        <v>24</v>
      </c>
      <c r="B35" s="57" t="s">
        <v>38</v>
      </c>
      <c r="C35" s="62" t="s">
        <v>14</v>
      </c>
      <c r="D35" s="63">
        <v>36</v>
      </c>
      <c r="E35" s="64"/>
      <c r="F35" s="64"/>
      <c r="G35" s="64"/>
      <c r="H35" s="64"/>
      <c r="I35" s="66">
        <f>SUM(I36:I40)</f>
        <v>39.241264000000001</v>
      </c>
    </row>
    <row r="36" spans="1:9">
      <c r="A36" s="56"/>
      <c r="B36" s="57" t="s">
        <v>184</v>
      </c>
      <c r="C36" s="62" t="s">
        <v>14</v>
      </c>
      <c r="D36" s="63"/>
      <c r="E36" s="64">
        <f>0.45*3.28</f>
        <v>1.476</v>
      </c>
      <c r="F36" s="64">
        <f>0.7*3.28</f>
        <v>2.2959999999999998</v>
      </c>
      <c r="G36" s="64"/>
      <c r="H36" s="64">
        <v>2</v>
      </c>
      <c r="I36" s="64">
        <f>H36*F36*E36</f>
        <v>6.7777919999999989</v>
      </c>
    </row>
    <row r="37" spans="1:9">
      <c r="A37" s="56"/>
      <c r="B37" s="57" t="s">
        <v>185</v>
      </c>
      <c r="C37" s="62" t="s">
        <v>14</v>
      </c>
      <c r="D37" s="63"/>
      <c r="E37" s="64">
        <f>0.455*3.28</f>
        <v>1.4923999999999999</v>
      </c>
      <c r="F37" s="64">
        <f>0.7*3.28</f>
        <v>2.2959999999999998</v>
      </c>
      <c r="G37" s="64"/>
      <c r="H37" s="64">
        <v>2</v>
      </c>
      <c r="I37" s="64">
        <f t="shared" ref="I37:I40" si="2">H37*F37*E37</f>
        <v>6.8531007999999991</v>
      </c>
    </row>
    <row r="38" spans="1:9">
      <c r="A38" s="56"/>
      <c r="B38" s="57" t="s">
        <v>186</v>
      </c>
      <c r="C38" s="62" t="s">
        <v>14</v>
      </c>
      <c r="D38" s="63"/>
      <c r="E38" s="64">
        <f>0.25*3.28</f>
        <v>0.82</v>
      </c>
      <c r="F38" s="64">
        <f>0.7*3.28</f>
        <v>2.2959999999999998</v>
      </c>
      <c r="G38" s="64"/>
      <c r="H38" s="64">
        <v>2</v>
      </c>
      <c r="I38" s="64">
        <f t="shared" si="2"/>
        <v>3.7654399999999995</v>
      </c>
    </row>
    <row r="39" spans="1:9">
      <c r="A39" s="56"/>
      <c r="B39" s="57" t="s">
        <v>187</v>
      </c>
      <c r="C39" s="62" t="s">
        <v>14</v>
      </c>
      <c r="D39" s="63"/>
      <c r="E39" s="64">
        <f>0.9*3.28</f>
        <v>2.952</v>
      </c>
      <c r="F39" s="64">
        <f>0.545*3.28</f>
        <v>1.7876000000000001</v>
      </c>
      <c r="G39" s="64"/>
      <c r="H39" s="64">
        <v>1</v>
      </c>
      <c r="I39" s="64">
        <f t="shared" si="2"/>
        <v>5.2769952</v>
      </c>
    </row>
    <row r="40" spans="1:9">
      <c r="A40" s="56"/>
      <c r="B40" s="57" t="s">
        <v>188</v>
      </c>
      <c r="C40" s="62" t="s">
        <v>14</v>
      </c>
      <c r="D40" s="63"/>
      <c r="E40" s="64">
        <f>0.55*3.28</f>
        <v>1.804</v>
      </c>
      <c r="F40" s="64">
        <f>0.7*3.28</f>
        <v>2.2959999999999998</v>
      </c>
      <c r="G40" s="64"/>
      <c r="H40" s="64">
        <v>4</v>
      </c>
      <c r="I40" s="64">
        <f t="shared" si="2"/>
        <v>16.567936</v>
      </c>
    </row>
    <row r="41" spans="1:9">
      <c r="A41" s="56"/>
      <c r="B41" s="57"/>
      <c r="C41" s="62"/>
      <c r="D41" s="63"/>
      <c r="E41" s="64"/>
      <c r="F41" s="64"/>
      <c r="G41" s="64"/>
      <c r="H41" s="64"/>
      <c r="I41" s="64"/>
    </row>
    <row r="42" spans="1:9">
      <c r="A42" s="56">
        <v>25</v>
      </c>
      <c r="B42" s="57" t="s">
        <v>39</v>
      </c>
      <c r="C42" s="62" t="s">
        <v>14</v>
      </c>
      <c r="D42" s="63">
        <v>20</v>
      </c>
      <c r="E42" s="64"/>
      <c r="F42" s="64"/>
      <c r="G42" s="64"/>
      <c r="H42" s="64"/>
      <c r="I42" s="66">
        <f>I43</f>
        <v>23.456887200000001</v>
      </c>
    </row>
    <row r="43" spans="1:9">
      <c r="A43" s="56"/>
      <c r="B43" s="57" t="s">
        <v>189</v>
      </c>
      <c r="C43" s="62" t="s">
        <v>14</v>
      </c>
      <c r="D43" s="63"/>
      <c r="E43" s="64">
        <f>0.81*3.27</f>
        <v>2.6487000000000003</v>
      </c>
      <c r="F43" s="64">
        <f>2.7*3.28</f>
        <v>8.8559999999999999</v>
      </c>
      <c r="G43" s="64"/>
      <c r="H43" s="64"/>
      <c r="I43" s="64">
        <f>E43*F43</f>
        <v>23.456887200000001</v>
      </c>
    </row>
    <row r="44" spans="1:9">
      <c r="A44" s="56"/>
      <c r="B44" s="57"/>
      <c r="C44" s="62"/>
      <c r="D44" s="63"/>
      <c r="E44" s="64"/>
      <c r="F44" s="64"/>
      <c r="G44" s="64"/>
      <c r="H44" s="64"/>
      <c r="I44" s="64"/>
    </row>
    <row r="45" spans="1:9" ht="98">
      <c r="A45" s="65">
        <v>26</v>
      </c>
      <c r="B45" s="57" t="s">
        <v>40</v>
      </c>
      <c r="C45" s="62"/>
      <c r="D45" s="63"/>
      <c r="E45" s="64"/>
      <c r="F45" s="64"/>
      <c r="G45" s="64"/>
      <c r="H45" s="64"/>
      <c r="I45" s="64"/>
    </row>
    <row r="46" spans="1:9">
      <c r="A46" s="56">
        <v>27</v>
      </c>
      <c r="B46" s="57" t="s">
        <v>41</v>
      </c>
      <c r="C46" s="62" t="s">
        <v>14</v>
      </c>
      <c r="D46" s="63">
        <v>10</v>
      </c>
      <c r="E46" s="64">
        <f>0.82*3.28</f>
        <v>2.6895999999999995</v>
      </c>
      <c r="F46" s="64"/>
      <c r="G46" s="64">
        <f>2.7*3.28</f>
        <v>8.8559999999999999</v>
      </c>
      <c r="H46" s="64"/>
      <c r="I46" s="66">
        <f>G46*E46</f>
        <v>23.819097599999996</v>
      </c>
    </row>
    <row r="47" spans="1:9">
      <c r="A47" s="56">
        <v>28</v>
      </c>
      <c r="B47" s="57" t="s">
        <v>42</v>
      </c>
      <c r="C47" s="62" t="s">
        <v>14</v>
      </c>
      <c r="D47" s="63">
        <v>10</v>
      </c>
      <c r="E47" s="64"/>
      <c r="F47" s="64"/>
      <c r="G47" s="64"/>
      <c r="H47" s="64"/>
      <c r="I47" s="66">
        <v>10</v>
      </c>
    </row>
    <row r="48" spans="1:9" ht="42">
      <c r="A48" s="56">
        <v>29</v>
      </c>
      <c r="B48" s="57" t="s">
        <v>43</v>
      </c>
      <c r="C48" s="62" t="s">
        <v>14</v>
      </c>
      <c r="D48" s="63">
        <v>80</v>
      </c>
      <c r="E48" s="64"/>
      <c r="F48" s="64"/>
      <c r="G48" s="64"/>
      <c r="H48" s="64"/>
      <c r="I48" s="66">
        <f>SUM(I49:I56)</f>
        <v>43.329455999999993</v>
      </c>
    </row>
    <row r="49" spans="1:9">
      <c r="A49" s="56"/>
      <c r="B49" s="57" t="s">
        <v>190</v>
      </c>
      <c r="C49" s="62" t="s">
        <v>14</v>
      </c>
      <c r="D49" s="63"/>
      <c r="E49" s="64">
        <f>2.03*3.28</f>
        <v>6.6583999999999985</v>
      </c>
      <c r="F49" s="64">
        <f>0.5*3.28</f>
        <v>1.64</v>
      </c>
      <c r="G49" s="64"/>
      <c r="H49" s="64"/>
      <c r="I49" s="64">
        <f>F49*E49</f>
        <v>10.919775999999997</v>
      </c>
    </row>
    <row r="50" spans="1:9">
      <c r="A50" s="56"/>
      <c r="B50" s="57" t="s">
        <v>191</v>
      </c>
      <c r="C50" s="62" t="s">
        <v>14</v>
      </c>
      <c r="D50" s="63"/>
      <c r="E50" s="64">
        <f>0.42*3.28</f>
        <v>1.3775999999999999</v>
      </c>
      <c r="F50" s="64">
        <f>2.03*3.28</f>
        <v>6.6583999999999985</v>
      </c>
      <c r="G50" s="64"/>
      <c r="H50" s="64"/>
      <c r="I50" s="64">
        <f t="shared" ref="I50:I56" si="3">F50*E50</f>
        <v>9.1726118399999983</v>
      </c>
    </row>
    <row r="51" spans="1:9">
      <c r="A51" s="56"/>
      <c r="B51" s="57" t="s">
        <v>192</v>
      </c>
      <c r="C51" s="62" t="s">
        <v>14</v>
      </c>
      <c r="D51" s="63"/>
      <c r="E51" s="64">
        <f>0.4*3.28</f>
        <v>1.3120000000000001</v>
      </c>
      <c r="F51" s="64">
        <f>0.9*3.28</f>
        <v>2.952</v>
      </c>
      <c r="G51" s="64"/>
      <c r="H51" s="64"/>
      <c r="I51" s="64">
        <f t="shared" si="3"/>
        <v>3.873024</v>
      </c>
    </row>
    <row r="52" spans="1:9">
      <c r="A52" s="56"/>
      <c r="B52" s="57" t="s">
        <v>187</v>
      </c>
      <c r="C52" s="62" t="s">
        <v>14</v>
      </c>
      <c r="D52" s="63"/>
      <c r="E52" s="64">
        <f>0.15*3.28</f>
        <v>0.49199999999999994</v>
      </c>
      <c r="F52" s="64">
        <f>0.55*3.28</f>
        <v>1.804</v>
      </c>
      <c r="G52" s="64"/>
      <c r="H52" s="64"/>
      <c r="I52" s="64">
        <f t="shared" si="3"/>
        <v>0.88756799999999991</v>
      </c>
    </row>
    <row r="53" spans="1:9">
      <c r="A53" s="56"/>
      <c r="B53" s="57" t="s">
        <v>193</v>
      </c>
      <c r="C53" s="62" t="s">
        <v>14</v>
      </c>
      <c r="D53" s="63"/>
      <c r="E53" s="64">
        <f>0.16*3.28</f>
        <v>0.52479999999999993</v>
      </c>
      <c r="F53" s="64">
        <f>3.13*3.28</f>
        <v>10.266399999999999</v>
      </c>
      <c r="G53" s="64"/>
      <c r="H53" s="64"/>
      <c r="I53" s="64">
        <f t="shared" si="3"/>
        <v>5.3878067199999986</v>
      </c>
    </row>
    <row r="54" spans="1:9">
      <c r="A54" s="56"/>
      <c r="B54" s="57" t="s">
        <v>194</v>
      </c>
      <c r="C54" s="62" t="s">
        <v>14</v>
      </c>
      <c r="D54" s="63"/>
      <c r="E54" s="64">
        <f>0.16*3.28</f>
        <v>0.52479999999999993</v>
      </c>
      <c r="F54" s="64">
        <f>2.51*3.28</f>
        <v>8.2327999999999992</v>
      </c>
      <c r="G54" s="64"/>
      <c r="H54" s="64"/>
      <c r="I54" s="64">
        <f t="shared" si="3"/>
        <v>4.3205734399999987</v>
      </c>
    </row>
    <row r="55" spans="1:9">
      <c r="A55" s="56"/>
      <c r="B55" s="57" t="s">
        <v>195</v>
      </c>
      <c r="C55" s="62" t="s">
        <v>14</v>
      </c>
      <c r="D55" s="63"/>
      <c r="E55" s="64">
        <f>0.83*3.28</f>
        <v>2.7223999999999995</v>
      </c>
      <c r="F55" s="64">
        <f>0.5*3.28</f>
        <v>1.64</v>
      </c>
      <c r="G55" s="64"/>
      <c r="H55" s="64"/>
      <c r="I55" s="64">
        <f t="shared" si="3"/>
        <v>4.4647359999999985</v>
      </c>
    </row>
    <row r="56" spans="1:9">
      <c r="A56" s="56"/>
      <c r="B56" s="57" t="s">
        <v>196</v>
      </c>
      <c r="C56" s="62" t="s">
        <v>14</v>
      </c>
      <c r="D56" s="63"/>
      <c r="E56" s="64">
        <f>0.25*3.28</f>
        <v>0.82</v>
      </c>
      <c r="F56" s="64">
        <f>1.6*3.28</f>
        <v>5.2480000000000002</v>
      </c>
      <c r="G56" s="64"/>
      <c r="H56" s="64"/>
      <c r="I56" s="64">
        <f t="shared" si="3"/>
        <v>4.3033599999999996</v>
      </c>
    </row>
    <row r="57" spans="1:9">
      <c r="A57" s="56"/>
      <c r="B57" s="57"/>
      <c r="C57" s="62"/>
      <c r="D57" s="63"/>
      <c r="E57" s="64"/>
      <c r="F57" s="64"/>
      <c r="G57" s="64"/>
      <c r="H57" s="64"/>
      <c r="I57" s="64"/>
    </row>
    <row r="58" spans="1:9" ht="84">
      <c r="A58" s="56">
        <v>30</v>
      </c>
      <c r="B58" s="57" t="s">
        <v>44</v>
      </c>
      <c r="C58" s="62" t="s">
        <v>14</v>
      </c>
      <c r="D58" s="63">
        <v>15</v>
      </c>
      <c r="E58" s="64"/>
      <c r="F58" s="64"/>
      <c r="G58" s="64"/>
      <c r="H58" s="64"/>
      <c r="I58" s="66">
        <v>15</v>
      </c>
    </row>
    <row r="59" spans="1:9" ht="42">
      <c r="A59" s="56">
        <v>31</v>
      </c>
      <c r="B59" s="57" t="s">
        <v>45</v>
      </c>
      <c r="C59" s="62" t="s">
        <v>32</v>
      </c>
      <c r="D59" s="63">
        <v>18</v>
      </c>
      <c r="E59" s="64"/>
      <c r="F59" s="64"/>
      <c r="G59" s="64"/>
      <c r="H59" s="64"/>
      <c r="I59" s="66">
        <f>SUM(I60:I63)</f>
        <v>69.339200000000005</v>
      </c>
    </row>
    <row r="60" spans="1:9">
      <c r="A60" s="56"/>
      <c r="B60" s="57" t="s">
        <v>197</v>
      </c>
      <c r="C60" s="62" t="s">
        <v>32</v>
      </c>
      <c r="D60" s="63"/>
      <c r="E60" s="64">
        <f>5.5*3.28</f>
        <v>18.04</v>
      </c>
      <c r="F60" s="64"/>
      <c r="G60" s="64"/>
      <c r="H60" s="64"/>
      <c r="I60" s="64">
        <f>E60</f>
        <v>18.04</v>
      </c>
    </row>
    <row r="61" spans="1:9">
      <c r="A61" s="56"/>
      <c r="B61" s="57" t="s">
        <v>198</v>
      </c>
      <c r="C61" s="62" t="s">
        <v>32</v>
      </c>
      <c r="D61" s="63"/>
      <c r="E61" s="64">
        <f>4.2*3.28</f>
        <v>13.776</v>
      </c>
      <c r="F61" s="64"/>
      <c r="G61" s="64"/>
      <c r="H61" s="64"/>
      <c r="I61" s="64">
        <f t="shared" ref="I61:I63" si="4">E61</f>
        <v>13.776</v>
      </c>
    </row>
    <row r="62" spans="1:9">
      <c r="A62" s="56"/>
      <c r="B62" s="57" t="s">
        <v>199</v>
      </c>
      <c r="C62" s="62" t="s">
        <v>32</v>
      </c>
      <c r="D62" s="63"/>
      <c r="E62" s="64">
        <f>8.64*3.28</f>
        <v>28.339200000000002</v>
      </c>
      <c r="F62" s="64"/>
      <c r="G62" s="64"/>
      <c r="H62" s="64"/>
      <c r="I62" s="64">
        <f t="shared" si="4"/>
        <v>28.339200000000002</v>
      </c>
    </row>
    <row r="63" spans="1:9">
      <c r="A63" s="56"/>
      <c r="B63" s="57" t="s">
        <v>200</v>
      </c>
      <c r="C63" s="62" t="s">
        <v>32</v>
      </c>
      <c r="D63" s="63"/>
      <c r="E63" s="64">
        <f>2.8*3.28</f>
        <v>9.1839999999999993</v>
      </c>
      <c r="F63" s="64"/>
      <c r="G63" s="64"/>
      <c r="H63" s="64"/>
      <c r="I63" s="64">
        <f t="shared" si="4"/>
        <v>9.1839999999999993</v>
      </c>
    </row>
    <row r="64" spans="1:9">
      <c r="A64" s="56"/>
      <c r="B64" s="57"/>
      <c r="C64" s="62" t="s">
        <v>201</v>
      </c>
      <c r="D64" s="63"/>
      <c r="E64" s="64"/>
      <c r="F64" s="64"/>
      <c r="G64" s="64"/>
      <c r="H64" s="64"/>
      <c r="I64" s="64"/>
    </row>
    <row r="65" spans="1:9" ht="56">
      <c r="A65" s="56">
        <v>33</v>
      </c>
      <c r="B65" s="57" t="s">
        <v>47</v>
      </c>
      <c r="C65" s="62" t="s">
        <v>14</v>
      </c>
      <c r="D65" s="63">
        <v>226</v>
      </c>
      <c r="E65" s="64"/>
      <c r="F65" s="64"/>
      <c r="G65" s="64"/>
      <c r="H65" s="64"/>
      <c r="I65" s="66">
        <f>SUM(I66:I70)</f>
        <v>137.36217535999998</v>
      </c>
    </row>
    <row r="66" spans="1:9">
      <c r="A66" s="56"/>
      <c r="B66" s="57" t="s">
        <v>202</v>
      </c>
      <c r="C66" s="62" t="s">
        <v>14</v>
      </c>
      <c r="D66" s="63"/>
      <c r="E66" s="64">
        <f>1.72*3.28</f>
        <v>5.6415999999999995</v>
      </c>
      <c r="F66" s="64">
        <f>3.5*3.28</f>
        <v>11.479999999999999</v>
      </c>
      <c r="G66" s="64"/>
      <c r="H66" s="64"/>
      <c r="I66" s="64">
        <f>F66*E66</f>
        <v>64.765567999999988</v>
      </c>
    </row>
    <row r="67" spans="1:9">
      <c r="A67" s="56"/>
      <c r="B67" s="57" t="s">
        <v>203</v>
      </c>
      <c r="C67" s="62" t="s">
        <v>14</v>
      </c>
      <c r="D67" s="63"/>
      <c r="E67" s="64">
        <f>10.29*3.28</f>
        <v>33.751199999999997</v>
      </c>
      <c r="F67" s="64">
        <f>0.16*3.28</f>
        <v>0.52479999999999993</v>
      </c>
      <c r="G67" s="64"/>
      <c r="H67" s="64"/>
      <c r="I67" s="64">
        <f t="shared" ref="I67:I70" si="5">F67*E67</f>
        <v>17.712629759999995</v>
      </c>
    </row>
    <row r="68" spans="1:9">
      <c r="A68" s="56"/>
      <c r="B68" s="57" t="s">
        <v>204</v>
      </c>
      <c r="C68" s="62" t="s">
        <v>14</v>
      </c>
      <c r="D68" s="63"/>
      <c r="E68" s="64">
        <f>0.51*3.28</f>
        <v>1.6727999999999998</v>
      </c>
      <c r="F68" s="64">
        <f>1.5*3.28</f>
        <v>4.92</v>
      </c>
      <c r="G68" s="64"/>
      <c r="H68" s="64"/>
      <c r="I68" s="64">
        <f t="shared" si="5"/>
        <v>8.2301759999999984</v>
      </c>
    </row>
    <row r="69" spans="1:9">
      <c r="A69" s="56"/>
      <c r="B69" s="57" t="s">
        <v>205</v>
      </c>
      <c r="C69" s="62" t="s">
        <v>14</v>
      </c>
      <c r="D69" s="63"/>
      <c r="E69" s="64">
        <f>1.65*3.28</f>
        <v>5.411999999999999</v>
      </c>
      <c r="F69" s="64">
        <f>1.47*3.28</f>
        <v>4.8215999999999992</v>
      </c>
      <c r="G69" s="64"/>
      <c r="H69" s="64"/>
      <c r="I69" s="64">
        <f t="shared" si="5"/>
        <v>26.094499199999991</v>
      </c>
    </row>
    <row r="70" spans="1:9">
      <c r="A70" s="56"/>
      <c r="B70" s="57" t="s">
        <v>206</v>
      </c>
      <c r="C70" s="62" t="s">
        <v>14</v>
      </c>
      <c r="D70" s="63"/>
      <c r="E70" s="64">
        <f>1.3*3.28</f>
        <v>4.2640000000000002</v>
      </c>
      <c r="F70" s="64">
        <f>1.47*3.28</f>
        <v>4.8215999999999992</v>
      </c>
      <c r="G70" s="64"/>
      <c r="H70" s="64"/>
      <c r="I70" s="64">
        <f t="shared" si="5"/>
        <v>20.559302399999996</v>
      </c>
    </row>
    <row r="71" spans="1:9">
      <c r="A71" s="56"/>
      <c r="B71" s="57"/>
      <c r="C71" s="62"/>
      <c r="D71" s="63"/>
      <c r="E71" s="64"/>
      <c r="F71" s="64"/>
      <c r="G71" s="64"/>
      <c r="H71" s="64"/>
      <c r="I71" s="64"/>
    </row>
    <row r="72" spans="1:9">
      <c r="A72" s="65">
        <v>34</v>
      </c>
      <c r="B72" s="57" t="s">
        <v>48</v>
      </c>
      <c r="C72" s="62" t="s">
        <v>2</v>
      </c>
      <c r="D72" s="63" t="s">
        <v>2</v>
      </c>
      <c r="E72" s="64"/>
      <c r="F72" s="64"/>
      <c r="G72" s="64"/>
      <c r="H72" s="64"/>
      <c r="I72" s="64"/>
    </row>
    <row r="73" spans="1:9" ht="28">
      <c r="A73" s="56">
        <v>35</v>
      </c>
      <c r="B73" s="57" t="s">
        <v>49</v>
      </c>
      <c r="C73" s="62" t="s">
        <v>14</v>
      </c>
      <c r="D73" s="63">
        <v>120</v>
      </c>
      <c r="E73" s="64"/>
      <c r="F73" s="64"/>
      <c r="G73" s="64"/>
      <c r="H73" s="64"/>
      <c r="I73" s="66">
        <f>SUM(I74:I76)</f>
        <v>90.708373759999986</v>
      </c>
    </row>
    <row r="74" spans="1:9">
      <c r="A74" s="56"/>
      <c r="B74" s="57" t="s">
        <v>202</v>
      </c>
      <c r="C74" s="62" t="s">
        <v>14</v>
      </c>
      <c r="D74" s="63"/>
      <c r="E74" s="64">
        <f>1.72*3.28</f>
        <v>5.6415999999999995</v>
      </c>
      <c r="F74" s="64">
        <f>3.5*3.28</f>
        <v>11.479999999999999</v>
      </c>
      <c r="G74" s="64"/>
      <c r="H74" s="64"/>
      <c r="I74" s="64">
        <f>F74*E74</f>
        <v>64.765567999999988</v>
      </c>
    </row>
    <row r="75" spans="1:9">
      <c r="A75" s="56"/>
      <c r="B75" s="57" t="s">
        <v>203</v>
      </c>
      <c r="C75" s="62" t="s">
        <v>14</v>
      </c>
      <c r="D75" s="63"/>
      <c r="E75" s="64">
        <f>10.29*3.28</f>
        <v>33.751199999999997</v>
      </c>
      <c r="F75" s="64">
        <f>0.16*3.28</f>
        <v>0.52479999999999993</v>
      </c>
      <c r="G75" s="64"/>
      <c r="H75" s="64"/>
      <c r="I75" s="64">
        <f t="shared" ref="I75:I76" si="6">F75*E75</f>
        <v>17.712629759999995</v>
      </c>
    </row>
    <row r="76" spans="1:9">
      <c r="A76" s="56"/>
      <c r="B76" s="57" t="s">
        <v>204</v>
      </c>
      <c r="C76" s="62" t="s">
        <v>14</v>
      </c>
      <c r="D76" s="63"/>
      <c r="E76" s="64">
        <f>0.51*3.28</f>
        <v>1.6727999999999998</v>
      </c>
      <c r="F76" s="64">
        <f>1.5*3.28</f>
        <v>4.92</v>
      </c>
      <c r="G76" s="64"/>
      <c r="H76" s="64"/>
      <c r="I76" s="64">
        <f t="shared" si="6"/>
        <v>8.2301759999999984</v>
      </c>
    </row>
    <row r="77" spans="1:9">
      <c r="A77" s="56"/>
      <c r="B77" s="57"/>
      <c r="C77" s="62"/>
      <c r="D77" s="63"/>
      <c r="E77" s="64"/>
      <c r="F77" s="64"/>
      <c r="G77" s="64"/>
      <c r="H77" s="64"/>
      <c r="I77" s="64"/>
    </row>
    <row r="78" spans="1:9">
      <c r="A78" s="56">
        <v>36</v>
      </c>
      <c r="B78" s="57" t="s">
        <v>50</v>
      </c>
      <c r="C78" s="62" t="s">
        <v>14</v>
      </c>
      <c r="D78" s="63">
        <v>173</v>
      </c>
      <c r="E78" s="64"/>
      <c r="F78" s="64"/>
      <c r="G78" s="64"/>
      <c r="H78" s="64"/>
      <c r="I78" s="66">
        <f>SUM(I79:I80)</f>
        <v>46.653801599999987</v>
      </c>
    </row>
    <row r="79" spans="1:9">
      <c r="A79" s="56"/>
      <c r="B79" s="57" t="s">
        <v>206</v>
      </c>
      <c r="C79" s="62" t="s">
        <v>14</v>
      </c>
      <c r="D79" s="63"/>
      <c r="E79" s="64">
        <f>1.65*3.28</f>
        <v>5.411999999999999</v>
      </c>
      <c r="F79" s="64">
        <f>1.47*3.28</f>
        <v>4.8215999999999992</v>
      </c>
      <c r="G79" s="64"/>
      <c r="H79" s="64"/>
      <c r="I79" s="64">
        <f t="shared" ref="I79:I80" si="7">F79*E79</f>
        <v>26.094499199999991</v>
      </c>
    </row>
    <row r="80" spans="1:9">
      <c r="A80" s="56"/>
      <c r="B80" s="57" t="s">
        <v>207</v>
      </c>
      <c r="C80" s="62" t="s">
        <v>14</v>
      </c>
      <c r="D80" s="63"/>
      <c r="E80" s="64">
        <f>1.3*3.28</f>
        <v>4.2640000000000002</v>
      </c>
      <c r="F80" s="64">
        <f>1.47*3.28</f>
        <v>4.8215999999999992</v>
      </c>
      <c r="G80" s="64"/>
      <c r="H80" s="64"/>
      <c r="I80" s="64">
        <f t="shared" si="7"/>
        <v>20.559302399999996</v>
      </c>
    </row>
    <row r="81" spans="1:9">
      <c r="A81" s="56"/>
      <c r="B81" s="57"/>
      <c r="C81" s="62"/>
      <c r="D81" s="63"/>
      <c r="E81" s="64"/>
      <c r="F81" s="64"/>
      <c r="G81" s="64"/>
      <c r="H81" s="64"/>
      <c r="I81" s="64"/>
    </row>
    <row r="82" spans="1:9">
      <c r="A82" s="56">
        <v>37</v>
      </c>
      <c r="B82" s="57" t="s">
        <v>51</v>
      </c>
      <c r="C82" s="62" t="s">
        <v>14</v>
      </c>
      <c r="D82" s="63">
        <v>173</v>
      </c>
      <c r="E82" s="64"/>
      <c r="F82" s="64"/>
      <c r="G82" s="64"/>
      <c r="H82" s="64"/>
      <c r="I82" s="66">
        <f>I83+I84</f>
        <v>46.653801599999987</v>
      </c>
    </row>
    <row r="83" spans="1:9">
      <c r="A83" s="56"/>
      <c r="B83" s="57" t="s">
        <v>206</v>
      </c>
      <c r="C83" s="62" t="s">
        <v>14</v>
      </c>
      <c r="D83" s="63"/>
      <c r="E83" s="64">
        <f>1.65*3.28</f>
        <v>5.411999999999999</v>
      </c>
      <c r="F83" s="64">
        <f>1.47*3.28</f>
        <v>4.8215999999999992</v>
      </c>
      <c r="G83" s="64"/>
      <c r="H83" s="64"/>
      <c r="I83" s="64">
        <f t="shared" ref="I83:I84" si="8">F83*E83</f>
        <v>26.094499199999991</v>
      </c>
    </row>
    <row r="84" spans="1:9">
      <c r="A84" s="56"/>
      <c r="B84" s="57" t="s">
        <v>207</v>
      </c>
      <c r="C84" s="62" t="s">
        <v>14</v>
      </c>
      <c r="D84" s="63"/>
      <c r="E84" s="64">
        <f>1.3*3.28</f>
        <v>4.2640000000000002</v>
      </c>
      <c r="F84" s="64">
        <f>1.47*3.28</f>
        <v>4.8215999999999992</v>
      </c>
      <c r="G84" s="64"/>
      <c r="H84" s="64"/>
      <c r="I84" s="64">
        <f t="shared" si="8"/>
        <v>20.559302399999996</v>
      </c>
    </row>
    <row r="85" spans="1:9">
      <c r="A85" s="56"/>
      <c r="B85" s="57"/>
      <c r="C85" s="62"/>
      <c r="D85" s="63"/>
      <c r="E85" s="64"/>
      <c r="F85" s="64"/>
      <c r="G85" s="64"/>
      <c r="H85" s="64"/>
      <c r="I85" s="64"/>
    </row>
    <row r="86" spans="1:9">
      <c r="A86" s="65">
        <v>38</v>
      </c>
      <c r="B86" s="57" t="s">
        <v>52</v>
      </c>
      <c r="C86" s="62" t="s">
        <v>2</v>
      </c>
      <c r="D86" s="63" t="s">
        <v>2</v>
      </c>
      <c r="E86" s="64"/>
      <c r="F86" s="64"/>
      <c r="G86" s="64"/>
      <c r="H86" s="64"/>
      <c r="I86" s="64"/>
    </row>
    <row r="87" spans="1:9" ht="196">
      <c r="A87" s="56">
        <v>39</v>
      </c>
      <c r="B87" s="57" t="s">
        <v>53</v>
      </c>
      <c r="C87" s="62" t="s">
        <v>14</v>
      </c>
      <c r="D87" s="63">
        <v>130</v>
      </c>
      <c r="E87" s="64"/>
      <c r="F87" s="64"/>
      <c r="G87" s="64"/>
      <c r="H87" s="64"/>
      <c r="I87" s="66">
        <f>I88+I89</f>
        <v>113.58718719999999</v>
      </c>
    </row>
    <row r="88" spans="1:9">
      <c r="A88" s="56"/>
      <c r="B88" s="57" t="s">
        <v>149</v>
      </c>
      <c r="C88" s="62" t="s">
        <v>14</v>
      </c>
      <c r="D88" s="63"/>
      <c r="E88" s="64">
        <f>3.3*3.28</f>
        <v>10.823999999999998</v>
      </c>
      <c r="F88" s="64">
        <f>3.47*3.28</f>
        <v>11.381600000000001</v>
      </c>
      <c r="G88" s="64"/>
      <c r="H88" s="64"/>
      <c r="I88" s="64">
        <f>F88*E88</f>
        <v>123.19443839999998</v>
      </c>
    </row>
    <row r="89" spans="1:9">
      <c r="A89" s="56"/>
      <c r="B89" s="57" t="s">
        <v>175</v>
      </c>
      <c r="C89" s="62" t="s">
        <v>14</v>
      </c>
      <c r="D89" s="63"/>
      <c r="E89" s="64">
        <f>-0.95*3.28</f>
        <v>-3.1159999999999997</v>
      </c>
      <c r="F89" s="64">
        <f>0.94*3.28</f>
        <v>3.0831999999999997</v>
      </c>
      <c r="G89" s="64"/>
      <c r="H89" s="64"/>
      <c r="I89" s="64">
        <f t="shared" ref="I89" si="9">F89*E89</f>
        <v>-9.6072511999999985</v>
      </c>
    </row>
    <row r="90" spans="1:9">
      <c r="A90" s="56"/>
      <c r="B90" s="57"/>
      <c r="C90" s="62"/>
      <c r="D90" s="63"/>
      <c r="E90" s="64"/>
      <c r="F90" s="64"/>
      <c r="G90" s="64"/>
      <c r="H90" s="64"/>
      <c r="I90" s="64" t="s">
        <v>201</v>
      </c>
    </row>
    <row r="91" spans="1:9">
      <c r="A91" s="52">
        <v>2</v>
      </c>
      <c r="B91" s="53" t="s">
        <v>5</v>
      </c>
      <c r="C91" s="54" t="s">
        <v>4</v>
      </c>
      <c r="D91" s="55">
        <v>1</v>
      </c>
      <c r="E91" s="67"/>
      <c r="F91" s="67"/>
      <c r="G91" s="67"/>
      <c r="H91" s="67"/>
      <c r="I91" s="67"/>
    </row>
    <row r="92" spans="1:9">
      <c r="A92" s="65">
        <v>41</v>
      </c>
      <c r="B92" s="57" t="s">
        <v>56</v>
      </c>
      <c r="C92" s="62" t="s">
        <v>2</v>
      </c>
      <c r="D92" s="63" t="s">
        <v>2</v>
      </c>
      <c r="E92" s="64"/>
      <c r="F92" s="64"/>
      <c r="G92" s="64"/>
      <c r="H92" s="64"/>
      <c r="I92" s="64"/>
    </row>
    <row r="93" spans="1:9" ht="126">
      <c r="A93" s="56">
        <v>42</v>
      </c>
      <c r="B93" s="57" t="s">
        <v>57</v>
      </c>
      <c r="C93" s="62" t="s">
        <v>14</v>
      </c>
      <c r="D93" s="63">
        <v>230</v>
      </c>
      <c r="E93" s="64"/>
      <c r="F93" s="64"/>
      <c r="G93" s="64"/>
      <c r="H93" s="64"/>
      <c r="I93" s="66">
        <v>230</v>
      </c>
    </row>
    <row r="94" spans="1:9" ht="56">
      <c r="A94" s="56">
        <v>43</v>
      </c>
      <c r="B94" s="57" t="s">
        <v>58</v>
      </c>
      <c r="C94" s="62" t="s">
        <v>25</v>
      </c>
      <c r="D94" s="63">
        <v>1</v>
      </c>
      <c r="E94" s="64"/>
      <c r="F94" s="64"/>
      <c r="G94" s="64"/>
      <c r="H94" s="64"/>
      <c r="I94" s="66">
        <v>1</v>
      </c>
    </row>
    <row r="95" spans="1:9" ht="42">
      <c r="A95" s="56">
        <v>44</v>
      </c>
      <c r="B95" s="57" t="s">
        <v>59</v>
      </c>
      <c r="C95" s="62" t="s">
        <v>25</v>
      </c>
      <c r="D95" s="63">
        <v>1</v>
      </c>
      <c r="E95" s="64"/>
      <c r="F95" s="64"/>
      <c r="G95" s="64"/>
      <c r="H95" s="64"/>
      <c r="I95" s="66">
        <v>1</v>
      </c>
    </row>
    <row r="96" spans="1:9">
      <c r="A96" s="56">
        <v>45</v>
      </c>
      <c r="B96" s="57" t="s">
        <v>60</v>
      </c>
      <c r="C96" s="62" t="s">
        <v>25</v>
      </c>
      <c r="D96" s="63">
        <v>1</v>
      </c>
      <c r="E96" s="64"/>
      <c r="F96" s="64"/>
      <c r="G96" s="64"/>
      <c r="H96" s="64"/>
      <c r="I96" s="66">
        <v>1</v>
      </c>
    </row>
    <row r="97" spans="1:9">
      <c r="A97" s="56">
        <v>46</v>
      </c>
      <c r="B97" s="57" t="s">
        <v>61</v>
      </c>
      <c r="C97" s="62" t="s">
        <v>25</v>
      </c>
      <c r="D97" s="63">
        <v>12</v>
      </c>
      <c r="E97" s="64"/>
      <c r="F97" s="64"/>
      <c r="G97" s="64"/>
      <c r="H97" s="64"/>
      <c r="I97" s="66">
        <v>12</v>
      </c>
    </row>
    <row r="98" spans="1:9">
      <c r="A98" s="56">
        <v>47</v>
      </c>
      <c r="B98" s="57" t="s">
        <v>62</v>
      </c>
      <c r="C98" s="62" t="s">
        <v>25</v>
      </c>
      <c r="D98" s="63">
        <v>8</v>
      </c>
      <c r="E98" s="64"/>
      <c r="F98" s="64"/>
      <c r="G98" s="64"/>
      <c r="H98" s="64"/>
      <c r="I98" s="66">
        <v>6</v>
      </c>
    </row>
    <row r="99" spans="1:9">
      <c r="A99" s="56">
        <v>49</v>
      </c>
      <c r="B99" s="57" t="s">
        <v>64</v>
      </c>
      <c r="C99" s="62" t="s">
        <v>25</v>
      </c>
      <c r="D99" s="63">
        <v>2</v>
      </c>
      <c r="E99" s="64"/>
      <c r="F99" s="64"/>
      <c r="G99" s="64"/>
      <c r="H99" s="64"/>
      <c r="I99" s="66">
        <v>2</v>
      </c>
    </row>
    <row r="100" spans="1:9">
      <c r="A100" s="56">
        <v>51</v>
      </c>
      <c r="B100" s="57" t="s">
        <v>66</v>
      </c>
      <c r="C100" s="62" t="s">
        <v>25</v>
      </c>
      <c r="D100" s="63">
        <v>2</v>
      </c>
      <c r="E100" s="64"/>
      <c r="F100" s="64"/>
      <c r="G100" s="64"/>
      <c r="H100" s="64"/>
      <c r="I100" s="66">
        <v>2</v>
      </c>
    </row>
    <row r="101" spans="1:9">
      <c r="A101" s="56">
        <v>52</v>
      </c>
      <c r="B101" s="57" t="s">
        <v>67</v>
      </c>
      <c r="C101" s="62" t="s">
        <v>25</v>
      </c>
      <c r="D101" s="63">
        <v>1</v>
      </c>
      <c r="E101" s="64"/>
      <c r="F101" s="64"/>
      <c r="G101" s="64"/>
      <c r="H101" s="64"/>
      <c r="I101" s="66">
        <v>1</v>
      </c>
    </row>
    <row r="102" spans="1:9">
      <c r="A102" s="56">
        <v>55</v>
      </c>
      <c r="B102" s="57" t="s">
        <v>70</v>
      </c>
      <c r="C102" s="62" t="s">
        <v>71</v>
      </c>
      <c r="D102" s="63">
        <v>40</v>
      </c>
      <c r="E102" s="64"/>
      <c r="F102" s="64"/>
      <c r="G102" s="64"/>
      <c r="H102" s="64"/>
      <c r="I102" s="66">
        <v>8</v>
      </c>
    </row>
    <row r="103" spans="1:9">
      <c r="A103" s="56">
        <v>56</v>
      </c>
      <c r="B103" s="57" t="s">
        <v>72</v>
      </c>
      <c r="C103" s="62" t="s">
        <v>25</v>
      </c>
      <c r="D103" s="63">
        <v>2</v>
      </c>
      <c r="E103" s="64"/>
      <c r="F103" s="64"/>
      <c r="G103" s="64"/>
      <c r="H103" s="64"/>
      <c r="I103" s="66">
        <v>2</v>
      </c>
    </row>
    <row r="104" spans="1:9">
      <c r="A104" s="56">
        <v>57</v>
      </c>
      <c r="B104" s="57" t="s">
        <v>73</v>
      </c>
      <c r="C104" s="62" t="s">
        <v>25</v>
      </c>
      <c r="D104" s="63">
        <v>2</v>
      </c>
      <c r="E104" s="64"/>
      <c r="F104" s="64"/>
      <c r="G104" s="64"/>
      <c r="H104" s="64"/>
      <c r="I104" s="66">
        <v>2</v>
      </c>
    </row>
    <row r="105" spans="1:9" ht="28">
      <c r="A105" s="65">
        <v>58</v>
      </c>
      <c r="B105" s="57" t="s">
        <v>74</v>
      </c>
      <c r="C105" s="62" t="s">
        <v>2</v>
      </c>
      <c r="D105" s="63" t="s">
        <v>2</v>
      </c>
      <c r="E105" s="64"/>
      <c r="F105" s="64"/>
      <c r="G105" s="64"/>
      <c r="H105" s="64"/>
      <c r="I105" s="66"/>
    </row>
    <row r="106" spans="1:9">
      <c r="A106" s="56">
        <v>59</v>
      </c>
      <c r="B106" s="57" t="s">
        <v>75</v>
      </c>
      <c r="C106" s="62" t="s">
        <v>25</v>
      </c>
      <c r="D106" s="63">
        <v>2</v>
      </c>
      <c r="E106" s="64"/>
      <c r="F106" s="64"/>
      <c r="G106" s="64"/>
      <c r="H106" s="64"/>
      <c r="I106" s="66">
        <v>2</v>
      </c>
    </row>
    <row r="107" spans="1:9">
      <c r="A107" s="56">
        <v>60</v>
      </c>
      <c r="B107" s="57" t="s">
        <v>76</v>
      </c>
      <c r="C107" s="62" t="s">
        <v>25</v>
      </c>
      <c r="D107" s="63">
        <v>14</v>
      </c>
      <c r="E107" s="64"/>
      <c r="F107" s="64"/>
      <c r="G107" s="64"/>
      <c r="H107" s="64"/>
      <c r="I107" s="66">
        <v>14</v>
      </c>
    </row>
    <row r="108" spans="1:9">
      <c r="A108" s="56">
        <v>61</v>
      </c>
      <c r="B108" s="57" t="s">
        <v>77</v>
      </c>
      <c r="C108" s="62" t="s">
        <v>71</v>
      </c>
      <c r="D108" s="63">
        <v>70</v>
      </c>
      <c r="E108" s="64"/>
      <c r="F108" s="64"/>
      <c r="G108" s="64"/>
      <c r="H108" s="64"/>
      <c r="I108" s="66">
        <v>70</v>
      </c>
    </row>
    <row r="109" spans="1:9">
      <c r="A109" s="56">
        <v>62</v>
      </c>
      <c r="B109" s="57" t="s">
        <v>78</v>
      </c>
      <c r="C109" s="62" t="s">
        <v>71</v>
      </c>
      <c r="D109" s="63">
        <v>70</v>
      </c>
      <c r="E109" s="64"/>
      <c r="F109" s="64"/>
      <c r="G109" s="64"/>
      <c r="H109" s="64"/>
      <c r="I109" s="66">
        <v>70</v>
      </c>
    </row>
    <row r="110" spans="1:9" ht="42">
      <c r="A110" s="56">
        <v>65</v>
      </c>
      <c r="B110" s="57" t="s">
        <v>81</v>
      </c>
      <c r="C110" s="62" t="s">
        <v>71</v>
      </c>
      <c r="D110" s="63">
        <v>21</v>
      </c>
      <c r="E110" s="64"/>
      <c r="F110" s="64"/>
      <c r="G110" s="64"/>
      <c r="H110" s="64"/>
      <c r="I110" s="66">
        <v>21</v>
      </c>
    </row>
    <row r="111" spans="1:9">
      <c r="A111" s="56">
        <v>67</v>
      </c>
      <c r="B111" s="57" t="s">
        <v>83</v>
      </c>
      <c r="C111" s="62" t="s">
        <v>25</v>
      </c>
      <c r="D111" s="63">
        <v>1</v>
      </c>
      <c r="E111" s="64"/>
      <c r="F111" s="64"/>
      <c r="G111" s="64"/>
      <c r="H111" s="64"/>
      <c r="I111" s="66">
        <v>1</v>
      </c>
    </row>
    <row r="112" spans="1:9">
      <c r="A112" s="56">
        <v>69</v>
      </c>
      <c r="B112" s="57" t="s">
        <v>86</v>
      </c>
      <c r="C112" s="62" t="s">
        <v>25</v>
      </c>
      <c r="D112" s="63">
        <v>8</v>
      </c>
      <c r="E112" s="64"/>
      <c r="F112" s="64"/>
      <c r="G112" s="64"/>
      <c r="H112" s="64"/>
      <c r="I112" s="66">
        <v>5</v>
      </c>
    </row>
    <row r="113" spans="1:9">
      <c r="A113" s="56">
        <v>70</v>
      </c>
      <c r="B113" s="57" t="s">
        <v>87</v>
      </c>
      <c r="C113" s="62" t="s">
        <v>25</v>
      </c>
      <c r="D113" s="63">
        <v>1</v>
      </c>
      <c r="E113" s="64"/>
      <c r="F113" s="64"/>
      <c r="G113" s="64"/>
      <c r="H113" s="64"/>
      <c r="I113" s="66">
        <v>1</v>
      </c>
    </row>
    <row r="114" spans="1:9">
      <c r="A114" s="56">
        <v>71</v>
      </c>
      <c r="B114" s="57" t="s">
        <v>88</v>
      </c>
      <c r="C114" s="62" t="s">
        <v>25</v>
      </c>
      <c r="D114" s="63">
        <v>1</v>
      </c>
      <c r="E114" s="64"/>
      <c r="F114" s="64"/>
      <c r="G114" s="64"/>
      <c r="H114" s="64"/>
      <c r="I114" s="66">
        <v>1</v>
      </c>
    </row>
    <row r="115" spans="1:9">
      <c r="A115" s="56">
        <v>72</v>
      </c>
      <c r="B115" s="57" t="s">
        <v>89</v>
      </c>
      <c r="C115" s="62" t="s">
        <v>25</v>
      </c>
      <c r="D115" s="63">
        <v>1</v>
      </c>
      <c r="E115" s="64"/>
      <c r="F115" s="64"/>
      <c r="G115" s="64"/>
      <c r="H115" s="64"/>
      <c r="I115" s="66">
        <v>1</v>
      </c>
    </row>
    <row r="116" spans="1:9">
      <c r="A116" s="56">
        <v>73</v>
      </c>
      <c r="B116" s="57" t="s">
        <v>90</v>
      </c>
      <c r="C116" s="62" t="s">
        <v>25</v>
      </c>
      <c r="D116" s="63">
        <v>1</v>
      </c>
      <c r="E116" s="64"/>
      <c r="F116" s="64"/>
      <c r="G116" s="64"/>
      <c r="H116" s="64"/>
      <c r="I116" s="66"/>
    </row>
    <row r="117" spans="1:9">
      <c r="A117" s="56">
        <v>74</v>
      </c>
      <c r="B117" s="57" t="s">
        <v>91</v>
      </c>
      <c r="C117" s="62" t="s">
        <v>25</v>
      </c>
      <c r="D117" s="63">
        <v>8</v>
      </c>
      <c r="E117" s="64"/>
      <c r="F117" s="64"/>
      <c r="G117" s="64"/>
      <c r="H117" s="64"/>
      <c r="I117" s="66">
        <v>8</v>
      </c>
    </row>
    <row r="118" spans="1:9">
      <c r="A118" s="56">
        <v>75</v>
      </c>
      <c r="B118" s="57" t="s">
        <v>92</v>
      </c>
      <c r="C118" s="62" t="s">
        <v>25</v>
      </c>
      <c r="D118" s="63">
        <v>2</v>
      </c>
      <c r="E118" s="64"/>
      <c r="F118" s="64"/>
      <c r="G118" s="64"/>
      <c r="H118" s="64"/>
      <c r="I118" s="66">
        <v>1</v>
      </c>
    </row>
    <row r="119" spans="1:9">
      <c r="A119" s="56">
        <v>76</v>
      </c>
      <c r="B119" s="57" t="s">
        <v>93</v>
      </c>
      <c r="C119" s="62" t="s">
        <v>25</v>
      </c>
      <c r="D119" s="63">
        <v>1</v>
      </c>
      <c r="E119" s="64"/>
      <c r="F119" s="64"/>
      <c r="G119" s="64"/>
      <c r="H119" s="64"/>
      <c r="I119" s="66">
        <v>1</v>
      </c>
    </row>
    <row r="120" spans="1:9">
      <c r="A120" s="56"/>
      <c r="B120" s="57"/>
      <c r="C120" s="62"/>
      <c r="D120" s="63"/>
      <c r="E120" s="64"/>
      <c r="F120" s="64"/>
      <c r="G120" s="64"/>
      <c r="H120" s="64"/>
      <c r="I120" s="64"/>
    </row>
    <row r="121" spans="1:9">
      <c r="A121" s="52">
        <v>3</v>
      </c>
      <c r="B121" s="53" t="s">
        <v>6</v>
      </c>
      <c r="C121" s="54" t="s">
        <v>4</v>
      </c>
      <c r="D121" s="55">
        <v>1</v>
      </c>
      <c r="E121" s="67"/>
      <c r="F121" s="67"/>
      <c r="G121" s="67"/>
      <c r="H121" s="67"/>
      <c r="I121" s="67"/>
    </row>
    <row r="122" spans="1:9">
      <c r="A122" s="65">
        <v>77</v>
      </c>
      <c r="B122" s="57" t="s">
        <v>94</v>
      </c>
      <c r="C122" s="62" t="s">
        <v>2</v>
      </c>
      <c r="D122" s="63" t="s">
        <v>2</v>
      </c>
      <c r="E122" s="64"/>
      <c r="F122" s="64"/>
      <c r="G122" s="64"/>
      <c r="H122" s="64"/>
      <c r="I122" s="64"/>
    </row>
    <row r="123" spans="1:9" ht="28">
      <c r="A123" s="68">
        <v>87</v>
      </c>
      <c r="B123" s="69" t="s">
        <v>102</v>
      </c>
      <c r="C123" s="70" t="s">
        <v>25</v>
      </c>
      <c r="D123" s="71">
        <v>1</v>
      </c>
      <c r="E123" s="72"/>
      <c r="F123" s="72"/>
      <c r="G123" s="72"/>
      <c r="H123" s="72"/>
      <c r="I123" s="66">
        <v>1</v>
      </c>
    </row>
    <row r="124" spans="1:9">
      <c r="A124" s="56">
        <v>88</v>
      </c>
      <c r="B124" s="57" t="s">
        <v>103</v>
      </c>
      <c r="C124" s="62" t="s">
        <v>25</v>
      </c>
      <c r="D124" s="63">
        <v>1</v>
      </c>
      <c r="E124" s="64"/>
      <c r="F124" s="64"/>
      <c r="G124" s="64"/>
      <c r="H124" s="64"/>
      <c r="I124" s="66">
        <v>1</v>
      </c>
    </row>
    <row r="125" spans="1:9" ht="42">
      <c r="A125" s="56">
        <v>91</v>
      </c>
      <c r="B125" s="57" t="s">
        <v>106</v>
      </c>
      <c r="C125" s="62" t="s">
        <v>25</v>
      </c>
      <c r="D125" s="63">
        <v>10</v>
      </c>
      <c r="E125" s="64"/>
      <c r="F125" s="64"/>
      <c r="G125" s="64"/>
      <c r="H125" s="64"/>
      <c r="I125" s="66">
        <v>10</v>
      </c>
    </row>
    <row r="126" spans="1:9">
      <c r="A126" s="56">
        <v>101</v>
      </c>
      <c r="B126" s="57" t="s">
        <v>116</v>
      </c>
      <c r="C126" s="62" t="s">
        <v>25</v>
      </c>
      <c r="D126" s="63">
        <v>1</v>
      </c>
      <c r="E126" s="64"/>
      <c r="F126" s="64"/>
      <c r="G126" s="64"/>
      <c r="H126" s="64"/>
      <c r="I126" s="66">
        <v>1</v>
      </c>
    </row>
    <row r="127" spans="1:9">
      <c r="A127" s="56">
        <v>102</v>
      </c>
      <c r="B127" s="57" t="s">
        <v>117</v>
      </c>
      <c r="C127" s="62" t="s">
        <v>25</v>
      </c>
      <c r="D127" s="63">
        <v>1</v>
      </c>
      <c r="E127" s="64"/>
      <c r="F127" s="64"/>
      <c r="G127" s="64"/>
      <c r="H127" s="64"/>
      <c r="I127" s="66">
        <v>1</v>
      </c>
    </row>
    <row r="128" spans="1:9">
      <c r="A128" s="56"/>
      <c r="B128" s="57"/>
      <c r="C128" s="62"/>
      <c r="D128" s="63"/>
      <c r="E128" s="64"/>
      <c r="F128" s="64"/>
      <c r="G128" s="64"/>
      <c r="H128" s="64"/>
      <c r="I128" s="64"/>
    </row>
    <row r="129" spans="1:9">
      <c r="A129" s="52">
        <v>4</v>
      </c>
      <c r="B129" s="53" t="s">
        <v>7</v>
      </c>
      <c r="C129" s="54" t="s">
        <v>4</v>
      </c>
      <c r="D129" s="55">
        <v>1</v>
      </c>
      <c r="E129" s="67"/>
      <c r="F129" s="67"/>
      <c r="G129" s="67"/>
      <c r="H129" s="67"/>
      <c r="I129" s="67"/>
    </row>
    <row r="130" spans="1:9">
      <c r="A130" s="65">
        <v>103</v>
      </c>
      <c r="B130" s="57" t="s">
        <v>118</v>
      </c>
      <c r="C130" s="62" t="s">
        <v>2</v>
      </c>
      <c r="D130" s="63" t="s">
        <v>2</v>
      </c>
      <c r="E130" s="64"/>
      <c r="F130" s="64"/>
      <c r="G130" s="64"/>
      <c r="H130" s="64"/>
      <c r="I130" s="64"/>
    </row>
    <row r="131" spans="1:9" ht="28">
      <c r="A131" s="56">
        <v>104</v>
      </c>
      <c r="B131" s="57" t="s">
        <v>119</v>
      </c>
      <c r="C131" s="62" t="s">
        <v>14</v>
      </c>
      <c r="D131" s="63">
        <v>650</v>
      </c>
      <c r="E131" s="64"/>
      <c r="F131" s="64"/>
      <c r="G131" s="64"/>
      <c r="H131" s="64"/>
      <c r="I131" s="66">
        <f>SUM(I132:I137)</f>
        <v>200.19939199999999</v>
      </c>
    </row>
    <row r="132" spans="1:9">
      <c r="A132" s="56"/>
      <c r="B132" s="57" t="s">
        <v>208</v>
      </c>
      <c r="C132" s="62" t="s">
        <v>14</v>
      </c>
      <c r="D132" s="63"/>
      <c r="E132" s="64">
        <f>1.2*3.28</f>
        <v>3.9359999999999995</v>
      </c>
      <c r="F132" s="64">
        <f>1.2*3.28</f>
        <v>3.9359999999999995</v>
      </c>
      <c r="G132" s="64"/>
      <c r="H132" s="64">
        <v>3</v>
      </c>
      <c r="I132" s="64">
        <f>E132*F132*H132</f>
        <v>46.47628799999999</v>
      </c>
    </row>
    <row r="133" spans="1:9">
      <c r="A133" s="56"/>
      <c r="B133" s="57" t="s">
        <v>209</v>
      </c>
      <c r="C133" s="62" t="s">
        <v>14</v>
      </c>
      <c r="D133" s="63"/>
      <c r="E133" s="64">
        <f>1.8*3.28</f>
        <v>5.9039999999999999</v>
      </c>
      <c r="F133" s="64">
        <f>0.8*3.28</f>
        <v>2.6240000000000001</v>
      </c>
      <c r="G133" s="64"/>
      <c r="H133" s="64">
        <v>4</v>
      </c>
      <c r="I133" s="64">
        <f t="shared" ref="I133:I137" si="10">E133*F133*H133</f>
        <v>61.968384</v>
      </c>
    </row>
    <row r="134" spans="1:9">
      <c r="A134" s="56"/>
      <c r="B134" s="57" t="s">
        <v>208</v>
      </c>
      <c r="C134" s="62" t="s">
        <v>14</v>
      </c>
      <c r="D134" s="63"/>
      <c r="E134" s="64">
        <f>3.94</f>
        <v>3.94</v>
      </c>
      <c r="F134" s="64">
        <f>1.9*3.28</f>
        <v>6.2319999999999993</v>
      </c>
      <c r="G134" s="64"/>
      <c r="H134" s="64">
        <v>1</v>
      </c>
      <c r="I134" s="64">
        <f t="shared" si="10"/>
        <v>24.554079999999995</v>
      </c>
    </row>
    <row r="135" spans="1:9">
      <c r="A135" s="56"/>
      <c r="B135" s="57" t="s">
        <v>210</v>
      </c>
      <c r="C135" s="62" t="s">
        <v>14</v>
      </c>
      <c r="D135" s="63"/>
      <c r="E135" s="64">
        <f>3.94</f>
        <v>3.94</v>
      </c>
      <c r="F135" s="64">
        <f>1.2*3.28</f>
        <v>3.9359999999999995</v>
      </c>
      <c r="G135" s="64"/>
      <c r="H135" s="64">
        <v>3</v>
      </c>
      <c r="I135" s="64">
        <f t="shared" si="10"/>
        <v>46.523519999999991</v>
      </c>
    </row>
    <row r="136" spans="1:9">
      <c r="A136" s="56"/>
      <c r="B136" s="57" t="s">
        <v>210</v>
      </c>
      <c r="C136" s="62" t="s">
        <v>14</v>
      </c>
      <c r="D136" s="63"/>
      <c r="E136" s="64">
        <f>3.94</f>
        <v>3.94</v>
      </c>
      <c r="F136" s="64">
        <f>0.4*3.28</f>
        <v>1.3120000000000001</v>
      </c>
      <c r="G136" s="64"/>
      <c r="H136" s="64">
        <v>1</v>
      </c>
      <c r="I136" s="64">
        <f t="shared" si="10"/>
        <v>5.1692800000000005</v>
      </c>
    </row>
    <row r="137" spans="1:9">
      <c r="A137" s="56"/>
      <c r="B137" s="57" t="s">
        <v>210</v>
      </c>
      <c r="C137" s="62" t="s">
        <v>14</v>
      </c>
      <c r="D137" s="63"/>
      <c r="E137" s="64">
        <f>3.94</f>
        <v>3.94</v>
      </c>
      <c r="F137" s="64">
        <f>0.6*3.28</f>
        <v>1.9679999999999997</v>
      </c>
      <c r="G137" s="64"/>
      <c r="H137" s="64">
        <v>2</v>
      </c>
      <c r="I137" s="64">
        <f t="shared" si="10"/>
        <v>15.507839999999998</v>
      </c>
    </row>
    <row r="138" spans="1:9">
      <c r="A138" s="56"/>
      <c r="B138" s="57"/>
      <c r="C138" s="62" t="s">
        <v>201</v>
      </c>
      <c r="D138" s="63"/>
      <c r="E138" s="64"/>
      <c r="F138" s="64"/>
      <c r="G138" s="64"/>
      <c r="H138" s="64"/>
      <c r="I138" s="64"/>
    </row>
    <row r="139" spans="1:9">
      <c r="A139" s="56">
        <v>105</v>
      </c>
      <c r="B139" s="57" t="s">
        <v>120</v>
      </c>
      <c r="C139" s="62" t="s">
        <v>14</v>
      </c>
      <c r="D139" s="63">
        <v>234</v>
      </c>
      <c r="E139" s="64"/>
      <c r="F139" s="64"/>
      <c r="G139" s="64"/>
      <c r="H139" s="64"/>
      <c r="I139" s="66">
        <v>18</v>
      </c>
    </row>
    <row r="140" spans="1:9">
      <c r="A140" s="56">
        <v>106</v>
      </c>
      <c r="B140" s="57" t="s">
        <v>121</v>
      </c>
      <c r="C140" s="62" t="s">
        <v>25</v>
      </c>
      <c r="D140" s="63">
        <v>6</v>
      </c>
      <c r="E140" s="64"/>
      <c r="F140" s="64"/>
      <c r="G140" s="64"/>
      <c r="H140" s="64"/>
      <c r="I140" s="66">
        <v>3</v>
      </c>
    </row>
    <row r="141" spans="1:9">
      <c r="A141" s="56">
        <v>107</v>
      </c>
      <c r="B141" s="57" t="s">
        <v>122</v>
      </c>
      <c r="C141" s="62" t="s">
        <v>25</v>
      </c>
      <c r="D141" s="63">
        <v>4</v>
      </c>
      <c r="E141" s="64"/>
      <c r="F141" s="64"/>
      <c r="G141" s="64"/>
      <c r="H141" s="64"/>
      <c r="I141" s="66">
        <v>6</v>
      </c>
    </row>
    <row r="142" spans="1:9">
      <c r="A142" s="56"/>
      <c r="B142" s="57"/>
      <c r="C142" s="62"/>
      <c r="D142" s="63"/>
      <c r="E142" s="64"/>
      <c r="F142" s="64"/>
      <c r="G142" s="64"/>
      <c r="H142" s="64"/>
      <c r="I142" s="64"/>
    </row>
    <row r="143" spans="1:9">
      <c r="A143" s="52">
        <v>5</v>
      </c>
      <c r="B143" s="53" t="s">
        <v>8</v>
      </c>
      <c r="C143" s="54" t="s">
        <v>4</v>
      </c>
      <c r="D143" s="55">
        <v>1</v>
      </c>
      <c r="E143" s="67"/>
      <c r="F143" s="67"/>
      <c r="G143" s="67"/>
      <c r="H143" s="67"/>
      <c r="I143" s="67"/>
    </row>
    <row r="144" spans="1:9">
      <c r="A144" s="56">
        <v>111</v>
      </c>
      <c r="B144" s="57" t="s">
        <v>126</v>
      </c>
      <c r="C144" s="62" t="s">
        <v>25</v>
      </c>
      <c r="D144" s="63">
        <v>6</v>
      </c>
      <c r="E144" s="64"/>
      <c r="F144" s="64"/>
      <c r="G144" s="64"/>
      <c r="H144" s="64"/>
      <c r="I144" s="66">
        <v>4</v>
      </c>
    </row>
    <row r="145" spans="1:9">
      <c r="A145" s="62"/>
      <c r="B145" s="62"/>
      <c r="C145" s="62"/>
      <c r="D145" s="63"/>
      <c r="E145" s="64"/>
      <c r="F145" s="64"/>
      <c r="G145" s="64"/>
      <c r="H145" s="64"/>
      <c r="I145" s="64"/>
    </row>
    <row r="146" spans="1:9">
      <c r="E146" s="73"/>
      <c r="F146" s="73"/>
      <c r="G146" s="73"/>
      <c r="H146" s="73"/>
      <c r="I146" s="73"/>
    </row>
    <row r="147" spans="1:9">
      <c r="E147" s="73"/>
      <c r="F147" s="73"/>
      <c r="G147" s="73"/>
      <c r="H147" s="73"/>
      <c r="I147" s="73"/>
    </row>
    <row r="148" spans="1:9">
      <c r="E148" s="73"/>
      <c r="F148" s="73"/>
      <c r="G148" s="73"/>
      <c r="H148" s="73"/>
      <c r="I148" s="73"/>
    </row>
    <row r="149" spans="1:9">
      <c r="E149" s="73"/>
      <c r="F149" s="73"/>
      <c r="G149" s="73"/>
      <c r="H149" s="73"/>
      <c r="I149" s="73"/>
    </row>
    <row r="150" spans="1:9">
      <c r="E150" s="73"/>
      <c r="F150" s="73"/>
      <c r="G150" s="73"/>
      <c r="H150" s="73"/>
      <c r="I150" s="73"/>
    </row>
    <row r="151" spans="1:9">
      <c r="E151" s="73"/>
      <c r="F151" s="73"/>
      <c r="G151" s="73"/>
      <c r="H151" s="73"/>
      <c r="I151" s="73"/>
    </row>
    <row r="152" spans="1:9">
      <c r="E152" s="73"/>
      <c r="F152" s="73"/>
      <c r="G152" s="73"/>
      <c r="H152" s="73"/>
      <c r="I152" s="73"/>
    </row>
    <row r="153" spans="1:9">
      <c r="E153" s="73"/>
      <c r="F153" s="73"/>
      <c r="G153" s="73"/>
      <c r="H153" s="73"/>
      <c r="I153" s="73"/>
    </row>
    <row r="154" spans="1:9">
      <c r="E154" s="73"/>
      <c r="F154" s="73"/>
      <c r="G154" s="73"/>
      <c r="H154" s="73"/>
      <c r="I154" s="73"/>
    </row>
    <row r="155" spans="1:9">
      <c r="E155" s="73"/>
      <c r="F155" s="73"/>
      <c r="G155" s="73"/>
      <c r="H155" s="73"/>
      <c r="I155" s="73"/>
    </row>
    <row r="156" spans="1:9">
      <c r="E156" s="73"/>
      <c r="F156" s="73"/>
      <c r="G156" s="73"/>
      <c r="H156" s="73"/>
      <c r="I156" s="73"/>
    </row>
    <row r="157" spans="1:9">
      <c r="E157" s="73"/>
      <c r="F157" s="73"/>
      <c r="G157" s="73"/>
      <c r="H157" s="73"/>
      <c r="I157" s="73"/>
    </row>
    <row r="158" spans="1:9">
      <c r="E158" s="73"/>
      <c r="F158" s="73"/>
      <c r="G158" s="73"/>
      <c r="H158" s="73"/>
      <c r="I158" s="73"/>
    </row>
    <row r="159" spans="1:9">
      <c r="E159" s="73"/>
      <c r="F159" s="73"/>
      <c r="G159" s="73"/>
      <c r="H159" s="73"/>
      <c r="I159" s="73"/>
    </row>
    <row r="160" spans="1:9">
      <c r="E160" s="73"/>
      <c r="F160" s="73"/>
      <c r="G160" s="73"/>
      <c r="H160" s="73"/>
      <c r="I160" s="73"/>
    </row>
  </sheetData>
  <mergeCells count="2">
    <mergeCell ref="A1:D1"/>
    <mergeCell ref="E1:I1"/>
  </mergeCells>
  <pageMargins left="0.7" right="0.7" top="0.75" bottom="0.75" header="0.3" footer="0.3"/>
  <pageSetup paperSize="9" scale="51" orientation="portrait" r:id="rId1"/>
  <rowBreaks count="1" manualBreakCount="1">
    <brk id="9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view="pageBreakPreview" zoomScaleNormal="80" zoomScaleSheetLayoutView="100" workbookViewId="0">
      <pane ySplit="4" topLeftCell="A23" activePane="bottomLeft" state="frozen"/>
      <selection pane="bottomLeft" activeCell="H26" sqref="H26"/>
    </sheetView>
  </sheetViews>
  <sheetFormatPr defaultColWidth="9.1796875" defaultRowHeight="14"/>
  <cols>
    <col min="1" max="1" width="9.1796875" style="10" customWidth="1"/>
    <col min="2" max="2" width="71.81640625" style="10" customWidth="1"/>
    <col min="3" max="3" width="6" style="10" bestFit="1" customWidth="1"/>
    <col min="4" max="8" width="8" style="10" customWidth="1"/>
    <col min="9" max="9" width="10.1796875" style="10" customWidth="1"/>
    <col min="10" max="16384" width="9.1796875" style="10"/>
  </cols>
  <sheetData>
    <row r="1" spans="1:9">
      <c r="A1" s="106" t="s">
        <v>138</v>
      </c>
      <c r="B1" s="106"/>
      <c r="C1" s="106"/>
      <c r="D1" s="106"/>
      <c r="E1" s="106" t="s">
        <v>166</v>
      </c>
      <c r="F1" s="106"/>
      <c r="G1" s="106"/>
      <c r="H1" s="106"/>
      <c r="I1" s="106"/>
    </row>
    <row r="2" spans="1:9">
      <c r="A2" s="11" t="s">
        <v>9</v>
      </c>
      <c r="B2" s="11" t="s">
        <v>10</v>
      </c>
      <c r="C2" s="11" t="s">
        <v>11</v>
      </c>
      <c r="D2" s="11" t="s">
        <v>0</v>
      </c>
      <c r="E2" s="11" t="s">
        <v>139</v>
      </c>
      <c r="F2" s="11" t="s">
        <v>140</v>
      </c>
      <c r="G2" s="11" t="s">
        <v>141</v>
      </c>
      <c r="H2" s="11" t="s">
        <v>142</v>
      </c>
      <c r="I2" s="11" t="s">
        <v>136</v>
      </c>
    </row>
    <row r="3" spans="1:9">
      <c r="A3" s="11"/>
      <c r="B3" s="11"/>
      <c r="C3" s="11"/>
      <c r="D3" s="11"/>
      <c r="E3" s="11"/>
      <c r="F3" s="11"/>
      <c r="G3" s="11"/>
      <c r="H3" s="11"/>
      <c r="I3" s="11"/>
    </row>
    <row r="4" spans="1:9">
      <c r="A4" s="12">
        <v>1</v>
      </c>
      <c r="B4" s="13" t="s">
        <v>3</v>
      </c>
      <c r="C4" s="14" t="s">
        <v>4</v>
      </c>
      <c r="D4" s="15">
        <v>1</v>
      </c>
      <c r="E4" s="15"/>
      <c r="F4" s="15"/>
      <c r="G4" s="15"/>
      <c r="H4" s="15"/>
      <c r="I4" s="15"/>
    </row>
    <row r="5" spans="1:9" ht="112">
      <c r="A5" s="16">
        <v>1</v>
      </c>
      <c r="B5" s="17" t="s">
        <v>13</v>
      </c>
      <c r="C5" s="18" t="s">
        <v>14</v>
      </c>
      <c r="D5" s="19">
        <v>216</v>
      </c>
      <c r="E5" s="20"/>
      <c r="F5" s="20"/>
      <c r="G5" s="20"/>
      <c r="H5" s="20"/>
      <c r="I5" s="20"/>
    </row>
    <row r="6" spans="1:9" ht="140">
      <c r="A6" s="16">
        <v>2</v>
      </c>
      <c r="B6" s="17" t="s">
        <v>15</v>
      </c>
      <c r="C6" s="18" t="s">
        <v>14</v>
      </c>
      <c r="D6" s="19">
        <v>585</v>
      </c>
      <c r="E6" s="20"/>
      <c r="F6" s="20"/>
      <c r="G6" s="20"/>
      <c r="H6" s="20"/>
      <c r="I6" s="21">
        <f>I7+I8+I9+I10</f>
        <v>466.74856799999998</v>
      </c>
    </row>
    <row r="7" spans="1:9">
      <c r="A7" s="16"/>
      <c r="B7" s="17" t="s">
        <v>143</v>
      </c>
      <c r="C7" s="22"/>
      <c r="D7" s="23"/>
      <c r="E7" s="24">
        <v>5.22</v>
      </c>
      <c r="F7" s="24"/>
      <c r="G7" s="24">
        <v>2.85</v>
      </c>
      <c r="H7" s="24">
        <v>1</v>
      </c>
      <c r="I7" s="24">
        <f>E7*G7*H7*10.764</f>
        <v>160.13602799999998</v>
      </c>
    </row>
    <row r="8" spans="1:9">
      <c r="A8" s="16"/>
      <c r="B8" s="17" t="s">
        <v>144</v>
      </c>
      <c r="C8" s="22"/>
      <c r="D8" s="23"/>
      <c r="E8" s="24">
        <v>4.38</v>
      </c>
      <c r="F8" s="24"/>
      <c r="G8" s="24">
        <v>2.85</v>
      </c>
      <c r="H8" s="24">
        <v>1</v>
      </c>
      <c r="I8" s="24">
        <f t="shared" ref="I8:I10" si="0">E8*G8*H8*10.764</f>
        <v>134.36701199999999</v>
      </c>
    </row>
    <row r="9" spans="1:9">
      <c r="A9" s="16"/>
      <c r="B9" s="17" t="s">
        <v>145</v>
      </c>
      <c r="C9" s="22"/>
      <c r="D9" s="23"/>
      <c r="E9" s="24">
        <v>4.62</v>
      </c>
      <c r="F9" s="24"/>
      <c r="G9" s="24">
        <v>2.85</v>
      </c>
      <c r="H9" s="24">
        <v>1</v>
      </c>
      <c r="I9" s="24">
        <f t="shared" si="0"/>
        <v>141.72958800000001</v>
      </c>
    </row>
    <row r="10" spans="1:9">
      <c r="A10" s="16"/>
      <c r="B10" s="17" t="s">
        <v>146</v>
      </c>
      <c r="C10" s="22"/>
      <c r="D10" s="23"/>
      <c r="E10" s="24">
        <v>2.1</v>
      </c>
      <c r="F10" s="24"/>
      <c r="G10" s="24">
        <v>1.35</v>
      </c>
      <c r="H10" s="24">
        <v>1</v>
      </c>
      <c r="I10" s="24">
        <f t="shared" si="0"/>
        <v>30.515940000000004</v>
      </c>
    </row>
    <row r="11" spans="1:9">
      <c r="A11" s="16"/>
      <c r="B11" s="17"/>
      <c r="C11" s="22"/>
      <c r="D11" s="23"/>
      <c r="E11" s="24"/>
      <c r="F11" s="24"/>
      <c r="G11" s="24"/>
      <c r="H11" s="24"/>
      <c r="I11" s="24"/>
    </row>
    <row r="12" spans="1:9" ht="28">
      <c r="A12" s="16">
        <v>3</v>
      </c>
      <c r="B12" s="17" t="s">
        <v>16</v>
      </c>
      <c r="C12" s="18" t="s">
        <v>14</v>
      </c>
      <c r="D12" s="19">
        <v>1030</v>
      </c>
      <c r="E12" s="20"/>
      <c r="F12" s="20"/>
      <c r="G12" s="20"/>
      <c r="H12" s="20"/>
      <c r="I12" s="21">
        <f>SUM(I13:I17)</f>
        <v>696.66760799999997</v>
      </c>
    </row>
    <row r="13" spans="1:9">
      <c r="A13" s="16"/>
      <c r="B13" s="17" t="s">
        <v>143</v>
      </c>
      <c r="C13" s="22"/>
      <c r="D13" s="23"/>
      <c r="E13" s="24">
        <v>5.22</v>
      </c>
      <c r="F13" s="24"/>
      <c r="G13" s="24">
        <v>2.85</v>
      </c>
      <c r="H13" s="24">
        <v>1</v>
      </c>
      <c r="I13" s="24">
        <f>E13*G13*H13*10.764</f>
        <v>160.13602799999998</v>
      </c>
    </row>
    <row r="14" spans="1:9">
      <c r="A14" s="16"/>
      <c r="B14" s="17" t="s">
        <v>144</v>
      </c>
      <c r="C14" s="22"/>
      <c r="D14" s="23"/>
      <c r="E14" s="24">
        <v>4.38</v>
      </c>
      <c r="F14" s="24"/>
      <c r="G14" s="24">
        <v>2.85</v>
      </c>
      <c r="H14" s="24">
        <v>1</v>
      </c>
      <c r="I14" s="24">
        <f t="shared" ref="I14:I17" si="1">E14*G14*H14*10.764</f>
        <v>134.36701199999999</v>
      </c>
    </row>
    <row r="15" spans="1:9">
      <c r="A15" s="16"/>
      <c r="B15" s="17" t="s">
        <v>145</v>
      </c>
      <c r="C15" s="22"/>
      <c r="D15" s="23"/>
      <c r="E15" s="24">
        <v>4.62</v>
      </c>
      <c r="F15" s="24"/>
      <c r="G15" s="24">
        <v>2.85</v>
      </c>
      <c r="H15" s="24">
        <v>1</v>
      </c>
      <c r="I15" s="24">
        <f t="shared" si="1"/>
        <v>141.72958800000001</v>
      </c>
    </row>
    <row r="16" spans="1:9">
      <c r="A16" s="16"/>
      <c r="B16" s="17" t="s">
        <v>146</v>
      </c>
      <c r="C16" s="22"/>
      <c r="D16" s="23"/>
      <c r="E16" s="24">
        <v>2.1</v>
      </c>
      <c r="F16" s="24"/>
      <c r="G16" s="24">
        <v>1.35</v>
      </c>
      <c r="H16" s="24">
        <v>2</v>
      </c>
      <c r="I16" s="24">
        <f t="shared" si="1"/>
        <v>61.031880000000008</v>
      </c>
    </row>
    <row r="17" spans="1:9">
      <c r="A17" s="16"/>
      <c r="B17" s="17" t="s">
        <v>147</v>
      </c>
      <c r="C17" s="22"/>
      <c r="D17" s="23"/>
      <c r="E17" s="24">
        <v>6.5</v>
      </c>
      <c r="F17" s="24"/>
      <c r="G17" s="24">
        <v>2.85</v>
      </c>
      <c r="H17" s="24">
        <v>1</v>
      </c>
      <c r="I17" s="24">
        <f t="shared" si="1"/>
        <v>199.40310000000002</v>
      </c>
    </row>
    <row r="18" spans="1:9">
      <c r="A18" s="16"/>
      <c r="B18" s="17"/>
      <c r="C18" s="22"/>
      <c r="D18" s="23"/>
      <c r="E18" s="24"/>
      <c r="F18" s="24"/>
      <c r="G18" s="24"/>
      <c r="H18" s="24"/>
      <c r="I18" s="24"/>
    </row>
    <row r="19" spans="1:9">
      <c r="A19" s="25">
        <v>4</v>
      </c>
      <c r="B19" s="17" t="s">
        <v>17</v>
      </c>
      <c r="C19" s="22" t="s">
        <v>2</v>
      </c>
      <c r="D19" s="23" t="s">
        <v>2</v>
      </c>
      <c r="E19" s="24"/>
      <c r="F19" s="24"/>
      <c r="G19" s="24"/>
      <c r="H19" s="24"/>
      <c r="I19" s="24"/>
    </row>
    <row r="20" spans="1:9" ht="84">
      <c r="A20" s="16">
        <v>5</v>
      </c>
      <c r="B20" s="17" t="s">
        <v>18</v>
      </c>
      <c r="C20" s="18" t="s">
        <v>14</v>
      </c>
      <c r="D20" s="19">
        <v>396</v>
      </c>
      <c r="E20" s="20"/>
      <c r="F20" s="20"/>
      <c r="G20" s="20"/>
      <c r="H20" s="20"/>
      <c r="I20" s="21"/>
    </row>
    <row r="21" spans="1:9" ht="28">
      <c r="A21" s="16">
        <v>6</v>
      </c>
      <c r="B21" s="17" t="s">
        <v>19</v>
      </c>
      <c r="C21" s="18" t="s">
        <v>14</v>
      </c>
      <c r="D21" s="19">
        <v>216</v>
      </c>
      <c r="E21" s="20">
        <v>3.52</v>
      </c>
      <c r="F21" s="20">
        <v>5.22</v>
      </c>
      <c r="G21" s="20"/>
      <c r="H21" s="20">
        <v>1</v>
      </c>
      <c r="I21" s="21">
        <f>E21*F21*H21*10.764</f>
        <v>197.78204159999996</v>
      </c>
    </row>
    <row r="22" spans="1:9" ht="42">
      <c r="A22" s="16">
        <v>7</v>
      </c>
      <c r="B22" s="17" t="s">
        <v>20</v>
      </c>
      <c r="C22" s="18" t="s">
        <v>14</v>
      </c>
      <c r="D22" s="19">
        <v>216</v>
      </c>
      <c r="E22" s="20"/>
      <c r="F22" s="20"/>
      <c r="G22" s="20"/>
      <c r="H22" s="20"/>
      <c r="I22" s="37">
        <f>I23+I24</f>
        <v>188.06860799999995</v>
      </c>
    </row>
    <row r="23" spans="1:9">
      <c r="A23" s="16"/>
      <c r="B23" s="17"/>
      <c r="C23" s="22"/>
      <c r="D23" s="23"/>
      <c r="E23" s="24">
        <v>5.22</v>
      </c>
      <c r="F23" s="24">
        <v>3.52</v>
      </c>
      <c r="G23" s="24"/>
      <c r="H23" s="24">
        <v>1</v>
      </c>
      <c r="I23" s="24">
        <f>E23*F23*H23*10.764</f>
        <v>197.78204159999996</v>
      </c>
    </row>
    <row r="24" spans="1:9">
      <c r="A24" s="16"/>
      <c r="B24" s="17" t="s">
        <v>148</v>
      </c>
      <c r="C24" s="22"/>
      <c r="D24" s="23"/>
      <c r="E24" s="24">
        <v>0.96</v>
      </c>
      <c r="F24" s="24">
        <v>-0.94</v>
      </c>
      <c r="G24" s="24"/>
      <c r="H24" s="24">
        <v>1</v>
      </c>
      <c r="I24" s="24">
        <f>E24*F24*H24*10.764</f>
        <v>-9.7134335999999983</v>
      </c>
    </row>
    <row r="25" spans="1:9">
      <c r="A25" s="25">
        <v>8</v>
      </c>
      <c r="B25" s="17" t="s">
        <v>21</v>
      </c>
      <c r="C25" s="22" t="s">
        <v>2</v>
      </c>
      <c r="D25" s="23" t="s">
        <v>2</v>
      </c>
      <c r="E25" s="24"/>
      <c r="F25" s="24"/>
      <c r="G25" s="24"/>
      <c r="H25" s="24"/>
      <c r="I25" s="24"/>
    </row>
    <row r="26" spans="1:9" ht="56">
      <c r="A26" s="25">
        <v>9</v>
      </c>
      <c r="B26" s="17" t="s">
        <v>22</v>
      </c>
      <c r="C26" s="22" t="s">
        <v>2</v>
      </c>
      <c r="D26" s="23" t="s">
        <v>2</v>
      </c>
      <c r="E26" s="24"/>
      <c r="F26" s="24"/>
      <c r="G26" s="24"/>
      <c r="H26" s="24"/>
      <c r="I26" s="24"/>
    </row>
    <row r="27" spans="1:9">
      <c r="A27" s="16">
        <v>10</v>
      </c>
      <c r="B27" s="17" t="s">
        <v>23</v>
      </c>
      <c r="C27" s="22" t="s">
        <v>14</v>
      </c>
      <c r="D27" s="23">
        <v>130</v>
      </c>
      <c r="E27" s="24"/>
      <c r="F27" s="24"/>
      <c r="G27" s="24"/>
      <c r="H27" s="24"/>
      <c r="I27" s="45">
        <f>(I28+I29+I30)*10.763</f>
        <v>181.93775199999999</v>
      </c>
    </row>
    <row r="28" spans="1:9">
      <c r="A28" s="16"/>
      <c r="B28" s="17" t="s">
        <v>149</v>
      </c>
      <c r="C28" s="22"/>
      <c r="D28" s="23"/>
      <c r="E28" s="24">
        <v>3.25</v>
      </c>
      <c r="F28" s="24">
        <v>3.52</v>
      </c>
      <c r="G28" s="24"/>
      <c r="H28" s="24"/>
      <c r="I28" s="24">
        <f>F28*E28</f>
        <v>11.44</v>
      </c>
    </row>
    <row r="29" spans="1:9">
      <c r="A29" s="16"/>
      <c r="B29" s="17" t="s">
        <v>148</v>
      </c>
      <c r="C29" s="22"/>
      <c r="D29" s="23"/>
      <c r="E29" s="24">
        <v>0.96</v>
      </c>
      <c r="F29" s="24">
        <f>-0.945</f>
        <v>-0.94499999999999995</v>
      </c>
      <c r="G29" s="24"/>
      <c r="H29" s="24"/>
      <c r="I29" s="24">
        <f t="shared" ref="I29:I30" si="2">F29*E29</f>
        <v>-0.9071999999999999</v>
      </c>
    </row>
    <row r="30" spans="1:9">
      <c r="A30" s="16"/>
      <c r="B30" s="17" t="s">
        <v>150</v>
      </c>
      <c r="C30" s="22"/>
      <c r="D30" s="23"/>
      <c r="E30" s="24">
        <v>3.52</v>
      </c>
      <c r="F30" s="24">
        <v>1.81</v>
      </c>
      <c r="G30" s="24"/>
      <c r="H30" s="24"/>
      <c r="I30" s="24">
        <f t="shared" si="2"/>
        <v>6.3712</v>
      </c>
    </row>
    <row r="31" spans="1:9">
      <c r="A31" s="16"/>
      <c r="B31" s="17"/>
      <c r="C31" s="22"/>
      <c r="D31" s="23"/>
      <c r="E31" s="24"/>
      <c r="F31" s="24"/>
      <c r="G31" s="24"/>
      <c r="H31" s="24"/>
      <c r="I31" s="24"/>
    </row>
    <row r="32" spans="1:9">
      <c r="A32" s="16">
        <v>11</v>
      </c>
      <c r="B32" s="17" t="s">
        <v>24</v>
      </c>
      <c r="C32" s="22" t="s">
        <v>25</v>
      </c>
      <c r="D32" s="23">
        <v>2</v>
      </c>
      <c r="E32" s="24"/>
      <c r="F32" s="24"/>
      <c r="G32" s="24"/>
      <c r="H32" s="24"/>
      <c r="I32" s="24">
        <v>2</v>
      </c>
    </row>
    <row r="33" spans="1:9" ht="28">
      <c r="A33" s="16">
        <v>12</v>
      </c>
      <c r="B33" s="17" t="s">
        <v>26</v>
      </c>
      <c r="C33" s="22" t="s">
        <v>25</v>
      </c>
      <c r="D33" s="23">
        <v>2</v>
      </c>
      <c r="E33" s="24"/>
      <c r="F33" s="24"/>
      <c r="G33" s="24"/>
      <c r="H33" s="24"/>
      <c r="I33" s="24">
        <v>2</v>
      </c>
    </row>
    <row r="34" spans="1:9">
      <c r="A34" s="25">
        <v>13</v>
      </c>
      <c r="B34" s="17" t="s">
        <v>27</v>
      </c>
      <c r="C34" s="22" t="s">
        <v>2</v>
      </c>
      <c r="D34" s="23" t="s">
        <v>2</v>
      </c>
      <c r="E34" s="24"/>
      <c r="F34" s="24"/>
      <c r="G34" s="24"/>
      <c r="H34" s="24"/>
      <c r="I34" s="24"/>
    </row>
    <row r="35" spans="1:9" ht="84">
      <c r="A35" s="25">
        <v>14</v>
      </c>
      <c r="B35" s="17" t="s">
        <v>28</v>
      </c>
      <c r="C35" s="22" t="s">
        <v>2</v>
      </c>
      <c r="D35" s="23" t="s">
        <v>2</v>
      </c>
      <c r="E35" s="24"/>
      <c r="F35" s="24"/>
      <c r="G35" s="24"/>
      <c r="H35" s="24"/>
      <c r="I35" s="24"/>
    </row>
    <row r="36" spans="1:9" ht="42">
      <c r="A36" s="16">
        <v>15</v>
      </c>
      <c r="B36" s="17" t="s">
        <v>29</v>
      </c>
      <c r="C36" s="22" t="s">
        <v>14</v>
      </c>
      <c r="D36" s="23">
        <v>130</v>
      </c>
      <c r="E36" s="24"/>
      <c r="F36" s="24"/>
      <c r="G36" s="24"/>
      <c r="H36" s="24"/>
      <c r="I36" s="26">
        <f>I37-I38</f>
        <v>113.42564999999998</v>
      </c>
    </row>
    <row r="37" spans="1:9">
      <c r="A37" s="16"/>
      <c r="B37" s="17"/>
      <c r="C37" s="22"/>
      <c r="D37" s="23"/>
      <c r="E37" s="24">
        <v>3.25</v>
      </c>
      <c r="F37" s="24">
        <v>3.52</v>
      </c>
      <c r="G37" s="24"/>
      <c r="H37" s="24">
        <v>1</v>
      </c>
      <c r="I37" s="26">
        <f>E37*F37*H37*10.764</f>
        <v>123.14015999999998</v>
      </c>
    </row>
    <row r="38" spans="1:9">
      <c r="A38" s="16"/>
      <c r="B38" s="17" t="s">
        <v>148</v>
      </c>
      <c r="C38" s="22"/>
      <c r="D38" s="23"/>
      <c r="E38" s="24">
        <v>0.95</v>
      </c>
      <c r="F38" s="24">
        <v>0.95</v>
      </c>
      <c r="G38" s="24"/>
      <c r="H38" s="24">
        <v>1</v>
      </c>
      <c r="I38" s="26">
        <f>E38*F38*H38*10.764</f>
        <v>9.7145099999999989</v>
      </c>
    </row>
    <row r="39" spans="1:9" ht="56">
      <c r="A39" s="16">
        <v>16</v>
      </c>
      <c r="B39" s="17" t="s">
        <v>30</v>
      </c>
      <c r="C39" s="22" t="s">
        <v>14</v>
      </c>
      <c r="D39" s="23">
        <v>86</v>
      </c>
      <c r="E39" s="24">
        <v>3.52</v>
      </c>
      <c r="F39" s="24">
        <v>1.81</v>
      </c>
      <c r="G39" s="24"/>
      <c r="H39" s="24">
        <v>1</v>
      </c>
      <c r="I39" s="26">
        <f>E39*F39*H39*10.764</f>
        <v>68.57959679999999</v>
      </c>
    </row>
    <row r="40" spans="1:9" ht="28">
      <c r="A40" s="16">
        <v>17</v>
      </c>
      <c r="B40" s="17" t="s">
        <v>31</v>
      </c>
      <c r="C40" s="22" t="s">
        <v>32</v>
      </c>
      <c r="D40" s="23">
        <v>3</v>
      </c>
      <c r="E40" s="24">
        <v>3</v>
      </c>
      <c r="F40" s="24"/>
      <c r="G40" s="24"/>
      <c r="H40" s="24"/>
      <c r="I40" s="26">
        <f>E40</f>
        <v>3</v>
      </c>
    </row>
    <row r="41" spans="1:9">
      <c r="A41" s="25">
        <v>18</v>
      </c>
      <c r="B41" s="17" t="s">
        <v>33</v>
      </c>
      <c r="C41" s="22" t="s">
        <v>2</v>
      </c>
      <c r="D41" s="23" t="s">
        <v>2</v>
      </c>
      <c r="E41" s="24"/>
      <c r="F41" s="24"/>
      <c r="G41" s="24"/>
      <c r="H41" s="24"/>
      <c r="I41" s="24"/>
    </row>
    <row r="42" spans="1:9" ht="70">
      <c r="A42" s="16">
        <v>19</v>
      </c>
      <c r="B42" s="17" t="s">
        <v>34</v>
      </c>
      <c r="C42" s="18" t="s">
        <v>14</v>
      </c>
      <c r="D42" s="19">
        <v>432</v>
      </c>
      <c r="E42" s="20"/>
      <c r="F42" s="20"/>
      <c r="G42" s="20"/>
      <c r="H42" s="20"/>
      <c r="I42" s="21">
        <f>SUM(I43:I49)</f>
        <v>351.68140800000003</v>
      </c>
    </row>
    <row r="43" spans="1:9">
      <c r="A43" s="16"/>
      <c r="B43" s="17" t="s">
        <v>151</v>
      </c>
      <c r="C43" s="22"/>
      <c r="D43" s="23"/>
      <c r="E43" s="24"/>
      <c r="F43" s="24">
        <v>3.3</v>
      </c>
      <c r="G43" s="24">
        <v>2.4</v>
      </c>
      <c r="H43" s="24">
        <v>1</v>
      </c>
      <c r="I43" s="24">
        <f>F43*G43*H43*10.764</f>
        <v>85.250879999999981</v>
      </c>
    </row>
    <row r="44" spans="1:9">
      <c r="A44" s="16"/>
      <c r="B44" s="17" t="s">
        <v>144</v>
      </c>
      <c r="C44" s="22"/>
      <c r="D44" s="23"/>
      <c r="E44" s="24"/>
      <c r="F44" s="24">
        <v>4.38</v>
      </c>
      <c r="G44" s="24">
        <v>2.4</v>
      </c>
      <c r="H44" s="24">
        <v>1</v>
      </c>
      <c r="I44" s="24">
        <f t="shared" ref="I44:I49" si="3">F44*G44*H44*10.764</f>
        <v>113.15116799999998</v>
      </c>
    </row>
    <row r="45" spans="1:9">
      <c r="A45" s="16"/>
      <c r="B45" s="17" t="s">
        <v>152</v>
      </c>
      <c r="C45" s="22"/>
      <c r="D45" s="23"/>
      <c r="E45" s="24"/>
      <c r="F45" s="24">
        <v>2.35</v>
      </c>
      <c r="G45" s="24">
        <v>2.4</v>
      </c>
      <c r="H45" s="24">
        <v>1</v>
      </c>
      <c r="I45" s="24">
        <f t="shared" si="3"/>
        <v>60.70895999999999</v>
      </c>
    </row>
    <row r="46" spans="1:9">
      <c r="A46" s="16"/>
      <c r="B46" s="17" t="s">
        <v>153</v>
      </c>
      <c r="C46" s="22"/>
      <c r="D46" s="23"/>
      <c r="E46" s="24"/>
      <c r="F46" s="24">
        <v>0.52100000000000002</v>
      </c>
      <c r="G46" s="24">
        <v>1</v>
      </c>
      <c r="H46" s="24">
        <v>1</v>
      </c>
      <c r="I46" s="24">
        <f t="shared" si="3"/>
        <v>5.6080439999999996</v>
      </c>
    </row>
    <row r="47" spans="1:9">
      <c r="A47" s="16"/>
      <c r="B47" s="17" t="s">
        <v>153</v>
      </c>
      <c r="C47" s="22"/>
      <c r="D47" s="23"/>
      <c r="E47" s="24"/>
      <c r="F47" s="24">
        <v>1</v>
      </c>
      <c r="G47" s="24">
        <v>2.085</v>
      </c>
      <c r="H47" s="24">
        <v>1</v>
      </c>
      <c r="I47" s="24">
        <f t="shared" si="3"/>
        <v>22.442939999999997</v>
      </c>
    </row>
    <row r="48" spans="1:9">
      <c r="A48" s="16"/>
      <c r="B48" s="17" t="s">
        <v>154</v>
      </c>
      <c r="C48" s="22"/>
      <c r="D48" s="23"/>
      <c r="E48" s="24"/>
      <c r="F48" s="24">
        <v>1.2</v>
      </c>
      <c r="G48" s="24">
        <v>1.73</v>
      </c>
      <c r="H48" s="24">
        <v>1</v>
      </c>
      <c r="I48" s="24">
        <f t="shared" si="3"/>
        <v>22.346063999999998</v>
      </c>
    </row>
    <row r="49" spans="1:9">
      <c r="A49" s="16"/>
      <c r="B49" s="17" t="s">
        <v>155</v>
      </c>
      <c r="C49" s="22"/>
      <c r="D49" s="23"/>
      <c r="E49" s="24"/>
      <c r="F49" s="24">
        <v>3.2650000000000001</v>
      </c>
      <c r="G49" s="24">
        <v>1.2</v>
      </c>
      <c r="H49" s="24">
        <v>1</v>
      </c>
      <c r="I49" s="24">
        <f t="shared" si="3"/>
        <v>42.173352000000001</v>
      </c>
    </row>
    <row r="50" spans="1:9">
      <c r="A50" s="16"/>
      <c r="B50" s="17"/>
      <c r="C50" s="22"/>
      <c r="D50" s="23"/>
      <c r="E50" s="24"/>
      <c r="F50" s="24"/>
      <c r="G50" s="24"/>
      <c r="H50" s="24"/>
      <c r="I50" s="24"/>
    </row>
    <row r="51" spans="1:9">
      <c r="A51" s="16">
        <v>20</v>
      </c>
      <c r="B51" s="17" t="s">
        <v>135</v>
      </c>
      <c r="C51" s="22" t="s">
        <v>32</v>
      </c>
      <c r="D51" s="23">
        <v>8</v>
      </c>
      <c r="E51" s="24"/>
      <c r="F51" s="24"/>
      <c r="G51" s="24"/>
      <c r="H51" s="24"/>
      <c r="I51" s="24"/>
    </row>
    <row r="52" spans="1:9">
      <c r="A52" s="25">
        <v>21</v>
      </c>
      <c r="B52" s="17" t="s">
        <v>35</v>
      </c>
      <c r="C52" s="22" t="s">
        <v>2</v>
      </c>
      <c r="D52" s="23" t="s">
        <v>2</v>
      </c>
      <c r="E52" s="24"/>
      <c r="F52" s="24"/>
      <c r="G52" s="24"/>
      <c r="H52" s="24"/>
      <c r="I52" s="24"/>
    </row>
    <row r="53" spans="1:9" ht="126">
      <c r="A53" s="16">
        <v>22</v>
      </c>
      <c r="B53" s="17" t="s">
        <v>36</v>
      </c>
      <c r="C53" s="22" t="s">
        <v>32</v>
      </c>
      <c r="D53" s="23">
        <v>10</v>
      </c>
      <c r="E53" s="24"/>
      <c r="F53" s="24"/>
      <c r="G53" s="24"/>
      <c r="H53" s="24"/>
      <c r="I53" s="24"/>
    </row>
    <row r="54" spans="1:9" ht="70">
      <c r="A54" s="16">
        <v>23</v>
      </c>
      <c r="B54" s="17" t="s">
        <v>37</v>
      </c>
      <c r="C54" s="22" t="s">
        <v>14</v>
      </c>
      <c r="D54" s="23">
        <v>82</v>
      </c>
      <c r="E54" s="24"/>
      <c r="F54" s="24"/>
      <c r="G54" s="24"/>
      <c r="H54" s="24"/>
      <c r="I54" s="24"/>
    </row>
    <row r="55" spans="1:9" ht="42">
      <c r="A55" s="16">
        <v>24</v>
      </c>
      <c r="B55" s="17" t="s">
        <v>38</v>
      </c>
      <c r="C55" s="22" t="s">
        <v>14</v>
      </c>
      <c r="D55" s="23">
        <v>36</v>
      </c>
      <c r="E55" s="24"/>
      <c r="F55" s="24"/>
      <c r="G55" s="24"/>
      <c r="H55" s="24"/>
      <c r="I55" s="24"/>
    </row>
    <row r="56" spans="1:9">
      <c r="A56" s="16">
        <v>25</v>
      </c>
      <c r="B56" s="17" t="s">
        <v>39</v>
      </c>
      <c r="C56" s="22" t="s">
        <v>14</v>
      </c>
      <c r="D56" s="23">
        <v>20</v>
      </c>
      <c r="E56" s="24"/>
      <c r="F56" s="24"/>
      <c r="G56" s="24"/>
      <c r="H56" s="24"/>
      <c r="I56" s="24"/>
    </row>
    <row r="57" spans="1:9" ht="98">
      <c r="A57" s="25">
        <v>26</v>
      </c>
      <c r="B57" s="17" t="s">
        <v>40</v>
      </c>
      <c r="C57" s="22"/>
      <c r="D57" s="23"/>
      <c r="E57" s="24"/>
      <c r="F57" s="24"/>
      <c r="G57" s="24"/>
      <c r="H57" s="24"/>
      <c r="I57" s="24"/>
    </row>
    <row r="58" spans="1:9">
      <c r="A58" s="16">
        <v>27</v>
      </c>
      <c r="B58" s="17" t="s">
        <v>41</v>
      </c>
      <c r="C58" s="22" t="s">
        <v>14</v>
      </c>
      <c r="D58" s="23">
        <v>10</v>
      </c>
      <c r="E58" s="24"/>
      <c r="F58" s="24"/>
      <c r="G58" s="24"/>
      <c r="H58" s="24"/>
      <c r="I58" s="24"/>
    </row>
    <row r="59" spans="1:9">
      <c r="A59" s="16">
        <v>28</v>
      </c>
      <c r="B59" s="17" t="s">
        <v>42</v>
      </c>
      <c r="C59" s="22" t="s">
        <v>14</v>
      </c>
      <c r="D59" s="23">
        <v>10</v>
      </c>
      <c r="E59" s="24"/>
      <c r="F59" s="24"/>
      <c r="G59" s="24"/>
      <c r="H59" s="24"/>
      <c r="I59" s="24"/>
    </row>
    <row r="60" spans="1:9" ht="42">
      <c r="A60" s="16">
        <v>29</v>
      </c>
      <c r="B60" s="17" t="s">
        <v>43</v>
      </c>
      <c r="C60" s="22" t="s">
        <v>14</v>
      </c>
      <c r="D60" s="23">
        <v>80</v>
      </c>
      <c r="E60" s="24"/>
      <c r="F60" s="24"/>
      <c r="G60" s="24"/>
      <c r="H60" s="24"/>
      <c r="I60" s="24"/>
    </row>
    <row r="61" spans="1:9" ht="84">
      <c r="A61" s="16">
        <v>30</v>
      </c>
      <c r="B61" s="17" t="s">
        <v>44</v>
      </c>
      <c r="C61" s="22" t="s">
        <v>14</v>
      </c>
      <c r="D61" s="23">
        <v>15</v>
      </c>
      <c r="E61" s="24"/>
      <c r="F61" s="24"/>
      <c r="G61" s="24"/>
      <c r="H61" s="24"/>
      <c r="I61" s="24"/>
    </row>
    <row r="62" spans="1:9" ht="42">
      <c r="A62" s="16">
        <v>31</v>
      </c>
      <c r="B62" s="17" t="s">
        <v>45</v>
      </c>
      <c r="C62" s="22" t="s">
        <v>32</v>
      </c>
      <c r="D62" s="23">
        <v>18</v>
      </c>
      <c r="E62" s="24"/>
      <c r="F62" s="24"/>
      <c r="G62" s="24"/>
      <c r="H62" s="24"/>
      <c r="I62" s="24"/>
    </row>
    <row r="63" spans="1:9" ht="42">
      <c r="A63" s="16">
        <v>32</v>
      </c>
      <c r="B63" s="17" t="s">
        <v>46</v>
      </c>
      <c r="C63" s="22" t="s">
        <v>14</v>
      </c>
      <c r="D63" s="23">
        <v>9</v>
      </c>
      <c r="E63" s="24"/>
      <c r="F63" s="24"/>
      <c r="G63" s="24"/>
      <c r="H63" s="24"/>
      <c r="I63" s="24"/>
    </row>
    <row r="64" spans="1:9" ht="56">
      <c r="A64" s="16">
        <v>33</v>
      </c>
      <c r="B64" s="17" t="s">
        <v>47</v>
      </c>
      <c r="C64" s="22" t="s">
        <v>14</v>
      </c>
      <c r="D64" s="23">
        <v>226</v>
      </c>
      <c r="E64" s="24"/>
      <c r="F64" s="24"/>
      <c r="G64" s="24"/>
      <c r="H64" s="24"/>
      <c r="I64" s="24"/>
    </row>
    <row r="65" spans="1:9">
      <c r="A65" s="25">
        <v>34</v>
      </c>
      <c r="B65" s="17" t="s">
        <v>48</v>
      </c>
      <c r="C65" s="22" t="s">
        <v>2</v>
      </c>
      <c r="D65" s="23" t="s">
        <v>2</v>
      </c>
      <c r="E65" s="24"/>
      <c r="F65" s="24"/>
      <c r="G65" s="24"/>
      <c r="H65" s="24"/>
      <c r="I65" s="24"/>
    </row>
    <row r="66" spans="1:9" ht="28">
      <c r="A66" s="16">
        <v>35</v>
      </c>
      <c r="B66" s="17" t="s">
        <v>49</v>
      </c>
      <c r="C66" s="22" t="s">
        <v>14</v>
      </c>
      <c r="D66" s="23">
        <v>120</v>
      </c>
      <c r="E66" s="24"/>
      <c r="F66" s="24"/>
      <c r="G66" s="24"/>
      <c r="H66" s="24"/>
      <c r="I66" s="24"/>
    </row>
    <row r="67" spans="1:9">
      <c r="A67" s="16">
        <v>36</v>
      </c>
      <c r="B67" s="17" t="s">
        <v>50</v>
      </c>
      <c r="C67" s="22" t="s">
        <v>14</v>
      </c>
      <c r="D67" s="23">
        <v>173</v>
      </c>
      <c r="E67" s="24"/>
      <c r="F67" s="24"/>
      <c r="G67" s="24"/>
      <c r="H67" s="24"/>
      <c r="I67" s="24"/>
    </row>
    <row r="68" spans="1:9">
      <c r="A68" s="16">
        <v>37</v>
      </c>
      <c r="B68" s="17" t="s">
        <v>51</v>
      </c>
      <c r="C68" s="22" t="s">
        <v>14</v>
      </c>
      <c r="D68" s="23">
        <v>173</v>
      </c>
      <c r="E68" s="24"/>
      <c r="F68" s="24"/>
      <c r="G68" s="24"/>
      <c r="H68" s="24"/>
      <c r="I68" s="24"/>
    </row>
    <row r="69" spans="1:9">
      <c r="A69" s="25">
        <v>38</v>
      </c>
      <c r="B69" s="17" t="s">
        <v>52</v>
      </c>
      <c r="C69" s="22" t="s">
        <v>2</v>
      </c>
      <c r="D69" s="23" t="s">
        <v>2</v>
      </c>
      <c r="E69" s="24"/>
      <c r="F69" s="24"/>
      <c r="G69" s="24"/>
      <c r="H69" s="24"/>
      <c r="I69" s="24"/>
    </row>
    <row r="70" spans="1:9" ht="196">
      <c r="A70" s="16">
        <v>39</v>
      </c>
      <c r="B70" s="17" t="s">
        <v>53</v>
      </c>
      <c r="C70" s="22" t="s">
        <v>14</v>
      </c>
      <c r="D70" s="23">
        <v>130</v>
      </c>
      <c r="E70" s="24"/>
      <c r="F70" s="24"/>
      <c r="G70" s="24"/>
      <c r="H70" s="24"/>
      <c r="I70" s="24"/>
    </row>
    <row r="71" spans="1:9" ht="42">
      <c r="A71" s="16">
        <v>40</v>
      </c>
      <c r="B71" s="17" t="s">
        <v>54</v>
      </c>
      <c r="C71" s="22" t="s">
        <v>55</v>
      </c>
      <c r="D71" s="23">
        <v>5</v>
      </c>
      <c r="E71" s="24"/>
      <c r="F71" s="24"/>
      <c r="G71" s="24"/>
      <c r="H71" s="24"/>
      <c r="I71" s="24"/>
    </row>
    <row r="72" spans="1:9">
      <c r="A72" s="16"/>
      <c r="B72" s="17"/>
      <c r="C72" s="22"/>
      <c r="D72" s="23"/>
      <c r="E72" s="24"/>
      <c r="F72" s="24"/>
      <c r="G72" s="24"/>
      <c r="H72" s="24"/>
      <c r="I72" s="24"/>
    </row>
    <row r="73" spans="1:9">
      <c r="A73" s="12">
        <v>2</v>
      </c>
      <c r="B73" s="13" t="s">
        <v>5</v>
      </c>
      <c r="C73" s="14" t="s">
        <v>4</v>
      </c>
      <c r="D73" s="15">
        <v>1</v>
      </c>
      <c r="E73" s="27"/>
      <c r="F73" s="27"/>
      <c r="G73" s="27"/>
      <c r="H73" s="27"/>
      <c r="I73" s="27"/>
    </row>
    <row r="74" spans="1:9">
      <c r="A74" s="25">
        <v>41</v>
      </c>
      <c r="B74" s="17" t="s">
        <v>56</v>
      </c>
      <c r="C74" s="22" t="s">
        <v>2</v>
      </c>
      <c r="D74" s="23" t="s">
        <v>2</v>
      </c>
      <c r="E74" s="24"/>
      <c r="F74" s="24"/>
      <c r="G74" s="24"/>
      <c r="H74" s="24"/>
      <c r="I74" s="24"/>
    </row>
    <row r="75" spans="1:9" ht="126">
      <c r="A75" s="16">
        <v>42</v>
      </c>
      <c r="B75" s="17" t="s">
        <v>57</v>
      </c>
      <c r="C75" s="22" t="s">
        <v>14</v>
      </c>
      <c r="D75" s="23">
        <v>230</v>
      </c>
      <c r="E75" s="24"/>
      <c r="F75" s="24"/>
      <c r="G75" s="24"/>
      <c r="H75" s="24"/>
      <c r="I75" s="24"/>
    </row>
    <row r="76" spans="1:9" ht="56">
      <c r="A76" s="16">
        <v>43</v>
      </c>
      <c r="B76" s="17" t="s">
        <v>58</v>
      </c>
      <c r="C76" s="22" t="s">
        <v>25</v>
      </c>
      <c r="D76" s="23">
        <v>1</v>
      </c>
      <c r="E76" s="24"/>
      <c r="F76" s="24"/>
      <c r="G76" s="24"/>
      <c r="H76" s="24"/>
      <c r="I76" s="24"/>
    </row>
    <row r="77" spans="1:9" ht="42">
      <c r="A77" s="16">
        <v>44</v>
      </c>
      <c r="B77" s="17" t="s">
        <v>59</v>
      </c>
      <c r="C77" s="22" t="s">
        <v>25</v>
      </c>
      <c r="D77" s="23">
        <v>1</v>
      </c>
      <c r="E77" s="24"/>
      <c r="F77" s="24"/>
      <c r="G77" s="24"/>
      <c r="H77" s="24"/>
      <c r="I77" s="24"/>
    </row>
    <row r="78" spans="1:9">
      <c r="A78" s="16">
        <v>45</v>
      </c>
      <c r="B78" s="17" t="s">
        <v>60</v>
      </c>
      <c r="C78" s="22" t="s">
        <v>25</v>
      </c>
      <c r="D78" s="23">
        <v>1</v>
      </c>
      <c r="E78" s="24"/>
      <c r="F78" s="24"/>
      <c r="G78" s="24"/>
      <c r="H78" s="24"/>
      <c r="I78" s="24"/>
    </row>
    <row r="79" spans="1:9">
      <c r="A79" s="16">
        <v>46</v>
      </c>
      <c r="B79" s="17" t="s">
        <v>61</v>
      </c>
      <c r="C79" s="22" t="s">
        <v>25</v>
      </c>
      <c r="D79" s="23">
        <v>12</v>
      </c>
      <c r="E79" s="24"/>
      <c r="F79" s="24"/>
      <c r="G79" s="24"/>
      <c r="H79" s="24"/>
      <c r="I79" s="24"/>
    </row>
    <row r="80" spans="1:9">
      <c r="A80" s="16">
        <v>47</v>
      </c>
      <c r="B80" s="17" t="s">
        <v>62</v>
      </c>
      <c r="C80" s="22" t="s">
        <v>25</v>
      </c>
      <c r="D80" s="23">
        <v>8</v>
      </c>
      <c r="E80" s="24"/>
      <c r="F80" s="24"/>
      <c r="G80" s="24"/>
      <c r="H80" s="24"/>
      <c r="I80" s="24"/>
    </row>
    <row r="81" spans="1:9">
      <c r="A81" s="16">
        <v>48</v>
      </c>
      <c r="B81" s="17" t="s">
        <v>63</v>
      </c>
      <c r="C81" s="22" t="s">
        <v>25</v>
      </c>
      <c r="D81" s="23">
        <v>2</v>
      </c>
      <c r="E81" s="24"/>
      <c r="F81" s="24"/>
      <c r="G81" s="24"/>
      <c r="H81" s="24"/>
      <c r="I81" s="24"/>
    </row>
    <row r="82" spans="1:9">
      <c r="A82" s="16">
        <v>49</v>
      </c>
      <c r="B82" s="17" t="s">
        <v>64</v>
      </c>
      <c r="C82" s="22" t="s">
        <v>25</v>
      </c>
      <c r="D82" s="23">
        <v>2</v>
      </c>
      <c r="E82" s="24"/>
      <c r="F82" s="24"/>
      <c r="G82" s="24"/>
      <c r="H82" s="24"/>
      <c r="I82" s="24"/>
    </row>
    <row r="83" spans="1:9">
      <c r="A83" s="16">
        <v>50</v>
      </c>
      <c r="B83" s="17" t="s">
        <v>65</v>
      </c>
      <c r="C83" s="22" t="s">
        <v>32</v>
      </c>
      <c r="D83" s="23">
        <v>15</v>
      </c>
      <c r="E83" s="24"/>
      <c r="F83" s="24"/>
      <c r="G83" s="24"/>
      <c r="H83" s="24"/>
      <c r="I83" s="24"/>
    </row>
    <row r="84" spans="1:9">
      <c r="A84" s="16">
        <v>51</v>
      </c>
      <c r="B84" s="17" t="s">
        <v>66</v>
      </c>
      <c r="C84" s="22" t="s">
        <v>25</v>
      </c>
      <c r="D84" s="23">
        <v>2</v>
      </c>
      <c r="E84" s="24"/>
      <c r="F84" s="24"/>
      <c r="G84" s="24"/>
      <c r="H84" s="24"/>
      <c r="I84" s="24"/>
    </row>
    <row r="85" spans="1:9">
      <c r="A85" s="16">
        <v>52</v>
      </c>
      <c r="B85" s="17" t="s">
        <v>67</v>
      </c>
      <c r="C85" s="22" t="s">
        <v>25</v>
      </c>
      <c r="D85" s="23">
        <v>1</v>
      </c>
      <c r="E85" s="24"/>
      <c r="F85" s="24"/>
      <c r="G85" s="24"/>
      <c r="H85" s="24"/>
      <c r="I85" s="24"/>
    </row>
    <row r="86" spans="1:9">
      <c r="A86" s="16">
        <v>53</v>
      </c>
      <c r="B86" s="17" t="s">
        <v>68</v>
      </c>
      <c r="C86" s="22" t="s">
        <v>25</v>
      </c>
      <c r="D86" s="23">
        <v>1</v>
      </c>
      <c r="E86" s="24"/>
      <c r="F86" s="24"/>
      <c r="G86" s="24"/>
      <c r="H86" s="24"/>
      <c r="I86" s="24"/>
    </row>
    <row r="87" spans="1:9">
      <c r="A87" s="16">
        <v>54</v>
      </c>
      <c r="B87" s="17" t="s">
        <v>69</v>
      </c>
      <c r="C87" s="22" t="s">
        <v>25</v>
      </c>
      <c r="D87" s="23">
        <v>1</v>
      </c>
      <c r="E87" s="24"/>
      <c r="F87" s="24"/>
      <c r="G87" s="24"/>
      <c r="H87" s="24"/>
      <c r="I87" s="24"/>
    </row>
    <row r="88" spans="1:9">
      <c r="A88" s="16">
        <v>55</v>
      </c>
      <c r="B88" s="17" t="s">
        <v>70</v>
      </c>
      <c r="C88" s="22" t="s">
        <v>71</v>
      </c>
      <c r="D88" s="23">
        <v>40</v>
      </c>
      <c r="E88" s="24"/>
      <c r="F88" s="24"/>
      <c r="G88" s="24"/>
      <c r="H88" s="24"/>
      <c r="I88" s="24"/>
    </row>
    <row r="89" spans="1:9">
      <c r="A89" s="16">
        <v>56</v>
      </c>
      <c r="B89" s="17" t="s">
        <v>72</v>
      </c>
      <c r="C89" s="22" t="s">
        <v>25</v>
      </c>
      <c r="D89" s="23">
        <v>2</v>
      </c>
      <c r="E89" s="24"/>
      <c r="F89" s="24"/>
      <c r="G89" s="24"/>
      <c r="H89" s="24"/>
      <c r="I89" s="24"/>
    </row>
    <row r="90" spans="1:9">
      <c r="A90" s="16">
        <v>57</v>
      </c>
      <c r="B90" s="17" t="s">
        <v>73</v>
      </c>
      <c r="C90" s="22" t="s">
        <v>25</v>
      </c>
      <c r="D90" s="23">
        <v>2</v>
      </c>
      <c r="E90" s="24"/>
      <c r="F90" s="24"/>
      <c r="G90" s="24"/>
      <c r="H90" s="24"/>
      <c r="I90" s="24"/>
    </row>
    <row r="91" spans="1:9" ht="28">
      <c r="A91" s="25">
        <v>58</v>
      </c>
      <c r="B91" s="17" t="s">
        <v>74</v>
      </c>
      <c r="C91" s="22" t="s">
        <v>2</v>
      </c>
      <c r="D91" s="23" t="s">
        <v>2</v>
      </c>
      <c r="E91" s="24"/>
      <c r="F91" s="24"/>
      <c r="G91" s="24"/>
      <c r="H91" s="24"/>
      <c r="I91" s="24"/>
    </row>
    <row r="92" spans="1:9">
      <c r="A92" s="16">
        <v>59</v>
      </c>
      <c r="B92" s="17" t="s">
        <v>75</v>
      </c>
      <c r="C92" s="22" t="s">
        <v>25</v>
      </c>
      <c r="D92" s="23">
        <v>2</v>
      </c>
      <c r="E92" s="24"/>
      <c r="F92" s="24"/>
      <c r="G92" s="24"/>
      <c r="H92" s="24"/>
      <c r="I92" s="24"/>
    </row>
    <row r="93" spans="1:9">
      <c r="A93" s="16">
        <v>60</v>
      </c>
      <c r="B93" s="17" t="s">
        <v>76</v>
      </c>
      <c r="C93" s="22" t="s">
        <v>25</v>
      </c>
      <c r="D93" s="23">
        <v>14</v>
      </c>
      <c r="E93" s="24"/>
      <c r="F93" s="24"/>
      <c r="G93" s="24"/>
      <c r="H93" s="24"/>
      <c r="I93" s="24"/>
    </row>
    <row r="94" spans="1:9">
      <c r="A94" s="16">
        <v>61</v>
      </c>
      <c r="B94" s="17" t="s">
        <v>77</v>
      </c>
      <c r="C94" s="22" t="s">
        <v>71</v>
      </c>
      <c r="D94" s="23">
        <v>70</v>
      </c>
      <c r="E94" s="24"/>
      <c r="F94" s="24"/>
      <c r="G94" s="24"/>
      <c r="H94" s="24"/>
      <c r="I94" s="24"/>
    </row>
    <row r="95" spans="1:9">
      <c r="A95" s="16">
        <v>62</v>
      </c>
      <c r="B95" s="17" t="s">
        <v>78</v>
      </c>
      <c r="C95" s="22" t="s">
        <v>71</v>
      </c>
      <c r="D95" s="23">
        <v>70</v>
      </c>
      <c r="E95" s="24"/>
      <c r="F95" s="24"/>
      <c r="G95" s="24"/>
      <c r="H95" s="24"/>
      <c r="I95" s="24"/>
    </row>
    <row r="96" spans="1:9">
      <c r="A96" s="16">
        <v>63</v>
      </c>
      <c r="B96" s="28" t="s">
        <v>79</v>
      </c>
      <c r="C96" s="29" t="s">
        <v>25</v>
      </c>
      <c r="D96" s="30">
        <v>1</v>
      </c>
      <c r="E96" s="31"/>
      <c r="F96" s="31"/>
      <c r="G96" s="31"/>
      <c r="H96" s="31"/>
      <c r="I96" s="24"/>
    </row>
    <row r="97" spans="1:9">
      <c r="A97" s="16">
        <v>64</v>
      </c>
      <c r="B97" s="28" t="s">
        <v>80</v>
      </c>
      <c r="C97" s="29" t="s">
        <v>25</v>
      </c>
      <c r="D97" s="30">
        <v>1</v>
      </c>
      <c r="E97" s="31"/>
      <c r="F97" s="31"/>
      <c r="G97" s="31"/>
      <c r="H97" s="31"/>
      <c r="I97" s="24"/>
    </row>
    <row r="98" spans="1:9" ht="42">
      <c r="A98" s="16">
        <v>65</v>
      </c>
      <c r="B98" s="17" t="s">
        <v>81</v>
      </c>
      <c r="C98" s="22" t="s">
        <v>71</v>
      </c>
      <c r="D98" s="23">
        <v>21</v>
      </c>
      <c r="E98" s="24"/>
      <c r="F98" s="24"/>
      <c r="G98" s="24"/>
      <c r="H98" s="24"/>
      <c r="I98" s="24"/>
    </row>
    <row r="99" spans="1:9">
      <c r="A99" s="16">
        <v>66</v>
      </c>
      <c r="B99" s="17" t="s">
        <v>82</v>
      </c>
      <c r="C99" s="22" t="s">
        <v>25</v>
      </c>
      <c r="D99" s="23">
        <v>1</v>
      </c>
      <c r="E99" s="24"/>
      <c r="F99" s="24"/>
      <c r="G99" s="24"/>
      <c r="H99" s="24"/>
      <c r="I99" s="24"/>
    </row>
    <row r="100" spans="1:9">
      <c r="A100" s="16">
        <v>67</v>
      </c>
      <c r="B100" s="17" t="s">
        <v>83</v>
      </c>
      <c r="C100" s="22" t="s">
        <v>25</v>
      </c>
      <c r="D100" s="23">
        <v>1</v>
      </c>
      <c r="E100" s="24"/>
      <c r="F100" s="24"/>
      <c r="G100" s="24"/>
      <c r="H100" s="24"/>
      <c r="I100" s="24"/>
    </row>
    <row r="101" spans="1:9">
      <c r="A101" s="16">
        <v>68</v>
      </c>
      <c r="B101" s="17" t="s">
        <v>84</v>
      </c>
      <c r="C101" s="22" t="s">
        <v>85</v>
      </c>
      <c r="D101" s="23">
        <v>4</v>
      </c>
      <c r="E101" s="24"/>
      <c r="F101" s="24"/>
      <c r="G101" s="24"/>
      <c r="H101" s="24"/>
      <c r="I101" s="24"/>
    </row>
    <row r="102" spans="1:9">
      <c r="A102" s="16">
        <v>69</v>
      </c>
      <c r="B102" s="17" t="s">
        <v>86</v>
      </c>
      <c r="C102" s="22" t="s">
        <v>25</v>
      </c>
      <c r="D102" s="23">
        <v>8</v>
      </c>
      <c r="E102" s="24"/>
      <c r="F102" s="24"/>
      <c r="G102" s="24"/>
      <c r="H102" s="24"/>
      <c r="I102" s="24"/>
    </row>
    <row r="103" spans="1:9">
      <c r="A103" s="16">
        <v>70</v>
      </c>
      <c r="B103" s="17" t="s">
        <v>87</v>
      </c>
      <c r="C103" s="22" t="s">
        <v>25</v>
      </c>
      <c r="D103" s="23">
        <v>1</v>
      </c>
      <c r="E103" s="24"/>
      <c r="F103" s="24"/>
      <c r="G103" s="24"/>
      <c r="H103" s="24"/>
      <c r="I103" s="24"/>
    </row>
    <row r="104" spans="1:9">
      <c r="A104" s="16">
        <v>71</v>
      </c>
      <c r="B104" s="17" t="s">
        <v>88</v>
      </c>
      <c r="C104" s="22" t="s">
        <v>25</v>
      </c>
      <c r="D104" s="23">
        <v>1</v>
      </c>
      <c r="E104" s="24"/>
      <c r="F104" s="24"/>
      <c r="G104" s="24"/>
      <c r="H104" s="24"/>
      <c r="I104" s="24"/>
    </row>
    <row r="105" spans="1:9">
      <c r="A105" s="16">
        <v>72</v>
      </c>
      <c r="B105" s="17" t="s">
        <v>89</v>
      </c>
      <c r="C105" s="22" t="s">
        <v>25</v>
      </c>
      <c r="D105" s="23">
        <v>1</v>
      </c>
      <c r="E105" s="24"/>
      <c r="F105" s="24"/>
      <c r="G105" s="24"/>
      <c r="H105" s="24"/>
      <c r="I105" s="24"/>
    </row>
    <row r="106" spans="1:9">
      <c r="A106" s="16">
        <v>73</v>
      </c>
      <c r="B106" s="17" t="s">
        <v>90</v>
      </c>
      <c r="C106" s="22" t="s">
        <v>25</v>
      </c>
      <c r="D106" s="23">
        <v>1</v>
      </c>
      <c r="E106" s="24"/>
      <c r="F106" s="24"/>
      <c r="G106" s="24"/>
      <c r="H106" s="24"/>
      <c r="I106" s="24"/>
    </row>
    <row r="107" spans="1:9">
      <c r="A107" s="16">
        <v>74</v>
      </c>
      <c r="B107" s="17" t="s">
        <v>91</v>
      </c>
      <c r="C107" s="22" t="s">
        <v>25</v>
      </c>
      <c r="D107" s="23">
        <v>8</v>
      </c>
      <c r="E107" s="24"/>
      <c r="F107" s="24"/>
      <c r="G107" s="24"/>
      <c r="H107" s="24"/>
      <c r="I107" s="24"/>
    </row>
    <row r="108" spans="1:9">
      <c r="A108" s="16">
        <v>75</v>
      </c>
      <c r="B108" s="17" t="s">
        <v>92</v>
      </c>
      <c r="C108" s="22" t="s">
        <v>25</v>
      </c>
      <c r="D108" s="23">
        <v>2</v>
      </c>
      <c r="E108" s="24"/>
      <c r="F108" s="24"/>
      <c r="G108" s="24"/>
      <c r="H108" s="24"/>
      <c r="I108" s="24"/>
    </row>
    <row r="109" spans="1:9">
      <c r="A109" s="16">
        <v>76</v>
      </c>
      <c r="B109" s="17" t="s">
        <v>93</v>
      </c>
      <c r="C109" s="22" t="s">
        <v>25</v>
      </c>
      <c r="D109" s="23">
        <v>1</v>
      </c>
      <c r="E109" s="24"/>
      <c r="F109" s="24"/>
      <c r="G109" s="24"/>
      <c r="H109" s="24"/>
      <c r="I109" s="24"/>
    </row>
    <row r="110" spans="1:9">
      <c r="A110" s="16"/>
      <c r="B110" s="17"/>
      <c r="C110" s="22"/>
      <c r="D110" s="23"/>
      <c r="E110" s="24"/>
      <c r="F110" s="24"/>
      <c r="G110" s="24"/>
      <c r="H110" s="24"/>
      <c r="I110" s="24"/>
    </row>
    <row r="111" spans="1:9">
      <c r="A111" s="12">
        <v>3</v>
      </c>
      <c r="B111" s="13" t="s">
        <v>6</v>
      </c>
      <c r="C111" s="14" t="s">
        <v>4</v>
      </c>
      <c r="D111" s="15">
        <v>1</v>
      </c>
      <c r="E111" s="27"/>
      <c r="F111" s="27"/>
      <c r="G111" s="27"/>
      <c r="H111" s="27"/>
      <c r="I111" s="27"/>
    </row>
    <row r="112" spans="1:9">
      <c r="A112" s="25">
        <v>77</v>
      </c>
      <c r="B112" s="17" t="s">
        <v>94</v>
      </c>
      <c r="C112" s="22" t="s">
        <v>2</v>
      </c>
      <c r="D112" s="23" t="s">
        <v>2</v>
      </c>
      <c r="E112" s="24"/>
      <c r="F112" s="24"/>
      <c r="G112" s="24"/>
      <c r="H112" s="24"/>
      <c r="I112" s="24"/>
    </row>
    <row r="113" spans="1:9">
      <c r="A113" s="25">
        <v>78</v>
      </c>
      <c r="B113" s="17" t="s">
        <v>95</v>
      </c>
      <c r="C113" s="22" t="s">
        <v>2</v>
      </c>
      <c r="D113" s="23" t="s">
        <v>2</v>
      </c>
      <c r="E113" s="24"/>
      <c r="F113" s="24"/>
      <c r="G113" s="24"/>
      <c r="H113" s="24"/>
      <c r="I113" s="24"/>
    </row>
    <row r="114" spans="1:9" ht="98">
      <c r="A114" s="25">
        <v>79</v>
      </c>
      <c r="B114" s="17" t="s">
        <v>96</v>
      </c>
      <c r="C114" s="22" t="s">
        <v>2</v>
      </c>
      <c r="D114" s="23" t="s">
        <v>2</v>
      </c>
      <c r="E114" s="24"/>
      <c r="F114" s="24"/>
      <c r="G114" s="24"/>
      <c r="H114" s="24"/>
      <c r="I114" s="24"/>
    </row>
    <row r="115" spans="1:9">
      <c r="A115" s="16">
        <v>80</v>
      </c>
      <c r="B115" s="17" t="s">
        <v>97</v>
      </c>
      <c r="C115" s="22" t="s">
        <v>71</v>
      </c>
      <c r="D115" s="23">
        <v>60</v>
      </c>
      <c r="E115" s="24"/>
      <c r="F115" s="24"/>
      <c r="G115" s="24"/>
      <c r="H115" s="24"/>
      <c r="I115" s="24">
        <f>2+5.5+1.25+4.5+1.9+2.55</f>
        <v>17.7</v>
      </c>
    </row>
    <row r="116" spans="1:9">
      <c r="A116" s="16">
        <v>81</v>
      </c>
      <c r="B116" s="17" t="s">
        <v>98</v>
      </c>
      <c r="C116" s="22" t="s">
        <v>71</v>
      </c>
      <c r="D116" s="23">
        <v>40</v>
      </c>
      <c r="E116" s="24"/>
      <c r="F116" s="24"/>
      <c r="G116" s="24"/>
      <c r="H116" s="24"/>
      <c r="I116" s="24"/>
    </row>
    <row r="117" spans="1:9">
      <c r="A117" s="16">
        <v>82</v>
      </c>
      <c r="B117" s="17" t="s">
        <v>99</v>
      </c>
      <c r="C117" s="22" t="s">
        <v>71</v>
      </c>
      <c r="D117" s="23">
        <v>12</v>
      </c>
      <c r="E117" s="24"/>
      <c r="F117" s="24"/>
      <c r="G117" s="24"/>
      <c r="H117" s="24"/>
      <c r="I117" s="24"/>
    </row>
    <row r="118" spans="1:9" ht="28">
      <c r="A118" s="25">
        <v>83</v>
      </c>
      <c r="B118" s="17" t="s">
        <v>100</v>
      </c>
      <c r="C118" s="22" t="s">
        <v>2</v>
      </c>
      <c r="D118" s="23" t="s">
        <v>2</v>
      </c>
      <c r="E118" s="24"/>
      <c r="F118" s="24"/>
      <c r="G118" s="24"/>
      <c r="H118" s="24"/>
      <c r="I118" s="24"/>
    </row>
    <row r="119" spans="1:9">
      <c r="A119" s="16">
        <v>84</v>
      </c>
      <c r="B119" s="17" t="s">
        <v>101</v>
      </c>
      <c r="C119" s="22" t="s">
        <v>25</v>
      </c>
      <c r="D119" s="23">
        <v>3</v>
      </c>
      <c r="E119" s="24"/>
      <c r="F119" s="24"/>
      <c r="G119" s="24"/>
      <c r="H119" s="24"/>
      <c r="I119" s="24"/>
    </row>
    <row r="120" spans="1:9">
      <c r="A120" s="16">
        <v>85</v>
      </c>
      <c r="B120" s="17" t="s">
        <v>98</v>
      </c>
      <c r="C120" s="22" t="s">
        <v>25</v>
      </c>
      <c r="D120" s="23">
        <v>2</v>
      </c>
      <c r="E120" s="24"/>
      <c r="F120" s="24"/>
      <c r="G120" s="24"/>
      <c r="H120" s="24"/>
      <c r="I120" s="24"/>
    </row>
    <row r="121" spans="1:9">
      <c r="A121" s="16">
        <v>86</v>
      </c>
      <c r="B121" s="17" t="s">
        <v>99</v>
      </c>
      <c r="C121" s="22" t="s">
        <v>25</v>
      </c>
      <c r="D121" s="23">
        <v>1</v>
      </c>
      <c r="E121" s="24"/>
      <c r="F121" s="24"/>
      <c r="G121" s="24"/>
      <c r="H121" s="24"/>
      <c r="I121" s="24"/>
    </row>
    <row r="122" spans="1:9" ht="28">
      <c r="A122" s="32">
        <v>87</v>
      </c>
      <c r="B122" s="33" t="s">
        <v>102</v>
      </c>
      <c r="C122" s="34" t="s">
        <v>25</v>
      </c>
      <c r="D122" s="35">
        <v>1</v>
      </c>
      <c r="E122" s="36"/>
      <c r="F122" s="36"/>
      <c r="G122" s="36"/>
      <c r="H122" s="36"/>
      <c r="I122" s="24"/>
    </row>
    <row r="123" spans="1:9">
      <c r="A123" s="16">
        <v>88</v>
      </c>
      <c r="B123" s="17" t="s">
        <v>103</v>
      </c>
      <c r="C123" s="22" t="s">
        <v>25</v>
      </c>
      <c r="D123" s="23">
        <v>1</v>
      </c>
      <c r="E123" s="24"/>
      <c r="F123" s="24"/>
      <c r="G123" s="24"/>
      <c r="H123" s="24"/>
      <c r="I123" s="24"/>
    </row>
    <row r="124" spans="1:9">
      <c r="A124" s="16">
        <v>89</v>
      </c>
      <c r="B124" s="17" t="s">
        <v>104</v>
      </c>
      <c r="C124" s="22" t="s">
        <v>25</v>
      </c>
      <c r="D124" s="23">
        <v>1</v>
      </c>
      <c r="E124" s="24"/>
      <c r="F124" s="24"/>
      <c r="G124" s="24"/>
      <c r="H124" s="24"/>
      <c r="I124" s="24"/>
    </row>
    <row r="125" spans="1:9">
      <c r="A125" s="16">
        <v>90</v>
      </c>
      <c r="B125" s="17" t="s">
        <v>105</v>
      </c>
      <c r="C125" s="22" t="s">
        <v>25</v>
      </c>
      <c r="D125" s="23">
        <v>1</v>
      </c>
      <c r="E125" s="24"/>
      <c r="F125" s="24"/>
      <c r="G125" s="24"/>
      <c r="H125" s="24"/>
      <c r="I125" s="24"/>
    </row>
    <row r="126" spans="1:9" ht="42">
      <c r="A126" s="16">
        <v>91</v>
      </c>
      <c r="B126" s="17" t="s">
        <v>106</v>
      </c>
      <c r="C126" s="22" t="s">
        <v>25</v>
      </c>
      <c r="D126" s="23">
        <v>10</v>
      </c>
      <c r="E126" s="24"/>
      <c r="F126" s="24"/>
      <c r="G126" s="24"/>
      <c r="H126" s="24"/>
      <c r="I126" s="24"/>
    </row>
    <row r="127" spans="1:9" ht="28">
      <c r="A127" s="16">
        <v>92</v>
      </c>
      <c r="B127" s="17" t="s">
        <v>107</v>
      </c>
      <c r="C127" s="22" t="s">
        <v>25</v>
      </c>
      <c r="D127" s="23">
        <v>2</v>
      </c>
      <c r="E127" s="24"/>
      <c r="F127" s="24"/>
      <c r="G127" s="24"/>
      <c r="H127" s="24"/>
      <c r="I127" s="24"/>
    </row>
    <row r="128" spans="1:9">
      <c r="A128" s="25">
        <v>93</v>
      </c>
      <c r="B128" s="17" t="s">
        <v>108</v>
      </c>
      <c r="C128" s="22" t="s">
        <v>2</v>
      </c>
      <c r="D128" s="23" t="s">
        <v>2</v>
      </c>
      <c r="E128" s="24"/>
      <c r="F128" s="24"/>
      <c r="G128" s="24"/>
      <c r="H128" s="24"/>
      <c r="I128" s="24"/>
    </row>
    <row r="129" spans="1:9" ht="70">
      <c r="A129" s="16">
        <v>94</v>
      </c>
      <c r="B129" s="17" t="s">
        <v>109</v>
      </c>
      <c r="C129" s="22"/>
      <c r="D129" s="23"/>
      <c r="E129" s="24"/>
      <c r="F129" s="24"/>
      <c r="G129" s="24"/>
      <c r="H129" s="24"/>
      <c r="I129" s="24"/>
    </row>
    <row r="130" spans="1:9">
      <c r="A130" s="16">
        <v>95</v>
      </c>
      <c r="B130" s="17" t="s">
        <v>110</v>
      </c>
      <c r="C130" s="22" t="s">
        <v>32</v>
      </c>
      <c r="D130" s="23">
        <v>5</v>
      </c>
      <c r="E130" s="24">
        <f>1.15+0.7+1.4+0.6+1</f>
        <v>4.8499999999999996</v>
      </c>
      <c r="F130" s="24"/>
      <c r="G130" s="24"/>
      <c r="H130" s="24"/>
      <c r="I130" s="26">
        <f>E130</f>
        <v>4.8499999999999996</v>
      </c>
    </row>
    <row r="131" spans="1:9" ht="28">
      <c r="A131" s="16">
        <v>96</v>
      </c>
      <c r="B131" s="17" t="s">
        <v>111</v>
      </c>
      <c r="C131" s="22" t="s">
        <v>25</v>
      </c>
      <c r="D131" s="23">
        <v>3</v>
      </c>
      <c r="E131" s="24"/>
      <c r="F131" s="24"/>
      <c r="G131" s="24"/>
      <c r="H131" s="24"/>
      <c r="I131" s="24"/>
    </row>
    <row r="132" spans="1:9">
      <c r="A132" s="16">
        <v>97</v>
      </c>
      <c r="B132" s="17" t="s">
        <v>112</v>
      </c>
      <c r="C132" s="22" t="s">
        <v>25</v>
      </c>
      <c r="D132" s="23">
        <v>2</v>
      </c>
      <c r="E132" s="24">
        <v>2</v>
      </c>
      <c r="F132" s="24"/>
      <c r="G132" s="24"/>
      <c r="H132" s="24"/>
      <c r="I132" s="26">
        <f>E132</f>
        <v>2</v>
      </c>
    </row>
    <row r="133" spans="1:9" ht="28">
      <c r="A133" s="16">
        <v>98</v>
      </c>
      <c r="B133" s="17" t="s">
        <v>113</v>
      </c>
      <c r="C133" s="22" t="s">
        <v>25</v>
      </c>
      <c r="D133" s="23">
        <v>2</v>
      </c>
      <c r="E133" s="24"/>
      <c r="F133" s="24"/>
      <c r="G133" s="24"/>
      <c r="H133" s="24"/>
      <c r="I133" s="24"/>
    </row>
    <row r="134" spans="1:9">
      <c r="A134" s="25">
        <v>99</v>
      </c>
      <c r="B134" s="17" t="s">
        <v>114</v>
      </c>
      <c r="C134" s="22" t="s">
        <v>2</v>
      </c>
      <c r="D134" s="23" t="s">
        <v>2</v>
      </c>
      <c r="E134" s="24"/>
      <c r="F134" s="24"/>
      <c r="G134" s="24"/>
      <c r="H134" s="24"/>
      <c r="I134" s="24"/>
    </row>
    <row r="135" spans="1:9">
      <c r="A135" s="16">
        <v>100</v>
      </c>
      <c r="B135" s="17" t="s">
        <v>115</v>
      </c>
      <c r="C135" s="22" t="s">
        <v>25</v>
      </c>
      <c r="D135" s="23">
        <v>3</v>
      </c>
      <c r="E135" s="24"/>
      <c r="F135" s="24"/>
      <c r="G135" s="24"/>
      <c r="H135" s="24"/>
      <c r="I135" s="24"/>
    </row>
    <row r="136" spans="1:9">
      <c r="A136" s="16">
        <v>101</v>
      </c>
      <c r="B136" s="17" t="s">
        <v>116</v>
      </c>
      <c r="C136" s="22" t="s">
        <v>25</v>
      </c>
      <c r="D136" s="23">
        <v>1</v>
      </c>
      <c r="E136" s="24"/>
      <c r="F136" s="24"/>
      <c r="G136" s="24"/>
      <c r="H136" s="24"/>
      <c r="I136" s="24"/>
    </row>
    <row r="137" spans="1:9">
      <c r="A137" s="16">
        <v>102</v>
      </c>
      <c r="B137" s="17" t="s">
        <v>117</v>
      </c>
      <c r="C137" s="22" t="s">
        <v>25</v>
      </c>
      <c r="D137" s="23">
        <v>1</v>
      </c>
      <c r="E137" s="24"/>
      <c r="F137" s="24"/>
      <c r="G137" s="24"/>
      <c r="H137" s="24"/>
      <c r="I137" s="24"/>
    </row>
    <row r="138" spans="1:9">
      <c r="A138" s="16"/>
      <c r="B138" s="17"/>
      <c r="C138" s="22"/>
      <c r="D138" s="23"/>
      <c r="E138" s="24"/>
      <c r="F138" s="24"/>
      <c r="G138" s="24"/>
      <c r="H138" s="24"/>
      <c r="I138" s="24"/>
    </row>
    <row r="139" spans="1:9">
      <c r="A139" s="12">
        <v>4</v>
      </c>
      <c r="B139" s="13" t="s">
        <v>7</v>
      </c>
      <c r="C139" s="14" t="s">
        <v>4</v>
      </c>
      <c r="D139" s="15">
        <v>1</v>
      </c>
      <c r="E139" s="27"/>
      <c r="F139" s="27"/>
      <c r="G139" s="27"/>
      <c r="H139" s="27"/>
      <c r="I139" s="27"/>
    </row>
    <row r="140" spans="1:9">
      <c r="A140" s="25">
        <v>103</v>
      </c>
      <c r="B140" s="17" t="s">
        <v>118</v>
      </c>
      <c r="C140" s="22" t="s">
        <v>2</v>
      </c>
      <c r="D140" s="23" t="s">
        <v>2</v>
      </c>
      <c r="E140" s="24"/>
      <c r="F140" s="24"/>
      <c r="G140" s="24"/>
      <c r="H140" s="24"/>
      <c r="I140" s="24"/>
    </row>
    <row r="141" spans="1:9" ht="28">
      <c r="A141" s="16">
        <v>104</v>
      </c>
      <c r="B141" s="17" t="s">
        <v>119</v>
      </c>
      <c r="C141" s="22" t="s">
        <v>14</v>
      </c>
      <c r="D141" s="23">
        <v>650</v>
      </c>
      <c r="E141" s="24"/>
      <c r="F141" s="24"/>
      <c r="G141" s="24"/>
      <c r="H141" s="24"/>
      <c r="I141" s="31">
        <v>645</v>
      </c>
    </row>
    <row r="142" spans="1:9">
      <c r="A142" s="16">
        <v>105</v>
      </c>
      <c r="B142" s="17" t="s">
        <v>120</v>
      </c>
      <c r="C142" s="22" t="s">
        <v>14</v>
      </c>
      <c r="D142" s="23">
        <v>234</v>
      </c>
      <c r="E142" s="24"/>
      <c r="F142" s="24"/>
      <c r="G142" s="24"/>
      <c r="H142" s="24"/>
      <c r="I142" s="31">
        <v>229</v>
      </c>
    </row>
    <row r="143" spans="1:9">
      <c r="A143" s="16">
        <v>106</v>
      </c>
      <c r="B143" s="17" t="s">
        <v>121</v>
      </c>
      <c r="C143" s="22" t="s">
        <v>25</v>
      </c>
      <c r="D143" s="23">
        <v>6</v>
      </c>
      <c r="E143" s="24"/>
      <c r="F143" s="24"/>
      <c r="G143" s="24"/>
      <c r="H143" s="24"/>
      <c r="I143" s="24"/>
    </row>
    <row r="144" spans="1:9">
      <c r="A144" s="16">
        <v>107</v>
      </c>
      <c r="B144" s="17" t="s">
        <v>122</v>
      </c>
      <c r="C144" s="22" t="s">
        <v>25</v>
      </c>
      <c r="D144" s="23">
        <v>4</v>
      </c>
      <c r="E144" s="24"/>
      <c r="F144" s="24"/>
      <c r="G144" s="24"/>
      <c r="H144" s="24"/>
      <c r="I144" s="24"/>
    </row>
    <row r="145" spans="1:9">
      <c r="A145" s="16">
        <v>108</v>
      </c>
      <c r="B145" s="17" t="s">
        <v>123</v>
      </c>
      <c r="C145" s="22" t="s">
        <v>25</v>
      </c>
      <c r="D145" s="23">
        <v>1</v>
      </c>
      <c r="E145" s="24"/>
      <c r="F145" s="24"/>
      <c r="G145" s="24"/>
      <c r="H145" s="24"/>
      <c r="I145" s="24"/>
    </row>
    <row r="146" spans="1:9">
      <c r="A146" s="16"/>
      <c r="B146" s="17"/>
      <c r="C146" s="22"/>
      <c r="D146" s="23"/>
      <c r="E146" s="24"/>
      <c r="F146" s="24"/>
      <c r="G146" s="24"/>
      <c r="H146" s="24"/>
      <c r="I146" s="24"/>
    </row>
    <row r="147" spans="1:9">
      <c r="A147" s="12">
        <v>5</v>
      </c>
      <c r="B147" s="13" t="s">
        <v>8</v>
      </c>
      <c r="C147" s="14" t="s">
        <v>4</v>
      </c>
      <c r="D147" s="15">
        <v>1</v>
      </c>
      <c r="E147" s="27"/>
      <c r="F147" s="27"/>
      <c r="G147" s="27"/>
      <c r="H147" s="27"/>
      <c r="I147" s="27"/>
    </row>
    <row r="148" spans="1:9">
      <c r="A148" s="25">
        <v>109</v>
      </c>
      <c r="B148" s="17" t="s">
        <v>124</v>
      </c>
      <c r="C148" s="22" t="s">
        <v>2</v>
      </c>
      <c r="D148" s="23" t="s">
        <v>2</v>
      </c>
      <c r="E148" s="24"/>
      <c r="F148" s="24"/>
      <c r="G148" s="24"/>
      <c r="H148" s="24"/>
      <c r="I148" s="24"/>
    </row>
    <row r="149" spans="1:9">
      <c r="A149" s="16">
        <v>110</v>
      </c>
      <c r="B149" s="17" t="s">
        <v>125</v>
      </c>
      <c r="C149" s="22" t="s">
        <v>25</v>
      </c>
      <c r="D149" s="23">
        <v>2</v>
      </c>
      <c r="E149" s="24"/>
      <c r="F149" s="24"/>
      <c r="G149" s="24"/>
      <c r="H149" s="24"/>
      <c r="I149" s="24"/>
    </row>
    <row r="150" spans="1:9">
      <c r="A150" s="16">
        <v>111</v>
      </c>
      <c r="B150" s="17" t="s">
        <v>126</v>
      </c>
      <c r="C150" s="22" t="s">
        <v>25</v>
      </c>
      <c r="D150" s="23">
        <v>6</v>
      </c>
      <c r="E150" s="24"/>
      <c r="F150" s="24"/>
      <c r="G150" s="24"/>
      <c r="H150" s="24"/>
      <c r="I150" s="24"/>
    </row>
    <row r="151" spans="1:9">
      <c r="A151" s="16">
        <v>112</v>
      </c>
      <c r="B151" s="17" t="s">
        <v>127</v>
      </c>
      <c r="C151" s="22" t="s">
        <v>25</v>
      </c>
      <c r="D151" s="23">
        <v>1</v>
      </c>
      <c r="E151" s="24"/>
      <c r="F151" s="24"/>
      <c r="G151" s="24"/>
      <c r="H151" s="24"/>
      <c r="I151" s="24"/>
    </row>
    <row r="152" spans="1:9">
      <c r="A152" s="16">
        <v>113</v>
      </c>
      <c r="B152" s="17" t="s">
        <v>128</v>
      </c>
      <c r="C152" s="22" t="s">
        <v>129</v>
      </c>
      <c r="D152" s="23">
        <v>90</v>
      </c>
      <c r="E152" s="24"/>
      <c r="F152" s="24"/>
      <c r="G152" s="24"/>
      <c r="H152" s="24"/>
      <c r="I152" s="24"/>
    </row>
    <row r="153" spans="1:9" ht="28">
      <c r="A153" s="16">
        <v>114</v>
      </c>
      <c r="B153" s="17" t="s">
        <v>130</v>
      </c>
      <c r="C153" s="22" t="s">
        <v>25</v>
      </c>
      <c r="D153" s="23">
        <v>3</v>
      </c>
      <c r="E153" s="24"/>
      <c r="F153" s="24"/>
      <c r="G153" s="24"/>
      <c r="H153" s="24"/>
      <c r="I153" s="24"/>
    </row>
    <row r="154" spans="1:9">
      <c r="A154" s="16">
        <v>115</v>
      </c>
      <c r="B154" s="17" t="s">
        <v>131</v>
      </c>
      <c r="C154" s="22" t="s">
        <v>25</v>
      </c>
      <c r="D154" s="23">
        <v>1</v>
      </c>
      <c r="E154" s="24"/>
      <c r="F154" s="24"/>
      <c r="G154" s="24"/>
      <c r="H154" s="24"/>
      <c r="I154" s="24"/>
    </row>
    <row r="155" spans="1:9">
      <c r="A155" s="16">
        <v>116</v>
      </c>
      <c r="B155" s="17" t="s">
        <v>132</v>
      </c>
      <c r="C155" s="22" t="s">
        <v>25</v>
      </c>
      <c r="D155" s="23">
        <v>1</v>
      </c>
      <c r="E155" s="24"/>
      <c r="F155" s="24"/>
      <c r="G155" s="24"/>
      <c r="H155" s="24"/>
      <c r="I155" s="24"/>
    </row>
    <row r="156" spans="1:9">
      <c r="A156" s="16">
        <v>117</v>
      </c>
      <c r="B156" s="17" t="s">
        <v>133</v>
      </c>
      <c r="C156" s="22" t="s">
        <v>25</v>
      </c>
      <c r="D156" s="23">
        <v>2</v>
      </c>
      <c r="E156" s="24"/>
      <c r="F156" s="24"/>
      <c r="G156" s="24"/>
      <c r="H156" s="24"/>
      <c r="I156" s="24"/>
    </row>
    <row r="157" spans="1:9">
      <c r="A157" s="16">
        <v>118</v>
      </c>
      <c r="B157" s="17" t="s">
        <v>134</v>
      </c>
      <c r="C157" s="22" t="s">
        <v>25</v>
      </c>
      <c r="D157" s="23">
        <v>1</v>
      </c>
      <c r="E157" s="24"/>
      <c r="F157" s="24"/>
      <c r="G157" s="24"/>
      <c r="H157" s="24"/>
      <c r="I157" s="24"/>
    </row>
    <row r="158" spans="1:9">
      <c r="A158" s="22"/>
      <c r="B158" s="22"/>
      <c r="C158" s="22"/>
      <c r="D158" s="23"/>
      <c r="E158" s="24"/>
      <c r="F158" s="24"/>
      <c r="G158" s="24"/>
      <c r="H158" s="24"/>
      <c r="I158" s="24"/>
    </row>
  </sheetData>
  <mergeCells count="2">
    <mergeCell ref="A1:D1"/>
    <mergeCell ref="E1:I1"/>
  </mergeCells>
  <pageMargins left="0.23" right="0.28000000000000003" top="0.75"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7D3738-B469-40FB-BDF1-26D636215A46}">
  <ds:schemaRefs>
    <ds:schemaRef ds:uri="http://schemas.microsoft.com/office/2006/metadata/properties"/>
    <ds:schemaRef ds:uri="http://www.w3.org/XML/1998/namespace"/>
    <ds:schemaRef ds:uri="http://purl.org/dc/elements/1.1/"/>
    <ds:schemaRef ds:uri="7326994b-23a0-4b5e-a973-7b87443abe0a"/>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72b43016-16a7-42f7-bc1a-063c27e5d515"/>
  </ds:schemaRefs>
</ds:datastoreItem>
</file>

<file path=customXml/itemProps2.xml><?xml version="1.0" encoding="utf-8"?>
<ds:datastoreItem xmlns:ds="http://schemas.openxmlformats.org/officeDocument/2006/customXml" ds:itemID="{FA7F8280-0C15-4229-9FDF-4A63B35BD48F}">
  <ds:schemaRefs>
    <ds:schemaRef ds:uri="http://schemas.microsoft.com/sharepoint/v3/contenttype/forms"/>
  </ds:schemaRefs>
</ds:datastoreItem>
</file>

<file path=customXml/itemProps3.xml><?xml version="1.0" encoding="utf-8"?>
<ds:datastoreItem xmlns:ds="http://schemas.openxmlformats.org/officeDocument/2006/customXml" ds:itemID="{4B38379D-301A-4642-8B8A-5EB53BCAB8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vt:lpstr>
      <vt:lpstr>RA-02 </vt:lpstr>
      <vt:lpstr>RA-02 JMS </vt:lpstr>
      <vt:lpstr>RA-01 JMS </vt:lpstr>
      <vt:lpstr>'RA-02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Urmila Jadhav</cp:lastModifiedBy>
  <cp:lastPrinted>2024-06-20T05:00:20Z</cp:lastPrinted>
  <dcterms:created xsi:type="dcterms:W3CDTF">2024-03-04T09:52:09Z</dcterms:created>
  <dcterms:modified xsi:type="dcterms:W3CDTF">2024-07-09T12:46:55Z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