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rmila Jadhav\OneDrive - Travel food Services\URMILA WORKING\Guwahati Project\Dominos\"/>
    </mc:Choice>
  </mc:AlternateContent>
  <bookViews>
    <workbookView xWindow="-110" yWindow="-110" windowWidth="23260" windowHeight="12580" tabRatio="677"/>
  </bookViews>
  <sheets>
    <sheet name="summary" sheetId="13" r:id="rId1"/>
    <sheet name="Civil &amp; Interior_work" sheetId="12" r:id="rId2"/>
    <sheet name="electrical circuit breaku" sheetId="11" state="hidden" r:id="rId3"/>
    <sheet name="Civil &amp; Interior_ not to cons" sheetId="1" state="hidden" r:id="rId4"/>
    <sheet name="Addition cost as per site" sheetId="9" state="hidden" r:id="rId5"/>
  </sheets>
  <definedNames>
    <definedName name="_xlnm._FilterDatabase" localSheetId="3" hidden="1">'Civil &amp; Interior_ not to cons'!$A$4:$M$4</definedName>
    <definedName name="_xlnm._FilterDatabase" localSheetId="1" hidden="1">'Civil &amp; Interior_work'!$A$4:$M$4</definedName>
    <definedName name="_xlnm.Print_Area" localSheetId="2">'electrical circuit breaku'!$A$1:$K$72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256" i="12" l="1"/>
  <c r="R254" i="12" l="1"/>
  <c r="S254" i="12" s="1"/>
  <c r="R58" i="12"/>
  <c r="S58" i="12" s="1"/>
  <c r="S54" i="12"/>
  <c r="S44" i="12"/>
  <c r="S30" i="12"/>
  <c r="Q201" i="12"/>
  <c r="Q133" i="12"/>
  <c r="Q91" i="12"/>
  <c r="Q44" i="12"/>
  <c r="Q20" i="12"/>
  <c r="Q6" i="12"/>
  <c r="S201" i="12" l="1"/>
  <c r="S133" i="12"/>
  <c r="Q120" i="12"/>
  <c r="S120" i="12" s="1"/>
  <c r="Q121" i="12"/>
  <c r="S121" i="12" s="1"/>
  <c r="Q118" i="12"/>
  <c r="S118" i="12" s="1"/>
  <c r="S91" i="12"/>
  <c r="S20" i="12"/>
  <c r="S6" i="12"/>
  <c r="Q254" i="12"/>
  <c r="P254" i="12"/>
  <c r="M254" i="12"/>
  <c r="Q253" i="12"/>
  <c r="S253" i="12" s="1"/>
  <c r="P253" i="12"/>
  <c r="M253" i="12"/>
  <c r="Q252" i="12"/>
  <c r="S252" i="12" s="1"/>
  <c r="P252" i="12"/>
  <c r="M252" i="12"/>
  <c r="Q251" i="12"/>
  <c r="K248" i="12"/>
  <c r="K247" i="12"/>
  <c r="K246" i="12"/>
  <c r="K245" i="12"/>
  <c r="K244" i="12"/>
  <c r="K243" i="12"/>
  <c r="K242" i="12"/>
  <c r="K241" i="12"/>
  <c r="K240" i="12"/>
  <c r="K238" i="12"/>
  <c r="K237" i="12"/>
  <c r="I236" i="12"/>
  <c r="K236" i="12" s="1"/>
  <c r="I235" i="12"/>
  <c r="K235" i="12" s="1"/>
  <c r="K234" i="12"/>
  <c r="I233" i="12"/>
  <c r="K233" i="12" s="1"/>
  <c r="K232" i="12"/>
  <c r="K231" i="12"/>
  <c r="I230" i="12"/>
  <c r="K230" i="12" s="1"/>
  <c r="K229" i="12"/>
  <c r="I228" i="12"/>
  <c r="K228" i="12" s="1"/>
  <c r="K227" i="12"/>
  <c r="K225" i="12"/>
  <c r="K224" i="12"/>
  <c r="K223" i="12"/>
  <c r="K222" i="12"/>
  <c r="K221" i="12"/>
  <c r="K220" i="12"/>
  <c r="K219" i="12"/>
  <c r="K218" i="12"/>
  <c r="K217" i="12"/>
  <c r="K216" i="12"/>
  <c r="K215" i="12"/>
  <c r="K214" i="12"/>
  <c r="K213" i="12"/>
  <c r="I212" i="12"/>
  <c r="K212" i="12" s="1"/>
  <c r="K211" i="12"/>
  <c r="K210" i="12"/>
  <c r="K209" i="12"/>
  <c r="K208" i="12"/>
  <c r="K207" i="12"/>
  <c r="I206" i="12"/>
  <c r="K206" i="12" s="1"/>
  <c r="K205" i="12"/>
  <c r="K204" i="12"/>
  <c r="K203" i="12"/>
  <c r="P201" i="12"/>
  <c r="P200" i="12"/>
  <c r="M200" i="12"/>
  <c r="P196" i="12"/>
  <c r="M196" i="12"/>
  <c r="K194" i="12"/>
  <c r="K193" i="12"/>
  <c r="K192" i="12"/>
  <c r="K191" i="12"/>
  <c r="K190" i="12"/>
  <c r="K189" i="12"/>
  <c r="K188" i="12"/>
  <c r="K187" i="12"/>
  <c r="K186" i="12"/>
  <c r="K185" i="12"/>
  <c r="K184" i="12"/>
  <c r="K183" i="12"/>
  <c r="K182" i="12"/>
  <c r="K181" i="12"/>
  <c r="K180" i="12"/>
  <c r="K179" i="12"/>
  <c r="K178" i="12"/>
  <c r="K177" i="12"/>
  <c r="K175" i="12"/>
  <c r="K174" i="12"/>
  <c r="I173" i="12"/>
  <c r="K173" i="12" s="1"/>
  <c r="K172" i="12"/>
  <c r="K171" i="12"/>
  <c r="K170" i="12"/>
  <c r="K169" i="12"/>
  <c r="I168" i="12"/>
  <c r="K168" i="12" s="1"/>
  <c r="I167" i="12"/>
  <c r="K167" i="12" s="1"/>
  <c r="K166" i="12"/>
  <c r="I165" i="12"/>
  <c r="K165" i="12" s="1"/>
  <c r="K164" i="12"/>
  <c r="K163" i="12"/>
  <c r="I162" i="12"/>
  <c r="K162" i="12" s="1"/>
  <c r="K161" i="12"/>
  <c r="I160" i="12"/>
  <c r="K160" i="12" s="1"/>
  <c r="K159" i="12"/>
  <c r="K157" i="12"/>
  <c r="K156" i="12"/>
  <c r="K155" i="12"/>
  <c r="K154" i="12"/>
  <c r="K153" i="12"/>
  <c r="K152" i="12"/>
  <c r="K151" i="12"/>
  <c r="K150" i="12"/>
  <c r="K149" i="12"/>
  <c r="K148" i="12"/>
  <c r="K147" i="12"/>
  <c r="K146" i="12"/>
  <c r="K145" i="12"/>
  <c r="I144" i="12"/>
  <c r="K144" i="12" s="1"/>
  <c r="K143" i="12"/>
  <c r="K142" i="12"/>
  <c r="K141" i="12"/>
  <c r="K140" i="12"/>
  <c r="K139" i="12"/>
  <c r="I138" i="12"/>
  <c r="K138" i="12" s="1"/>
  <c r="K137" i="12"/>
  <c r="K136" i="12"/>
  <c r="K135" i="12"/>
  <c r="P133" i="12"/>
  <c r="P132" i="12"/>
  <c r="M132" i="12"/>
  <c r="K127" i="12"/>
  <c r="K126" i="12" s="1"/>
  <c r="P126" i="12"/>
  <c r="P121" i="12"/>
  <c r="M121" i="12"/>
  <c r="P120" i="12"/>
  <c r="M120" i="12"/>
  <c r="P119" i="12"/>
  <c r="M119" i="12"/>
  <c r="P118" i="12"/>
  <c r="M118" i="12"/>
  <c r="P116" i="12"/>
  <c r="P115" i="12"/>
  <c r="K115" i="12"/>
  <c r="Q115" i="12" s="1"/>
  <c r="S115" i="12" s="1"/>
  <c r="Q114" i="12"/>
  <c r="S114" i="12" s="1"/>
  <c r="P114" i="12"/>
  <c r="M114" i="12"/>
  <c r="Q113" i="12"/>
  <c r="S113" i="12" s="1"/>
  <c r="P113" i="12"/>
  <c r="M113" i="12"/>
  <c r="Q110" i="12"/>
  <c r="S110" i="12" s="1"/>
  <c r="P110" i="12"/>
  <c r="M110" i="12"/>
  <c r="P109" i="12"/>
  <c r="M109" i="12"/>
  <c r="Q106" i="12"/>
  <c r="S106" i="12" s="1"/>
  <c r="P106" i="12"/>
  <c r="M106" i="12"/>
  <c r="Q105" i="12"/>
  <c r="S105" i="12" s="1"/>
  <c r="P105" i="12"/>
  <c r="M105" i="12"/>
  <c r="Q100" i="12"/>
  <c r="S100" i="12" s="1"/>
  <c r="P100" i="12"/>
  <c r="M100" i="12"/>
  <c r="K96" i="12"/>
  <c r="K95" i="12"/>
  <c r="K94" i="12"/>
  <c r="K93" i="12"/>
  <c r="K92" i="12"/>
  <c r="P91" i="12"/>
  <c r="P87" i="12"/>
  <c r="K87" i="12"/>
  <c r="P86" i="12"/>
  <c r="M86" i="12"/>
  <c r="P85" i="12"/>
  <c r="M85" i="12"/>
  <c r="P84" i="12"/>
  <c r="M84" i="12"/>
  <c r="P83" i="12"/>
  <c r="M83" i="12"/>
  <c r="R78" i="12"/>
  <c r="Q78" i="12"/>
  <c r="Q77" i="12"/>
  <c r="S77" i="12" s="1"/>
  <c r="P77" i="12"/>
  <c r="M77" i="12"/>
  <c r="K73" i="12"/>
  <c r="K72" i="12"/>
  <c r="K71" i="12"/>
  <c r="P70" i="12"/>
  <c r="K67" i="12"/>
  <c r="K66" i="12"/>
  <c r="K65" i="12"/>
  <c r="K64" i="12"/>
  <c r="H63" i="12"/>
  <c r="K63" i="12" s="1"/>
  <c r="H62" i="12"/>
  <c r="K62" i="12" s="1"/>
  <c r="H61" i="12"/>
  <c r="K61" i="12" s="1"/>
  <c r="K60" i="12"/>
  <c r="K59" i="12"/>
  <c r="P58" i="12"/>
  <c r="H56" i="12"/>
  <c r="K56" i="12" s="1"/>
  <c r="H55" i="12"/>
  <c r="K55" i="12" s="1"/>
  <c r="P54" i="12"/>
  <c r="K52" i="12"/>
  <c r="I51" i="12"/>
  <c r="K51" i="12" s="1"/>
  <c r="I50" i="12"/>
  <c r="K50" i="12" s="1"/>
  <c r="I49" i="12"/>
  <c r="K49" i="12" s="1"/>
  <c r="I48" i="12"/>
  <c r="K48" i="12" s="1"/>
  <c r="K47" i="12"/>
  <c r="K46" i="12"/>
  <c r="K45" i="12"/>
  <c r="P44" i="12"/>
  <c r="K36" i="12"/>
  <c r="K35" i="12"/>
  <c r="K34" i="12"/>
  <c r="K33" i="12"/>
  <c r="K32" i="12"/>
  <c r="K31" i="12"/>
  <c r="P30" i="12"/>
  <c r="K26" i="12"/>
  <c r="K25" i="12"/>
  <c r="K24" i="12"/>
  <c r="K23" i="12"/>
  <c r="K22" i="12"/>
  <c r="K21" i="12"/>
  <c r="P20" i="12"/>
  <c r="K16" i="12"/>
  <c r="K15" i="12"/>
  <c r="K14" i="12"/>
  <c r="K13" i="12"/>
  <c r="K12" i="12"/>
  <c r="K11" i="12"/>
  <c r="K10" i="12"/>
  <c r="K9" i="12"/>
  <c r="K8" i="12"/>
  <c r="K7" i="12"/>
  <c r="P6" i="12"/>
  <c r="K810" i="1"/>
  <c r="K809" i="1"/>
  <c r="K808" i="1"/>
  <c r="K807" i="1"/>
  <c r="K806" i="1"/>
  <c r="K805" i="1"/>
  <c r="K804" i="1"/>
  <c r="K803" i="1"/>
  <c r="K802" i="1"/>
  <c r="K800" i="1"/>
  <c r="K799" i="1"/>
  <c r="I798" i="1"/>
  <c r="K798" i="1" s="1"/>
  <c r="I797" i="1"/>
  <c r="K797" i="1" s="1"/>
  <c r="K796" i="1"/>
  <c r="I795" i="1"/>
  <c r="K795" i="1" s="1"/>
  <c r="K794" i="1"/>
  <c r="K793" i="1"/>
  <c r="I792" i="1"/>
  <c r="K792" i="1" s="1"/>
  <c r="K791" i="1"/>
  <c r="I790" i="1"/>
  <c r="K790" i="1" s="1"/>
  <c r="K789" i="1"/>
  <c r="K787" i="1"/>
  <c r="K786" i="1"/>
  <c r="K785" i="1"/>
  <c r="K784" i="1"/>
  <c r="K783" i="1"/>
  <c r="K782" i="1"/>
  <c r="K781" i="1"/>
  <c r="K780" i="1"/>
  <c r="K779" i="1"/>
  <c r="K778" i="1"/>
  <c r="K777" i="1"/>
  <c r="K776" i="1"/>
  <c r="K775" i="1"/>
  <c r="I774" i="1"/>
  <c r="K774" i="1" s="1"/>
  <c r="K773" i="1"/>
  <c r="K772" i="1"/>
  <c r="K771" i="1"/>
  <c r="K770" i="1"/>
  <c r="K769" i="1"/>
  <c r="I768" i="1"/>
  <c r="K768" i="1" s="1"/>
  <c r="K767" i="1"/>
  <c r="K766" i="1"/>
  <c r="K765" i="1"/>
  <c r="H160" i="1"/>
  <c r="H159" i="1"/>
  <c r="H152" i="1"/>
  <c r="H151" i="1"/>
  <c r="H144" i="1"/>
  <c r="H143" i="1"/>
  <c r="H145" i="1" s="1"/>
  <c r="K70" i="12" l="1"/>
  <c r="Q70" i="12" s="1"/>
  <c r="S70" i="12" s="1"/>
  <c r="K54" i="12"/>
  <c r="Q54" i="12" s="1"/>
  <c r="K91" i="12"/>
  <c r="K20" i="12"/>
  <c r="M20" i="12" s="1"/>
  <c r="K30" i="12"/>
  <c r="M30" i="12" s="1"/>
  <c r="M87" i="12"/>
  <c r="K58" i="12"/>
  <c r="K6" i="12"/>
  <c r="K44" i="12"/>
  <c r="Q126" i="12"/>
  <c r="S126" i="12" s="1"/>
  <c r="M126" i="12"/>
  <c r="K133" i="12"/>
  <c r="K201" i="12"/>
  <c r="M115" i="12"/>
  <c r="K763" i="1"/>
  <c r="H153" i="1"/>
  <c r="H154" i="1" s="1"/>
  <c r="J154" i="1" s="1"/>
  <c r="H161" i="1"/>
  <c r="H162" i="1" s="1"/>
  <c r="J162" i="1" s="1"/>
  <c r="M70" i="12" l="1"/>
  <c r="M91" i="12"/>
  <c r="M54" i="12"/>
  <c r="Q30" i="12"/>
  <c r="S256" i="12" s="1"/>
  <c r="C5" i="13" s="1"/>
  <c r="C6" i="13" s="1"/>
  <c r="M58" i="12"/>
  <c r="Q58" i="12"/>
  <c r="M201" i="12"/>
  <c r="S78" i="12"/>
  <c r="M133" i="12"/>
  <c r="M6" i="12"/>
  <c r="M44" i="12"/>
  <c r="R35" i="1"/>
  <c r="Q520" i="1"/>
  <c r="Q21" i="1"/>
  <c r="R21" i="1"/>
  <c r="R22" i="1"/>
  <c r="R27" i="1"/>
  <c r="Q33" i="1"/>
  <c r="R33" i="1"/>
  <c r="Q34" i="1"/>
  <c r="R34" i="1"/>
  <c r="Q69" i="1"/>
  <c r="R69" i="1"/>
  <c r="Q70" i="1"/>
  <c r="R70" i="1"/>
  <c r="Q71" i="1"/>
  <c r="R71" i="1"/>
  <c r="Q72" i="1"/>
  <c r="R72" i="1"/>
  <c r="Q73" i="1"/>
  <c r="R73" i="1"/>
  <c r="Q74" i="1"/>
  <c r="R74" i="1"/>
  <c r="R76" i="1"/>
  <c r="R81" i="1"/>
  <c r="Q82" i="1"/>
  <c r="R82" i="1"/>
  <c r="Q85" i="1"/>
  <c r="R85" i="1"/>
  <c r="Q86" i="1"/>
  <c r="R86" i="1"/>
  <c r="R89" i="1"/>
  <c r="Q98" i="1"/>
  <c r="R98" i="1"/>
  <c r="R100" i="1"/>
  <c r="Q112" i="1"/>
  <c r="R112" i="1"/>
  <c r="Q114" i="1"/>
  <c r="R114" i="1"/>
  <c r="Q115" i="1"/>
  <c r="R115" i="1"/>
  <c r="R116" i="1"/>
  <c r="Q120" i="1"/>
  <c r="R120" i="1"/>
  <c r="Q121" i="1"/>
  <c r="R121" i="1"/>
  <c r="Q122" i="1"/>
  <c r="R122" i="1"/>
  <c r="Q124" i="1"/>
  <c r="R124" i="1"/>
  <c r="Q125" i="1"/>
  <c r="R125" i="1"/>
  <c r="R126" i="1"/>
  <c r="Q165" i="1"/>
  <c r="R165" i="1"/>
  <c r="Q166" i="1"/>
  <c r="R166" i="1"/>
  <c r="Q167" i="1"/>
  <c r="R167" i="1"/>
  <c r="Q168" i="1"/>
  <c r="R168" i="1"/>
  <c r="Q170" i="1"/>
  <c r="R170" i="1"/>
  <c r="Q171" i="1"/>
  <c r="R171" i="1"/>
  <c r="Q172" i="1"/>
  <c r="R172" i="1"/>
  <c r="R173" i="1"/>
  <c r="Q183" i="1"/>
  <c r="R183" i="1"/>
  <c r="Q184" i="1"/>
  <c r="R184" i="1"/>
  <c r="Q185" i="1"/>
  <c r="R185" i="1"/>
  <c r="Q186" i="1"/>
  <c r="R186" i="1"/>
  <c r="Q187" i="1"/>
  <c r="R187" i="1"/>
  <c r="Q188" i="1"/>
  <c r="R188" i="1"/>
  <c r="R189" i="1"/>
  <c r="Q193" i="1"/>
  <c r="R193" i="1"/>
  <c r="Q194" i="1"/>
  <c r="R194" i="1"/>
  <c r="R195" i="1"/>
  <c r="Q207" i="1"/>
  <c r="R207" i="1"/>
  <c r="Q208" i="1"/>
  <c r="R208" i="1"/>
  <c r="Q209" i="1"/>
  <c r="R209" i="1"/>
  <c r="Q210" i="1"/>
  <c r="R210" i="1"/>
  <c r="Q211" i="1"/>
  <c r="R211" i="1"/>
  <c r="Q212" i="1"/>
  <c r="R212" i="1"/>
  <c r="R213" i="1"/>
  <c r="Q220" i="1"/>
  <c r="R220" i="1"/>
  <c r="R221" i="1"/>
  <c r="R222" i="1"/>
  <c r="S222" i="1"/>
  <c r="Q223" i="1"/>
  <c r="R223" i="1"/>
  <c r="R226" i="1"/>
  <c r="Q228" i="1"/>
  <c r="R228" i="1"/>
  <c r="Q230" i="1"/>
  <c r="R230" i="1"/>
  <c r="Q231" i="1"/>
  <c r="R231" i="1"/>
  <c r="Q233" i="1"/>
  <c r="R233" i="1"/>
  <c r="Q234" i="1"/>
  <c r="R234" i="1"/>
  <c r="Q235" i="1"/>
  <c r="R235" i="1"/>
  <c r="Q237" i="1"/>
  <c r="R237" i="1"/>
  <c r="Q239" i="1"/>
  <c r="R239" i="1"/>
  <c r="Q240" i="1"/>
  <c r="R240" i="1"/>
  <c r="R241" i="1"/>
  <c r="Q245" i="1"/>
  <c r="R245" i="1"/>
  <c r="Q247" i="1"/>
  <c r="R247" i="1"/>
  <c r="Q248" i="1"/>
  <c r="R248" i="1"/>
  <c r="Q249" i="1"/>
  <c r="R249" i="1"/>
  <c r="Q250" i="1"/>
  <c r="R250" i="1"/>
  <c r="Q251" i="1"/>
  <c r="R251" i="1"/>
  <c r="Q252" i="1"/>
  <c r="R252" i="1"/>
  <c r="Q253" i="1"/>
  <c r="R253" i="1"/>
  <c r="Q254" i="1"/>
  <c r="R254" i="1"/>
  <c r="Q255" i="1"/>
  <c r="R255" i="1"/>
  <c r="Q256" i="1"/>
  <c r="R256" i="1"/>
  <c r="Q257" i="1"/>
  <c r="R257" i="1"/>
  <c r="R258" i="1"/>
  <c r="Q262" i="1"/>
  <c r="R262" i="1"/>
  <c r="Q263" i="1"/>
  <c r="R263" i="1"/>
  <c r="Q264" i="1"/>
  <c r="R264" i="1"/>
  <c r="Q265" i="1"/>
  <c r="R265" i="1"/>
  <c r="Q266" i="1"/>
  <c r="R266" i="1"/>
  <c r="Q267" i="1"/>
  <c r="R267" i="1"/>
  <c r="Q268" i="1"/>
  <c r="R268" i="1"/>
  <c r="Q269" i="1"/>
  <c r="R269" i="1"/>
  <c r="Q270" i="1"/>
  <c r="R270" i="1"/>
  <c r="Q271" i="1"/>
  <c r="R271" i="1"/>
  <c r="Q272" i="1"/>
  <c r="R272" i="1"/>
  <c r="Q273" i="1"/>
  <c r="R273" i="1"/>
  <c r="Q275" i="1"/>
  <c r="R275" i="1"/>
  <c r="Q276" i="1"/>
  <c r="R276" i="1"/>
  <c r="Q277" i="1"/>
  <c r="R277" i="1"/>
  <c r="Q278" i="1"/>
  <c r="R278" i="1"/>
  <c r="Q279" i="1"/>
  <c r="R279" i="1"/>
  <c r="R280" i="1"/>
  <c r="Q283" i="1"/>
  <c r="R283" i="1"/>
  <c r="Q284" i="1"/>
  <c r="R284" i="1"/>
  <c r="Q285" i="1"/>
  <c r="R285" i="1"/>
  <c r="R286" i="1"/>
  <c r="R288" i="1"/>
  <c r="Q289" i="1"/>
  <c r="R289" i="1"/>
  <c r="Q291" i="1"/>
  <c r="R291" i="1"/>
  <c r="Q294" i="1"/>
  <c r="R294" i="1"/>
  <c r="Q298" i="1"/>
  <c r="R298" i="1"/>
  <c r="Q299" i="1"/>
  <c r="R299" i="1"/>
  <c r="R300" i="1"/>
  <c r="R301" i="1"/>
  <c r="R304" i="1"/>
  <c r="Q309" i="1"/>
  <c r="R309" i="1"/>
  <c r="Q310" i="1"/>
  <c r="R310" i="1"/>
  <c r="Q313" i="1"/>
  <c r="R313" i="1"/>
  <c r="Q314" i="1"/>
  <c r="R314" i="1"/>
  <c r="Q315" i="1"/>
  <c r="R315" i="1"/>
  <c r="Q316" i="1"/>
  <c r="R316" i="1"/>
  <c r="Q317" i="1"/>
  <c r="R317" i="1"/>
  <c r="Q318" i="1"/>
  <c r="R318" i="1"/>
  <c r="Q319" i="1"/>
  <c r="R319" i="1"/>
  <c r="Q320" i="1"/>
  <c r="R320" i="1"/>
  <c r="Q321" i="1"/>
  <c r="R321" i="1"/>
  <c r="Q324" i="1"/>
  <c r="R324" i="1"/>
  <c r="Q325" i="1"/>
  <c r="R325" i="1"/>
  <c r="Q326" i="1"/>
  <c r="R326" i="1"/>
  <c r="Q327" i="1"/>
  <c r="R327" i="1"/>
  <c r="Q328" i="1"/>
  <c r="R328" i="1"/>
  <c r="Q329" i="1"/>
  <c r="R329" i="1"/>
  <c r="Q330" i="1"/>
  <c r="R330" i="1"/>
  <c r="Q331" i="1"/>
  <c r="R331" i="1"/>
  <c r="Q332" i="1"/>
  <c r="R332" i="1"/>
  <c r="Q333" i="1"/>
  <c r="R333" i="1"/>
  <c r="Q334" i="1"/>
  <c r="R334" i="1"/>
  <c r="Q335" i="1"/>
  <c r="R335" i="1"/>
  <c r="Q336" i="1"/>
  <c r="R336" i="1"/>
  <c r="Q337" i="1"/>
  <c r="R337" i="1"/>
  <c r="Q338" i="1"/>
  <c r="R338" i="1"/>
  <c r="Q339" i="1"/>
  <c r="R339" i="1"/>
  <c r="Q343" i="1"/>
  <c r="R343" i="1"/>
  <c r="R344" i="1"/>
  <c r="R345" i="1"/>
  <c r="S345" i="1"/>
  <c r="R346" i="1"/>
  <c r="S346" i="1"/>
  <c r="R347" i="1"/>
  <c r="Q353" i="1"/>
  <c r="R353" i="1"/>
  <c r="Q354" i="1"/>
  <c r="R354" i="1"/>
  <c r="Q356" i="1"/>
  <c r="R356" i="1"/>
  <c r="Q357" i="1"/>
  <c r="R357" i="1"/>
  <c r="Q358" i="1"/>
  <c r="R358" i="1"/>
  <c r="Q359" i="1"/>
  <c r="R359" i="1"/>
  <c r="Q360" i="1"/>
  <c r="R360" i="1"/>
  <c r="Q362" i="1"/>
  <c r="R362" i="1"/>
  <c r="Q363" i="1"/>
  <c r="R363" i="1"/>
  <c r="Q365" i="1"/>
  <c r="R365" i="1"/>
  <c r="Q366" i="1"/>
  <c r="R366" i="1"/>
  <c r="Q367" i="1"/>
  <c r="R367" i="1"/>
  <c r="Q368" i="1"/>
  <c r="R368" i="1"/>
  <c r="Q369" i="1"/>
  <c r="R369" i="1"/>
  <c r="Q370" i="1"/>
  <c r="R370" i="1"/>
  <c r="Q371" i="1"/>
  <c r="Q372" i="1"/>
  <c r="R372" i="1"/>
  <c r="Q373" i="1"/>
  <c r="R373" i="1"/>
  <c r="Q374" i="1"/>
  <c r="R374" i="1"/>
  <c r="Q375" i="1"/>
  <c r="R375" i="1"/>
  <c r="Q378" i="1"/>
  <c r="R378" i="1"/>
  <c r="Q379" i="1"/>
  <c r="R379" i="1"/>
  <c r="Q380" i="1"/>
  <c r="R380" i="1"/>
  <c r="Q381" i="1"/>
  <c r="R381" i="1"/>
  <c r="R382" i="1"/>
  <c r="R386" i="1"/>
  <c r="Q395" i="1"/>
  <c r="R395" i="1"/>
  <c r="Q396" i="1"/>
  <c r="R396" i="1"/>
  <c r="Q397" i="1"/>
  <c r="R397" i="1"/>
  <c r="Q398" i="1"/>
  <c r="R398" i="1"/>
  <c r="Q399" i="1"/>
  <c r="R399" i="1"/>
  <c r="Q400" i="1"/>
  <c r="R400" i="1"/>
  <c r="Q401" i="1"/>
  <c r="R401" i="1"/>
  <c r="Q403" i="1"/>
  <c r="R403" i="1"/>
  <c r="Q404" i="1"/>
  <c r="R404" i="1"/>
  <c r="Q405" i="1"/>
  <c r="R405" i="1"/>
  <c r="Q408" i="1"/>
  <c r="R408" i="1"/>
  <c r="Q409" i="1"/>
  <c r="R409" i="1"/>
  <c r="Q410" i="1"/>
  <c r="R410" i="1"/>
  <c r="Q411" i="1"/>
  <c r="R411" i="1"/>
  <c r="Q412" i="1"/>
  <c r="R412" i="1"/>
  <c r="Q413" i="1"/>
  <c r="R413" i="1"/>
  <c r="Q414" i="1"/>
  <c r="R414" i="1"/>
  <c r="Q415" i="1"/>
  <c r="R415" i="1"/>
  <c r="Q416" i="1"/>
  <c r="R416" i="1"/>
  <c r="Q417" i="1"/>
  <c r="R417" i="1"/>
  <c r="Q418" i="1"/>
  <c r="R418" i="1"/>
  <c r="Q419" i="1"/>
  <c r="R419" i="1"/>
  <c r="Q420" i="1"/>
  <c r="R420" i="1"/>
  <c r="Q421" i="1"/>
  <c r="R421" i="1"/>
  <c r="Q422" i="1"/>
  <c r="R422" i="1"/>
  <c r="Q423" i="1"/>
  <c r="R423" i="1"/>
  <c r="Q424" i="1"/>
  <c r="R424" i="1"/>
  <c r="Q425" i="1"/>
  <c r="R425" i="1"/>
  <c r="Q428" i="1"/>
  <c r="R428" i="1"/>
  <c r="Q435" i="1"/>
  <c r="R435" i="1"/>
  <c r="Q442" i="1"/>
  <c r="R442" i="1"/>
  <c r="Q449" i="1"/>
  <c r="R449" i="1"/>
  <c r="Q451" i="1"/>
  <c r="R451" i="1"/>
  <c r="Q459" i="1"/>
  <c r="R459" i="1"/>
  <c r="Q469" i="1"/>
  <c r="R469" i="1"/>
  <c r="Q479" i="1"/>
  <c r="R479" i="1"/>
  <c r="Q480" i="1"/>
  <c r="R480" i="1"/>
  <c r="S480" i="1"/>
  <c r="Q481" i="1"/>
  <c r="R481" i="1"/>
  <c r="Q482" i="1"/>
  <c r="Q483" i="1"/>
  <c r="Q484" i="1"/>
  <c r="Q485" i="1"/>
  <c r="Q486" i="1"/>
  <c r="Q487" i="1"/>
  <c r="Q488" i="1"/>
  <c r="R488" i="1"/>
  <c r="Q489" i="1"/>
  <c r="Q490" i="1"/>
  <c r="Q491" i="1"/>
  <c r="Q492" i="1"/>
  <c r="Q493" i="1"/>
  <c r="Q494" i="1"/>
  <c r="Q495" i="1"/>
  <c r="R495" i="1"/>
  <c r="Q502" i="1"/>
  <c r="R502" i="1"/>
  <c r="Q504" i="1"/>
  <c r="R504" i="1"/>
  <c r="Q505" i="1"/>
  <c r="R505" i="1"/>
  <c r="Q506" i="1"/>
  <c r="R506" i="1"/>
  <c r="Q507" i="1"/>
  <c r="R507" i="1"/>
  <c r="Q508" i="1"/>
  <c r="R508" i="1"/>
  <c r="Q509" i="1"/>
  <c r="R509" i="1"/>
  <c r="Q510" i="1"/>
  <c r="R510" i="1"/>
  <c r="Q511" i="1"/>
  <c r="R511" i="1"/>
  <c r="Q512" i="1"/>
  <c r="R512" i="1"/>
  <c r="Q513" i="1"/>
  <c r="R513" i="1"/>
  <c r="Q514" i="1"/>
  <c r="R514" i="1"/>
  <c r="Q515" i="1"/>
  <c r="R515" i="1"/>
  <c r="Q516" i="1"/>
  <c r="R516" i="1"/>
  <c r="Q517" i="1"/>
  <c r="R517" i="1"/>
  <c r="Q518" i="1"/>
  <c r="R518" i="1"/>
  <c r="Q519" i="1"/>
  <c r="R519" i="1"/>
  <c r="R520" i="1"/>
  <c r="Q522" i="1"/>
  <c r="R522" i="1"/>
  <c r="Q523" i="1"/>
  <c r="R523" i="1"/>
  <c r="Q524" i="1"/>
  <c r="R524" i="1"/>
  <c r="Q527" i="1"/>
  <c r="R527" i="1"/>
  <c r="R528" i="1"/>
  <c r="Q529" i="1"/>
  <c r="R529" i="1"/>
  <c r="R530" i="1"/>
  <c r="R531" i="1"/>
  <c r="R532" i="1"/>
  <c r="Q534" i="1"/>
  <c r="R534" i="1"/>
  <c r="Q535" i="1"/>
  <c r="R535" i="1"/>
  <c r="Q536" i="1"/>
  <c r="R536" i="1"/>
  <c r="Q537" i="1"/>
  <c r="R537" i="1"/>
  <c r="Q538" i="1"/>
  <c r="R538" i="1"/>
  <c r="Q541" i="1"/>
  <c r="R541" i="1"/>
  <c r="Q542" i="1"/>
  <c r="R542" i="1"/>
  <c r="Q543" i="1"/>
  <c r="R543" i="1"/>
  <c r="Q544" i="1"/>
  <c r="R544" i="1"/>
  <c r="Q545" i="1"/>
  <c r="R545" i="1"/>
  <c r="Q547" i="1"/>
  <c r="R547" i="1"/>
  <c r="Q548" i="1"/>
  <c r="R548" i="1"/>
  <c r="Q549" i="1"/>
  <c r="R549" i="1"/>
  <c r="R550" i="1"/>
  <c r="Q553" i="1"/>
  <c r="R553" i="1"/>
  <c r="Q554" i="1"/>
  <c r="R554" i="1"/>
  <c r="Q555" i="1"/>
  <c r="R555" i="1"/>
  <c r="Q556" i="1"/>
  <c r="R556" i="1"/>
  <c r="Q558" i="1"/>
  <c r="R558" i="1"/>
  <c r="Q559" i="1"/>
  <c r="R559" i="1"/>
  <c r="Q561" i="1"/>
  <c r="R561" i="1"/>
  <c r="Q562" i="1"/>
  <c r="R562" i="1"/>
  <c r="Q563" i="1"/>
  <c r="R563" i="1"/>
  <c r="Q564" i="1"/>
  <c r="R564" i="1"/>
  <c r="Q565" i="1"/>
  <c r="R565" i="1"/>
  <c r="Q567" i="1"/>
  <c r="R567" i="1"/>
  <c r="Q568" i="1"/>
  <c r="R568" i="1"/>
  <c r="Q569" i="1"/>
  <c r="R569" i="1"/>
  <c r="Q570" i="1"/>
  <c r="R570" i="1"/>
  <c r="Q571" i="1"/>
  <c r="R571" i="1"/>
  <c r="R572" i="1"/>
  <c r="Q580" i="1"/>
  <c r="R580" i="1"/>
  <c r="Q581" i="1"/>
  <c r="R581" i="1"/>
  <c r="Q582" i="1"/>
  <c r="R582" i="1"/>
  <c r="Q583" i="1"/>
  <c r="R583" i="1"/>
  <c r="Q584" i="1"/>
  <c r="R584" i="1"/>
  <c r="Q587" i="1"/>
  <c r="R587" i="1"/>
  <c r="Q588" i="1"/>
  <c r="R588" i="1"/>
  <c r="Q589" i="1"/>
  <c r="R589" i="1"/>
  <c r="R590" i="1"/>
  <c r="R592" i="1"/>
  <c r="R595" i="1"/>
  <c r="Q598" i="1"/>
  <c r="R598" i="1"/>
  <c r="Q599" i="1"/>
  <c r="R599" i="1"/>
  <c r="Q600" i="1"/>
  <c r="R600" i="1"/>
  <c r="Q601" i="1"/>
  <c r="R601" i="1"/>
  <c r="R602" i="1"/>
  <c r="R605" i="1"/>
  <c r="R607" i="1"/>
  <c r="Q612" i="1"/>
  <c r="R612" i="1"/>
  <c r="Q613" i="1"/>
  <c r="R613" i="1"/>
  <c r="Q614" i="1"/>
  <c r="R614" i="1"/>
  <c r="Q616" i="1"/>
  <c r="R616" i="1"/>
  <c r="Q617" i="1"/>
  <c r="R617" i="1"/>
  <c r="Q618" i="1"/>
  <c r="R618" i="1"/>
  <c r="Q619" i="1"/>
  <c r="Q620" i="1"/>
  <c r="R620" i="1"/>
  <c r="Q621" i="1"/>
  <c r="R621" i="1"/>
  <c r="Q622" i="1"/>
  <c r="R622" i="1"/>
  <c r="Q623" i="1"/>
  <c r="R623" i="1"/>
  <c r="Q624" i="1"/>
  <c r="R624" i="1"/>
  <c r="Q625" i="1"/>
  <c r="R625" i="1"/>
  <c r="Q626" i="1"/>
  <c r="R626" i="1"/>
  <c r="Q627" i="1"/>
  <c r="R627" i="1"/>
  <c r="Q628" i="1"/>
  <c r="R628" i="1"/>
  <c r="Q629" i="1"/>
  <c r="R629" i="1"/>
  <c r="Q630" i="1"/>
  <c r="R630" i="1"/>
  <c r="Q631" i="1"/>
  <c r="R631" i="1"/>
  <c r="Q632" i="1"/>
  <c r="R632" i="1"/>
  <c r="Q634" i="1"/>
  <c r="R634" i="1"/>
  <c r="Q635" i="1"/>
  <c r="R635" i="1"/>
  <c r="Q636" i="1"/>
  <c r="R636" i="1"/>
  <c r="Q637" i="1"/>
  <c r="R637" i="1"/>
  <c r="Q638" i="1"/>
  <c r="R638" i="1"/>
  <c r="Q639" i="1"/>
  <c r="R639" i="1"/>
  <c r="Q640" i="1"/>
  <c r="R640" i="1"/>
  <c r="Q641" i="1"/>
  <c r="R641" i="1"/>
  <c r="Q643" i="1"/>
  <c r="R643" i="1"/>
  <c r="Q644" i="1"/>
  <c r="R644" i="1"/>
  <c r="Q645" i="1"/>
  <c r="R645" i="1"/>
  <c r="Q646" i="1"/>
  <c r="R646" i="1"/>
  <c r="Q647" i="1"/>
  <c r="R647" i="1"/>
  <c r="R649" i="1"/>
  <c r="Q655" i="1"/>
  <c r="R655" i="1"/>
  <c r="Q657" i="1"/>
  <c r="R657" i="1"/>
  <c r="Q658" i="1"/>
  <c r="R658" i="1"/>
  <c r="Q659" i="1"/>
  <c r="R659" i="1"/>
  <c r="Q660" i="1"/>
  <c r="R660" i="1"/>
  <c r="S660" i="1"/>
  <c r="Q661" i="1"/>
  <c r="R661" i="1"/>
  <c r="Q662" i="1"/>
  <c r="R662" i="1"/>
  <c r="Q663" i="1"/>
  <c r="R663" i="1"/>
  <c r="Q664" i="1"/>
  <c r="R664" i="1"/>
  <c r="Q665" i="1"/>
  <c r="R665" i="1"/>
  <c r="Q666" i="1"/>
  <c r="R666" i="1"/>
  <c r="Q667" i="1"/>
  <c r="R667" i="1"/>
  <c r="Q668" i="1"/>
  <c r="R668" i="1"/>
  <c r="Q669" i="1"/>
  <c r="R669" i="1"/>
  <c r="Q670" i="1"/>
  <c r="R670" i="1"/>
  <c r="Q671" i="1"/>
  <c r="R671" i="1"/>
  <c r="Q672" i="1"/>
  <c r="R672" i="1"/>
  <c r="Q673" i="1"/>
  <c r="R673" i="1"/>
  <c r="Q676" i="1"/>
  <c r="R676" i="1"/>
  <c r="Q677" i="1"/>
  <c r="R677" i="1"/>
  <c r="Q678" i="1"/>
  <c r="R678" i="1"/>
  <c r="Q679" i="1"/>
  <c r="R679" i="1"/>
  <c r="Q680" i="1"/>
  <c r="R680" i="1"/>
  <c r="Q681" i="1"/>
  <c r="R681" i="1"/>
  <c r="Q682" i="1"/>
  <c r="R682" i="1"/>
  <c r="Q683" i="1"/>
  <c r="R683" i="1"/>
  <c r="Q684" i="1"/>
  <c r="R684" i="1"/>
  <c r="Q685" i="1"/>
  <c r="R685" i="1"/>
  <c r="Q686" i="1"/>
  <c r="R686" i="1"/>
  <c r="Q687" i="1"/>
  <c r="R687" i="1"/>
  <c r="Q691" i="1"/>
  <c r="R691" i="1"/>
  <c r="Q692" i="1"/>
  <c r="R692" i="1"/>
  <c r="Q694" i="1"/>
  <c r="R694" i="1"/>
  <c r="R695" i="1"/>
  <c r="Q758" i="1"/>
  <c r="R758" i="1"/>
  <c r="Q759" i="1"/>
  <c r="R759" i="1"/>
  <c r="Q762" i="1"/>
  <c r="R762" i="1"/>
  <c r="Q763" i="1"/>
  <c r="R763" i="1"/>
  <c r="Q811" i="1"/>
  <c r="R811" i="1"/>
  <c r="Q812" i="1"/>
  <c r="R812" i="1"/>
  <c r="Q814" i="1"/>
  <c r="R814" i="1"/>
  <c r="Q815" i="1"/>
  <c r="R815" i="1"/>
  <c r="Q816" i="1"/>
  <c r="R816" i="1"/>
  <c r="Q817" i="1"/>
  <c r="R817" i="1"/>
  <c r="Q818" i="1"/>
  <c r="Q819" i="1"/>
  <c r="R819" i="1"/>
  <c r="Q820" i="1"/>
  <c r="R820" i="1"/>
  <c r="Q821" i="1"/>
  <c r="R821" i="1"/>
  <c r="Q822" i="1"/>
  <c r="R822" i="1"/>
  <c r="Q823" i="1"/>
  <c r="R823" i="1"/>
  <c r="Q824" i="1"/>
  <c r="R824" i="1"/>
  <c r="Q827" i="1"/>
  <c r="R827" i="1"/>
  <c r="Q828" i="1"/>
  <c r="R828" i="1"/>
  <c r="Q829" i="1"/>
  <c r="R829" i="1"/>
  <c r="Q830" i="1"/>
  <c r="R830" i="1"/>
  <c r="Q831" i="1"/>
  <c r="R831" i="1"/>
  <c r="Q832" i="1"/>
  <c r="R832" i="1"/>
  <c r="Q833" i="1"/>
  <c r="R833" i="1"/>
  <c r="Q834" i="1"/>
  <c r="R834" i="1"/>
  <c r="Q835" i="1"/>
  <c r="R835" i="1"/>
  <c r="Q836" i="1"/>
  <c r="R836" i="1"/>
  <c r="Q837" i="1"/>
  <c r="R837" i="1"/>
  <c r="S837" i="1"/>
  <c r="Q838" i="1"/>
  <c r="R838" i="1"/>
  <c r="Q839" i="1"/>
  <c r="R839" i="1"/>
  <c r="Q840" i="1"/>
  <c r="R840" i="1"/>
  <c r="Q841" i="1"/>
  <c r="R841" i="1"/>
  <c r="Q842" i="1"/>
  <c r="R842" i="1"/>
  <c r="Q843" i="1"/>
  <c r="R843" i="1"/>
  <c r="Q844" i="1"/>
  <c r="R844" i="1"/>
  <c r="Q845" i="1"/>
  <c r="R845" i="1"/>
  <c r="Q846" i="1"/>
  <c r="R846" i="1"/>
  <c r="Q847" i="1"/>
  <c r="R847" i="1"/>
  <c r="Q848" i="1"/>
  <c r="R848" i="1"/>
  <c r="Q849" i="1"/>
  <c r="R849" i="1"/>
  <c r="Q850" i="1"/>
  <c r="R850" i="1"/>
  <c r="Q851" i="1"/>
  <c r="R851" i="1"/>
  <c r="Q852" i="1"/>
  <c r="R852" i="1"/>
  <c r="Q853" i="1"/>
  <c r="R853" i="1"/>
  <c r="Q854" i="1"/>
  <c r="R854" i="1"/>
  <c r="Q855" i="1"/>
  <c r="R855" i="1"/>
  <c r="Q856" i="1"/>
  <c r="R856" i="1"/>
  <c r="Q857" i="1"/>
  <c r="R857" i="1"/>
  <c r="Q858" i="1"/>
  <c r="R858" i="1"/>
  <c r="Q859" i="1"/>
  <c r="R859" i="1"/>
  <c r="Q860" i="1"/>
  <c r="R860" i="1"/>
  <c r="Q861" i="1"/>
  <c r="R861" i="1"/>
  <c r="Q862" i="1"/>
  <c r="R862" i="1"/>
  <c r="Q863" i="1"/>
  <c r="R863" i="1"/>
  <c r="Q864" i="1"/>
  <c r="R864" i="1"/>
  <c r="Q865" i="1"/>
  <c r="R865" i="1"/>
  <c r="Q866" i="1"/>
  <c r="R866" i="1"/>
  <c r="Q867" i="1"/>
  <c r="R867" i="1"/>
  <c r="Q868" i="1"/>
  <c r="R868" i="1"/>
  <c r="Q869" i="1"/>
  <c r="R869" i="1"/>
  <c r="Q870" i="1"/>
  <c r="R870" i="1"/>
  <c r="Q871" i="1"/>
  <c r="R871" i="1"/>
  <c r="Q872" i="1"/>
  <c r="R872" i="1"/>
  <c r="R6" i="1"/>
  <c r="C7" i="13" l="1"/>
  <c r="C8" i="13" s="1"/>
  <c r="M197" i="12"/>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38" i="1"/>
  <c r="P828" i="1"/>
  <c r="P829" i="1"/>
  <c r="P830" i="1"/>
  <c r="P831" i="1"/>
  <c r="P832" i="1"/>
  <c r="P833" i="1"/>
  <c r="P834" i="1"/>
  <c r="P835" i="1"/>
  <c r="P827" i="1"/>
  <c r="P836" i="1" l="1"/>
  <c r="P872" i="1"/>
  <c r="P820" i="1"/>
  <c r="P821" i="1"/>
  <c r="P822" i="1"/>
  <c r="P823" i="1"/>
  <c r="P819" i="1"/>
  <c r="P824" i="1" l="1"/>
  <c r="P815" i="1"/>
  <c r="P816" i="1"/>
  <c r="P814" i="1"/>
  <c r="P817" i="1" s="1"/>
  <c r="P763" i="1"/>
  <c r="P811" i="1"/>
  <c r="P762" i="1"/>
  <c r="P812" i="1" s="1"/>
  <c r="P692" i="1"/>
  <c r="P759" i="1" s="1"/>
  <c r="P758" i="1"/>
  <c r="P695" i="1"/>
  <c r="P694" i="1"/>
  <c r="P691" i="1"/>
  <c r="P677" i="1"/>
  <c r="P678" i="1"/>
  <c r="P679" i="1"/>
  <c r="P680" i="1"/>
  <c r="P681" i="1"/>
  <c r="P682" i="1"/>
  <c r="P683" i="1"/>
  <c r="P684" i="1"/>
  <c r="P685" i="1"/>
  <c r="P686" i="1"/>
  <c r="P676" i="1"/>
  <c r="M685" i="1"/>
  <c r="P687" i="1" l="1"/>
  <c r="S685" i="1"/>
  <c r="P662" i="1"/>
  <c r="P663" i="1"/>
  <c r="P664" i="1"/>
  <c r="P665" i="1"/>
  <c r="P666" i="1"/>
  <c r="P667" i="1"/>
  <c r="P668" i="1"/>
  <c r="S668" i="1" s="1"/>
  <c r="P669" i="1"/>
  <c r="P670" i="1"/>
  <c r="P671" i="1"/>
  <c r="P672" i="1"/>
  <c r="P661" i="1"/>
  <c r="P658" i="1"/>
  <c r="P657" i="1"/>
  <c r="P649" i="1"/>
  <c r="P655" i="1" s="1"/>
  <c r="P644" i="1"/>
  <c r="P645" i="1"/>
  <c r="P646" i="1"/>
  <c r="P643" i="1"/>
  <c r="P635" i="1"/>
  <c r="P636" i="1"/>
  <c r="P637" i="1"/>
  <c r="P638" i="1"/>
  <c r="P639" i="1"/>
  <c r="P640" i="1"/>
  <c r="P641" i="1"/>
  <c r="P634" i="1"/>
  <c r="P621" i="1"/>
  <c r="P622" i="1"/>
  <c r="P623" i="1"/>
  <c r="P624" i="1"/>
  <c r="P625" i="1"/>
  <c r="P626" i="1"/>
  <c r="P627" i="1"/>
  <c r="P628" i="1"/>
  <c r="P629" i="1"/>
  <c r="P630" i="1"/>
  <c r="P631" i="1"/>
  <c r="P620" i="1"/>
  <c r="P588" i="1"/>
  <c r="P589" i="1"/>
  <c r="P590" i="1"/>
  <c r="P592" i="1"/>
  <c r="P595" i="1"/>
  <c r="P598" i="1"/>
  <c r="P599" i="1"/>
  <c r="P600" i="1"/>
  <c r="P601" i="1"/>
  <c r="P602" i="1"/>
  <c r="P605" i="1"/>
  <c r="P607" i="1"/>
  <c r="P608" i="1"/>
  <c r="P609" i="1"/>
  <c r="P612" i="1"/>
  <c r="P613" i="1"/>
  <c r="P614" i="1"/>
  <c r="P616" i="1"/>
  <c r="P617" i="1"/>
  <c r="P587" i="1"/>
  <c r="P505" i="1"/>
  <c r="P506" i="1"/>
  <c r="P507" i="1"/>
  <c r="P508" i="1"/>
  <c r="P509" i="1"/>
  <c r="P510" i="1"/>
  <c r="P511" i="1"/>
  <c r="P512" i="1"/>
  <c r="P513" i="1"/>
  <c r="P514" i="1"/>
  <c r="P515" i="1"/>
  <c r="P516" i="1"/>
  <c r="P517" i="1"/>
  <c r="P518" i="1"/>
  <c r="P519" i="1"/>
  <c r="P520" i="1"/>
  <c r="P521" i="1"/>
  <c r="P522" i="1"/>
  <c r="P523" i="1"/>
  <c r="P524" i="1"/>
  <c r="P527" i="1"/>
  <c r="P528" i="1"/>
  <c r="P529" i="1"/>
  <c r="P530" i="1"/>
  <c r="P531" i="1"/>
  <c r="P532" i="1"/>
  <c r="P534" i="1"/>
  <c r="P535" i="1"/>
  <c r="P536" i="1"/>
  <c r="P537" i="1"/>
  <c r="P538" i="1"/>
  <c r="P539" i="1"/>
  <c r="P541" i="1"/>
  <c r="P542" i="1"/>
  <c r="P543" i="1"/>
  <c r="P544" i="1"/>
  <c r="P545" i="1"/>
  <c r="P547" i="1"/>
  <c r="P548" i="1"/>
  <c r="P549" i="1"/>
  <c r="P550" i="1"/>
  <c r="P553" i="1"/>
  <c r="P554" i="1"/>
  <c r="P555" i="1"/>
  <c r="P556" i="1"/>
  <c r="P558" i="1"/>
  <c r="P559" i="1"/>
  <c r="P561" i="1"/>
  <c r="P562" i="1"/>
  <c r="P563" i="1"/>
  <c r="P564" i="1"/>
  <c r="P565" i="1"/>
  <c r="P567" i="1"/>
  <c r="P568" i="1"/>
  <c r="P569" i="1"/>
  <c r="P570" i="1"/>
  <c r="P571" i="1"/>
  <c r="P572" i="1"/>
  <c r="P573" i="1"/>
  <c r="P574" i="1"/>
  <c r="P575" i="1"/>
  <c r="P576" i="1"/>
  <c r="P577" i="1"/>
  <c r="P578" i="1"/>
  <c r="P579" i="1"/>
  <c r="P580" i="1"/>
  <c r="P581" i="1"/>
  <c r="P582" i="1"/>
  <c r="P583" i="1"/>
  <c r="P504" i="1"/>
  <c r="P488" i="1"/>
  <c r="P495" i="1"/>
  <c r="P481" i="1"/>
  <c r="P459" i="1"/>
  <c r="P469" i="1"/>
  <c r="P451" i="1"/>
  <c r="P435" i="1"/>
  <c r="P442" i="1"/>
  <c r="P449" i="1"/>
  <c r="P428" i="1"/>
  <c r="P409" i="1"/>
  <c r="P410" i="1"/>
  <c r="P411" i="1"/>
  <c r="P412" i="1"/>
  <c r="P413" i="1"/>
  <c r="P414" i="1"/>
  <c r="P415" i="1"/>
  <c r="P416" i="1"/>
  <c r="P417" i="1"/>
  <c r="P418" i="1"/>
  <c r="P419" i="1"/>
  <c r="P420" i="1"/>
  <c r="P421" i="1"/>
  <c r="P422" i="1"/>
  <c r="P423" i="1"/>
  <c r="P424" i="1"/>
  <c r="P408" i="1"/>
  <c r="P404" i="1"/>
  <c r="P403" i="1"/>
  <c r="P386" i="1"/>
  <c r="P395" i="1"/>
  <c r="P396" i="1"/>
  <c r="P397" i="1"/>
  <c r="P398" i="1"/>
  <c r="P399" i="1"/>
  <c r="P400" i="1"/>
  <c r="P379" i="1"/>
  <c r="P380" i="1"/>
  <c r="P381" i="1"/>
  <c r="P382" i="1"/>
  <c r="P378" i="1"/>
  <c r="P344" i="1"/>
  <c r="P347" i="1"/>
  <c r="P353" i="1"/>
  <c r="P354" i="1"/>
  <c r="P356" i="1"/>
  <c r="P357" i="1"/>
  <c r="P358" i="1"/>
  <c r="P359" i="1"/>
  <c r="P360" i="1"/>
  <c r="P362" i="1"/>
  <c r="P363" i="1"/>
  <c r="P365" i="1"/>
  <c r="P366" i="1"/>
  <c r="P367" i="1"/>
  <c r="P368" i="1"/>
  <c r="P369" i="1"/>
  <c r="P370" i="1"/>
  <c r="P371" i="1"/>
  <c r="S371" i="1" s="1"/>
  <c r="P372" i="1"/>
  <c r="P373" i="1"/>
  <c r="P374" i="1"/>
  <c r="P343" i="1"/>
  <c r="P325" i="1"/>
  <c r="P326" i="1"/>
  <c r="P327" i="1"/>
  <c r="P328" i="1"/>
  <c r="P329" i="1"/>
  <c r="P330" i="1"/>
  <c r="P331" i="1"/>
  <c r="P332" i="1"/>
  <c r="P333" i="1"/>
  <c r="P334" i="1"/>
  <c r="P335" i="1"/>
  <c r="P336" i="1"/>
  <c r="P337" i="1"/>
  <c r="P338" i="1"/>
  <c r="P324" i="1"/>
  <c r="P314" i="1"/>
  <c r="P315" i="1"/>
  <c r="P316" i="1"/>
  <c r="P317" i="1"/>
  <c r="P318" i="1"/>
  <c r="P319" i="1"/>
  <c r="P320" i="1"/>
  <c r="P313" i="1"/>
  <c r="P294" i="1"/>
  <c r="P298" i="1"/>
  <c r="P299" i="1"/>
  <c r="P300" i="1"/>
  <c r="P301" i="1"/>
  <c r="S301" i="1" s="1"/>
  <c r="P304" i="1"/>
  <c r="P309" i="1"/>
  <c r="P291" i="1"/>
  <c r="P283" i="1"/>
  <c r="P284" i="1"/>
  <c r="P285" i="1"/>
  <c r="P286" i="1"/>
  <c r="P288" i="1"/>
  <c r="P276" i="1"/>
  <c r="P277" i="1"/>
  <c r="P278" i="1"/>
  <c r="P279" i="1"/>
  <c r="P280" i="1"/>
  <c r="P275" i="1"/>
  <c r="P239" i="1"/>
  <c r="P240" i="1"/>
  <c r="P241" i="1"/>
  <c r="P245" i="1"/>
  <c r="P247" i="1"/>
  <c r="P248" i="1"/>
  <c r="P249" i="1"/>
  <c r="P250" i="1"/>
  <c r="P251" i="1"/>
  <c r="P252" i="1"/>
  <c r="P253" i="1"/>
  <c r="P254" i="1"/>
  <c r="P255" i="1"/>
  <c r="P256" i="1"/>
  <c r="P257" i="1"/>
  <c r="P258" i="1"/>
  <c r="P262" i="1"/>
  <c r="P263" i="1"/>
  <c r="P264" i="1"/>
  <c r="P265" i="1"/>
  <c r="P266" i="1"/>
  <c r="P267" i="1"/>
  <c r="P268" i="1"/>
  <c r="P269" i="1"/>
  <c r="P270" i="1"/>
  <c r="P271" i="1"/>
  <c r="P272" i="1"/>
  <c r="P237" i="1"/>
  <c r="P234" i="1"/>
  <c r="P233" i="1"/>
  <c r="P228" i="1"/>
  <c r="P230" i="1"/>
  <c r="P226" i="1"/>
  <c r="P172" i="1"/>
  <c r="P173" i="1"/>
  <c r="P183" i="1"/>
  <c r="P184" i="1"/>
  <c r="P185" i="1"/>
  <c r="P186" i="1"/>
  <c r="P187" i="1"/>
  <c r="P188" i="1"/>
  <c r="P189" i="1"/>
  <c r="P193" i="1"/>
  <c r="P194" i="1"/>
  <c r="P195" i="1"/>
  <c r="P207" i="1"/>
  <c r="P208" i="1"/>
  <c r="P209" i="1"/>
  <c r="P210" i="1"/>
  <c r="P211" i="1"/>
  <c r="P212" i="1"/>
  <c r="P213" i="1"/>
  <c r="P220" i="1"/>
  <c r="P221" i="1"/>
  <c r="P171" i="1"/>
  <c r="P170" i="1"/>
  <c r="P125" i="1"/>
  <c r="P126" i="1"/>
  <c r="P165" i="1"/>
  <c r="P166" i="1"/>
  <c r="P167" i="1"/>
  <c r="P124" i="1"/>
  <c r="P115" i="1"/>
  <c r="P116" i="1"/>
  <c r="P120" i="1"/>
  <c r="P121" i="1"/>
  <c r="P114" i="1"/>
  <c r="P89" i="1"/>
  <c r="P98" i="1"/>
  <c r="P100" i="1"/>
  <c r="P86" i="1"/>
  <c r="P85" i="1"/>
  <c r="P81" i="1"/>
  <c r="P76" i="1"/>
  <c r="P21" i="1"/>
  <c r="P22" i="1"/>
  <c r="P27" i="1"/>
  <c r="P33" i="1"/>
  <c r="P34" i="1"/>
  <c r="P35" i="1"/>
  <c r="P69" i="1"/>
  <c r="P70" i="1"/>
  <c r="P71" i="1"/>
  <c r="P72" i="1"/>
  <c r="P73" i="1"/>
  <c r="P6" i="1"/>
  <c r="P82" i="1" l="1"/>
  <c r="P502" i="1"/>
  <c r="P659" i="1"/>
  <c r="P231" i="1"/>
  <c r="P235" i="1"/>
  <c r="P405" i="1"/>
  <c r="P632" i="1"/>
  <c r="P647" i="1"/>
  <c r="P339" i="1"/>
  <c r="P375" i="1"/>
  <c r="P425" i="1"/>
  <c r="P168" i="1"/>
  <c r="P584" i="1"/>
  <c r="P618" i="1"/>
  <c r="P289" i="1"/>
  <c r="P321" i="1"/>
  <c r="P479" i="1"/>
  <c r="P122" i="1"/>
  <c r="P310" i="1"/>
  <c r="P74" i="1"/>
  <c r="P273" i="1"/>
  <c r="P401" i="1"/>
  <c r="P223" i="1"/>
  <c r="P112" i="1"/>
  <c r="P673" i="1"/>
  <c r="K747" i="1"/>
  <c r="K746" i="1"/>
  <c r="K756" i="1"/>
  <c r="K755" i="1"/>
  <c r="K719" i="1"/>
  <c r="K718" i="1"/>
  <c r="K717" i="1"/>
  <c r="K716" i="1"/>
  <c r="P873" i="1" l="1"/>
  <c r="P878" i="1" s="1"/>
  <c r="P879" i="1" s="1"/>
  <c r="K391" i="1"/>
  <c r="K390" i="1"/>
  <c r="K346" i="1"/>
  <c r="Q346" i="1" s="1"/>
  <c r="K301" i="1"/>
  <c r="K204" i="1"/>
  <c r="K203" i="1"/>
  <c r="K197" i="1"/>
  <c r="K202" i="1"/>
  <c r="H198" i="1"/>
  <c r="K198" i="1" s="1"/>
  <c r="K201" i="1"/>
  <c r="H200" i="1"/>
  <c r="K200" i="1" s="1"/>
  <c r="H199" i="1"/>
  <c r="K199" i="1" s="1"/>
  <c r="H191" i="1"/>
  <c r="K174" i="1"/>
  <c r="K106" i="1"/>
  <c r="K105" i="1"/>
  <c r="K104" i="1"/>
  <c r="K103" i="1"/>
  <c r="K102" i="1"/>
  <c r="K101" i="1"/>
  <c r="H25" i="1"/>
  <c r="K300" i="1" l="1"/>
  <c r="Q300" i="1" s="1"/>
  <c r="Q301" i="1"/>
  <c r="M875" i="1"/>
  <c r="K100" i="1"/>
  <c r="Q100" i="1" s="1"/>
  <c r="K594" i="1"/>
  <c r="K593" i="1"/>
  <c r="K591" i="1"/>
  <c r="K590" i="1" s="1"/>
  <c r="Q590" i="1" s="1"/>
  <c r="K604" i="1"/>
  <c r="K603" i="1"/>
  <c r="K606" i="1"/>
  <c r="K605" i="1" s="1"/>
  <c r="Q605" i="1" s="1"/>
  <c r="K592" i="1" l="1"/>
  <c r="Q592" i="1" s="1"/>
  <c r="K602" i="1"/>
  <c r="Q602" i="1" s="1"/>
  <c r="K609" i="1"/>
  <c r="K608" i="1"/>
  <c r="K597" i="1"/>
  <c r="K596" i="1"/>
  <c r="K754" i="1"/>
  <c r="K753" i="1"/>
  <c r="K752" i="1"/>
  <c r="K751" i="1"/>
  <c r="K750" i="1"/>
  <c r="K749" i="1"/>
  <c r="K748" i="1"/>
  <c r="K745" i="1"/>
  <c r="K744" i="1"/>
  <c r="K743" i="1"/>
  <c r="K742" i="1"/>
  <c r="K741" i="1"/>
  <c r="K740" i="1"/>
  <c r="K739" i="1"/>
  <c r="K737" i="1"/>
  <c r="K736" i="1"/>
  <c r="I735" i="1"/>
  <c r="K735" i="1" s="1"/>
  <c r="K734" i="1"/>
  <c r="K733" i="1"/>
  <c r="K732" i="1"/>
  <c r="K731" i="1"/>
  <c r="I730" i="1"/>
  <c r="K730" i="1" s="1"/>
  <c r="I729" i="1"/>
  <c r="K729" i="1" s="1"/>
  <c r="K728" i="1"/>
  <c r="I727" i="1"/>
  <c r="K727" i="1" s="1"/>
  <c r="K726" i="1"/>
  <c r="K725" i="1"/>
  <c r="I724" i="1"/>
  <c r="K724" i="1" s="1"/>
  <c r="K723" i="1"/>
  <c r="I722" i="1"/>
  <c r="K722" i="1" s="1"/>
  <c r="K721" i="1"/>
  <c r="K715" i="1"/>
  <c r="K714" i="1"/>
  <c r="K713" i="1"/>
  <c r="K712" i="1"/>
  <c r="K711" i="1"/>
  <c r="K710" i="1"/>
  <c r="K709" i="1"/>
  <c r="K708" i="1"/>
  <c r="K707" i="1"/>
  <c r="I706" i="1"/>
  <c r="K706" i="1" s="1"/>
  <c r="K705" i="1"/>
  <c r="K704" i="1"/>
  <c r="K703" i="1"/>
  <c r="K702" i="1"/>
  <c r="K701" i="1"/>
  <c r="I700" i="1"/>
  <c r="K700" i="1" s="1"/>
  <c r="K699" i="1"/>
  <c r="K698" i="1"/>
  <c r="K697" i="1"/>
  <c r="K181" i="1"/>
  <c r="H190" i="1"/>
  <c r="K79" i="1"/>
  <c r="K607" i="1" l="1"/>
  <c r="Q607" i="1" s="1"/>
  <c r="K595" i="1"/>
  <c r="Q595" i="1" s="1"/>
  <c r="K695" i="1"/>
  <c r="Q695" i="1" s="1"/>
  <c r="K654" i="1" l="1"/>
  <c r="K653" i="1"/>
  <c r="K652" i="1"/>
  <c r="K651" i="1"/>
  <c r="K650" i="1"/>
  <c r="K574" i="1"/>
  <c r="K575" i="1"/>
  <c r="K576" i="1"/>
  <c r="K577" i="1"/>
  <c r="K578" i="1"/>
  <c r="K579" i="1"/>
  <c r="K573" i="1"/>
  <c r="K528" i="1"/>
  <c r="Q528" i="1" s="1"/>
  <c r="I53" i="11"/>
  <c r="I54" i="11"/>
  <c r="H48" i="11"/>
  <c r="I48" i="11"/>
  <c r="J34" i="11"/>
  <c r="J35" i="11"/>
  <c r="J36" i="11"/>
  <c r="J37" i="11"/>
  <c r="J38" i="11"/>
  <c r="I23" i="11"/>
  <c r="I24" i="11"/>
  <c r="I25" i="11"/>
  <c r="I26" i="11"/>
  <c r="I27" i="11"/>
  <c r="I28" i="11"/>
  <c r="I29" i="11"/>
  <c r="I30" i="11"/>
  <c r="I31" i="11"/>
  <c r="I32" i="11"/>
  <c r="I33" i="11"/>
  <c r="I34" i="11"/>
  <c r="I35" i="11"/>
  <c r="I36" i="11"/>
  <c r="I37" i="11"/>
  <c r="I38" i="11"/>
  <c r="H38" i="11"/>
  <c r="H37" i="11"/>
  <c r="H36" i="11"/>
  <c r="H35" i="11"/>
  <c r="H34" i="11"/>
  <c r="I9" i="11"/>
  <c r="I10" i="11"/>
  <c r="I11" i="11"/>
  <c r="I12" i="11"/>
  <c r="I13" i="11"/>
  <c r="I14" i="11"/>
  <c r="J71" i="11"/>
  <c r="I71" i="11"/>
  <c r="H71" i="11"/>
  <c r="J70" i="11"/>
  <c r="I70" i="11"/>
  <c r="H70" i="11"/>
  <c r="J69" i="11"/>
  <c r="I69" i="11"/>
  <c r="H69" i="11"/>
  <c r="J54" i="11"/>
  <c r="H54" i="11"/>
  <c r="J53" i="11"/>
  <c r="H53" i="11"/>
  <c r="J52" i="11"/>
  <c r="I52" i="11"/>
  <c r="H52" i="11"/>
  <c r="J51" i="11"/>
  <c r="I51" i="11"/>
  <c r="H51" i="11"/>
  <c r="J50" i="11"/>
  <c r="I50" i="11"/>
  <c r="H50" i="11"/>
  <c r="J47" i="11"/>
  <c r="I47" i="11"/>
  <c r="H47" i="11"/>
  <c r="J46" i="11"/>
  <c r="I46" i="11"/>
  <c r="H46" i="11"/>
  <c r="J45" i="11"/>
  <c r="I45" i="11"/>
  <c r="H45" i="11"/>
  <c r="J44" i="11"/>
  <c r="I44" i="11"/>
  <c r="H44" i="11"/>
  <c r="J43" i="11"/>
  <c r="I43" i="11"/>
  <c r="H43" i="11"/>
  <c r="H33" i="11"/>
  <c r="J33" i="11"/>
  <c r="J32" i="11"/>
  <c r="H32" i="11"/>
  <c r="J31" i="11"/>
  <c r="H31" i="11"/>
  <c r="J30" i="11"/>
  <c r="H30" i="11"/>
  <c r="J29" i="11"/>
  <c r="H29" i="11"/>
  <c r="J28" i="11"/>
  <c r="H28" i="11"/>
  <c r="J27" i="11"/>
  <c r="H27" i="11"/>
  <c r="J26" i="11"/>
  <c r="H26" i="11"/>
  <c r="J25" i="11"/>
  <c r="H25" i="11"/>
  <c r="J24" i="11"/>
  <c r="H24" i="11"/>
  <c r="J23" i="11"/>
  <c r="H23" i="11"/>
  <c r="J22" i="11"/>
  <c r="I22" i="11"/>
  <c r="H22" i="11"/>
  <c r="K19" i="11"/>
  <c r="I19" i="11"/>
  <c r="J18" i="11"/>
  <c r="H18" i="11"/>
  <c r="J17" i="11"/>
  <c r="H17" i="11"/>
  <c r="K15" i="11"/>
  <c r="J14" i="11"/>
  <c r="H14" i="11"/>
  <c r="J13" i="11"/>
  <c r="H13" i="11"/>
  <c r="J12" i="11"/>
  <c r="H12" i="11"/>
  <c r="J11" i="11"/>
  <c r="H11" i="11"/>
  <c r="J10" i="11"/>
  <c r="H10" i="11"/>
  <c r="J9" i="11"/>
  <c r="H9" i="11"/>
  <c r="J8" i="11"/>
  <c r="I8" i="11"/>
  <c r="H8" i="11"/>
  <c r="K351" i="1"/>
  <c r="K349" i="1"/>
  <c r="K350" i="1"/>
  <c r="K348" i="1"/>
  <c r="K345" i="1"/>
  <c r="Q345" i="1" s="1"/>
  <c r="J344" i="1"/>
  <c r="K306" i="1"/>
  <c r="K307" i="1"/>
  <c r="K308" i="1"/>
  <c r="K305" i="1"/>
  <c r="K287" i="1"/>
  <c r="K286" i="1" s="1"/>
  <c r="Q286" i="1" s="1"/>
  <c r="K244" i="1"/>
  <c r="K243" i="1"/>
  <c r="K242" i="1"/>
  <c r="K227" i="1"/>
  <c r="K226" i="1" s="1"/>
  <c r="Q226" i="1" s="1"/>
  <c r="K215" i="1"/>
  <c r="K216" i="1"/>
  <c r="K217" i="1"/>
  <c r="K214" i="1"/>
  <c r="K196" i="1"/>
  <c r="K195" i="1" s="1"/>
  <c r="Q195" i="1" s="1"/>
  <c r="H136" i="1"/>
  <c r="H137" i="1" s="1"/>
  <c r="H131" i="1"/>
  <c r="H130" i="1"/>
  <c r="H129" i="1"/>
  <c r="K347" i="1" l="1"/>
  <c r="I72" i="11"/>
  <c r="K344" i="1"/>
  <c r="Q344" i="1" s="1"/>
  <c r="J133" i="1"/>
  <c r="K241" i="1"/>
  <c r="Q241" i="1" s="1"/>
  <c r="Q347" i="1"/>
  <c r="J19" i="11"/>
  <c r="H72" i="11"/>
  <c r="H19" i="11"/>
  <c r="H138" i="1"/>
  <c r="J138" i="1" s="1"/>
  <c r="K649" i="1"/>
  <c r="Q649" i="1" s="1"/>
  <c r="K572" i="1"/>
  <c r="Q572" i="1" s="1"/>
  <c r="I39" i="11"/>
  <c r="H39" i="11"/>
  <c r="J72" i="11"/>
  <c r="H55" i="11"/>
  <c r="I55" i="11"/>
  <c r="J39" i="11"/>
  <c r="J55" i="11"/>
  <c r="H66" i="11"/>
  <c r="I66" i="11"/>
  <c r="J66" i="11"/>
  <c r="I15" i="11"/>
  <c r="K530" i="1" s="1"/>
  <c r="Q530" i="1" s="1"/>
  <c r="H15" i="11"/>
  <c r="J15" i="11"/>
  <c r="K304" i="1"/>
  <c r="Q304" i="1" s="1"/>
  <c r="K213" i="1"/>
  <c r="Q213" i="1" s="1"/>
  <c r="K531" i="1" l="1"/>
  <c r="Q531" i="1" s="1"/>
  <c r="K550" i="1"/>
  <c r="Q550" i="1" s="1"/>
  <c r="K532" i="1"/>
  <c r="Q532" i="1" s="1"/>
  <c r="H146" i="1"/>
  <c r="J146" i="1" s="1"/>
  <c r="K126" i="1" l="1"/>
  <c r="Q126" i="1" s="1"/>
  <c r="K91" i="1"/>
  <c r="K81" i="1"/>
  <c r="Q81" i="1" s="1"/>
  <c r="M358" i="1"/>
  <c r="S358" i="1" s="1"/>
  <c r="I180" i="1"/>
  <c r="K180" i="1" s="1"/>
  <c r="I179" i="1"/>
  <c r="K179" i="1" s="1"/>
  <c r="I178" i="1"/>
  <c r="K178" i="1" s="1"/>
  <c r="I177" i="1"/>
  <c r="K177" i="1" s="1"/>
  <c r="K176" i="1"/>
  <c r="C13" i="9" l="1"/>
  <c r="F13" i="9" s="1"/>
  <c r="E12" i="9"/>
  <c r="F12" i="9" s="1"/>
  <c r="E11" i="9"/>
  <c r="F11" i="9" s="1"/>
  <c r="E10" i="9"/>
  <c r="F10" i="9" s="1"/>
  <c r="E9" i="9"/>
  <c r="F9" i="9" s="1"/>
  <c r="E8" i="9"/>
  <c r="F8" i="9" s="1"/>
  <c r="F7" i="9"/>
  <c r="F5" i="9"/>
  <c r="F4" i="9"/>
  <c r="F3" i="9"/>
  <c r="F14" i="9" l="1"/>
  <c r="H65" i="1" l="1"/>
  <c r="K65" i="1" s="1"/>
  <c r="I64" i="1"/>
  <c r="H64" i="1"/>
  <c r="H63" i="1"/>
  <c r="K63" i="1" s="1"/>
  <c r="I62" i="1"/>
  <c r="H62" i="1"/>
  <c r="I61" i="1"/>
  <c r="H61" i="1"/>
  <c r="I60" i="1"/>
  <c r="H60" i="1"/>
  <c r="I59" i="1"/>
  <c r="H59" i="1"/>
  <c r="I58" i="1"/>
  <c r="H58" i="1"/>
  <c r="I57" i="1"/>
  <c r="H57" i="1"/>
  <c r="H56" i="1"/>
  <c r="H55" i="1"/>
  <c r="I56" i="1"/>
  <c r="I55" i="1"/>
  <c r="H51" i="1"/>
  <c r="H52" i="1"/>
  <c r="H53" i="1"/>
  <c r="H54" i="1"/>
  <c r="I54" i="1"/>
  <c r="I53" i="1"/>
  <c r="I52" i="1"/>
  <c r="H50" i="1"/>
  <c r="I51" i="1"/>
  <c r="I50" i="1"/>
  <c r="I49" i="1"/>
  <c r="H49" i="1"/>
  <c r="I48" i="1"/>
  <c r="K51" i="1" l="1"/>
  <c r="K52" i="1"/>
  <c r="K56" i="1"/>
  <c r="K49" i="1"/>
  <c r="K59" i="1"/>
  <c r="K50" i="1"/>
  <c r="K57" i="1"/>
  <c r="K61" i="1"/>
  <c r="K54" i="1"/>
  <c r="K53" i="1"/>
  <c r="K58" i="1"/>
  <c r="K60" i="1"/>
  <c r="K62" i="1"/>
  <c r="K64" i="1"/>
  <c r="K55" i="1"/>
  <c r="I47" i="1"/>
  <c r="H47" i="1"/>
  <c r="H48" i="1"/>
  <c r="K48" i="1" s="1"/>
  <c r="I46" i="1"/>
  <c r="H46" i="1"/>
  <c r="I45" i="1"/>
  <c r="H45" i="1"/>
  <c r="I44" i="1"/>
  <c r="H44" i="1"/>
  <c r="I43" i="1"/>
  <c r="H43" i="1"/>
  <c r="I42" i="1"/>
  <c r="H42" i="1"/>
  <c r="I41" i="1"/>
  <c r="H41" i="1"/>
  <c r="I40" i="1"/>
  <c r="H40" i="1"/>
  <c r="I39" i="1"/>
  <c r="H39" i="1"/>
  <c r="I38" i="1"/>
  <c r="H38" i="1"/>
  <c r="I37" i="1"/>
  <c r="H37" i="1"/>
  <c r="I36" i="1"/>
  <c r="H36" i="1"/>
  <c r="K41" i="1" l="1"/>
  <c r="K45" i="1"/>
  <c r="K47" i="1"/>
  <c r="K43" i="1"/>
  <c r="K40" i="1"/>
  <c r="K42" i="1"/>
  <c r="K44" i="1"/>
  <c r="K46" i="1"/>
  <c r="K36" i="1"/>
  <c r="K38" i="1"/>
  <c r="K37" i="1"/>
  <c r="K39" i="1"/>
  <c r="K389" i="1"/>
  <c r="K388" i="1"/>
  <c r="K387" i="1"/>
  <c r="K288" i="1"/>
  <c r="Q288" i="1" s="1"/>
  <c r="K281" i="1"/>
  <c r="K280" i="1" s="1"/>
  <c r="Q280" i="1" s="1"/>
  <c r="K260" i="1"/>
  <c r="K261" i="1"/>
  <c r="K259" i="1"/>
  <c r="K222" i="1"/>
  <c r="K191" i="1"/>
  <c r="K190" i="1"/>
  <c r="K175" i="1"/>
  <c r="K119" i="1"/>
  <c r="K118" i="1"/>
  <c r="K117" i="1"/>
  <c r="K221" i="1" l="1"/>
  <c r="Q221" i="1" s="1"/>
  <c r="Q222" i="1"/>
  <c r="K189" i="1"/>
  <c r="Q189" i="1" s="1"/>
  <c r="K173" i="1"/>
  <c r="Q173" i="1" s="1"/>
  <c r="K386" i="1"/>
  <c r="Q386" i="1" s="1"/>
  <c r="K116" i="1"/>
  <c r="Q116" i="1" s="1"/>
  <c r="K258" i="1"/>
  <c r="Q258" i="1" s="1"/>
  <c r="K382" i="1"/>
  <c r="Q382" i="1" s="1"/>
  <c r="K35" i="1"/>
  <c r="Q35" i="1" s="1"/>
  <c r="K95" i="1"/>
  <c r="K94" i="1"/>
  <c r="K93" i="1" l="1"/>
  <c r="K92" i="1"/>
  <c r="K90" i="1"/>
  <c r="K78" i="1"/>
  <c r="K77" i="1"/>
  <c r="K31" i="1"/>
  <c r="K25" i="1"/>
  <c r="K24" i="1"/>
  <c r="K23" i="1"/>
  <c r="K30" i="1"/>
  <c r="K29" i="1"/>
  <c r="K28" i="1"/>
  <c r="K16" i="1"/>
  <c r="K15" i="1"/>
  <c r="K14" i="1"/>
  <c r="K13" i="1"/>
  <c r="K12" i="1"/>
  <c r="K11" i="1"/>
  <c r="K76" i="1" l="1"/>
  <c r="Q76" i="1" s="1"/>
  <c r="K89" i="1"/>
  <c r="Q89" i="1" s="1"/>
  <c r="K22" i="1"/>
  <c r="Q22" i="1" s="1"/>
  <c r="K27" i="1"/>
  <c r="Q27" i="1" s="1"/>
  <c r="K10" i="1"/>
  <c r="K8" i="1"/>
  <c r="K9" i="1"/>
  <c r="K7" i="1"/>
  <c r="K6" i="1" l="1"/>
  <c r="Q6" i="1" s="1"/>
  <c r="M871" i="1" l="1"/>
  <c r="S871" i="1" s="1"/>
  <c r="L371" i="1"/>
  <c r="R371" i="1" s="1"/>
  <c r="M76" i="1" l="1"/>
  <c r="S76" i="1" s="1"/>
  <c r="M81" i="1"/>
  <c r="S81" i="1" s="1"/>
  <c r="M82" i="1" l="1"/>
  <c r="S82" i="1" s="1"/>
  <c r="M370" i="1"/>
  <c r="S370" i="1" s="1"/>
  <c r="M316" i="1"/>
  <c r="S316" i="1" s="1"/>
  <c r="M549" i="1" l="1"/>
  <c r="S549" i="1" s="1"/>
  <c r="M545" i="1"/>
  <c r="S545" i="1" s="1"/>
  <c r="M553" i="1" l="1"/>
  <c r="S553" i="1" s="1"/>
  <c r="M543" i="1"/>
  <c r="S543" i="1" s="1"/>
  <c r="M541" i="1"/>
  <c r="S541" i="1" s="1"/>
  <c r="M547" i="1" l="1"/>
  <c r="S547" i="1" s="1"/>
  <c r="M558" i="1"/>
  <c r="S558" i="1" s="1"/>
  <c r="M555" i="1"/>
  <c r="S555" i="1" s="1"/>
  <c r="M548" i="1"/>
  <c r="S548" i="1" s="1"/>
  <c r="M550" i="1"/>
  <c r="S550" i="1" s="1"/>
  <c r="M544" i="1"/>
  <c r="S544" i="1" s="1"/>
  <c r="M554" i="1" l="1"/>
  <c r="S554" i="1" s="1"/>
  <c r="M559" i="1" l="1"/>
  <c r="S559" i="1" s="1"/>
  <c r="M556" i="1"/>
  <c r="S556" i="1" s="1"/>
  <c r="M69" i="1" l="1"/>
  <c r="S69" i="1" s="1"/>
  <c r="M861" i="1" l="1"/>
  <c r="S861" i="1" s="1"/>
  <c r="M862" i="1"/>
  <c r="S862" i="1" s="1"/>
  <c r="M860" i="1"/>
  <c r="S860" i="1" s="1"/>
  <c r="M859" i="1"/>
  <c r="S859" i="1" s="1"/>
  <c r="M870" i="1"/>
  <c r="S870" i="1" s="1"/>
  <c r="M869" i="1"/>
  <c r="S869" i="1" s="1"/>
  <c r="M868" i="1"/>
  <c r="S868" i="1" s="1"/>
  <c r="M867" i="1"/>
  <c r="S867" i="1" s="1"/>
  <c r="M866" i="1"/>
  <c r="S866" i="1" s="1"/>
  <c r="M865" i="1"/>
  <c r="S865" i="1" s="1"/>
  <c r="M864" i="1"/>
  <c r="S864" i="1" s="1"/>
  <c r="M863" i="1"/>
  <c r="S863" i="1" s="1"/>
  <c r="M858" i="1"/>
  <c r="S858" i="1" s="1"/>
  <c r="M857" i="1"/>
  <c r="S857" i="1" s="1"/>
  <c r="M856" i="1"/>
  <c r="S856" i="1" s="1"/>
  <c r="M855" i="1"/>
  <c r="S855" i="1" s="1"/>
  <c r="M854" i="1"/>
  <c r="S854" i="1" s="1"/>
  <c r="M853" i="1"/>
  <c r="S853" i="1" s="1"/>
  <c r="M852" i="1"/>
  <c r="S852" i="1" s="1"/>
  <c r="M851" i="1"/>
  <c r="S851" i="1" s="1"/>
  <c r="M850" i="1"/>
  <c r="S850" i="1" s="1"/>
  <c r="M849" i="1"/>
  <c r="S849" i="1" s="1"/>
  <c r="M848" i="1"/>
  <c r="S848" i="1" s="1"/>
  <c r="M847" i="1"/>
  <c r="S847" i="1" s="1"/>
  <c r="M846" i="1"/>
  <c r="S846" i="1" s="1"/>
  <c r="M845" i="1"/>
  <c r="S845" i="1" s="1"/>
  <c r="M844" i="1"/>
  <c r="S844" i="1" s="1"/>
  <c r="M843" i="1"/>
  <c r="S843" i="1" s="1"/>
  <c r="M842" i="1"/>
  <c r="S842" i="1" s="1"/>
  <c r="M841" i="1"/>
  <c r="S841" i="1" s="1"/>
  <c r="M840" i="1"/>
  <c r="S840" i="1" s="1"/>
  <c r="M839" i="1"/>
  <c r="S839" i="1" s="1"/>
  <c r="M838" i="1"/>
  <c r="S838" i="1" s="1"/>
  <c r="M835" i="1"/>
  <c r="S835" i="1" s="1"/>
  <c r="M834" i="1"/>
  <c r="S834" i="1" s="1"/>
  <c r="M833" i="1"/>
  <c r="S833" i="1" s="1"/>
  <c r="M832" i="1"/>
  <c r="S832" i="1" s="1"/>
  <c r="M831" i="1"/>
  <c r="S831" i="1" s="1"/>
  <c r="M830" i="1"/>
  <c r="S830" i="1" s="1"/>
  <c r="M829" i="1"/>
  <c r="S829" i="1" s="1"/>
  <c r="M828" i="1"/>
  <c r="S828" i="1" s="1"/>
  <c r="M827" i="1"/>
  <c r="S827" i="1" s="1"/>
  <c r="M823" i="1"/>
  <c r="S823" i="1" s="1"/>
  <c r="M822" i="1"/>
  <c r="S822" i="1" s="1"/>
  <c r="M821" i="1"/>
  <c r="S821" i="1" s="1"/>
  <c r="M820" i="1"/>
  <c r="S820" i="1" s="1"/>
  <c r="M819" i="1"/>
  <c r="S819" i="1" s="1"/>
  <c r="M816" i="1"/>
  <c r="S816" i="1" s="1"/>
  <c r="M815" i="1"/>
  <c r="S815" i="1" s="1"/>
  <c r="M814" i="1"/>
  <c r="S814" i="1" s="1"/>
  <c r="M872" i="1" l="1"/>
  <c r="S872" i="1" s="1"/>
  <c r="M817" i="1"/>
  <c r="S817" i="1" s="1"/>
  <c r="M824" i="1"/>
  <c r="S824" i="1" s="1"/>
  <c r="M836" i="1"/>
  <c r="S836" i="1" s="1"/>
  <c r="M811" i="1" l="1"/>
  <c r="S811" i="1" s="1"/>
  <c r="M763" i="1"/>
  <c r="S763" i="1" s="1"/>
  <c r="M762" i="1"/>
  <c r="S762" i="1" s="1"/>
  <c r="M758" i="1"/>
  <c r="S758" i="1" s="1"/>
  <c r="M695" i="1"/>
  <c r="S695" i="1" s="1"/>
  <c r="M694" i="1"/>
  <c r="S694" i="1" s="1"/>
  <c r="M692" i="1"/>
  <c r="S692" i="1" s="1"/>
  <c r="M691" i="1"/>
  <c r="S691" i="1" s="1"/>
  <c r="M684" i="1"/>
  <c r="S684" i="1" s="1"/>
  <c r="M682" i="1"/>
  <c r="S682" i="1" s="1"/>
  <c r="M681" i="1"/>
  <c r="S681" i="1" s="1"/>
  <c r="M680" i="1"/>
  <c r="S680" i="1" s="1"/>
  <c r="M679" i="1"/>
  <c r="S679" i="1" s="1"/>
  <c r="M678" i="1"/>
  <c r="S678" i="1" s="1"/>
  <c r="M677" i="1"/>
  <c r="S677" i="1" s="1"/>
  <c r="M676" i="1"/>
  <c r="S676" i="1" s="1"/>
  <c r="M683" i="1"/>
  <c r="S683" i="1" s="1"/>
  <c r="M686" i="1"/>
  <c r="S686" i="1" s="1"/>
  <c r="M672" i="1"/>
  <c r="S672" i="1" s="1"/>
  <c r="M671" i="1"/>
  <c r="S671" i="1" s="1"/>
  <c r="M670" i="1"/>
  <c r="S670" i="1" s="1"/>
  <c r="M669" i="1"/>
  <c r="S669" i="1" s="1"/>
  <c r="M667" i="1"/>
  <c r="S667" i="1" s="1"/>
  <c r="M666" i="1"/>
  <c r="S666" i="1" s="1"/>
  <c r="M665" i="1"/>
  <c r="S665" i="1" s="1"/>
  <c r="M664" i="1"/>
  <c r="S664" i="1" s="1"/>
  <c r="M663" i="1"/>
  <c r="S663" i="1" s="1"/>
  <c r="M662" i="1"/>
  <c r="S662" i="1" s="1"/>
  <c r="M661" i="1"/>
  <c r="S661" i="1" s="1"/>
  <c r="M658" i="1"/>
  <c r="S658" i="1" s="1"/>
  <c r="M657" i="1"/>
  <c r="S657" i="1" s="1"/>
  <c r="M649" i="1"/>
  <c r="M655" i="1" l="1"/>
  <c r="S655" i="1" s="1"/>
  <c r="S649" i="1"/>
  <c r="M812" i="1"/>
  <c r="S812" i="1" s="1"/>
  <c r="M673" i="1"/>
  <c r="S673" i="1" s="1"/>
  <c r="M659" i="1"/>
  <c r="S659" i="1" s="1"/>
  <c r="M759" i="1"/>
  <c r="S759" i="1" s="1"/>
  <c r="M687" i="1"/>
  <c r="S687" i="1" s="1"/>
  <c r="M646" i="1"/>
  <c r="S646" i="1" s="1"/>
  <c r="M645" i="1"/>
  <c r="S645" i="1" s="1"/>
  <c r="M644" i="1"/>
  <c r="S644" i="1" s="1"/>
  <c r="M643" i="1"/>
  <c r="S643" i="1" s="1"/>
  <c r="M641" i="1"/>
  <c r="S641" i="1" s="1"/>
  <c r="M640" i="1"/>
  <c r="S640" i="1" s="1"/>
  <c r="M639" i="1"/>
  <c r="S639" i="1" s="1"/>
  <c r="M638" i="1"/>
  <c r="S638" i="1" s="1"/>
  <c r="M637" i="1"/>
  <c r="S637" i="1" s="1"/>
  <c r="M636" i="1"/>
  <c r="S636" i="1" s="1"/>
  <c r="M635" i="1"/>
  <c r="S635" i="1" s="1"/>
  <c r="M634" i="1"/>
  <c r="S634" i="1" s="1"/>
  <c r="M647" i="1" l="1"/>
  <c r="S647" i="1" s="1"/>
  <c r="M631" i="1"/>
  <c r="S631" i="1" s="1"/>
  <c r="M630" i="1"/>
  <c r="S630" i="1" s="1"/>
  <c r="M629" i="1"/>
  <c r="S629" i="1" s="1"/>
  <c r="M628" i="1"/>
  <c r="S628" i="1" s="1"/>
  <c r="M627" i="1"/>
  <c r="S627" i="1" s="1"/>
  <c r="M626" i="1"/>
  <c r="S626" i="1" s="1"/>
  <c r="M625" i="1"/>
  <c r="S625" i="1" s="1"/>
  <c r="M624" i="1"/>
  <c r="S624" i="1" s="1"/>
  <c r="M621" i="1"/>
  <c r="S621" i="1" s="1"/>
  <c r="M620" i="1"/>
  <c r="S620" i="1" s="1"/>
  <c r="M623" i="1"/>
  <c r="S623" i="1" s="1"/>
  <c r="M622" i="1"/>
  <c r="S622" i="1" s="1"/>
  <c r="M614" i="1"/>
  <c r="S614" i="1" s="1"/>
  <c r="M613" i="1"/>
  <c r="S613" i="1" s="1"/>
  <c r="M612" i="1"/>
  <c r="S612" i="1" s="1"/>
  <c r="M617" i="1"/>
  <c r="S617" i="1" s="1"/>
  <c r="M616" i="1"/>
  <c r="S616" i="1" s="1"/>
  <c r="M607" i="1"/>
  <c r="S607" i="1" s="1"/>
  <c r="M605" i="1"/>
  <c r="S605" i="1" s="1"/>
  <c r="M602" i="1"/>
  <c r="S602" i="1" s="1"/>
  <c r="M601" i="1"/>
  <c r="S601" i="1" s="1"/>
  <c r="M600" i="1"/>
  <c r="S600" i="1" s="1"/>
  <c r="M599" i="1"/>
  <c r="S599" i="1" s="1"/>
  <c r="M598" i="1"/>
  <c r="S598" i="1" s="1"/>
  <c r="M595" i="1"/>
  <c r="S595" i="1" s="1"/>
  <c r="M592" i="1"/>
  <c r="S592" i="1" s="1"/>
  <c r="M590" i="1"/>
  <c r="S590" i="1" s="1"/>
  <c r="M589" i="1"/>
  <c r="S589" i="1" s="1"/>
  <c r="M588" i="1"/>
  <c r="S588" i="1" s="1"/>
  <c r="M587" i="1"/>
  <c r="S587" i="1" s="1"/>
  <c r="M632" i="1" l="1"/>
  <c r="S632" i="1" s="1"/>
  <c r="M618" i="1"/>
  <c r="S618" i="1" s="1"/>
  <c r="M564" i="1" l="1"/>
  <c r="S564" i="1" s="1"/>
  <c r="M571" i="1"/>
  <c r="S571" i="1" s="1"/>
  <c r="M567" i="1"/>
  <c r="S567" i="1" s="1"/>
  <c r="M570" i="1" l="1"/>
  <c r="S570" i="1" s="1"/>
  <c r="M569" i="1"/>
  <c r="S569" i="1" s="1"/>
  <c r="M582" i="1"/>
  <c r="S582" i="1" s="1"/>
  <c r="M563" i="1"/>
  <c r="S563" i="1" s="1"/>
  <c r="M562" i="1" l="1"/>
  <c r="S562" i="1" s="1"/>
  <c r="M572" i="1"/>
  <c r="S572" i="1" s="1"/>
  <c r="M581" i="1"/>
  <c r="S581" i="1" s="1"/>
  <c r="M565" i="1"/>
  <c r="S565" i="1" s="1"/>
  <c r="M568" i="1"/>
  <c r="S568" i="1" s="1"/>
  <c r="M580" i="1"/>
  <c r="S580" i="1" s="1"/>
  <c r="M583" i="1"/>
  <c r="S583" i="1" s="1"/>
  <c r="M542" i="1" l="1"/>
  <c r="S542" i="1" s="1"/>
  <c r="M528" i="1"/>
  <c r="S528" i="1" s="1"/>
  <c r="M536" i="1"/>
  <c r="S536" i="1" s="1"/>
  <c r="M527" i="1" l="1"/>
  <c r="S527" i="1" s="1"/>
  <c r="M531" i="1"/>
  <c r="S531" i="1" s="1"/>
  <c r="M537" i="1"/>
  <c r="S537" i="1" s="1"/>
  <c r="M534" i="1"/>
  <c r="S534" i="1" s="1"/>
  <c r="M535" i="1" l="1"/>
  <c r="S535" i="1" s="1"/>
  <c r="M530" i="1"/>
  <c r="S530" i="1" s="1"/>
  <c r="M529" i="1"/>
  <c r="S529" i="1" s="1"/>
  <c r="M561" i="1" l="1"/>
  <c r="S561" i="1" s="1"/>
  <c r="M532" i="1"/>
  <c r="S532" i="1" s="1"/>
  <c r="M538" i="1" l="1"/>
  <c r="S538" i="1" s="1"/>
  <c r="M524" i="1" l="1"/>
  <c r="S524" i="1" s="1"/>
  <c r="M523" i="1"/>
  <c r="S523" i="1" s="1"/>
  <c r="M522" i="1"/>
  <c r="S522" i="1" s="1"/>
  <c r="M520" i="1"/>
  <c r="S520" i="1" s="1"/>
  <c r="M519" i="1"/>
  <c r="S519" i="1" s="1"/>
  <c r="M518" i="1"/>
  <c r="S518" i="1" s="1"/>
  <c r="M517" i="1"/>
  <c r="S517" i="1" s="1"/>
  <c r="M516" i="1"/>
  <c r="S516" i="1" s="1"/>
  <c r="M515" i="1"/>
  <c r="S515" i="1" s="1"/>
  <c r="M514" i="1"/>
  <c r="S514" i="1" s="1"/>
  <c r="M513" i="1"/>
  <c r="S513" i="1" s="1"/>
  <c r="M512" i="1"/>
  <c r="S512" i="1" s="1"/>
  <c r="M511" i="1"/>
  <c r="S511" i="1" s="1"/>
  <c r="M510" i="1"/>
  <c r="S510" i="1" s="1"/>
  <c r="M509" i="1"/>
  <c r="S509" i="1" s="1"/>
  <c r="M508" i="1"/>
  <c r="S508" i="1" s="1"/>
  <c r="M507" i="1"/>
  <c r="S507" i="1" s="1"/>
  <c r="M506" i="1"/>
  <c r="S506" i="1" s="1"/>
  <c r="M505" i="1"/>
  <c r="S505" i="1" s="1"/>
  <c r="M504" i="1"/>
  <c r="S504" i="1" s="1"/>
  <c r="M584" i="1" l="1"/>
  <c r="S584" i="1" s="1"/>
  <c r="M495" i="1"/>
  <c r="S495" i="1" s="1"/>
  <c r="M488" i="1"/>
  <c r="S488" i="1" s="1"/>
  <c r="M481" i="1"/>
  <c r="S481" i="1" s="1"/>
  <c r="M469" i="1"/>
  <c r="S469" i="1" s="1"/>
  <c r="M459" i="1"/>
  <c r="S459" i="1" s="1"/>
  <c r="M451" i="1"/>
  <c r="S451" i="1" s="1"/>
  <c r="M442" i="1"/>
  <c r="S442" i="1" s="1"/>
  <c r="M435" i="1"/>
  <c r="S435" i="1" s="1"/>
  <c r="M428" i="1"/>
  <c r="S428" i="1" s="1"/>
  <c r="M502" i="1" l="1"/>
  <c r="S502" i="1" s="1"/>
  <c r="M449" i="1"/>
  <c r="S449" i="1" s="1"/>
  <c r="M479" i="1"/>
  <c r="S479" i="1" s="1"/>
  <c r="M424" i="1"/>
  <c r="S424" i="1" s="1"/>
  <c r="M423" i="1"/>
  <c r="S423" i="1" s="1"/>
  <c r="M420" i="1"/>
  <c r="S420" i="1" s="1"/>
  <c r="M419" i="1"/>
  <c r="S419" i="1" s="1"/>
  <c r="M409" i="1"/>
  <c r="S409" i="1" s="1"/>
  <c r="M408" i="1"/>
  <c r="S408" i="1" s="1"/>
  <c r="M410" i="1"/>
  <c r="S410" i="1" s="1"/>
  <c r="M404" i="1" l="1"/>
  <c r="S404" i="1" s="1"/>
  <c r="M403" i="1"/>
  <c r="S403" i="1" s="1"/>
  <c r="M400" i="1"/>
  <c r="S400" i="1" s="1"/>
  <c r="M399" i="1"/>
  <c r="S399" i="1" s="1"/>
  <c r="M398" i="1"/>
  <c r="S398" i="1" s="1"/>
  <c r="M397" i="1"/>
  <c r="S397" i="1" s="1"/>
  <c r="M396" i="1"/>
  <c r="S396" i="1" s="1"/>
  <c r="M386" i="1"/>
  <c r="S386" i="1" s="1"/>
  <c r="M382" i="1"/>
  <c r="S382" i="1" s="1"/>
  <c r="M381" i="1"/>
  <c r="S381" i="1" s="1"/>
  <c r="M380" i="1"/>
  <c r="S380" i="1" s="1"/>
  <c r="M379" i="1"/>
  <c r="S379" i="1" s="1"/>
  <c r="M378" i="1"/>
  <c r="S378" i="1" s="1"/>
  <c r="M395" i="1"/>
  <c r="S395" i="1" s="1"/>
  <c r="M405" i="1" l="1"/>
  <c r="S405" i="1" s="1"/>
  <c r="M401" i="1"/>
  <c r="S401" i="1" s="1"/>
  <c r="M374" i="1"/>
  <c r="S374" i="1" s="1"/>
  <c r="M373" i="1"/>
  <c r="S373" i="1" s="1"/>
  <c r="M372" i="1"/>
  <c r="S372" i="1" s="1"/>
  <c r="M421" i="1" l="1"/>
  <c r="S421" i="1" s="1"/>
  <c r="M369" i="1"/>
  <c r="S369" i="1" s="1"/>
  <c r="M368" i="1"/>
  <c r="S368" i="1" s="1"/>
  <c r="M367" i="1"/>
  <c r="S367" i="1" s="1"/>
  <c r="M366" i="1"/>
  <c r="S366" i="1" s="1"/>
  <c r="M365" i="1"/>
  <c r="S365" i="1" s="1"/>
  <c r="M363" i="1"/>
  <c r="S363" i="1" s="1"/>
  <c r="M362" i="1"/>
  <c r="S362" i="1" s="1"/>
  <c r="M360" i="1"/>
  <c r="S360" i="1" s="1"/>
  <c r="M359" i="1"/>
  <c r="S359" i="1" s="1"/>
  <c r="M357" i="1"/>
  <c r="S357" i="1" s="1"/>
  <c r="M356" i="1"/>
  <c r="S356" i="1" s="1"/>
  <c r="M354" i="1"/>
  <c r="S354" i="1" s="1"/>
  <c r="M353" i="1"/>
  <c r="S353" i="1" s="1"/>
  <c r="M347" i="1"/>
  <c r="S347" i="1" s="1"/>
  <c r="M344" i="1"/>
  <c r="S344" i="1" s="1"/>
  <c r="M343" i="1"/>
  <c r="S343" i="1" s="1"/>
  <c r="M338" i="1"/>
  <c r="S338" i="1" s="1"/>
  <c r="M337" i="1"/>
  <c r="S337" i="1" s="1"/>
  <c r="M336" i="1"/>
  <c r="S336" i="1" s="1"/>
  <c r="M335" i="1"/>
  <c r="S335" i="1" s="1"/>
  <c r="M334" i="1"/>
  <c r="S334" i="1" s="1"/>
  <c r="M333" i="1"/>
  <c r="S333" i="1" s="1"/>
  <c r="M332" i="1"/>
  <c r="S332" i="1" s="1"/>
  <c r="M331" i="1"/>
  <c r="S331" i="1" s="1"/>
  <c r="M330" i="1"/>
  <c r="S330" i="1" s="1"/>
  <c r="M329" i="1"/>
  <c r="S329" i="1" s="1"/>
  <c r="M328" i="1"/>
  <c r="S328" i="1" s="1"/>
  <c r="M327" i="1"/>
  <c r="S327" i="1" s="1"/>
  <c r="M326" i="1"/>
  <c r="S326" i="1" s="1"/>
  <c r="M325" i="1"/>
  <c r="S325" i="1" s="1"/>
  <c r="M324" i="1"/>
  <c r="S324" i="1" s="1"/>
  <c r="M375" i="1" l="1"/>
  <c r="S375" i="1" s="1"/>
  <c r="M411" i="1"/>
  <c r="S411" i="1" s="1"/>
  <c r="M416" i="1"/>
  <c r="S416" i="1" s="1"/>
  <c r="M417" i="1"/>
  <c r="S417" i="1" s="1"/>
  <c r="M339" i="1"/>
  <c r="S339" i="1" s="1"/>
  <c r="M315" i="1"/>
  <c r="S315" i="1" s="1"/>
  <c r="M313" i="1"/>
  <c r="S313" i="1" s="1"/>
  <c r="M418" i="1" l="1"/>
  <c r="S418" i="1" s="1"/>
  <c r="M415" i="1"/>
  <c r="S415" i="1" s="1"/>
  <c r="M412" i="1"/>
  <c r="S412" i="1" s="1"/>
  <c r="M414" i="1"/>
  <c r="S414" i="1" s="1"/>
  <c r="M422" i="1"/>
  <c r="S422" i="1" s="1"/>
  <c r="M413" i="1"/>
  <c r="S413" i="1" s="1"/>
  <c r="M425" i="1" l="1"/>
  <c r="S425" i="1" s="1"/>
  <c r="M318" i="1"/>
  <c r="S318" i="1" s="1"/>
  <c r="M309" i="1" l="1"/>
  <c r="S309" i="1" s="1"/>
  <c r="M299" i="1"/>
  <c r="S299" i="1" s="1"/>
  <c r="M286" i="1"/>
  <c r="S286" i="1" s="1"/>
  <c r="M284" i="1"/>
  <c r="S284" i="1" s="1"/>
  <c r="M280" i="1"/>
  <c r="S280" i="1" s="1"/>
  <c r="M285" i="1"/>
  <c r="S285" i="1" s="1"/>
  <c r="M283" i="1"/>
  <c r="S283" i="1" s="1"/>
  <c r="M279" i="1"/>
  <c r="S279" i="1" s="1"/>
  <c r="M278" i="1"/>
  <c r="S278" i="1" s="1"/>
  <c r="M277" i="1"/>
  <c r="S277" i="1" s="1"/>
  <c r="M272" i="1"/>
  <c r="S272" i="1" s="1"/>
  <c r="M263" i="1" l="1"/>
  <c r="S263" i="1" s="1"/>
  <c r="M276" i="1" l="1"/>
  <c r="S276" i="1" s="1"/>
  <c r="M262" i="1" l="1"/>
  <c r="S262" i="1" s="1"/>
  <c r="M254" i="1"/>
  <c r="S254" i="1" s="1"/>
  <c r="M252" i="1"/>
  <c r="S252" i="1" s="1"/>
  <c r="M247" i="1" l="1"/>
  <c r="S247" i="1" s="1"/>
  <c r="M248" i="1" l="1"/>
  <c r="S248" i="1" s="1"/>
  <c r="M234" i="1" l="1"/>
  <c r="S234" i="1" s="1"/>
  <c r="M233" i="1"/>
  <c r="S233" i="1" s="1"/>
  <c r="M230" i="1"/>
  <c r="S230" i="1" s="1"/>
  <c r="M228" i="1"/>
  <c r="S228" i="1" s="1"/>
  <c r="M226" i="1"/>
  <c r="S226" i="1" s="1"/>
  <c r="M231" i="1" l="1"/>
  <c r="S231" i="1" s="1"/>
  <c r="M235" i="1"/>
  <c r="S235" i="1" s="1"/>
  <c r="M220" i="1"/>
  <c r="S220" i="1" s="1"/>
  <c r="M126" i="1"/>
  <c r="S126" i="1" s="1"/>
  <c r="M167" i="1"/>
  <c r="S167" i="1" s="1"/>
  <c r="M166" i="1"/>
  <c r="S166" i="1" s="1"/>
  <c r="M165" i="1"/>
  <c r="S165" i="1" s="1"/>
  <c r="M125" i="1"/>
  <c r="S125" i="1" s="1"/>
  <c r="M124" i="1"/>
  <c r="S124" i="1" s="1"/>
  <c r="M121" i="1"/>
  <c r="S121" i="1" s="1"/>
  <c r="M120" i="1"/>
  <c r="S120" i="1" s="1"/>
  <c r="M116" i="1"/>
  <c r="S116" i="1" s="1"/>
  <c r="M98" i="1"/>
  <c r="S98" i="1" s="1"/>
  <c r="M89" i="1"/>
  <c r="S89" i="1" s="1"/>
  <c r="M73" i="1"/>
  <c r="S73" i="1" s="1"/>
  <c r="M72" i="1"/>
  <c r="S72" i="1" s="1"/>
  <c r="M71" i="1"/>
  <c r="S71" i="1" s="1"/>
  <c r="M70" i="1"/>
  <c r="S70" i="1" s="1"/>
  <c r="M35" i="1"/>
  <c r="S35" i="1" s="1"/>
  <c r="M34" i="1"/>
  <c r="S34" i="1" s="1"/>
  <c r="M33" i="1"/>
  <c r="S33" i="1" s="1"/>
  <c r="M27" i="1"/>
  <c r="S27" i="1" s="1"/>
  <c r="M21" i="1"/>
  <c r="S21" i="1" s="1"/>
  <c r="M6" i="1"/>
  <c r="S6" i="1" s="1"/>
  <c r="M115" i="1"/>
  <c r="S115" i="1" s="1"/>
  <c r="M114" i="1"/>
  <c r="S114" i="1" s="1"/>
  <c r="M122" i="1" l="1"/>
  <c r="S122" i="1" s="1"/>
  <c r="M168" i="1"/>
  <c r="S168" i="1" s="1"/>
  <c r="M22" i="1" l="1"/>
  <c r="M74" i="1" l="1"/>
  <c r="S74" i="1" s="1"/>
  <c r="S22" i="1"/>
  <c r="M240" i="1"/>
  <c r="S240" i="1" s="1"/>
  <c r="M239" i="1"/>
  <c r="S239" i="1" s="1"/>
  <c r="M255" i="1" l="1"/>
  <c r="S255" i="1" s="1"/>
  <c r="M298" i="1" l="1"/>
  <c r="S298" i="1" s="1"/>
  <c r="M241" i="1"/>
  <c r="S241" i="1" s="1"/>
  <c r="M317" i="1"/>
  <c r="S317" i="1" s="1"/>
  <c r="M319" i="1"/>
  <c r="S319" i="1" s="1"/>
  <c r="M275" i="1"/>
  <c r="S275" i="1" s="1"/>
  <c r="M258" i="1"/>
  <c r="S258" i="1" s="1"/>
  <c r="M257" i="1"/>
  <c r="S257" i="1" s="1"/>
  <c r="M251" i="1"/>
  <c r="S251" i="1" s="1"/>
  <c r="M253" i="1"/>
  <c r="S253" i="1" s="1"/>
  <c r="M271" i="1"/>
  <c r="S271" i="1" s="1"/>
  <c r="M256" i="1"/>
  <c r="S256" i="1" s="1"/>
  <c r="M250" i="1" l="1"/>
  <c r="S250" i="1" s="1"/>
  <c r="M245" i="1"/>
  <c r="S245" i="1" s="1"/>
  <c r="M237" i="1"/>
  <c r="S237" i="1" s="1"/>
  <c r="M320" i="1"/>
  <c r="S320" i="1" s="1"/>
  <c r="M300" i="1"/>
  <c r="S300" i="1" s="1"/>
  <c r="M304" i="1"/>
  <c r="S304" i="1" s="1"/>
  <c r="M288" i="1"/>
  <c r="M291" i="1"/>
  <c r="M294" i="1"/>
  <c r="S294" i="1" s="1"/>
  <c r="M289" i="1" l="1"/>
  <c r="S289" i="1" s="1"/>
  <c r="S288" i="1"/>
  <c r="S291" i="1"/>
  <c r="M310" i="1"/>
  <c r="S310" i="1" s="1"/>
  <c r="M314" i="1"/>
  <c r="S314" i="1" s="1"/>
  <c r="M85" i="1"/>
  <c r="S85" i="1" s="1"/>
  <c r="M321" i="1" l="1"/>
  <c r="S321" i="1" s="1"/>
  <c r="M86" i="1"/>
  <c r="S86" i="1" s="1"/>
  <c r="M170" i="1" l="1"/>
  <c r="S170" i="1" s="1"/>
  <c r="M171" i="1" l="1"/>
  <c r="S171" i="1" s="1"/>
  <c r="M100" i="1"/>
  <c r="M249" i="1"/>
  <c r="S249" i="1" s="1"/>
  <c r="M112" i="1" l="1"/>
  <c r="S112" i="1" s="1"/>
  <c r="S100" i="1"/>
  <c r="M173" i="1"/>
  <c r="S173" i="1" s="1"/>
  <c r="M183" i="1"/>
  <c r="S183" i="1" s="1"/>
  <c r="M184" i="1"/>
  <c r="S184" i="1" s="1"/>
  <c r="M185" i="1" l="1"/>
  <c r="S185" i="1" s="1"/>
  <c r="M186" i="1" l="1"/>
  <c r="S186" i="1" s="1"/>
  <c r="M187" i="1" l="1"/>
  <c r="S187" i="1" s="1"/>
  <c r="M188" i="1" l="1"/>
  <c r="S188" i="1" s="1"/>
  <c r="M189" i="1" l="1"/>
  <c r="S189" i="1" s="1"/>
  <c r="M193" i="1"/>
  <c r="S193" i="1" s="1"/>
  <c r="M194" i="1"/>
  <c r="S194" i="1" s="1"/>
  <c r="M195" i="1" l="1"/>
  <c r="S195" i="1" s="1"/>
  <c r="M210" i="1"/>
  <c r="S210" i="1" s="1"/>
  <c r="M207" i="1" l="1"/>
  <c r="S207" i="1" s="1"/>
  <c r="M208" i="1" l="1"/>
  <c r="S208" i="1" s="1"/>
  <c r="M209" i="1" l="1"/>
  <c r="S209" i="1" s="1"/>
  <c r="M264" i="1" l="1"/>
  <c r="S264" i="1" s="1"/>
  <c r="M268" i="1" l="1"/>
  <c r="S268" i="1" s="1"/>
  <c r="M211" i="1"/>
  <c r="S211" i="1" s="1"/>
  <c r="M269" i="1" l="1"/>
  <c r="S269" i="1" s="1"/>
  <c r="M265" i="1"/>
  <c r="S265" i="1" s="1"/>
  <c r="M221" i="1"/>
  <c r="S221" i="1" s="1"/>
  <c r="M266" i="1" l="1"/>
  <c r="S266" i="1" s="1"/>
  <c r="M270" i="1"/>
  <c r="S270" i="1" s="1"/>
  <c r="M212" i="1"/>
  <c r="S212" i="1" s="1"/>
  <c r="M267" i="1" l="1"/>
  <c r="M213" i="1"/>
  <c r="S213" i="1" s="1"/>
  <c r="M273" i="1" l="1"/>
  <c r="S273" i="1" s="1"/>
  <c r="S267" i="1"/>
  <c r="M172" i="1"/>
  <c r="S172" i="1" s="1"/>
  <c r="M223" i="1" l="1"/>
  <c r="M873" i="1" l="1"/>
  <c r="S223" i="1"/>
  <c r="S873" i="1" l="1"/>
  <c r="M877" i="1"/>
  <c r="M878" i="1" s="1"/>
  <c r="M879" i="1" s="1"/>
</calcChain>
</file>

<file path=xl/sharedStrings.xml><?xml version="1.0" encoding="utf-8"?>
<sst xmlns="http://schemas.openxmlformats.org/spreadsheetml/2006/main" count="2335" uniqueCount="1132">
  <si>
    <t>Name of Item</t>
  </si>
  <si>
    <t>Description of Item</t>
  </si>
  <si>
    <t>Quantity</t>
  </si>
  <si>
    <t>Unit</t>
  </si>
  <si>
    <t>A</t>
  </si>
  <si>
    <t>Civil Head</t>
  </si>
  <si>
    <t>A.1.0</t>
  </si>
  <si>
    <t>Dismantling and Demolitions</t>
  </si>
  <si>
    <t>a</t>
  </si>
  <si>
    <t>Dismantling</t>
  </si>
  <si>
    <t xml:space="preserve">Dismantling the existing flooring, ceiling, walls, partition, fixed &amp; loose furniture, toilets, pantry, etc.Cost to include carting away all debris from site, lead and lifts, material, labours,  transportation and all other incidental charges etc. complete and as directed by Site Engineer  </t>
  </si>
  <si>
    <t>a.1</t>
  </si>
  <si>
    <t>Brick Wall ,Wall tiles, Floor tiles, including base,Partitions,Existing Wall Plaster ,Electrical conduits ,wiring,DB,sockets and Punning removing including old plumbing and sanitary lines</t>
  </si>
  <si>
    <t>Sq.ft</t>
  </si>
  <si>
    <t>a.2</t>
  </si>
  <si>
    <t>Removal PCC of thickness upto 5 inches</t>
  </si>
  <si>
    <t>a.3</t>
  </si>
  <si>
    <t>Removal PCC of thickness between 6 inches to 12 inches</t>
  </si>
  <si>
    <t>a.4</t>
  </si>
  <si>
    <t>False Ceiling removing inclusive wire &amp; Light</t>
  </si>
  <si>
    <t>a.5</t>
  </si>
  <si>
    <t>Façade (Including Glass ,Signgage ,Window ,Frames and ACP boxing etc)</t>
  </si>
  <si>
    <t>a.6</t>
  </si>
  <si>
    <t>Existing Rolling shutter removing</t>
  </si>
  <si>
    <t>a.7</t>
  </si>
  <si>
    <t>Existing Cable Trays ,Duct Removing from the site and carting away from the site</t>
  </si>
  <si>
    <t>b</t>
  </si>
  <si>
    <t>Making Core Cut</t>
  </si>
  <si>
    <t>Making Core cut with Diamond cutter &amp; clearing the debris and carting away the same from site.</t>
  </si>
  <si>
    <t>b.1</t>
  </si>
  <si>
    <t>Making core cutting of 75 dia</t>
  </si>
  <si>
    <t>Making core cutting of 150 dia</t>
  </si>
  <si>
    <t>Nos.</t>
  </si>
  <si>
    <t>b.2</t>
  </si>
  <si>
    <t>Making core cutting of 100 dia</t>
  </si>
  <si>
    <t>Making core cutting of 200 dia</t>
  </si>
  <si>
    <t>b.3</t>
  </si>
  <si>
    <t>b.4</t>
  </si>
  <si>
    <t>c</t>
  </si>
  <si>
    <t>Making Cut -out &amp; Opening</t>
  </si>
  <si>
    <t>Making cutouts and openings in existing walls for ducts etc. The cost to be inclusive of making good all affected areas with smooth plaster and disposal of debris at an indicated location off site.</t>
  </si>
  <si>
    <t>Sub Total of A.1.0</t>
  </si>
  <si>
    <t>A.2.0</t>
  </si>
  <si>
    <t>RCC and PCC</t>
  </si>
  <si>
    <t>PCC</t>
  </si>
  <si>
    <t xml:space="preserve">Providing &amp; Laying Plain cement concrete specified grade (M10) including the cost of centering and shuttering &amp; required curing.  Approved make cement is PPC (ACC, Ultra tech , Birla) </t>
  </si>
  <si>
    <t>cuft</t>
  </si>
  <si>
    <t>RCC with reinforcement</t>
  </si>
  <si>
    <t xml:space="preserve">Provinding &amp; Laying in position Reinforced cement concrete of specified grade (M15) including the cost centering, shuttering , steel bending with binding wire (18 G annealed Steel wire) ,cutting  &amp; curing.Approved make cement is PPC (ACC, Ultra tech , Birla) </t>
  </si>
  <si>
    <t>1:2:4 (1 cement : 2 coarse sand :6 graded stone aggregate 20mm nominal size)- M15. In Shelves , counters, lintels, beams, waist slab etc.</t>
  </si>
  <si>
    <t>A.3.0</t>
  </si>
  <si>
    <t>Brick Wall and Plaster</t>
  </si>
  <si>
    <t>4" thick AAC (Autoclaved Aerated Concrete) Block</t>
  </si>
  <si>
    <t>Providing and laying autoclaved aerated cement blocks masonry with 100 mm thick AAC blocks in super structure above plinth level in cement mortar 1:4 (1 cement : 4 coarse sand ). The rate includes providing and placing in position 2 Nos 8 mm dia M.S. bars at every third course of masonry work.</t>
  </si>
  <si>
    <t>Sq.Ft</t>
  </si>
  <si>
    <t>6" thick AAC (Autoclaved Aerated Concrete) Block</t>
  </si>
  <si>
    <t>Providing and laying autoclaved aerated cement blocks masonry with 150 mm thick AAC blocks in super structure above plinth level in cement mortar 1:4 (1 cement : 4 coarse sand ). The rate includes providing and placing in position 2 Nos 8 mm dia M.S. bars at every third course of masonry work.</t>
  </si>
  <si>
    <t>d</t>
  </si>
  <si>
    <t>115mm thick Brick Masonry</t>
  </si>
  <si>
    <t>e</t>
  </si>
  <si>
    <t>230 mm thick Brick Masonry</t>
  </si>
  <si>
    <t>Providing and laying 9" brick masonry work with well burnt 1st class table moulded, good quality approved bricks in 1:6 Cement Mortar (1 Cement : 6 Coarse Sand by volume) in true line, level and plumb for wall foundations, trenches, pedestals, columns, compound walls, steps, pillars etc., complete with necessary scaffolding, raking of joints, curing etc., complete as directed and specified upto plinth level. Rate to include soaking of bricks adequately before construction, complete as directed and specified.</t>
  </si>
  <si>
    <t>Sub Total of A.3.0</t>
  </si>
  <si>
    <t>A.4.0</t>
  </si>
  <si>
    <t>Brickbat Coba and Water proofing</t>
  </si>
  <si>
    <t>Raised Brickbat Coba (Toilets)</t>
  </si>
  <si>
    <t>Cinder Filling</t>
  </si>
  <si>
    <t>Filling motar Light weight cinder  with cement salary - Providing and laying Cinder Coba,cm 1:3  base coat, cinder filling as per site requirement &amp; 1:4 top-finish coat. the mortar for the cinder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</si>
  <si>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c.1</t>
  </si>
  <si>
    <t>Water proofing (Toilet &amp; Kitchen sink area)</t>
  </si>
  <si>
    <t>Providing of water proofing - chemical Treatment – the slab to be cleaned and apply 3 coats of chemical (FOSROC or equivalent) on the floor and on the peripheral walls up to 0.30m. b) Base coat – Applying base coat of 1:6 mortar over chemical treatment on the floor and on the peripheral walls up to 0.60m. Note - Warrantee to be provided up to 5 years</t>
  </si>
  <si>
    <t>Sq. Ft</t>
  </si>
  <si>
    <t>c.2</t>
  </si>
  <si>
    <t xml:space="preserve">Water proofing (Toilet &amp; Kitchen sink area)with Membrane </t>
  </si>
  <si>
    <t>c.3</t>
  </si>
  <si>
    <t>A.5.0</t>
  </si>
  <si>
    <t>Rolling Shutter , Awning &amp; Mild Steel work</t>
  </si>
  <si>
    <t>Motorized Rolling Shutter for entrance</t>
  </si>
  <si>
    <t>Manual Rolling Shutter  with gear Box for entrance</t>
  </si>
  <si>
    <t>HEAVY M.S Work &amp; Framework</t>
  </si>
  <si>
    <t>Providing, fabricating &amp; erection of Steel work in built up section/ framed work i/c cutting, welding, hoisting, fixing in position &amp; applying a priming coat of approved steel  primer using steel etc, as required. In structure slab (ISMB, ISMC etc.) or stringers, treads, landing of stair case i/c use of chequered plate wherever required, all complete.  Including primer and 2 coat paints</t>
  </si>
  <si>
    <t>KG</t>
  </si>
  <si>
    <t>M.s louvers with approved Paint</t>
  </si>
  <si>
    <t xml:space="preserve">Providing and Fabricating M.S louvers as per detail drawing and site engineer for Gas Bank and AC Outdoor </t>
  </si>
  <si>
    <t>Aluminum louvers with approved Paint</t>
  </si>
  <si>
    <t>Providing and Fabricating Aluminium louvers as per detail drawing and site engineer for Gas Bank and AC Outdoor / diffuser 2ft x 2ft in sqft.</t>
  </si>
  <si>
    <t>g</t>
  </si>
  <si>
    <t>Motorized Poly 
Carbonate Shutter</t>
  </si>
  <si>
    <t>Providing &amp; fixing Motorized Poly carbonate (minimimum 3mm thickness) Rolling Shutter including motarized mechanism to be operated with key/switch  of min.  including floor locks, guide rail, Rate including cost of transportation, loading, unloading, scaffolding, wastage, taxes etc. as mentioned in drawings  directed by Site Engineer.</t>
  </si>
  <si>
    <t>Sub Total of A.5.0</t>
  </si>
  <si>
    <t>A.6.0</t>
  </si>
  <si>
    <t>Flooring and Cladding</t>
  </si>
  <si>
    <t>f</t>
  </si>
  <si>
    <t xml:space="preserve">Tread &amp; Riser in 
Johnson Endura Stepping Stone - Dona Paula Plain (Outdoor area) </t>
  </si>
  <si>
    <t>h</t>
  </si>
  <si>
    <t xml:space="preserve"> Tiles in 
Johnson Endura Stepping Stone - Dona Paula Tread (Outdoor area) or Largo Riser Verde</t>
  </si>
  <si>
    <t>Rft</t>
  </si>
  <si>
    <t>i</t>
  </si>
  <si>
    <t>j</t>
  </si>
  <si>
    <t>k</t>
  </si>
  <si>
    <t>l</t>
  </si>
  <si>
    <t>m</t>
  </si>
  <si>
    <t>n</t>
  </si>
  <si>
    <t>o</t>
  </si>
  <si>
    <t xml:space="preserve">Dado Tile Cladding        (Booth Seating)Sheesham Oak or Somany Strio Benz wood dune </t>
  </si>
  <si>
    <t>p</t>
  </si>
  <si>
    <t>Dado in 
Johnson Endura Stepping Stone - Dona Paula Plain (Outdoor area) or Somany Largo Riser Verde</t>
  </si>
  <si>
    <t>q</t>
  </si>
  <si>
    <t>r</t>
  </si>
  <si>
    <t>s</t>
  </si>
  <si>
    <t>Granite (Jet Black) Frame</t>
  </si>
  <si>
    <t>RFt</t>
  </si>
  <si>
    <t>t</t>
  </si>
  <si>
    <t>u</t>
  </si>
  <si>
    <t xml:space="preserve">Providing and Fixing 19mm thick black granite on floor. Rate to include cutting/moulding/polishing/Installation/Transport etc. Complete as specified in the drawing &amp; to the satisfaction of the Architect &amp; Site-in-charge.(required mortar bed is 25mm thk) </t>
  </si>
  <si>
    <t>sq ft</t>
  </si>
  <si>
    <t>v</t>
  </si>
  <si>
    <t xml:space="preserve">Dado Tile Cladding on Counter-
130 x 800 mm - Kajaria - Mahogany, Sheesham Nero, Sheesham Rosewood, Sheesham Oak or equivalent in Somany as mentioned above </t>
  </si>
  <si>
    <t>B</t>
  </si>
  <si>
    <t>Interior Head</t>
  </si>
  <si>
    <t>B.1.0</t>
  </si>
  <si>
    <t>False Ceiling</t>
  </si>
  <si>
    <t xml:space="preserve">Gypsum False Ceiling             </t>
  </si>
  <si>
    <t>Gypsum Board false Ceiling: Providing, fabrication and fixing in position of false ceiling ( height will be decided on the spot as per site conditions) by fixing 12 mm Th. Gypsum Board sheets on frame work of GI sheet section. The main runners of 22 gauge GI sheet and cross runners of 24 gauge GI sheet must be framed to form a mesh of 2’0”x2’0” c/c. The Gypsum Board must be fixed to the GI frame and joint to be properly filled in with POP paste and paper tape to get a leveled smooth ceiling. Recessing of the Gypsum Board for light fixtures must be done along with extra frame work of GI sheet section to hold the concealed light fixtures etc.  directed by the site engineer</t>
  </si>
  <si>
    <t xml:space="preserve">Bison False ceiling </t>
  </si>
  <si>
    <t>sqft</t>
  </si>
  <si>
    <t>B.2.0</t>
  </si>
  <si>
    <t>Ceiling Elements</t>
  </si>
  <si>
    <t>Ceiling Suspended metal framing (Community Seating Ceiling )</t>
  </si>
  <si>
    <t>Baffles Ceiling -Wooden  rafter with rubber wood/Ash wood (Booth seating)</t>
  </si>
  <si>
    <t>R.ft</t>
  </si>
  <si>
    <t>B.3.0</t>
  </si>
  <si>
    <t>Wall Claddings / Wall Partitions /Claddings</t>
  </si>
  <si>
    <t xml:space="preserve">Bison Panelling - PN1
</t>
  </si>
  <si>
    <t>Marine Ply</t>
  </si>
  <si>
    <t>Providing &amp; Fixing 12 mm Marine Ply on Existing Provided Surface. Rate will exclude cost of framing</t>
  </si>
  <si>
    <t>Sqft</t>
  </si>
  <si>
    <t>e.1</t>
  </si>
  <si>
    <t>Providing &amp; Fixing 19 mm Marine Ply on Existing Provided Surface. Rate will exclude cost of framing</t>
  </si>
  <si>
    <t>e.2</t>
  </si>
  <si>
    <t>Bison Boxing - PN5
For Façade</t>
  </si>
  <si>
    <t>Prelam Panelling (Base for Vinyl pasting) - PN2
Upto 2500mm level from FFL</t>
  </si>
  <si>
    <t>Prelam on Existing Surface</t>
  </si>
  <si>
    <t>WPC board (Base for Vinyl Pasting)PN2.2</t>
  </si>
  <si>
    <t>Sft</t>
  </si>
  <si>
    <t>WPC board on Existing Surface</t>
  </si>
  <si>
    <t>Providing and fixing in position Panelling made out of 12mm thk. Marine ply on one side with necessary aluminum /M.S sections  ( 25 mm x 35 mm  x 1.5 mm )framework at 600mm c/c both ways. Wood work to be treated with anti termite treatment. Complete as per decoration plan and as specified &amp; directed by Site Engineer. (Surface Area of the partition shall be measured for billing)</t>
  </si>
  <si>
    <t xml:space="preserve">Providing and fixing in position 1mm Thk. Laminate (14554 RH Hooked Holz Acasia) of merinolam make. Complete as per details in drawing and as specified &amp; directed by Site Engineer.
(surface area shall be measured for billing) on Columns upto 2500 mm  &amp; Booth seating cladding  upto 900 mm of customer area </t>
  </si>
  <si>
    <t>Laminate (in Staff changing room)</t>
  </si>
  <si>
    <t xml:space="preserve">Providing and fixing in position 1mm Thk. Laminate (21141 Snow White) of Merinolam make. Complete as per details in drawing and as specified &amp; directed by Site Engineer.
(surface area shall be measured for billing) </t>
  </si>
  <si>
    <t>R. Ft</t>
  </si>
  <si>
    <t>Floor Transition strip</t>
  </si>
  <si>
    <t>Providing and fixing in position Brick / Brick finish dado clay tile on brick wall surface  Complete as specified in the drawing &amp; to the satisfaction of the Architect &amp; Site-in-charge.(Cost will include Mortar Mixture Thick 12-15 mm, 1:4)</t>
  </si>
  <si>
    <t>Providing and fixing in position Brick / Brick finish dado clay tile on direcet brick wall surface  Complete as specified in the drawing &amp; to the satisfaction of the Architect &amp; Site-in-charge. (Cost will include Mortar Mixture Thick 12-15 mm, 1:4)</t>
  </si>
  <si>
    <t xml:space="preserve">Providing and fixing 10 mm shera board with MS section of 25 mm * 25mm *1.5 mm(18 guage) as per drawings . </t>
  </si>
  <si>
    <t>B.4.0</t>
  </si>
  <si>
    <t>Doors &amp; Windows</t>
  </si>
  <si>
    <t>Providing and fixing 12 mm toufghed glass door with patch fitting ,Pivot , lock and floor spring (Ozone FS-9400 STD), SS Handle H Type Ozone/Equivalent 12 Inches ,Collar seal.</t>
  </si>
  <si>
    <t>Single Leaf Flush Door -With Vision Panel (SDP Entry) With Teak wood frame- 3ft wide</t>
  </si>
  <si>
    <t>Providing and Fixing in position 35 mm Thk. wooden flush door including Vision Panel size of ( 300 x 500 mm ) &amp; section on Teak Wood Door Frame of specified size, section well notched &amp; screwed with cutting of grooves, edges, mouldings over rough ground including necessary hardware, fittings, fixtures, conch bolt, 150 mm high, 2mm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engineer-in-charge.(Cost will include all the hardwares mentioned above including brush seal)</t>
  </si>
  <si>
    <t xml:space="preserve">Providing and Fixing in position 35 mm Thk. wooden flush door including Vision Panel size of ( 300 x 500 mm ) with Granite frame including necessary hardware, fittings,pivot hinges ,fixtures, conch bolt, 150 mm high ,2 mm thick s.s kick Plate,  Door closure ,Handle,Lock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and brush seal) </t>
  </si>
  <si>
    <t>Single Leaf Fire Rated Flush Door -D2V With Vision Panel without door frame ( Back Exit)</t>
  </si>
  <si>
    <t xml:space="preserve">Providing and Fixing in position 35 mm Thk. Fire Rated wooden flush door including vision panel (300*500 mm) including necessary hardware, fittings, fixtures, conch bolt, 150 mm high ,2 mm thick s.s kick Plate, Door closure ,Handle,Lock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engineer-in-charge.(Cost will include all the hardwares mentioned above)  size as per site </t>
  </si>
  <si>
    <t>Single Leaf Flush Door -D2(Back Exit Door ,Toilet )</t>
  </si>
  <si>
    <t xml:space="preserve">Providing and Fixing in position 35 mm Thk. wooden flush door &amp; section on Teak Wood Door Frame of specified size, section well notched &amp; screwed with cutting of grooves, edges, mouldings over rough ground  including necessary hardware, fittings, fixtures, conch bolt, 150 mm high s.s kick Plate (1.5 thickness), Door closure ,Handle,Lock as mentioned in drg, bitumen paint to non exposed surface, matt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</si>
  <si>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Single Leaf Flush Door -D2 without Door Frame (Back Exit Door ,Toilet )</t>
  </si>
  <si>
    <t xml:space="preserve">Providing and Fixing in position 35 mm Thk. wooden flush door including necessary hardware, fittings, fixtures, conch bolt, 150 mm high s.s kick Plate  (1.5 thickness), Door closure ,Handle,Lock as mentioned in drg, bitumen paint to non exposed surface, matt Lacquer /melamine polish matching to Laminate on door frames &amp; Horizontal grain Laminate on the panel from both sides of approved make &amp; shade, etc. complete as per detail drawing, as specified and as directed by engineer-in-charge. (Cost will include all the hardwares mentioned above, including brush seal) </t>
  </si>
  <si>
    <t>D</t>
  </si>
  <si>
    <t>Swing Single Leaf Flush Door -D2SV with Vision Panel (Kitchen to BOH)</t>
  </si>
  <si>
    <t xml:space="preserve">Providing and Fixing Wooden Swing door in position 35 mm Thk. wooden flush door including Vision Panel size of (300 x 500 )&amp; section on Teak Wood Door Frame of specified size, section well notched &amp; screwed with cutting of grooves, edges, mouldings over rough ground wooden frame cutting of grooves, edges, mouldings including necessary hardware including floor spring ,150 mm high s.s kick Plate,Handle,Lock as mentioned in drg, bitumen paint to non exposed surface, 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</si>
  <si>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Fire Exit door</t>
  </si>
  <si>
    <t>Metal fire door 2 hr fire rating  with 35-40 mm thickness , vision panel (300*300) mm with push type panic bar, powder coated (Off white)As specified by project incharge(Navair/Shakti/Radiant)(FRG Glass- Saint Gobain/Asahi/Equivalent)</t>
  </si>
  <si>
    <t>d.1</t>
  </si>
  <si>
    <t xml:space="preserve">Swing Single Leaf Flush Door -D2SV without door Frame (Kitchen to BOH) </t>
  </si>
  <si>
    <t>Counter Swing Door</t>
  </si>
  <si>
    <t>B.5.0</t>
  </si>
  <si>
    <t>P.O.P/Painting</t>
  </si>
  <si>
    <t>POP Punning</t>
  </si>
  <si>
    <t>Providing &amp; applying wall punning up to 12mm to 15mm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</si>
  <si>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Providing &amp; applying wall punning up to 6 mm thick layer of super fine Plaster of Paris applied on specified area over existing plastered surface on walls and columns, to be finished smooth. Surface to be prepared by hacking, sand papering and applying coat of cement slurry if required including all incidentals, making grooves, patties, sills etc. complete and as directed by engineer in charge. The finish surface should be smooth, cover up all the patch work done by electrical agencies so as to avoid unevenness and ready to take on paint. Rate including cost of transportation, loading, unloading, scaffolding, wastage, taxes etc. as directed by  Engineer-in-charge.</t>
  </si>
  <si>
    <t>Painting - Lustre Paint (Vertical Exposed Surfaces)</t>
  </si>
  <si>
    <t xml:space="preserve">Providing and applying Lustre Paint on wall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</si>
  <si>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Providing and applying textured Paint on wall of two coates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 </t>
  </si>
  <si>
    <t xml:space="preserve">Painting - Plastic Emulsion Paint (Ceiling)
</t>
  </si>
  <si>
    <t>Providing and applying Plastic Emulsion Paint on Ceiling of approved make &amp; shade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as specified and as directed by Engineer-in-charge.</t>
  </si>
  <si>
    <t>Enamel Paint</t>
  </si>
  <si>
    <t>sq.ft</t>
  </si>
  <si>
    <t>Duco Paint</t>
  </si>
  <si>
    <t>C</t>
  </si>
  <si>
    <t>C.1.0</t>
  </si>
  <si>
    <t>Shera board  Panelling-1 (Signage front)</t>
  </si>
  <si>
    <t>Screen Module at Entrance</t>
  </si>
  <si>
    <t>Providing and fixing in position screen module as per details in drawing . Provision for Glass panel shutter made up from 19 mm Marine PLY frame &amp; 10 mm toughened Glass and Ply framing boxing to be made with necessary locking arrangement, Hinges,150x 150 mm ,fastener &amp; Dorma Patch Fitting for Shutter .Complete as per detail drawing and as specified &amp; directed by Site Engineer. 
(Length &amp; width of the partition shall be measured for billing.)</t>
  </si>
  <si>
    <t>Nos</t>
  </si>
  <si>
    <t>Promo Panel</t>
  </si>
  <si>
    <t>Fixed Glass with Metal Frame at entrance</t>
  </si>
  <si>
    <t>Fixed Glass with Aluminium Frame at entrance</t>
  </si>
  <si>
    <t>25 x 25mm Duco Painted</t>
  </si>
  <si>
    <t>Providing and fixing in position metal section of 25 x 25 x1.5 mm Duco Painted in matt finish blue  Paint.</t>
  </si>
  <si>
    <t>Trap door for rolling shutter</t>
  </si>
  <si>
    <t xml:space="preserve">Providing and fixing in position Trap door for rolling shutter made out of 8mm thk bison board  finished with approved paint, shade to match white brick cladding. complete as per details in drawing and as specified &amp; directed by Site Engineer. </t>
  </si>
  <si>
    <t>Wood Work</t>
  </si>
  <si>
    <t>D.1.0</t>
  </si>
  <si>
    <t>Furniture /WOOD Work</t>
  </si>
  <si>
    <t>Order Counter</t>
  </si>
  <si>
    <t>RFT</t>
  </si>
  <si>
    <t>Order Counter with Glass Slider/Openable</t>
  </si>
  <si>
    <t>Make line</t>
  </si>
  <si>
    <t>MOP/Janitor storage</t>
  </si>
  <si>
    <t xml:space="preserve">SoftBoard </t>
  </si>
  <si>
    <t>Staff Lunch Table</t>
  </si>
  <si>
    <t>M S railing</t>
  </si>
  <si>
    <t>S S railing</t>
  </si>
  <si>
    <t>Removing &amp; Re-fixing existing M.s/ S. S. Railing</t>
  </si>
  <si>
    <t>LS</t>
  </si>
  <si>
    <t xml:space="preserve">Mirror </t>
  </si>
  <si>
    <t>No.</t>
  </si>
  <si>
    <t>Hood Graphic Panel</t>
  </si>
  <si>
    <t>Providing and fixing in place Hood Graphic Panel made out of approved shade powder coated sheet metal Complete as per details in drawing
Reference Drawing No. 960</t>
  </si>
  <si>
    <t>Computer Holder above Dough Tray &amp; Router</t>
  </si>
  <si>
    <t>Providing and fixing ceiling mounted ,Metal fabricated Computer Holder for Thin clients above Dough Tray &amp; Router. Complete in all respect as per detailed drawing.</t>
  </si>
  <si>
    <t>Computer Holder Wall Mounted for SDP &amp; Makeline</t>
  </si>
  <si>
    <t>Providing and fixing Wall mounted ,Metal fabricated Computer Holder for Thin clients above Dough Tray &amp; Router. Complete in all respect as per detailed drawing.</t>
  </si>
  <si>
    <t>rft</t>
  </si>
  <si>
    <t>E</t>
  </si>
  <si>
    <t>Plumbing</t>
  </si>
  <si>
    <t>E.1.0</t>
  </si>
  <si>
    <t>INTERNAL WATER SUPPLY SYSTEM</t>
  </si>
  <si>
    <t>Providing &amp; fixing on walls / ceiling / floors, medium grade having embossed ISI Mark  CPVC pipes  of diameter as mentioned below with fittings i.e.connector, clamps, tees, elbows, reducers, male-female etc. necessary fittings.  (Supreme / Prince/Astral or as approved. )</t>
  </si>
  <si>
    <t>15mm nominal bore</t>
  </si>
  <si>
    <t>20mm nominal bore for sink+ gyser+ RO+ Basin+papsi machine</t>
  </si>
  <si>
    <t>25mm nominal bore for main water supply</t>
  </si>
  <si>
    <t>32mm nominal bore</t>
  </si>
  <si>
    <t>40mm nominal bore</t>
  </si>
  <si>
    <t>Providing &amp; fixing on walls / ceiling / floors,C class  G I C class pipe of diameter as mentioned below with screwed sockets, joints &amp; necessary.  (Supreme / Prince/Astral or as approved. )</t>
  </si>
  <si>
    <t>25MM nominal bore</t>
  </si>
  <si>
    <t>50 MM nominal bore</t>
  </si>
  <si>
    <t>Providing, Fixing, testing and commissioning of ISI marked Gun Metal Screwed pattern full way Gate valve with wheel tested to non shock cold working pressure upto 10 kg /sq cm(Stop Valve) conforming to IS 778 class 1   including jointing, supporting etc complete and as directed.(Danfoss/Jayhiwa/Zoloto or equivalent)</t>
  </si>
  <si>
    <t xml:space="preserve">20mm class 1.0 </t>
  </si>
  <si>
    <t>25mm class 1.0</t>
  </si>
  <si>
    <t>32mm class 1.0</t>
  </si>
  <si>
    <t>c.4</t>
  </si>
  <si>
    <t xml:space="preserve">40mm class 1.0 </t>
  </si>
  <si>
    <t>c.5</t>
  </si>
  <si>
    <t>50 mm class 1.0</t>
  </si>
  <si>
    <t>Providing &amp; Fixing 15 mm C.P brass angle valve with C.P copper connecting pipe 375 mm long and nuts washer and C.P brass flange complete ,including cutting and making good the walls where required</t>
  </si>
  <si>
    <t>Providing and fixing brass ball balve with SS 304 stem and ball,teflon seat complete.</t>
  </si>
  <si>
    <t>25 mm nominal bore</t>
  </si>
  <si>
    <t>32 mm nominal bore</t>
  </si>
  <si>
    <t>e.3</t>
  </si>
  <si>
    <t>40 mm nominal bore</t>
  </si>
  <si>
    <t>E.2.0</t>
  </si>
  <si>
    <t>INTERNAL DRAINAGE SYSTEM</t>
  </si>
  <si>
    <t>Providing and fixing UPVC SOIL / VENT / WASTE SWR pipe of required diameter conforming to I.S.-13592, and I.S.-4985 to withstand continous internal hydroulic pressure of 4 kg/cm2 including necessary fixtures and fittings, such as bends, tees,Clean out plugs (for the downtakes near bends).  single junctions, double junctions and joining with rubber rings and lubricants, on wall by means of clips or in ground including necessary excavation, laying refilling, trench testing etc. complete. (Prior approval of sample and brand by Ex.Engineer is necessary before use.) (Supreme / Prince/Astral or as approved. )</t>
  </si>
  <si>
    <t>32 mm dia</t>
  </si>
  <si>
    <t>40 mm dia</t>
  </si>
  <si>
    <t>50 mm dia.</t>
  </si>
  <si>
    <t xml:space="preserve">65mm dia </t>
  </si>
  <si>
    <t>75 mm dia.</t>
  </si>
  <si>
    <t>110 mm dia.</t>
  </si>
  <si>
    <t xml:space="preserve">Providing ,laying, testing &amp; commissioning of approved Multi floor trap / Nahani trap with Chilly trap  of required sizes, including jointing etc. complete and as directed. (GMGR/Chilly or equivalent) 
</t>
  </si>
  <si>
    <t>Providing and fixing of PVC water storage tanks of the approved quality, including making solid  work complete in all respects with gate valve and necessary accessiories(Sintex or equivalent make )</t>
  </si>
  <si>
    <t>Ltr</t>
  </si>
  <si>
    <t>E.3.0</t>
  </si>
  <si>
    <t>EXTERNAL SEWERAGE</t>
  </si>
  <si>
    <t>Constructing brick masonry manhole with 1st class bricks in cement mortar 1:5(1 cement:5 fine sand) RCC top slab with 1:2:4 mix (1 cement :2coarse sand:4graded stone aggregate 20mm nominal size) foundation concrete 1:4:8 mix (1 cement:4 coarse sand :8 graded stone aggregate 40mm nominal size) inside and out side plastering 12mm thick with cement mortar 1:3(1 cement :3 coarse sand) finished with a floating coat of neat cement  inside and rough plaster on outside and making channels in cement concrete 1:2:4 mix(1 cement:2 coarse sand:4 graded stone aggregate 20mm nominal size) neatly finished complete as per standard design including excavation refilling and disposal of surplus earth.Inside size 80X80 cms and 60 cms  deep including C.I cover with frame (light duty) 455 x 610 mm internal dimensions total  weight of cover and frame not less than 38 kg(wt. Of cover 23 kg and wt.of frame15kg).</t>
  </si>
  <si>
    <t>Each</t>
  </si>
  <si>
    <t>Gt (18" x18") with 1 st Class brick in cement mortar 1:5 (1 cement : 5 cement) m.s grating  with pcc &amp; SS  Cover, 18" x 18" inside size complete and inside chamber base finish in PCC and brick surface to be  finished with tile</t>
  </si>
  <si>
    <t>E.4.0</t>
  </si>
  <si>
    <t>Sanitarywares &amp; Fittings</t>
  </si>
  <si>
    <t>Providing &amp; Fixing following fixtures, the rate for the following shall be inclusive of all necessary fixtures, accessories &amp; attachments to make them operational, etc. complete to the satisfaction of the Architect
COST EXCLUDES INTERNAL CONCEALED PLUMBING WITH C.P.V.C. / P.V.C. PIPES ONLY (part of plumbing boq)</t>
  </si>
  <si>
    <t>Cocealed Cistern with flush plate</t>
  </si>
  <si>
    <t>Wash Basin</t>
  </si>
  <si>
    <t>Toilet accessories</t>
  </si>
  <si>
    <t>Tissue Dispenser</t>
  </si>
  <si>
    <t>Dolphy Multifold Stainless Steel Towel Paper Dispenser</t>
  </si>
  <si>
    <t>a.8</t>
  </si>
  <si>
    <t>Pillar Cock for Wash Basin</t>
  </si>
  <si>
    <t>a.9</t>
  </si>
  <si>
    <t>Bib cock</t>
  </si>
  <si>
    <t>a.10</t>
  </si>
  <si>
    <t>a.11</t>
  </si>
  <si>
    <t>Bottle Trap</t>
  </si>
  <si>
    <t>Hindware-Addons - Bottle Trap 32mm With 125mm &amp; 175mm Long Wall Connection Pipe &amp;Wall Flange (ECONOMY MODEL)</t>
  </si>
  <si>
    <t>a.13</t>
  </si>
  <si>
    <t>Sink Mixer For 3 way Sink</t>
  </si>
  <si>
    <t xml:space="preserve">Providing and fixing C.P brass wall mounted sink mixer with swinging spout including cutting and making good the walls where required. (3 way Sink ) </t>
  </si>
  <si>
    <t>a.14</t>
  </si>
  <si>
    <t>40 mm Dia Pipe</t>
  </si>
  <si>
    <t xml:space="preserve">40 mm CPVC Dia Pipe for 3 way sink for all inclusive fittings </t>
  </si>
  <si>
    <t>a.17</t>
  </si>
  <si>
    <t>Kitchen Paper Holder</t>
  </si>
  <si>
    <t>Waste Coupling</t>
  </si>
  <si>
    <t>Waste Coupling for 3Way sink and Makeline sink</t>
  </si>
  <si>
    <t>Waste Flexible Pipe</t>
  </si>
  <si>
    <t>PVC Waste flexible Pipe of 1.0m length and 25 mm dia (make :SBD/Shineman etc)</t>
  </si>
  <si>
    <t>Conceal Coak</t>
  </si>
  <si>
    <t>NO.</t>
  </si>
  <si>
    <t>F</t>
  </si>
  <si>
    <t>Electrical</t>
  </si>
  <si>
    <t>F.1.0</t>
  </si>
  <si>
    <t>VTPN DB</t>
  </si>
  <si>
    <t>16 Way VTPN DB - Kitchen Equipment+ Lighting+Power DB</t>
  </si>
  <si>
    <t>12 Way VTPN DB - Kitchen Equipment+ Lighting+Power DB</t>
  </si>
  <si>
    <t>8 Way VTPN DB - Kitchen Equipment+ Lighting+Power DB</t>
  </si>
  <si>
    <t>12 Way TPN DB - Kitchen Equipment+ Lighting+Power DB</t>
  </si>
  <si>
    <t>8 Way TPN DB - Kitchen Equipment+ Lighting+Power DB</t>
  </si>
  <si>
    <t xml:space="preserve">6 way TPN DB </t>
  </si>
  <si>
    <t>12 Way SPN DB - UPS DB</t>
  </si>
  <si>
    <t>8 Way SPN DB - UPS DB</t>
  </si>
  <si>
    <t>6 Way SPN DB - UPS DB</t>
  </si>
  <si>
    <t>F.2.0</t>
  </si>
  <si>
    <t>Isolators /ELCB /RCBO &amp; SWITCH SOCKETS</t>
  </si>
  <si>
    <t xml:space="preserve">Supply , installation, testing comissioning of DP isolator of 25 A </t>
  </si>
  <si>
    <t xml:space="preserve">Supply , installation, testing comissioning of DP isolator of 32 A </t>
  </si>
  <si>
    <t xml:space="preserve">Supply , installation, testing comissioning of DP isolator of 40 A </t>
  </si>
  <si>
    <t xml:space="preserve">Supply , installation, testing comissioning of DP MCB of 25 A </t>
  </si>
  <si>
    <t xml:space="preserve">Supply , installation, testing comissioning of DP MCB of 32 A </t>
  </si>
  <si>
    <t xml:space="preserve">Supply , installation, testing comissioning of DP MCB of 40 A </t>
  </si>
  <si>
    <t xml:space="preserve">Supply , installation, testing comissioning of FP ELCB of 25 A, 100mA </t>
  </si>
  <si>
    <t xml:space="preserve">Supply , installation, testing comissioning of FP ELCB of 40 A, 100mA </t>
  </si>
  <si>
    <t xml:space="preserve">Supply , installation, testing comissioning of FP RCBO of 63 A, 100mA </t>
  </si>
  <si>
    <t>a.12</t>
  </si>
  <si>
    <t xml:space="preserve">Supply, Installation, testing comissioning of 10 amp TPN MCB </t>
  </si>
  <si>
    <t xml:space="preserve">Supply, Installation, testing comissioning of 32 amp TPN MCB </t>
  </si>
  <si>
    <t>Supply, Installation, testing comissioning of 40  amp TPN MCB</t>
  </si>
  <si>
    <t>a.15</t>
  </si>
  <si>
    <t>a.16</t>
  </si>
  <si>
    <t xml:space="preserve">Providing and Fixing 16 amp single phase Industrial socket </t>
  </si>
  <si>
    <t xml:space="preserve">Providing and Fixing 25 amp single phase Industrial socket </t>
  </si>
  <si>
    <t xml:space="preserve">Providing and Fixing 25 amp three phase Industrial socket </t>
  </si>
  <si>
    <t>ISOLATOR - (BEFORE SERVO STABILIZER)</t>
  </si>
  <si>
    <t>125A FP, 25kA Thermal Magnetic based MCCB with LSIG Protection with Box (As per the instruction of the Engineer Inchrge)</t>
  </si>
  <si>
    <t>100A FP, 25kA Thermal magneticr based MCCB with LSIG Protection with Box(As per the instruction of the Engineer Inchrge)</t>
  </si>
  <si>
    <t xml:space="preserve">6/16 Amp Electrical Top </t>
  </si>
  <si>
    <t>Primary (First) light point controlled by a 6A switch.</t>
  </si>
  <si>
    <t xml:space="preserve">Nos </t>
  </si>
  <si>
    <t>d.2</t>
  </si>
  <si>
    <t>RMT</t>
  </si>
  <si>
    <t>Rmtr</t>
  </si>
  <si>
    <t xml:space="preserve">Conduiting </t>
  </si>
  <si>
    <t>Supplying and fixing of following sizes of medium class PVC conduit along with accessories in surface/recess including cutting the wall/floor  and making good the same in case of recessed conduit as required.</t>
  </si>
  <si>
    <t>20 mm</t>
  </si>
  <si>
    <t>25 mm</t>
  </si>
  <si>
    <t>32 mm</t>
  </si>
  <si>
    <t>40 mm</t>
  </si>
  <si>
    <t>50 mm</t>
  </si>
  <si>
    <t>Supplying and fixing of following sizes of MS conduit along with accessories in surface/recess including painting in case of surface conduit, or cutting the wall and making good the same 
in case of recessed conduit as required.</t>
  </si>
  <si>
    <t xml:space="preserve">Supplying &amp; erecting M.S flexible Conduit 25 mm dia.conforming to I.S. and approved make with required number of couplings, bushes, check nuts etc. </t>
  </si>
  <si>
    <t xml:space="preserve">Supplying &amp; erecting PVC flexible Conduit 50 mm dia.conforming to I.S. and approved make with required number of couplings, bushes, check nuts etc. </t>
  </si>
  <si>
    <t>Supply, Installation, Testing &amp; Commissioning of G.I Conduit 32mm dia with necessary accessories in wall/floor with chiselling appropriately as per specification.</t>
  </si>
  <si>
    <t>Supply, Installation, Testing &amp; Commissioning of G.I conduit 25 mm in dia with necessary accessories in RCC work/false ceiling/false flooring as per specification</t>
  </si>
  <si>
    <t>F.3.0</t>
  </si>
  <si>
    <t>no</t>
  </si>
  <si>
    <t>Supplying and erecting double pole metal clad switch with fuse
and neutral link 240V, 25A on iron / GI frame switch socket with  ISI mark approved make duly erected with  modular box , cover plate &amp; all wiring connections complete. (Single phase)</t>
  </si>
  <si>
    <t>F.4.0</t>
  </si>
  <si>
    <t>LT CABLES &amp; TERMINATIONS</t>
  </si>
  <si>
    <t>SUPPLY AND LAYING OF THE CABLES</t>
  </si>
  <si>
    <t>Supply, Errecting, Termination &amp; Commissioning of following sizes of 1.1 KV grade FRLS Armoured/Unarmoured Copper/ Aluminum conductor cables laid over MS supports cable racks/trays or fixing on walls including clamping the cable to supports cable racks or fixing on walls including   lugs, double compression gland   and joints complete  in an approved manner as required .</t>
  </si>
  <si>
    <t>4Cx16 Sq.mm AL Arm. XLPE</t>
  </si>
  <si>
    <t>4Cx25 Sq.mm AL Arm. XLPE</t>
  </si>
  <si>
    <t>3.5Cx35 Sq.mm AL Arm. XLPE</t>
  </si>
  <si>
    <t>3.5Cx50 Sq.mm AL Arm. XLPE</t>
  </si>
  <si>
    <t>3.5Cx70 Sq.mm AL Arm. XLPE</t>
  </si>
  <si>
    <t>3.5Cx95 Sq.mm AL Arm. XLPE</t>
  </si>
  <si>
    <t>4Cx2.5 Sq.mm Cu. Arm. XLPE</t>
  </si>
  <si>
    <t>4Cx4 Sq.mm Cu. Arm. XLPE</t>
  </si>
  <si>
    <t>4C x 6 sq.mm Cu. Arm. XLPE</t>
  </si>
  <si>
    <t>4Cx10 Sq.mm Cu. Arm. XLPE</t>
  </si>
  <si>
    <t>4C x 16 sq.mm Cu. Arm. XLPE</t>
  </si>
  <si>
    <t>CABLE TERMINATION</t>
  </si>
  <si>
    <t>2/3/3.5/4 CORES AL. CABLE WITH AL. LUGS</t>
  </si>
  <si>
    <t xml:space="preserve">35 sq.mm. </t>
  </si>
  <si>
    <t>Jt</t>
  </si>
  <si>
    <t xml:space="preserve">50 sq.mm. </t>
  </si>
  <si>
    <t xml:space="preserve">70 sq.mm. </t>
  </si>
  <si>
    <t>Multicore Flexible Cables : 1100 Volt Annealed Bare Electrolytic High, Conductivity Copper Conductor Flexible PVC Type 'A' Insulated &amp; PVC ST-1 Sheathed Cables in existing Conduit. Conforming to IS: 694:1990 including Making Both End terminations with copper lugs.</t>
  </si>
  <si>
    <t>EARTHING  (In absence of D.G.Vendor)</t>
  </si>
  <si>
    <t>Supply &amp; Laying of 25mmX3mm GI strips with necessary G. I. Clamps fixed on wall/cable/ conduit with screws in an approved manner.</t>
  </si>
  <si>
    <t>Mtrs</t>
  </si>
  <si>
    <t>Supply &amp; Laying of 25mmX3mm CU strips with necessary G. I. Clamps fixed on wall/cable/ conduit with screws in an approved manner.</t>
  </si>
  <si>
    <t>25X4 sqmm Earth Alu.Armd cable(For RoofTop) with necessary G. I. Clamps fixed on wall/cable/ conduit with screws in an approved manner.</t>
  </si>
  <si>
    <t>35X4 sqmm Earth Alu.Armd cable(For RoofTop) with necessary G. I. Clamps fixed on wall/cable/ conduit with screws in an approved manner.</t>
  </si>
  <si>
    <t>8 SWG GI Earth Wire with necessary G. I. Clamps fixed on wall/cable/ conduit with screws in an approved manner.</t>
  </si>
  <si>
    <t>8 SWG Cu Wire with necessary G. I. Clamps fixed on wall/cable/ conduit with screws in an approved manner.</t>
  </si>
  <si>
    <t>Supply, Installation, Testing &amp; Commissioning of  long life,  Maintenance Free advance chemical  Earthing System with 20 year service warranty  with 8 feet Vertical Pipe in pipe GI Not less than 1.5” (40mm) ID and not less than 1.5mm wall thickness, &amp; 20x2mm tape inside, which does not require manual addition of water including earthing chamber  (300m x 300mm x 300 deep)with cover. The complete systems supported by SEM-20 STRONG based certified advance soil enhancement material. Including all civil works for pit. UOM - Each. This should be done till upto 3 mtr.(Earth resistance value shall be  &lt;1 Ohm)</t>
  </si>
  <si>
    <t>No.'s</t>
  </si>
  <si>
    <t>Supply, Installation, testing and commissioning of earth pits comprising 600x600x 3mm thick G.I. electrode/plate 25 mm dia medium class watering G.I. pipe, G.I. funnel with 20 gauge GI wire mesh, masonary chamber with concrete base, CI manhole cover with frame (300m x 300mm x 300 deep) strip from earth palte to link painted  with bitumastic paint, test link joint packing  the mixture with salt  &amp;charcoal 150 mm all  around plate electrode complete as required as per IS:3043..(Earth resistance value shall be  &lt;1 Ohm)</t>
  </si>
  <si>
    <t>4.0 sq.mm. Cu. Flexible cable</t>
  </si>
  <si>
    <t>6.0 sq.mm. Cu. Flexible cable</t>
  </si>
  <si>
    <t>10 sq.mm. Cu. Flexible cable</t>
  </si>
  <si>
    <t>D.G Foundation</t>
  </si>
  <si>
    <t>Generator bedding incl of floor raising with debris (4" to 6" )with necessary brickwork at all sides/ with 1:2:4 cement sand metal morter bed as PCC/ IPS/plaster on vertical edges, complete in all respects</t>
  </si>
  <si>
    <t>F.6.0</t>
  </si>
  <si>
    <t>Supplying and erecting fresh air cum Exhaust fan of light
duty 250 V A.C. 50 cycles 300mm/400mm. 1400 RPM rust proof body
&amp; blades, wiremesh, duly erected in an approved manner.(Havells/Usha/Crompton or Orient.)</t>
  </si>
  <si>
    <t>Heavy Duty 450 mm Dia Exhaust Fan (Make Cromptoon &amp; Equivalent)</t>
  </si>
  <si>
    <t>Inline Industrial Fan 1000 CFM matching existing duct dimension</t>
  </si>
  <si>
    <t>S/I/T/C of Bracket fan- 400mm in M.S as per specs</t>
  </si>
  <si>
    <t>Providing &amp; Fixing of Limit Switches for Mizwah Air Curtain</t>
  </si>
  <si>
    <t>F.7.0</t>
  </si>
  <si>
    <t>Cable Trays</t>
  </si>
  <si>
    <t>Cable Tray -Non Perforated for Kitchen</t>
  </si>
  <si>
    <t>Raceway</t>
  </si>
  <si>
    <t>F.8.0</t>
  </si>
  <si>
    <t>Electrical Related Civil work</t>
  </si>
  <si>
    <t xml:space="preserve">Excavation/ Cheselling under floor for laying cables/ conduits in wall or floor as per requirement, complete with finishing etc </t>
  </si>
  <si>
    <t>Sq.Mtr</t>
  </si>
  <si>
    <t>F.9.0</t>
  </si>
  <si>
    <t>Geyser</t>
  </si>
  <si>
    <t xml:space="preserve">SITC of Digital instant GEYSER ABOVE SINK 3 ltr (Ao Smith or equivalent)instant with required accessories) </t>
  </si>
  <si>
    <t xml:space="preserve">SITC of Storage Geyser (25 ltr) AO smith or equivalent used above 3 way sink with required accessories </t>
  </si>
  <si>
    <t>No</t>
  </si>
  <si>
    <t>F.10.0</t>
  </si>
  <si>
    <t>Music System/ CONDUITING/WIRING FOR TELEPHONE/DATA/ MUSIC AND COMPUTER SYSTEM</t>
  </si>
  <si>
    <t>SITC of Sony Music System (DAV DZ - 350) or Equivalent Make 5.1</t>
  </si>
  <si>
    <t>Wiring to music speakers with 2 pairs 40/0.076 flexible wire (PVC insulator, annealed or surface mounted 20/25 mm PVC conduit as directed (from speaker outlet to music junction box).</t>
  </si>
  <si>
    <t>Two nos. telephone jack outlet in 2 module GI outlet -{Refer Details- Electrical (C) below}</t>
  </si>
  <si>
    <t>Providing and drawing RG-58 co-axial cable for computer system in existing PVC conduit.</t>
  </si>
  <si>
    <t>Cat-6 Cable for Switch to Camera inlcuding conduit.</t>
  </si>
  <si>
    <t xml:space="preserve">I O Plate including necessary Jack and connections </t>
  </si>
  <si>
    <t>150mm x 200 x 40mm (W x H) - (18 SWG - 2 mm) with cover with one partition.</t>
  </si>
  <si>
    <t xml:space="preserve">100 x 100 x 40mm deep with cover plate for makeline /Slap Table/Biometric </t>
  </si>
  <si>
    <t>300 x 300 x 100 mm deep boxes with cover plate for Electrical Panel</t>
  </si>
  <si>
    <t>Supplying and fixing 1.6 mm thick MS junction/outlet 450X300X100 mm deep boxes with cover plate</t>
  </si>
  <si>
    <t>G</t>
  </si>
  <si>
    <t>Fire Detection and Alarm System</t>
  </si>
  <si>
    <t>Supply, installation, testing &amp; commissioning of Conventional Type optical Smoke Detector with inbuilt scattered light measurement, rate of rise and fixed temperature based technology and LED indication should be on the centre of the detector with mounting base complete as required.</t>
  </si>
  <si>
    <t xml:space="preserve">Supply, Installation, testing &amp; commissioning of addressable type smoke Detector with floating sensitivity  Complete with all accessories like base, base box, etc. to be installed under / above false ceiling, roof and concealed space, etc. complete as required. </t>
  </si>
  <si>
    <t xml:space="preserve">Supply, Installation, testing &amp; commissioning of addressable type Heat Detector (fixed cum-rate of rise type) with fix temperature at 78 o C complete with all fixing accessories like base, base box, etc to be installed under /above false ceiling, roof and concealed space, etc complete as required. </t>
  </si>
  <si>
    <t>Supply, installation, testing &amp; commissioning of conventional Manual Call Point (break glass type)complete with push button,enclosed in box with provision of conduit/cable coupling.The unit to be painted fire red outside ,white inside and written "in case of fire break glass" or as required.</t>
  </si>
  <si>
    <t>Supply, Installation, testing &amp; commissioning of addressable type manual call point (break glass type) complete with push button, enclosed in box with provision for cable or conduit coupling. The unit to be painted fire red outside, white inside and written 'In case of fire break glass'.</t>
  </si>
  <si>
    <t>Supply, installation, testing &amp; commissioning of Conventional Hooter cum Strobe complete as required.110 cd light &amp; 85 dB adjustable at different locations complete with all fixing accessories etc under false ceiling ,roof,wall etc complete as required.</t>
  </si>
  <si>
    <t>Supply, Installation, testing &amp; commissioning of hoooters (Specification :- 110 cd light &amp; 85 dB with adjustable DB)  at different locations complete with all fixing accessories, etc under false ceiling roof, wall etc.  complete as required.</t>
  </si>
  <si>
    <t>Set</t>
  </si>
  <si>
    <t xml:space="preserve">Supplying, erecting, testing and commissioning the addressable type Fire Alarm Control Panel (FACP) with standard accessories complete </t>
  </si>
  <si>
    <t xml:space="preserve">Supplying and erecting PVC armoured cable 2 core 1.5 sq. mm FRLS copper conductor complete erected on wall / celling  as per specification </t>
  </si>
  <si>
    <t>Mtr.</t>
  </si>
  <si>
    <t>Supply installation testing and comissioning of Hood supression system(Ceasefire or equivalent).</t>
  </si>
  <si>
    <t>H</t>
  </si>
  <si>
    <t>HVAC LOW SIDE</t>
  </si>
  <si>
    <t>H.1.0</t>
  </si>
  <si>
    <t>DUCTING :  ( MAKE: ZECO/TATA/JINDAL/SAIL/ROLASTAR/NUTECH)</t>
  </si>
  <si>
    <t>24 gauge galvanized sheet(Thickness - 0.6 mm) - Up to 750 mm</t>
  </si>
  <si>
    <t>Sq.mtr</t>
  </si>
  <si>
    <t>22 gauge galvanised sheet(Thickness - 0.8 mm) - Up to 1500 mm</t>
  </si>
  <si>
    <t>22 gauge galvanized sheet - For Exhaust &amp; fresh Air Duct</t>
  </si>
  <si>
    <t>24 gauge galvanized sheet - For Exhaust &amp; fresh Air Duct</t>
  </si>
  <si>
    <t xml:space="preserve">SITC of Canvas cloth at fan mouth for  Exhaust &amp; Fresh air unit as per detail specification </t>
  </si>
  <si>
    <t>H.3.0</t>
  </si>
  <si>
    <t>THERMAL INSULATION</t>
  </si>
  <si>
    <t xml:space="preserve">Supply &amp; Installation of closed cell structure Elastomeric foam based on synthetic nitrile rubber. The insulation material  shall have fire performance of Class O acc. to building regulations. Fire propagation shall be tested acc. to BS476 Part 6:1989. It shall be FM approved &amp; UL94 tested. </t>
  </si>
  <si>
    <t xml:space="preserve">13 mm thick for External  Insulation of duct  </t>
  </si>
  <si>
    <t xml:space="preserve">09 mm thick for Internal  Insulation of duct </t>
  </si>
  <si>
    <t xml:space="preserve">09 mm thick for External Insulation of Exhaust duct </t>
  </si>
  <si>
    <t>H.4.0</t>
  </si>
  <si>
    <t>AIR DISTRIBUTION SYSTEM (MAKE: CARRIYAIR, AIRMASTER,COSMOS, RAVISTAR )</t>
  </si>
  <si>
    <t>I</t>
  </si>
  <si>
    <t>Miscellaneous work</t>
  </si>
  <si>
    <t>I.1.0</t>
  </si>
  <si>
    <t>Extra Frequent  Item</t>
  </si>
  <si>
    <t xml:space="preserve">4" x 4" S.S Pole </t>
  </si>
  <si>
    <t>SS Brush Finish pole 4" x 4" and ht as per site (and as per drawing) with Sheet thickness of 1.6 mm minimum and to be fixed on floor with S.S plate with fastner and above M.S member support to be taken from Slab till 2500 mm ht .It shall be fixed with the top slab where ever possible with minimum 6" SS 2 mm thick plate with 4 Nos 8mm Fastners and Wire should run through conduit inside pole and socket to be placed above 300 mm from finished floor level. All The material must be SS 304 and the vendor shall share the certifcate for the same. the installation shall be as per enginner incharge.</t>
  </si>
  <si>
    <t>R Ft</t>
  </si>
  <si>
    <t>Providing stand and fixing Micro wave Oven above staff lunch table to be source locally  &amp;  as approved.</t>
  </si>
  <si>
    <t>NOS</t>
  </si>
  <si>
    <t>Rubber Matt</t>
  </si>
  <si>
    <t xml:space="preserve">3mm shock proof rubber mat with 11 kVA certification required </t>
  </si>
  <si>
    <t>P/F applying Silicon sealant of approved make and colour to junctions of wall tiling with aluminium frame 5mm size.</t>
  </si>
  <si>
    <t>R ft</t>
  </si>
  <si>
    <t xml:space="preserve">P/Laying epoxy grouting in floor </t>
  </si>
  <si>
    <t>Sq. ft</t>
  </si>
  <si>
    <t>Supply, installation, testing &amp; commissioning of sensor with 180 deg coverage &amp; 1 mtr range used for air curtain complete with all required accessories.  Make: Any make readily available with min warranty of 1 year.</t>
  </si>
  <si>
    <t xml:space="preserve">S S chequered plate cladding on cold room panel as per detail drawing </t>
  </si>
  <si>
    <t>Providing and fixing water level sensor fully automatic with high and low indicator with alarm (Make : microtail ,OS or equivalent )</t>
  </si>
  <si>
    <t>S.S Buffing in Brush Finish</t>
  </si>
  <si>
    <t>I.2.0</t>
  </si>
  <si>
    <t>Fitting / Fixing of following item with necessary arrangement as directed</t>
  </si>
  <si>
    <t>Table top  fitting</t>
  </si>
  <si>
    <t>Safe/Furniture /Staff locker/IT Rack</t>
  </si>
  <si>
    <t>Money box fixing</t>
  </si>
  <si>
    <t>Air Curtain with all fixing arrangement</t>
  </si>
  <si>
    <t>Suspension &amp; hanging of Exhaust hood from ceiling</t>
  </si>
  <si>
    <t>Speaker fitting</t>
  </si>
  <si>
    <t>Pesto flash</t>
  </si>
  <si>
    <t>Computer rack</t>
  </si>
  <si>
    <t>Strip curtain for oven hood</t>
  </si>
  <si>
    <t>Job</t>
  </si>
  <si>
    <t>Strip curtain for cold room</t>
  </si>
  <si>
    <t>Makeline SS sink with fastener</t>
  </si>
  <si>
    <t>Loading/Unloading of truck (Domino's material/equipment)</t>
  </si>
  <si>
    <t>Loading/Unloading &amp; disposable of debris (per truck)</t>
  </si>
  <si>
    <t>Loading / Unloading of Servo</t>
  </si>
  <si>
    <t>Water dispenser connection with fittings</t>
  </si>
  <si>
    <t>Fixing of Provided Extinguisher</t>
  </si>
  <si>
    <t>P/F Door Stopper for Makeline /Slap Table</t>
  </si>
  <si>
    <t>Fixing Wall Shelf above Slap Table /Sink</t>
  </si>
  <si>
    <t>Fixing of Tissue Paper Holder /Helmet Stand</t>
  </si>
  <si>
    <t>L.T Panel commisioning  as per site requirement</t>
  </si>
  <si>
    <t>Servo connections as per site requirement</t>
  </si>
  <si>
    <t>Sub Total of I.2.0</t>
  </si>
  <si>
    <t>Housekeeping</t>
  </si>
  <si>
    <t>Installation of Fresh air and Exhaust Unit</t>
  </si>
  <si>
    <t>Sanitizer Stand</t>
  </si>
  <si>
    <t>Bike Fixing with providing nutbolt and labour charge</t>
  </si>
  <si>
    <t>200watt Led light</t>
  </si>
  <si>
    <t>Sensor Tap</t>
  </si>
  <si>
    <t>Keyboard and Mouse</t>
  </si>
  <si>
    <t>Task No.</t>
  </si>
  <si>
    <t>Sub Task No.</t>
  </si>
  <si>
    <t>Sub Total of A.2.0</t>
  </si>
  <si>
    <t>Autoclaved Aerated Concrete Block</t>
  </si>
  <si>
    <t>Brick Work</t>
  </si>
  <si>
    <t>Plaster</t>
  </si>
  <si>
    <t>12mm to 15mm Plastering</t>
  </si>
  <si>
    <t>Sub Total of A.4.0</t>
  </si>
  <si>
    <t>d.1 (opt.)</t>
  </si>
  <si>
    <t>Providing and Fixing 19mm thick, upto 6" wide granite door frames with 6mm champhered edges machine polished edges externally and internally. Rate to include cutting/moulding/polishing/Transport etc. Complete as specified in the drawing &amp; to the satisfaction of the Architect &amp; Site-in-charge. (required mortar bed is 25mm to 50mm thk)</t>
  </si>
  <si>
    <t>Sub Total of A.6.0</t>
  </si>
  <si>
    <t>Sub Total of B.1.0</t>
  </si>
  <si>
    <t>Providing and Fixing  125mmX25mm thick wood finish with natural clear polish make suspended from ceiling. Complete as specified in the drawing &amp; to the satisfaction of the Architect &amp; Site-in-charge.</t>
  </si>
  <si>
    <t>Sub Total of B.2.0</t>
  </si>
  <si>
    <t xml:space="preserve">Framing-Cutting of section &amp; Providing and fixing M.S frame work in built up tubular section (square hollow tubes  25 mm x 35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</si>
  <si>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Ply Partition - P2</t>
  </si>
  <si>
    <t>a.(i)</t>
  </si>
  <si>
    <t xml:space="preserve">Providing &amp; Fixing 8 mm thk Bison board with above mentioned  framing details - a.(i) (Rate will be include the cost of framing) </t>
  </si>
  <si>
    <t>Providing &amp; Fixing 10 mm thk Bison board with above mention framing deatails - a.(i) (Rate will be include the cost of framing)</t>
  </si>
  <si>
    <t>c.(i)</t>
  </si>
  <si>
    <t>Providing and fixing in position Panelling made out of 12 mm thk. Bison Board of approved make on one side with necessary  aluminum/M.S sections, framing details as mentioned below - c.(i).  (Surface area of single side will be consider for billing)</t>
  </si>
  <si>
    <t>Providing &amp; Fixing 19 mm marine ply to be fixed with wooden gitty and the wall undulation to be covered by cement plaster</t>
  </si>
  <si>
    <t>h.1</t>
  </si>
  <si>
    <t>Providing and fixing in position Panelling made out of  8mm thk. WPC on one side with necessary Aluminium /M.S sections ( 25 mm x 35 mm  x 1.5 mm ) framework at 600mm c/c both ways. Complete as per decoration plan and as specified &amp; directed by Site Engineer. (Surface Area of the partition shall be measured for billing)</t>
  </si>
  <si>
    <t>Providing and fixing in position Brick / Brick finish dado tile as per drawing . Its shall be fixed with chemical (Laticrete L335) &amp;  grout -Roff Rainbow -khaki  of  approved make &amp; shade directly on wall. Complete as specified in the drawing &amp; to the satisfaction of the Architect &amp; Site-in-charge.(Cost will include of Articlad directly on wall, Moratar Mixture Average thich 12-15mm , 1:4)</t>
  </si>
  <si>
    <t>p op1</t>
  </si>
  <si>
    <t>p op2</t>
  </si>
  <si>
    <t>p op3</t>
  </si>
  <si>
    <t xml:space="preserve">Providing and applying textured Paint on wall including 10-12 mm groove (as per drawing) of two coats of approved make &amp; shade . Filling the dents with approved Acrylic putty gypsum / or approved crack filler, binder, cleaning and making the surface dust free, preparing surfaces, applying a coat of sealer or primer as per the manufacturers specifications. Applying two under coats and one finished coat of paint to achieve the required finish including scrapping the existing paint, scaffolding, cleaning etc. Complete as per detail drawing and as directed by  Engineer-in-charge. </t>
  </si>
  <si>
    <t>Sub Total of B.3.0</t>
  </si>
  <si>
    <t xml:space="preserve">Providing and Fixing Wooden Swing door in position 35 mm Thk. wooden flush door including Vision Panel size of (300 x 500 ) including necessary hardware including floor spring ,150 mm high s.s kick Plate,Handle,Lock as mentioned in drg,bitumen paint to non exposed surface, lacquer/melamine polish matching to Laminate on door frames &amp; Horizontal grain Laminate on the panel from both sides of approved make &amp; shade etc. complete as per detail drawing, as specified and as directed by engineer-in-charge.  (Cost will include all the hardwares mentioned above) </t>
  </si>
  <si>
    <t xml:space="preserve">19 MM Thk Solid Core Counter Swing Door with double side Piano S.S hinge 2 nos as mention in the detail drawing and as directed by Site Engineer .Door Front finish to be done with as / Approved Tile  with 38 mm corian Profile  in all the sides of tile and top of Swing Door and Door inside finish with Approved Laminate. 19 MM thick patti on all the edges on all three sides  (Cost will include all the hardwares mentioned above) </t>
  </si>
  <si>
    <t>Sub Total of B.4.0</t>
  </si>
  <si>
    <t>Sub Total of B.5.0</t>
  </si>
  <si>
    <t>Exterior Head</t>
  </si>
  <si>
    <t>Façade Work</t>
  </si>
  <si>
    <t>Providing and fixing in position Order counter : Counter top finished in 6mm thick Acrylic Solid Surface LG Hausys-HI-MACS G109 Beige Island over 19 mm thick WPC/Marine Ply. 150mm height Drawers (2 nos)to be provided below each POS.Internal area to be finish with 1 mm thick approved laminate with necessary hardwares (Lock ,Telescopic channel etc). MS powder coated framework (40 x40 x 1.5 mm)  with 10 mm toughened glass and having provision of sliding glass opening with necceaasy fittings and channels as per detail drawing and Ledge having LED cove strip as per detail drawing Complete in all respect . Cost to include all materials, DMB Framing ,labours and necessary leads &amp; lift etc. Counter Height-3'6"</t>
  </si>
  <si>
    <t>Providing and fixing in position MOP storage made of 18mm thk. Marine ply in appd. Laminate from outside and white laminate inside with necessary support framework. Cost to include shelves in 18 mm thk. marine ply finished in white laminate with all hardware, fasteners, and rubber / PVC leveller etc. complete in all respect as per detailed drawing and size to be considered in Width x Height for Billing Depth 500 mm</t>
  </si>
  <si>
    <t>Providing and placing foldable staff table in position 40mm thk table top made out of 2 nos 19mm thk marine ply finished with 1mm thk laminate LAM01 on both side and edges to be finished with PVC edge bending to be sopported on L bracket  with Table bracket (HAFFLE ) complete in all respect as per detailed drawing. Size- 4'x1'6", width can be adjusted as per site. Fixing of table to be kept 3' from thr floor.</t>
  </si>
  <si>
    <t xml:space="preserve">Providing and fixing in position M. S. Railing made out of 25 x 25 x1.5 MS hollow section for vertical sections and 12 x 12 x1.5 mm midrails finished in matt duco paint as per approved shade and wooden section Hardwood oak 50 x 25 mm (With Malamine Matt Polished) Handrail to be fixed on 6 mm x 50 mm M.S flat and End to End Main Balusters will be in size of 50 x 50 mm Cost to include all hardware and fasteners etc. complete in all respect as per detailed drawing. </t>
  </si>
  <si>
    <t xml:space="preserve">Providing and fixing in position S. S. Railing made out of  ss grade 304 hollow section for vertical sections and midrails and S.S Hollow handrail . Cost to include all hardware and fasteners etc. complete in all respect as per detailed drawing. </t>
  </si>
  <si>
    <t xml:space="preserve">Removing and re-fixing in position existig S. S. Railing/M.S Railing with glass panels for installation of finishing material of tread &amp; riser. Cost to include all hardware, fasteners, and rubber / PVC leveller etc. complete in all respect as per detailed drawing. </t>
  </si>
  <si>
    <t>Providing and placing in position 6mm thk extra clear mirror of size 450mm x 1200 mm with 12mm thk marine ply at back to be fixed over ss stud on wall. Cost to include all hardware, fasteners, and rubber / PVC leveller etc. complete in all respect as per detailed drawing.</t>
  </si>
  <si>
    <t xml:space="preserve">Corian -6 MM THK.LG HAUSYS G-109 Foldable Ledge- Take away (Samsung aspen glow - AG636/ Rehau frost white 180L)  </t>
  </si>
  <si>
    <t>Sub Total of C.1.0</t>
  </si>
  <si>
    <t>Sub Total of D.1.0</t>
  </si>
  <si>
    <t>Sub Total of E.1.0</t>
  </si>
  <si>
    <t>Sub Total of E.2.0</t>
  </si>
  <si>
    <t>Sub Total of E.3.0</t>
  </si>
  <si>
    <t>Sub Total of E.4.0</t>
  </si>
  <si>
    <t>Triple pole and neutral distribution board (VTPNDB with vertical busbar) with Double door surface/flush mounted comprising of following:-</t>
  </si>
  <si>
    <t xml:space="preserve">Incomer : </t>
  </si>
  <si>
    <t>100A , TM based MCCB of 25kA with O/L, S/C &amp; E/F Protection - 01 No</t>
  </si>
  <si>
    <t>Outgoing :</t>
  </si>
  <si>
    <t xml:space="preserve">6/32A SP MCB - 24 Nos </t>
  </si>
  <si>
    <t>6/32 Amp TP MCB- 8 Nos</t>
  </si>
  <si>
    <t>With all necessary connections</t>
  </si>
  <si>
    <t>63A , TM based MCCB of 25kA with O/L, S/C &amp; E/F Protection - 01 No</t>
  </si>
  <si>
    <t xml:space="preserve">6/32A SP MCB - 18 Nos </t>
  </si>
  <si>
    <t>6/32 Amp TP MCB- 6 Nos</t>
  </si>
  <si>
    <t xml:space="preserve">6/32A SP MCB - 12 Nos </t>
  </si>
  <si>
    <t>6/32 Amp TP MCB- 4 Nos</t>
  </si>
  <si>
    <t>DB shall have separate neutral links of rating not less than 100A for each phase. The main incoming neutral link shall be in addition to three outgoing neutral links and shall be of 125A.</t>
  </si>
  <si>
    <t>63A FP, MCB of 10kA - 01 No</t>
  </si>
  <si>
    <t>Sub Incomer</t>
  </si>
  <si>
    <t>3Nos, DP, 63A, RCBO (30mA).</t>
  </si>
  <si>
    <t>6/32A SP MCB - 30 Nos</t>
  </si>
  <si>
    <t>Triple pole and neutral distribution board (TPNDB) with Double door surface/flush mounted of 8 way (4+ 24 Module) 4 Horizontal Rows in 4 Vertical tiers configuration   comprising of following:-</t>
  </si>
  <si>
    <t>8 Way TPN Double door type DB for Power comprising of following:-</t>
  </si>
  <si>
    <t>40A FP MCB,10kA - 01 No</t>
  </si>
  <si>
    <t>3Nos, DP, 40A, RCBO (30mA).</t>
  </si>
  <si>
    <t>6/32A SP MCB - 18 Nos</t>
  </si>
  <si>
    <t>Triple pole and neutral distribution board (TPNDB) with Double door surface/flush mounted of 6 way (4+ 18 Module) 4 Horizontal Rows in 4 Vertical tiers configuration   comprising of following:-</t>
  </si>
  <si>
    <t>6/32A SP MCB - 12 Nos</t>
  </si>
  <si>
    <t>Sub Total of F.1.0</t>
  </si>
  <si>
    <t>Sub Total of F.2.0</t>
  </si>
  <si>
    <t xml:space="preserve">SPN DB </t>
  </si>
  <si>
    <t>12 Way SPN Double door type DB for Power comprising of following:-</t>
  </si>
  <si>
    <t>32A DP MCB  - 01 No</t>
  </si>
  <si>
    <t>16A SP MCB -05 Nos</t>
  </si>
  <si>
    <t>8 Way SPN Double door type DB for Power comprising of following:-</t>
  </si>
  <si>
    <t>25A DP MCB  - 01 No</t>
  </si>
  <si>
    <t>16A SP MCB - 04 Nos</t>
  </si>
  <si>
    <t>10A SP MCB - 02 Nos</t>
  </si>
  <si>
    <t>6 Way SPN Double door type DB for Power comprising of following:-</t>
  </si>
  <si>
    <t>16A DP MCB  - 01 No</t>
  </si>
  <si>
    <t>10A SP MCB - 03 Nos</t>
  </si>
  <si>
    <t>16A SP MCB - 1 No</t>
  </si>
  <si>
    <t>Sub Total of F.3.0</t>
  </si>
  <si>
    <t>Primary (First) light point controlled by a MCB in the DB.</t>
  </si>
  <si>
    <t>d.3</t>
  </si>
  <si>
    <t>d.4</t>
  </si>
  <si>
    <t>d.5</t>
  </si>
  <si>
    <t>d.6</t>
  </si>
  <si>
    <t>Light Point Wiring Specifications</t>
  </si>
  <si>
    <t>f.1</t>
  </si>
  <si>
    <t>f.2</t>
  </si>
  <si>
    <t>f.3</t>
  </si>
  <si>
    <t>f.4</t>
  </si>
  <si>
    <t>g.1</t>
  </si>
  <si>
    <t>g.2</t>
  </si>
  <si>
    <t>g.3</t>
  </si>
  <si>
    <t>g.4</t>
  </si>
  <si>
    <t>Sub Total of F.4.0</t>
  </si>
  <si>
    <t>Sub Total of F.7.0</t>
  </si>
  <si>
    <t>Exhaust Fan for Toilet supply</t>
  </si>
  <si>
    <t>Sub Total of F.8.0</t>
  </si>
  <si>
    <t>Sub Total of F.9.0</t>
  </si>
  <si>
    <t>Sub Total of F.10.0</t>
  </si>
  <si>
    <t>Data Modular Box</t>
  </si>
  <si>
    <t>G.1.0</t>
  </si>
  <si>
    <t>Sub Total of G.1.0</t>
  </si>
  <si>
    <t>Sub Total of H.1.0</t>
  </si>
  <si>
    <t>H.2.0</t>
  </si>
  <si>
    <t>Sub Total of H.2.0</t>
  </si>
  <si>
    <t>Sub Total of H.3.0</t>
  </si>
  <si>
    <t>Sub Total of H.4.0</t>
  </si>
  <si>
    <t>Sub Total of I.1.0</t>
  </si>
  <si>
    <t>w</t>
  </si>
  <si>
    <t>x</t>
  </si>
  <si>
    <t>y</t>
  </si>
  <si>
    <t>z</t>
  </si>
  <si>
    <t>aa</t>
  </si>
  <si>
    <t>ab</t>
  </si>
  <si>
    <t>b.5</t>
  </si>
  <si>
    <t>Providing &amp; fixing of ISI Mark CPVC ball valves of followig dia pipes as mentioned below (Make - supreme/prince/astral or as approved)</t>
  </si>
  <si>
    <t>150 mm dia.</t>
  </si>
  <si>
    <t xml:space="preserve">Supply, Installation, Testing &amp; Commissioning of mains with 2 X 2.5 sq.mm and earth wire 2.5 sqmm FRLS PVC copper wire ,in rigid MMS PVC conduit min.20 mm dia,including all required accessories,etc as per specification. </t>
  </si>
  <si>
    <t>Secondary (Loop) light point looped to first point and so on.(upto 6 mtr) wire length</t>
  </si>
  <si>
    <t>Lighting points with PVC conduit</t>
  </si>
  <si>
    <t>Lighting points with MS conduit</t>
  </si>
  <si>
    <t xml:space="preserve">Supply, Installation, Testing &amp; Commissioning of mains with 2 X 2.5 sq.mm and earth wire 2.5 sqmm FRLS PVC copper wire ,in rigid MS conduit min.20 mm dia,including all required accessories,etc as per specification. </t>
  </si>
  <si>
    <t xml:space="preserve">Fixing of  T-5 4FT water proof light </t>
  </si>
  <si>
    <t>ac</t>
  </si>
  <si>
    <t>ad</t>
  </si>
  <si>
    <t>ae</t>
  </si>
  <si>
    <t>3Cx2.5 Sqmm Cu. Arm. XLPE</t>
  </si>
  <si>
    <t>3Cx4 Sqmm Cu. Arm. XLPE</t>
  </si>
  <si>
    <t xml:space="preserve">Provind and laying of 2MM thick GI factory fabricated raceways in partition of the following sizes including providing removable 3 mm thick GI cover knock our holes and fixing accessories complete required including floor supports, bends, access boxes and tap of boxes as per instruction from site supervision. </t>
  </si>
  <si>
    <t xml:space="preserve">300mm wide x 40mm deep </t>
  </si>
  <si>
    <t xml:space="preserve">150mm wide x 40mm deep </t>
  </si>
  <si>
    <t xml:space="preserve">100mm wide x 40mm deep </t>
  </si>
  <si>
    <t xml:space="preserve">50mm wide x 40mm deep </t>
  </si>
  <si>
    <t>Fixing and installation of fresh air fan</t>
  </si>
  <si>
    <t>Fixing and installation of Exhaust air fan</t>
  </si>
  <si>
    <t>af</t>
  </si>
  <si>
    <t>ag</t>
  </si>
  <si>
    <t>j.1 op 1</t>
  </si>
  <si>
    <t xml:space="preserve">Frameless toughened glass door with patch fittings and lock </t>
  </si>
  <si>
    <t>e.4</t>
  </si>
  <si>
    <t>e.5</t>
  </si>
  <si>
    <t>f.5</t>
  </si>
  <si>
    <t>Jet Black Granite</t>
  </si>
  <si>
    <t>i.1</t>
  </si>
  <si>
    <t>i.2</t>
  </si>
  <si>
    <t>Framing for articlad</t>
  </si>
  <si>
    <t xml:space="preserve">Proving &amp; Fixing of heavy duty cable turnking box at the floor and ceiling/ beam with help of nessacary arrangement. Fixing of at digital display (LED TV) approved size at cable turnking box witg nessacary arrangement and powder coating to be done for cable trunking box in approved shade.
All the necessary arrangements to be done for thinclient fixing, Also all the cables to be trunked in the cable trucking box. </t>
  </si>
  <si>
    <t>Providing and fixing in position fixed 10 mm Toughened glass partition with As/approved poweder coated on Aluminium frame of 45 x 25 mm section with glazing rubber and intermediate sections of 45 x 25  from outside and 45 x 25  from inside with toughened glass. Complete as per details in drawing. 
(Surface area of the partition shall be measured for billing.)</t>
  </si>
  <si>
    <t>Take away counter</t>
  </si>
  <si>
    <t>Providing and placing in position Take away table made out of 19mm thk. Marine ply  finished with appd. Laminate  (Outside Laminate- 1mm THK. 14554 RH HOOKED ACACIA LAMINATE, MERINO WITH 2mm THK. REHAU MAKE MATCHING EDGE BAND &amp; Inisde laminate Merino Lam 21141 snow white ) and table top to be finish with 6 mm thk LG Hausys -109 Hi Macs over marine Ply with necessary support framework as approved, Cost to include all hardware, fasteners, and rubber / PVC leveller etc..Cost to inlude of making 1 drawer and shelve ,as per shared detailed drawing
and  Size 900 x 550 x 975 mm ht</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</si>
  <si>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</si>
  <si>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 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</si>
  <si>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100 mm ht. Skirting as per detail in drawing.Over 20 mm thk bed of cement mortar 1:4 (cement : fine sand )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Finish of skirting to match with individual areas as per flooring plan. </t>
  </si>
  <si>
    <t xml:space="preserve">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</si>
  <si>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r>
      <t xml:space="preserve">Providing and fixing in position Glazed Vitrified Tile flooring as per detail in drawing. It shall be fixed with cement mortar of 1:3, required mortar bed is 25mm to 50mm thk), with thick grey cement slurry,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r>
    <r>
      <rPr>
        <b/>
        <sz val="11"/>
        <color rgb="FFFF0000"/>
        <rFont val="Calibri"/>
        <family val="2"/>
        <scheme val="minor"/>
      </rPr>
      <t/>
    </r>
  </si>
  <si>
    <t xml:space="preserve">Providing and fixing in position Bison Board Partition made out of 12mm thk. Bison Board both sides with necessary aluminum/M.S sections ( 40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</si>
  <si>
    <t>Providing and fixing in position full height  ply Partition as mentioned in drawing  made out of 12mm thk. Marine ply to be fixed on  both sides with necessary  aluminum /M.S sections, framing details  as mentioned above - a.(i). Items include making, cut-out for electrical swtich plates , swtich boxes  and 4" ht skirting as per drawing and direction .Plyboard make should be GREEN, CENTURY 0R EQUIVALENT. (Surface area of single side will be consider for billing)</t>
  </si>
  <si>
    <t>Providing and fixing in position Panelling made out of  12mm thk. Prelam Board on one side with necessary aluminum /M.S sections ( 25 mm x 35 mm  x 1.5 mm ) framework at 600mm c/c both ways. Wood work to be treated with anti termite treatment.and edges to be finish with matching PVC Tape . Complete as per decoration plan and as specified &amp; directed by Site Engineer. (Surface Area of the partition shall be measured for billing)</t>
  </si>
  <si>
    <t>Providing and fixing in position Panelling made out of  12mm thk. Prelam Board on Existing Provided Surface. edges to be finish with matching PVC Tape . Complete as per decoration plan and as specified &amp; directed by Site Engineer. (Surface Area of the partition shall be measured for billing) &amp; (Rate will exclude the cost of framing)</t>
  </si>
  <si>
    <t>Providing and fixing in position Panelling made out of  8mm thk. WPC on Existing Surface. Complete as per decoration plan and as specified &amp; directed by Site Engineer. (Surface Area of the partition shall be measured for billing).Rate  will exclude cost of framing</t>
  </si>
  <si>
    <t>Providing and fixing in position Brick / Brick finish dado Clay tile as per drawings . Its shall be fixed  with chemical (Laticrete L335) &amp; matching grout of approved make &amp; shade on brick Wall Surface details as mentioned above on any surface as per details in drawing and as specified &amp; directed by Site Engineer.((Cost will include of tiles cladding, Mortar Mixture Thick 12-15 mm, 1:4)</t>
  </si>
  <si>
    <t>Providing and fixing in position Brick / Brick finish dado tile coated with exterior grade sealer with 8mmX4mm . Its shall be fixed with chemical (Laticrete L335) &amp; grout- Roff Snow White on brick wall surface. Complete as specified in the drawing &amp; to the satisfaction of the Architect &amp; Site-in-charge.(Cost will include of Articlad. Mortar Mixture Thick 12-15 mm, 1:4)</t>
  </si>
  <si>
    <t xml:space="preserve">Main Entry Glass Door with metal frame as per drawing- 6 ft wide
</t>
  </si>
  <si>
    <t>Providing and Applying synthetic enamel paint (Armada Blue) of approved make &amp; Shade on Metal surfaces.to be prepared by rubbing with coarser sand paper suitable for painting by filling all dents and crack &amp; two coat of primer .The rate includes scrapping ,Filling with Putty etc complete. - Colour and pattern to be specified at site by site supervisor.Approved make - Asain paint</t>
  </si>
  <si>
    <t>Providing and fixing in position Order counter : Counter top finished in 6mm thick Acrylic Solid Surface LG Hausys-HI-MACS G109 Beige Island over 19 mm thick WPC/Marine Ply. 150mm height Drawers (2 nos )to be provided below each POS.Internal area to be finish with 1 mm thick approved laminate with necessary hardwares(Lock ,Telescopic channel etc). MS powder coated framework  (40x40x1.5mm) as per detail drawing to be provided with necessay arrangement and Ledge having LED cove strip as per detail drawing Complete in all respect . Cost to include all materials, DMB Framing ,labours and necessary leads &amp; lift etc. -Counter Height-3'6"</t>
  </si>
  <si>
    <t xml:space="preserve">Providing and fixing in position Makeline : Counter top finished in 6mm thick Acrylic Solid Surface LG Hausys-HI-MACS G109 Beige Island over 19 mm thick Marine Ply / WPC and Ledge having LED cove  strip as per detail drawing Complete in all respect. Duco Paint M.S framework  with 10 mm toughened Glass as per detail drawing above counter Cost to include all materials, labours and necessary leads &amp; lift etc. </t>
  </si>
  <si>
    <t>Providing &amp; fixing in position Corian foldable ledge to be made up of 6mm corian with necessary angle &amp; bracket support required to fix on m.s frame. It shall be fixed with Chemical Adhesive . The job including cutting of corian &amp; making smooth edges wherever required . The work shall also include cost of materials, wastages,bracket, labour, all lead and lift at all levels, loading and unloading, transportation, etc. and all other incidental charges etc., complete and as directed by Engineer-in-charge. Measurement to be calculated basis on Actual area in running feet.</t>
  </si>
  <si>
    <t xml:space="preserve">Providing &amp; Constructing 115mm thick wall of class1  Brick  with conventional IS type bricks in 1:4 cement mortar inclusive of RCC tie member at every one meter height interval in 1:3:6 Cement Concrete with 2no. of 6mm diameter mild steel reinforcement &amp; 2 no. of hoop iron strips 25mm x 1.6mm, painted with anti-corrosive paint, properly bent and bonded at the end ,inclusive of shuttering, scaffolding, Raking of joints and proper curing etc. complete. </t>
  </si>
  <si>
    <t>Plastering the Siporex / brick masonry walls with 12mm to 15mm thk. Single coat cement plaster in 1: 4 (cement : sand proportion) with chickenmesh jali wherever required, including scaffolding and curing complete as specified and as directed by Site Engineer.</t>
  </si>
  <si>
    <t>Providing and laying brick-bat coba system, cm 1:3  base coat, brick-bat coba filling as per site requirement &amp; 1:4 top-finish coat. the mortar for the brick-bat koba filling shall be cm 1:4 and admixed with integral waterproofing compound and mortar plasticizer, properly compacted, curing, complete. The top-finish coat shall be broom-finished suitable for laying tiles. The cost should include sealing the annular space between the pipe and the masonary, making khurras, river sand screened and washed, at all leads, lifts, heights, with proper slope to drain-off water entirely, complete, etc. Curing shall be done for maximum for 7 days by ponding with water or after getting checked &amp; satisfied by Site Engineer .</t>
  </si>
  <si>
    <t>P/f one layer of 3mm APP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 Including protection plaster
Ponding test to be carried out for minimum 48 hours. 
Approved makes :  Zydex, sika</t>
  </si>
  <si>
    <t>F.5.0</t>
  </si>
  <si>
    <t>Sub Total of F.5.0</t>
  </si>
  <si>
    <t>Sub Total of F 6.0</t>
  </si>
  <si>
    <t>TPN DB</t>
  </si>
  <si>
    <t>Dado Brick / Tile Cladding - 3 (Booth seating area)-Unistone (Zara cotswold)</t>
  </si>
  <si>
    <t>Providing &amp; fixing 15mmX15mm anodized Aluminium  finish corner guard in approved shade powder coat matching to tile color above skirting level upto 2500 mm.</t>
  </si>
  <si>
    <t>Providing &amp; fixing 15mm wide 'T' shape anodized Aluminium Transition strip</t>
  </si>
  <si>
    <t>Providing and fixing in position Glazed Vitrified Tile  flooring as per detail in drawing. It shall be fixed with cement mortar of 1:4, (required mortar bed is 25mm to 50mm thk) with thick grey cement slurry,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sheet/Plastic sheet for tile Protection . (size - 600x600 mm)</t>
  </si>
  <si>
    <t>Providing and fixing in position Glazed Vitrified Tile flooring as per detail in drawing. It shall be fixed with cement mortar of 1 :4,(required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Tile Protection .(size - 130x800 mm)/ Option - RAK -AMBER OAK   (SIZE-198X1200mm)</t>
  </si>
  <si>
    <t>Providing and fixing in position Glazed Vitrified Tile flooring as per detail in drawing. It shall be fixed with cement mortar of 1 :4, (required mortar bed is 25mm to 50mm thk), 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POP /Plastic sheet for Tile Protection ..(size - 130x800mm)/ Option 2 RAK -CEDAR BROWN    (SIZE-198X1200mm)</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</si>
  <si>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(Size - 600x600mm)</t>
  </si>
  <si>
    <t>Single Leaf Flush Door - With Vision Panel with Granite framing (SDP Entry)</t>
  </si>
  <si>
    <t>Providing and Fixing in position Main Entry Door as per details in drawings including outer MS sections  40 mm x 45 mm and  10 mm toughened glass to be sandwiched with pivot and hardware including S.S  Brush Finish Handle 1500 mm ht (square one) with inbuilt locking &amp; Floor Spring (Ozone  FS-9400  STD ) provision in the floor as mentoned in the hyper linked drawing.and M.S Frame to be finish in Armada Blue Duco Paint or colour matching to Pantone shade PMS 2965 C (Cost will include all hardwares including Floor Spring ,Handle , Brush seal etc)</t>
  </si>
  <si>
    <t>Providing and fixing in position fixed 10 mm Toughened glass partition with As/approved Duco Painted -(ARMADA BLUE) or  colour matching to Pantone shade PMS 2965 C metal frame of 40 x 45 x1.5 mm section and intermediate sections of 25 x 25 x1.5 mm from outside and 25 x 12 x1.5 mm from inside with toughened glass. Complete as per details in drawing. 
(Surface area of the partition shall be measured for billing.)</t>
  </si>
  <si>
    <t>Providing and fixing in position dado tile (White Tile )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(Size - 200x250mm)</t>
  </si>
  <si>
    <t>Dado Tile Cladding  - White Tile in Staff Toilet or changing room</t>
  </si>
  <si>
    <t>Providing &amp; Fixing 6" -8" wide band of granite of approved shade &amp; sample. It shall be fixed along the doors. (it shall be flushed with finished edge of the wall) with 1:3 cement mortar as per detailed design &amp; shall be flushed with adjoining flooring, etc. Minimum 15 mm</t>
  </si>
  <si>
    <t>Granite (Jet Black/Steel grey) Band</t>
  </si>
  <si>
    <t>Providing and Applying  Duco spray paint (Armada Blue) of approved make on Wooden /Expose metal frame. Surface to be prepared by rubbing wooden surface with coarser sand paper suitable duco paint putty to be applied and finish with priemer .The rate includes scrapping ,Filling with Putty etc completein spec. Approved make - Asain paint</t>
  </si>
  <si>
    <t>Dolphy White ABS Wall Mounted 400 ml Liquid Soap Dispenser/ Dolphy – DSDR 0065 which is manual not automatic. But the alternative specs are mentioned for Automatic.- will use current only of Dolphy/censor one will be use for flagship stores only.</t>
  </si>
  <si>
    <t xml:space="preserve">SITC RO Water booster pump upto 1 HP Auto Cut Type , mounting with rubber pad &amp; nut bolt (Make Crompton Grundfoss,Danfoss ,Kirloskar or equivalent)  </t>
  </si>
  <si>
    <t xml:space="preserve">SITC RO Water booster pump 0.5  HP Auto Cut Type , mounting with rubber pad &amp; nut bolt (Make Crompton Grundfoss,Danfoss ,Kirloskar or equivalent)  </t>
  </si>
  <si>
    <t>Providing and fixing in position Panelling made out of 6 mm thk. Bison Board of approved make on one side with necessary aluminum /M.S sections ( 25 mm x 35 mm  x 1.5 mm ) framework at 600mm c/c both ways bison joints to have 6x6mm groove . Complete as per decoration plan and as specified &amp; directed by Site Engineer. (Surface Area of the partition shall be measured for billing)</t>
  </si>
  <si>
    <t>Wall Corner Guard</t>
  </si>
  <si>
    <t>Providing &amp; fixing MS Tube 25mmX25mm finish in black Powder coat (0.5 micron) for Booth area articlad wall till skirting level as/drawing.</t>
  </si>
  <si>
    <t>MS Tube Wall guards for articlad</t>
  </si>
  <si>
    <t>Supply, installation, testing &amp; commissioning of 2 zone based conventional Fire alarm control panel with standard set complete as required.</t>
  </si>
  <si>
    <t>Fixing of Light Fixtures Provided by JFL (Hood lights are in hood vendor scope)</t>
  </si>
  <si>
    <t>Amount</t>
  </si>
  <si>
    <t>Providing and Fixing in position softboard as specified size. complete in all respect as per detailed drawing. Panel Size : 1200 x 900</t>
  </si>
  <si>
    <t xml:space="preserve">Providing and fixing in position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 
</t>
  </si>
  <si>
    <t xml:space="preserve">Providing and fixing in position Glazed Vitrified Tile flooring as per detail in drawing. It shall be fixed with cement mortar of 1 :4,(required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 </t>
  </si>
  <si>
    <t>Providing and fixing in position dado tile  of approved make &amp; shade on any surface as per details in drawing and Over 12 mm thk bed of cement mortar 1:3 (cement : fine sand ) with thick grey cement slurry, 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Ceramic wall tile (Printed) With customize line work</t>
  </si>
  <si>
    <t>Providing and fixing in position dado tile  of approved make &amp; shade on any surface as per details in drawing and Over 12 mm thk bed of cement mortar 1:3 (cement : fine sand ) with thick grey cement slurry, with hairline joints using cement grout.The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t>
  </si>
  <si>
    <t xml:space="preserve">Hindware - Enigma or equivalent- wall mounted closet with Quiet-Close seat and cover (Catalogue no. 92024, Colour - Star white) </t>
  </si>
  <si>
    <t>Hindware or equivalent- Conceale Cistern (Concealo) and Face Plate (Concealo - Shell) / Flushing cistern can be identify from Vendor according to WC.</t>
  </si>
  <si>
    <t>Hindware table top wash basin  Fornte white 91043 or equivalent</t>
  </si>
  <si>
    <t>Toilet paper holder with cover - Hindware - (Catalogue no. F880003) or equivalent</t>
  </si>
  <si>
    <t>Hindware - Quadra Pillar cock - (Catalogue no. F380001CP, Finish - Chrome) or equivalent</t>
  </si>
  <si>
    <t>SS Kitchen Paper Holder 9" (Make : Hindware chrome F840008CP or equivalent)</t>
  </si>
  <si>
    <t>Conceal coak for makeline sink (Make- Hindware F310003ACP  OR equivalent)  Regular Body Suitable for 15mm Pipe Line with Spindle Extension &amp; Plastic Protection Cap (without Exposed Parts) OR equivalent</t>
  </si>
  <si>
    <t>Hindware Magma -1719 Artistic Basin-510X360X120 wall hung (white) or equivalent.</t>
  </si>
  <si>
    <t>Hindware-Health Faucet  F 160013 CP ABS With Rubbit Cleaning System</t>
  </si>
  <si>
    <t xml:space="preserve">Providing and fixing in position Glazed Vitrified Tile flooring as per detail in drawing. It shall be fixed with cement mortar of 1 :4,(required mortar bed is 25mm thk) with thick grey cement slurry,with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</si>
  <si>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 xml:space="preserve">Providing and fixing in position Glazed Vitrified Tile flooring as per detail in drawing. It shall be fixed with cement mortar of 1 :4 ,(required mortar bed is 25mm to 50mm thkk) with thick grey cement slurrywith hairline joints using cement grout. The job including cutting of tiles &amp; making smooth edges wherever required . The work shall also include cost of materials, wastages, labour, all lead and lift at all levels, loading and unloading, transportation, curing etc. and all other incidental charges etc., complete and as directed by Engineer-in-charge. </t>
  </si>
  <si>
    <t>Providing and fixing in position Glazed Vitrified Tile flooring as per detail in drawing. It shall be fixed with cement mortar of 1 :4, (required mortar bed is 25mm to 50mm thk),with thick grey cement slurry, with hairline joints using cement grout.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Including Corrugated sheet  /Plastic sheet for tile Protection.</t>
  </si>
  <si>
    <t xml:space="preserve">Laminate on panelling </t>
  </si>
  <si>
    <t>o op1</t>
  </si>
  <si>
    <t>o op2</t>
  </si>
  <si>
    <t>o op3</t>
  </si>
  <si>
    <t>o op4</t>
  </si>
  <si>
    <t>Supplying &amp; erecting mains with 2x4 sq.mm and earth wire 2.5 sqmm FRLS PVC copper wire laid with conduit/trunking/inside pole/Bus bars or any other places.</t>
  </si>
  <si>
    <t xml:space="preserve">Providing and fixing in position dado tile  of approved make &amp; shade on any surface as per details in drawing and Over 12 mm thk bed of cement mortar 1:3 (cement : fine sand ) with thick grey cement slurry.The job including cutting of tiles &amp; making smooth edges wherever required . The work shall also include cost of materials, wastages, labour, all lead and lift at all levels, loading and unloading, transportation, curing etc. and all other incidental charges etc. Complete as specified in the drawing &amp; to the satisfaction of the Site Engineer. </t>
  </si>
  <si>
    <t>Providing and fixing in position Brick / Brick finish dado tile with grout -Roff Rainbow -khaki  of approved make of approved make &amp; shade on Existing provided surface as per details in drawing and as specified &amp; directed by Site Engineer.  (Cost will include of Articlad &amp; Moratar Mixture Average thich 12-15mm , 1:4)</t>
  </si>
  <si>
    <t>Providing and fixing in Unistone Wall Cladding Tile as per drawing . Its shall be fixed with chemical (Laticrete L335)  &amp; matching grout  of  approved make &amp; shade on brick wall surface and as specified &amp; directed by Site Engineer.( Moratar Mixture Average thich 12-15mm , 1:4)</t>
  </si>
  <si>
    <t>Hindware -Quadra which is actually “Quadra Bib Cock 2 in 1 with wall flange” or equivalent</t>
  </si>
  <si>
    <t>Providing &amp; erecting Hot deeped Galvanised Perforated type Cable tray manufactured from 18 swg (1.6 mm thick) GI sheet of 300 mm width &amp; 50 mm height complete with necessary coupler plates &amp; hardware  in approved manner. Including Paints</t>
  </si>
  <si>
    <t>Providing &amp; erecting Hot deeped Galvanised Non -Perforated type Cable tray manufactured from 18 swg (1.6 mm thick) GI sheet of 300 mm width &amp; 50 mm height complete with necessary coupler plates &amp; hardware in approved manner  Including Paint</t>
  </si>
  <si>
    <t>Providing &amp; erecting Hot deeped Galvanised Perforated type Cable tray manufactured from 18 swg (1.6 mm thick) GI sheet of 200 mm width &amp; 50 mm height complete with necessary coupler plates &amp; hardware in approved manner.Including Paint</t>
  </si>
  <si>
    <t>Providing &amp; erecting Hot deeped Galvanised Non -Perforated type Cable tray manufactured from 18 swg (1.6 mm thick) GI sheet of 200 mm width &amp; 50 mm height complete with necessary coupler plates &amp; hardware in approved manner.Including Paint</t>
  </si>
  <si>
    <t>Providing &amp; erecting Hot deeped Galvanised Perforated type Cable tray manufactured from 18 swg (1.6 mm thick) GI sheet of 100 mm width &amp; 50 mm height complete with necessary coupler plates &amp; hardware in approved manner.Including Paint</t>
  </si>
  <si>
    <t>Providing &amp; erecting Hot deeped Galvanised Non- Perforated type Cable tray manufactured from 18 swg (1.6 mm thick) GI sheet of 100 mm width &amp; 50 mm height complete with necessary coupler plates &amp; hardware in approved manner.Including Paint</t>
  </si>
  <si>
    <t>Providing &amp; erecting Hot deeped Galvanised Perforated type Cable tray manufactured from 18 swg (1.6 mm thick) GI sheet of 50 mm width &amp; 50 mm height complete with necessary coupler plates &amp; hardware in approved manner.Including Paint</t>
  </si>
  <si>
    <t>Power Point wiring</t>
  </si>
  <si>
    <t>All switch socket wiring shall be carried out for primary point using 3x2.5 sq mm wire in "PVC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</si>
  <si>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First Point wiring with 6A,5pin wall socket outlet and controlled by a 6A switch</t>
  </si>
  <si>
    <t>Extra loop point wiring with 6A, 5 pin wall socket outlet and controlled by a 6A switch upto 6 mtr length</t>
  </si>
  <si>
    <t>First Point wiring with 16A,5pin wall socket outlet and controlled by a 16A switch</t>
  </si>
  <si>
    <t>Extra loop point wiring with 16A, 5 pin wall socket outlet and controlled by a 16A switch upto 6 mtr length</t>
  </si>
  <si>
    <t>Additional 6 Amp Switch &amp; socket outlet in G.I. Box on modular cover plate adjoining and looped from the existing point. (Note:-additional means switch socket in modular box and plate adjoining the existing one on the same circuit.) Wire will be paid in Rmt separately</t>
  </si>
  <si>
    <t>All switch socket wiring shall be carried out for primary point using 3X4 sq mm wire in "PVC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</si>
  <si>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First Point wiring with 16A, 3Pin combined shuttered wall socket outlet and controlled by a 16A one way switch with indicator.</t>
  </si>
  <si>
    <t>Extra loop point wiring with 16A, 3Pin combined shuttered wall socket outlet and controlled by a 16A one way switch with indicator.upto 6 mtr wiring</t>
  </si>
  <si>
    <t>Additional 16 Amp Switch &amp; socket outlet in G.I. Box on modular cover plate adjoining and looped from the existing point. (Note:-additional means switch socket in modular box and plate adjoining the existing one on the same circuit.) . Wire will be paid in Rmt separately</t>
  </si>
  <si>
    <t>Supply and Laying of Wiring for light/ power plug with 4X4 sq. mm FRLS PVC  insulated copper conductor single core wire in surface/recessed medium class MMS PVC conduit alongwith 2 Nos. 4 sq. mm FRLS PVC insulated copper conductor single core cable for loop earthing as required.</t>
  </si>
  <si>
    <t>Power Point wiring(MS conduit)</t>
  </si>
  <si>
    <t>All switch socket wiring shall be carried out for primary point using 3x2.5 sq mm wire in "MS  Conduit" for connection of 6/16amp socket. Individual junction/inspection boxes shall be provided for each Power Point for the purpose of looping with cheisling and scaffolding work if required .Inclusive of all G.I. Boxing and wire termination &amp; MMS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10 Mt. wire length is inclusive.</t>
  </si>
  <si>
    <t>h.2</t>
  </si>
  <si>
    <t>h.3</t>
  </si>
  <si>
    <t>h.4</t>
  </si>
  <si>
    <t>All switch socket wiring shall be carried out for primary point using 3X4 sq mm wire in "MS Conduit" for connection of 16 amp socket .  Individual junction/inspection boxes shall be provided for each Power Point for the purpose of looping with cheisling and scaffolding work if required .Inclusive of all G.I. Boxing and wire termination &amp; MMS PVC conduit etc. From DB to first switch socket will be termed as primary point and First socket to subsequent looping on the same circuit shall be as termed secondary point. Power point wiring shall excluded submains wiring from Panel to D.B. The scope of Power point wiring starts after DB where switching control is directly from DB.upto 12 Mt. wire length is inclusive.</t>
  </si>
  <si>
    <t>j.1</t>
  </si>
  <si>
    <t>j.2</t>
  </si>
  <si>
    <t>j.3</t>
  </si>
  <si>
    <t>j.4</t>
  </si>
  <si>
    <t>j.5</t>
  </si>
  <si>
    <t>k.1</t>
  </si>
  <si>
    <t>k.2</t>
  </si>
  <si>
    <t>k.3</t>
  </si>
  <si>
    <t>k.4</t>
  </si>
  <si>
    <t>k.5</t>
  </si>
  <si>
    <t>Shera  board  Paneling for Textured paint /White Paint at Façade</t>
  </si>
  <si>
    <t>Providing and fixing in position Shera Board Panelling made out 8 mm thk. Shera board with 25mm x 50mm aluminum sections/M.S framework at 600mm x 1200 mm c/c with two coat of primer . Complete as per decoration plan and as specified &amp; directed by Site Engineer. (Surface area of the partition shall be measured for billing)</t>
  </si>
  <si>
    <t>ah</t>
  </si>
  <si>
    <t>Providing and fixing in position panelling made out of 8x 150 x 3000 mm Shera board Teak planks (with application of 2 coat of primer on all side of shera plank &amp; finished with Duco paint-Armada blue or colour matching to Pantone shade PMS 2965 C on shera Planks)  to be fixed on 25x25x1.5 mm Alluminium/MS framework to be painted with anti -corrosion Paint on all sides and Duco Painted  M S  Border size of 25X25x1.5 to be fixed all around the signage. Complete as per store front Detail and as specified in Drawing.(Cost will include Shera board Teak Planks &amp; ,Frame)Approved make - Asain paint.</t>
  </si>
  <si>
    <t>OGT Installation with all required plumbing fittings (CPVC) pipe of 32mm dia under three sink unit</t>
  </si>
  <si>
    <t>Rate</t>
  </si>
  <si>
    <t>Area</t>
  </si>
  <si>
    <t>L</t>
  </si>
  <si>
    <t>Cold Room Area Floor</t>
  </si>
  <si>
    <t>Kitchen Area Floor</t>
  </si>
  <si>
    <t>Boh Area Floor</t>
  </si>
  <si>
    <t>Wall Tiles Kitchen</t>
  </si>
  <si>
    <t>Less Door</t>
  </si>
  <si>
    <t>Kitchen area wall tiles</t>
  </si>
  <si>
    <t>Cold Room Area wall Tiles</t>
  </si>
  <si>
    <t>wall dismantling- BOH</t>
  </si>
  <si>
    <t>door Side BOH</t>
  </si>
  <si>
    <t>Kitchen Area False Ceiling</t>
  </si>
  <si>
    <t>Cold Room Area Ceiling</t>
  </si>
  <si>
    <t>BOH area</t>
  </si>
  <si>
    <t>Counter Wall</t>
  </si>
  <si>
    <t>Door Seal</t>
  </si>
  <si>
    <t>Couneter Front Area</t>
  </si>
  <si>
    <t>Column</t>
  </si>
  <si>
    <t>Cold Room Wall</t>
  </si>
  <si>
    <t>Cold Room Top</t>
  </si>
  <si>
    <t xml:space="preserve">Dismantling of Existing Duct </t>
  </si>
  <si>
    <t>Primary Loop</t>
  </si>
  <si>
    <t>Secondary Loop</t>
  </si>
  <si>
    <t>Point</t>
  </si>
  <si>
    <t>Wire</t>
  </si>
  <si>
    <t>LOOP</t>
  </si>
  <si>
    <t>WIRE</t>
  </si>
  <si>
    <t xml:space="preserve">PRIMARY POINT </t>
  </si>
  <si>
    <t>MTR</t>
  </si>
  <si>
    <t>LIGHT -2x1.5+1x1.5</t>
  </si>
  <si>
    <t>R1</t>
  </si>
  <si>
    <t>R2</t>
  </si>
  <si>
    <t>R3</t>
  </si>
  <si>
    <t>R4</t>
  </si>
  <si>
    <t>Y1</t>
  </si>
  <si>
    <t>Y2</t>
  </si>
  <si>
    <t>Y3</t>
  </si>
  <si>
    <t>Y4</t>
  </si>
  <si>
    <t>B1</t>
  </si>
  <si>
    <t>B2</t>
  </si>
  <si>
    <t>Total</t>
  </si>
  <si>
    <t>U1</t>
  </si>
  <si>
    <t>U2</t>
  </si>
  <si>
    <t>U3</t>
  </si>
  <si>
    <t>U4</t>
  </si>
  <si>
    <t>POWER-2x2.5+1x2.5</t>
  </si>
  <si>
    <t>R5</t>
  </si>
  <si>
    <t>R6</t>
  </si>
  <si>
    <t>R7</t>
  </si>
  <si>
    <t>UPS DB-1</t>
  </si>
  <si>
    <t>U5</t>
  </si>
  <si>
    <t>U6</t>
  </si>
  <si>
    <t>UPS DB-2</t>
  </si>
  <si>
    <t>B4</t>
  </si>
  <si>
    <t>B5</t>
  </si>
  <si>
    <t>B6</t>
  </si>
  <si>
    <t>B7</t>
  </si>
  <si>
    <t>Sl No</t>
  </si>
  <si>
    <t>Description</t>
  </si>
  <si>
    <t>Qtty</t>
  </si>
  <si>
    <t>Cost</t>
  </si>
  <si>
    <t>Months</t>
  </si>
  <si>
    <t xml:space="preserve">Aditional Rent Charges For Wirehouse </t>
  </si>
  <si>
    <t>Additional Labour Cost For Idle Seating Of Labour For Airport Pass Issue</t>
  </si>
  <si>
    <t>Ducting Worker  (3 Person 3 Days)+ Conveynence)</t>
  </si>
  <si>
    <t>Electrician (4 person 3 Days) + Conveynence)</t>
  </si>
  <si>
    <t>Plumber (2 Person 3 Days) + Conveynence)</t>
  </si>
  <si>
    <t>Tiles Worker (6 Person 2 days) + Conveynence)</t>
  </si>
  <si>
    <t>Civil Personal (5 Person 2 Days) + Conveynence)</t>
  </si>
  <si>
    <t>Carpenter (4 Person 3 Days) + Conveynence)</t>
  </si>
  <si>
    <t>Conveynence OF the Worker</t>
  </si>
  <si>
    <t>Additional Room rent For Supervisor Room</t>
  </si>
  <si>
    <t>Additional Room rent For Labours Room</t>
  </si>
  <si>
    <t>A. CIVIL &amp; INTERIOR MB  FOR RA 1 Q-GUWAHATI AIRPORT</t>
  </si>
  <si>
    <t>SQFT</t>
  </si>
  <si>
    <t>C&amp;I Total</t>
  </si>
  <si>
    <t xml:space="preserve">Total Amount With GST </t>
  </si>
  <si>
    <t>Counter wall TOP</t>
  </si>
  <si>
    <t>Less Granite</t>
  </si>
  <si>
    <t>Outside Above Signage board</t>
  </si>
  <si>
    <t xml:space="preserve">Gap filling Above cold room door </t>
  </si>
  <si>
    <t>AC IDU cover RHS&amp;LHS</t>
  </si>
  <si>
    <t>AC IDU TOP cover</t>
  </si>
  <si>
    <t>Loft Tank</t>
  </si>
  <si>
    <t>Total Length  In Ft</t>
  </si>
  <si>
    <t>Total Length In Meter</t>
  </si>
  <si>
    <t>BOH Exit Door</t>
  </si>
  <si>
    <t>B3</t>
  </si>
  <si>
    <t xml:space="preserve"> Wiring with 6A,5pin wall socket</t>
  </si>
  <si>
    <t>Y10</t>
  </si>
  <si>
    <t>Y11</t>
  </si>
  <si>
    <t>Y12</t>
  </si>
  <si>
    <t xml:space="preserve"> Wiring with 16A,5pin wall socket</t>
  </si>
  <si>
    <t>DB TO POS MONITOR</t>
  </si>
  <si>
    <t>DB TO MANGER TABLE</t>
  </si>
  <si>
    <t>POWER-2x4+1x2.5</t>
  </si>
  <si>
    <t xml:space="preserve">Wiring with 16A, 3Pin combined </t>
  </si>
  <si>
    <t>Y5</t>
  </si>
  <si>
    <t>POWER-3x4+1x2.5</t>
  </si>
  <si>
    <t>MP TO AC OUTDOOR</t>
  </si>
  <si>
    <t>MP TO EXHAUST FAN</t>
  </si>
  <si>
    <t>MP TO EXHAUST FRESH AIR</t>
  </si>
  <si>
    <t>SWITCH BOARD TO CEILING LIGHT 1</t>
  </si>
  <si>
    <t>SWITCH BOARD TO CEILING LIGHT 2</t>
  </si>
  <si>
    <t>SWITCH BOARD TO CEILING LIGHT 3</t>
  </si>
  <si>
    <t>SWITCH BOARD TO CEILING LIGHT 4</t>
  </si>
  <si>
    <t>SWITCH BOARD TO CEILING LIGHT 5</t>
  </si>
  <si>
    <t>SWITCH BOARD TO CEILING LIGHT 6</t>
  </si>
  <si>
    <t>SWITCH BOARD BOH AREA</t>
  </si>
  <si>
    <t>MANAGER TABLE AND POS COUNTER</t>
  </si>
  <si>
    <t>UPS INPUT OUTPUT</t>
  </si>
  <si>
    <t>SIGNAGE LOOPING</t>
  </si>
  <si>
    <t>EARTHING</t>
  </si>
  <si>
    <t xml:space="preserve">Counter Cutting </t>
  </si>
  <si>
    <t>3 sink wall Drop</t>
  </si>
  <si>
    <t>KITCHEN Wall Drop</t>
  </si>
  <si>
    <t>Providing &amp; fixing Rolling Shutter including motarized mechanism to be operated with key/switch  of min. 20 guage MS sheet, including floor locks, guide rail, first quality enamel paint ( 1 coat of primer &amp; 2 or more coat of paint until achieved smooth finish ). Rate including cost of transportation, loading, unloading, scaffolding, wastage, taxes etc. as mentioned in drawings  directed by Site Engineer.</t>
  </si>
  <si>
    <t>Providing &amp; fixing manual Rolling Shutter including manual gear box of min. 20 guage MS sheet, including floor locks, guide rail, first quality enamel paint  ( 1 coat of primer &amp; 2 or more coat of paint until achieved smooth finish ). Rate including cost of transportation, loading, unloading, scaffolding, wastage, taxes etc. as mentioned in drawings  directed by Site Engineer.</t>
  </si>
  <si>
    <t xml:space="preserve">Providing and fixing in position Glazed Vitrified Tile Dado on Makeline &amp; POS counter as per detail in drawing. Over 12 mm thk bed of cement mortar 1:4 (cement : fine sand ) with thick grey cement slurry, with hairline joints. The job including cutting of tiles &amp; making smooth edges wherever required for drain pipes. The work shall also include cost of materials, wastages, labour, all lead and lift at all levels, loading and unloading, transportation, curing etc. and all other incidental charges etc., complete and as directed by Engineer-in-charge. The cost should include PVC floor covering material. </t>
  </si>
  <si>
    <t>Providing and Fixing in position Ceiling Suspended Metal Grid frame (1500 x 900 ) made out of 25x25mm m.s. hollow box pipe finished with approved shade  of .5 micron  powder coat . Also to have 10 mm dia m.s. rods placed on every 110 mm c/c horizontaly &amp; verticaly, finish with approved shade of powder coat. Necessary suspension arrangement to be done with m.s. string to fix with m.s. plate &amp; anchor fasteners to the RCC slab. Complete as per detail drawing, as specified and as directed by SIte Engineer.</t>
  </si>
  <si>
    <t>Providing and fixing of PVC water vertical type storage tanks of the approved quality, including making solid  work complete in all respects with gate valve, float valve and necessary accessiories .(Sintex or equivalent make of Capacity - 200-250 ltrs)</t>
  </si>
  <si>
    <t>Providing and fixing TPN/DP enclosure box for indoor purpose</t>
  </si>
  <si>
    <t xml:space="preserve">Supplying &amp; erecting  MMS PVC flexible Conduit 25 mm dia.conforming to I.S. and approved make with required number of couplings, bushes, check nuts etc. </t>
  </si>
  <si>
    <t xml:space="preserve"> VGA cable Including spliter</t>
  </si>
  <si>
    <r>
      <t>P/f 5mm to 6 mm membrane waterproofing  ( 1 layer of membrane &amp; Two coat adhesive) of approved make in toilet &amp; kitchen area or as directed by the Site Engineer minimum 2 coats with requisite adhesive / compounds as per the manufacturers specifications on floor, sunken slab and up to height of 24” on wall. 
Waterproofing works to be carried out by company authorised installers and guarantee/warrantee provided for 5 years.</t>
    </r>
    <r>
      <rPr>
        <b/>
        <sz val="9"/>
        <color theme="1"/>
        <rFont val="Times New Roman"/>
        <family val="1"/>
      </rPr>
      <t xml:space="preserve"> </t>
    </r>
    <r>
      <rPr>
        <sz val="9"/>
        <color theme="1"/>
        <rFont val="Times New Roman"/>
        <family val="1"/>
      </rPr>
      <t>Including protection plaster
Ponding test to be carried out for minimum 48 hours. 
Approved makes : Zydex, sika</t>
    </r>
  </si>
  <si>
    <r>
      <t xml:space="preserve">Tiles for Flooring     (General seating area)
FF 01 Kajaria -Fog Perla, cool cement, cool silver (Matt Finish) /Somany-Ethos grey </t>
    </r>
    <r>
      <rPr>
        <b/>
        <sz val="9"/>
        <color theme="1"/>
        <rFont val="Times New Roman"/>
        <family val="1"/>
      </rPr>
      <t>(Details- Refer Material Spec. sheet)</t>
    </r>
  </si>
  <si>
    <r>
      <t xml:space="preserve">Tiles for Flooring  (Light) - (Booth seating)
FF 04 - Kajaria Sheesham Rosewood/ RAK AMBER OAK or Somany Strio Verano wood Teak  </t>
    </r>
    <r>
      <rPr>
        <b/>
        <sz val="9"/>
        <color theme="1"/>
        <rFont val="Times New Roman"/>
        <family val="1"/>
      </rPr>
      <t>(Details- Refer Material Spec. sheet)</t>
    </r>
  </si>
  <si>
    <r>
      <t xml:space="preserve">Tiles for Flooring  (Dark) - (Booth seating)
FF 05 - Kajaria Sheesham Nero /RAK CEDAR BROWN or Strio Benz wood Nero </t>
    </r>
    <r>
      <rPr>
        <b/>
        <sz val="9"/>
        <color theme="1"/>
        <rFont val="Times New Roman"/>
        <family val="1"/>
      </rPr>
      <t>(Details- Refer Material Spec. sheet)</t>
    </r>
    <r>
      <rPr>
        <sz val="9"/>
        <color theme="1"/>
        <rFont val="Times New Roman"/>
        <family val="1"/>
      </rPr>
      <t xml:space="preserve"> </t>
    </r>
  </si>
  <si>
    <r>
      <t xml:space="preserve">Tiles for Flooring - FF02
Kajaria-Dessert grey, cool gris,cairo gris (Matt Finish) (Kitchen  &amp; BOH) or equivalent in somany </t>
    </r>
    <r>
      <rPr>
        <b/>
        <sz val="9"/>
        <color theme="1"/>
        <rFont val="Times New Roman"/>
        <family val="1"/>
      </rPr>
      <t>(Details- Refer Material Spec. sheet)</t>
    </r>
  </si>
  <si>
    <r>
      <t>Tiles for Flooring -</t>
    </r>
    <r>
      <rPr>
        <b/>
        <sz val="9"/>
        <color theme="1"/>
        <rFont val="Times New Roman"/>
        <family val="1"/>
      </rPr>
      <t>(Details-</t>
    </r>
    <r>
      <rPr>
        <sz val="9"/>
        <color theme="1"/>
        <rFont val="Times New Roman"/>
        <family val="1"/>
      </rPr>
      <t xml:space="preserve"> </t>
    </r>
    <r>
      <rPr>
        <b/>
        <sz val="9"/>
        <color theme="1"/>
        <rFont val="Times New Roman"/>
        <family val="1"/>
      </rPr>
      <t>Refer Material Spec. sheet) no.- A (2a)</t>
    </r>
    <r>
      <rPr>
        <sz val="9"/>
        <color theme="1"/>
        <rFont val="Times New Roman"/>
        <family val="1"/>
      </rPr>
      <t xml:space="preserve">,  FF02
(Kitchen  &amp; BOH) </t>
    </r>
  </si>
  <si>
    <r>
      <t xml:space="preserve">Tiles for Flooring (Toilet areas)
Johson- Quartz grey/Somany -EC sapphire matt </t>
    </r>
    <r>
      <rPr>
        <b/>
        <sz val="9"/>
        <color theme="1"/>
        <rFont val="Times New Roman"/>
        <family val="1"/>
      </rPr>
      <t>(Details- Refer Material Spec. sheet)</t>
    </r>
    <r>
      <rPr>
        <sz val="9"/>
        <color theme="1"/>
        <rFont val="Times New Roman"/>
        <family val="1"/>
      </rPr>
      <t xml:space="preserve"> </t>
    </r>
  </si>
  <si>
    <r>
      <t xml:space="preserve">Tiles for Flooring  
FF 03 - Johnson Endura Stepping Stone - Dona Paula Plain (Outdoor Area) or Somany - Largo Stepon Verde </t>
    </r>
    <r>
      <rPr>
        <b/>
        <sz val="9"/>
        <color theme="1"/>
        <rFont val="Times New Roman"/>
        <family val="1"/>
      </rPr>
      <t xml:space="preserve"> (Details- Refer Material Spec. sheet)</t>
    </r>
    <r>
      <rPr>
        <sz val="9"/>
        <color theme="1"/>
        <rFont val="Times New Roman"/>
        <family val="1"/>
      </rPr>
      <t xml:space="preserve"> </t>
    </r>
  </si>
  <si>
    <r>
      <t xml:space="preserve">Skirting                                           (General seating area)
FF 01 - Kajaria - Fog Perla, cool cement, cool silver (Matt Finish) /Somany-Ethos grey. </t>
    </r>
    <r>
      <rPr>
        <b/>
        <sz val="9"/>
        <color theme="1"/>
        <rFont val="Times New Roman"/>
        <family val="1"/>
      </rPr>
      <t>(Details- Refer Material Spec. sheet)</t>
    </r>
  </si>
  <si>
    <r>
      <t xml:space="preserve">Skirting                                           FF02 - Kajaria-Dessert grey, cool gris,cairo gris (Matt Finish) (Kitchen  &amp; BOH) or equivalent in somany. </t>
    </r>
    <r>
      <rPr>
        <b/>
        <sz val="9"/>
        <color theme="1"/>
        <rFont val="Times New Roman"/>
        <family val="1"/>
      </rPr>
      <t>(Details- Refer Material Spec. sheet)</t>
    </r>
  </si>
  <si>
    <r>
      <t xml:space="preserve">Skirting </t>
    </r>
    <r>
      <rPr>
        <b/>
        <sz val="9"/>
        <color theme="1"/>
        <rFont val="Times New Roman"/>
        <family val="1"/>
      </rPr>
      <t>-(Details- Refer Material Spec. sheet) no.- 2a,</t>
    </r>
    <r>
      <rPr>
        <sz val="9"/>
        <color theme="1"/>
        <rFont val="Times New Roman"/>
        <family val="1"/>
      </rPr>
      <t xml:space="preserve">  FF02
(Kitchen  &amp; BOH)  </t>
    </r>
  </si>
  <si>
    <r>
      <t xml:space="preserve">Skirting                                           (Booth seating)
FF 04 - Kajaria Sheesham Rosewood or Somany Strio Verano wood Teak . </t>
    </r>
    <r>
      <rPr>
        <b/>
        <sz val="9"/>
        <color theme="1"/>
        <rFont val="Times New Roman"/>
        <family val="1"/>
      </rPr>
      <t>(Details- Refer Material Spec. sheet)</t>
    </r>
  </si>
  <si>
    <r>
      <t xml:space="preserve">Wall Tile Cladding - 2 (Kitchen &amp; BOH area). </t>
    </r>
    <r>
      <rPr>
        <b/>
        <sz val="9"/>
        <color theme="1"/>
        <rFont val="Times New Roman"/>
        <family val="1"/>
      </rPr>
      <t xml:space="preserve"> (Details- Refer Material Spec. sheet) no.B(3) </t>
    </r>
  </si>
  <si>
    <r>
      <t xml:space="preserve">Wall Cladding - plain Tile  (BOH &amp; Staff changing room area). </t>
    </r>
    <r>
      <rPr>
        <b/>
        <sz val="9"/>
        <color theme="1"/>
        <rFont val="Times New Roman"/>
        <family val="1"/>
      </rPr>
      <t>(Details- Refer Material Spec. sheet) no.B(4)</t>
    </r>
  </si>
  <si>
    <r>
      <t>Dado Tile Cladding  - Johson- Plain grey/Somany -EC sapphire matt(Toilets).</t>
    </r>
    <r>
      <rPr>
        <b/>
        <sz val="9"/>
        <color theme="1"/>
        <rFont val="Times New Roman"/>
        <family val="1"/>
      </rPr>
      <t xml:space="preserve"> (Details- Refer Material Spec. sheet) </t>
    </r>
  </si>
  <si>
    <r>
      <t xml:space="preserve">Providing and Fixing in position suspended type 12 mm  Bison Board False Ceiling with required M.S frame (50x50 mm ,18 gauge with 1 coat of primer &amp; 2 or more coat of paint until achieved smooth finish as per drawing) work/ fixing arrangement of </t>
    </r>
    <r>
      <rPr>
        <b/>
        <sz val="9"/>
        <color theme="1"/>
        <rFont val="Times New Roman"/>
        <family val="1"/>
      </rPr>
      <t>2'x2' c/c</t>
    </r>
    <r>
      <rPr>
        <sz val="9"/>
        <color theme="1"/>
        <rFont val="Times New Roman"/>
        <family val="1"/>
      </rPr>
      <t xml:space="preserve"> and accessories, including groove joint filler, tapes, cut out for lights, &amp; fixing for cove/ pelmet / box of approved size with necessary M.S. brackets / supports for light fittings / A.C. grills / Blinds, cleaning etc. complete as per detail drawing, as specified and as directed by Site Engineer.</t>
    </r>
  </si>
  <si>
    <r>
      <t xml:space="preserve">ACP Fale Ceiling. </t>
    </r>
    <r>
      <rPr>
        <b/>
        <sz val="9"/>
        <color theme="1"/>
        <rFont val="Times New Roman"/>
        <family val="1"/>
      </rPr>
      <t>(Details- Refer Material Spec. sheet)</t>
    </r>
  </si>
  <si>
    <r>
      <t xml:space="preserve">Providing and Fixing in position suspended type 4mm thk ACP  False Ceiling with required M.S frame 50x50 mm ,18 Gauge and work/ fixing arrangement of </t>
    </r>
    <r>
      <rPr>
        <b/>
        <sz val="9"/>
        <color theme="1"/>
        <rFont val="Times New Roman"/>
        <family val="1"/>
      </rPr>
      <t>2'x2' c/c</t>
    </r>
    <r>
      <rPr>
        <sz val="9"/>
        <color theme="1"/>
        <rFont val="Times New Roman"/>
        <family val="1"/>
      </rPr>
      <t xml:space="preserve"> and accessories, including groove joint filler, tapes, cut out for lights, &amp; fixing for cove/ pelmet / box of approved size with necessary M.S. brackets / supports for light fittings / Blinds, cleaning etc. complete as per detail drawing, as specified and as directed by Site Engineer.</t>
    </r>
  </si>
  <si>
    <r>
      <t>Bison Partition -</t>
    </r>
    <r>
      <rPr>
        <b/>
        <sz val="9"/>
        <color theme="1"/>
        <rFont val="Times New Roman"/>
        <family val="1"/>
      </rPr>
      <t xml:space="preserve"> P1</t>
    </r>
  </si>
  <si>
    <r>
      <rPr>
        <b/>
        <sz val="9"/>
        <color theme="1"/>
        <rFont val="Times New Roman"/>
        <family val="1"/>
      </rPr>
      <t>Framing</t>
    </r>
    <r>
      <rPr>
        <sz val="9"/>
        <color theme="1"/>
        <rFont val="Times New Roman"/>
        <family val="1"/>
      </rPr>
      <t xml:space="preserve">-Cutting of section &amp; Providing and fixing M.S frame work in built up tubular section (square hollow tubes  40 mm x 40 mm  x 1.5 mm ) framework at 600mm c/c both ways in partition included bolted or welded in built up section to recieve bison pallening . The rate should include applying of two or more coats of primer , putty , complete as per standard technical specification, instructions of site engineer and as per decoration plan. </t>
    </r>
  </si>
  <si>
    <r>
      <t xml:space="preserve">Ply Panelling - </t>
    </r>
    <r>
      <rPr>
        <b/>
        <sz val="9"/>
        <color theme="1"/>
        <rFont val="Times New Roman"/>
        <family val="1"/>
      </rPr>
      <t>PN3</t>
    </r>
    <r>
      <rPr>
        <sz val="9"/>
        <color theme="1"/>
        <rFont val="Times New Roman"/>
        <family val="1"/>
      </rPr>
      <t xml:space="preserve">
</t>
    </r>
  </si>
  <si>
    <r>
      <t>Dado Brick / Tile Cladding - 3 (Booth seating area)-</t>
    </r>
    <r>
      <rPr>
        <u/>
        <sz val="9"/>
        <color theme="1"/>
        <rFont val="Times New Roman"/>
        <family val="1"/>
      </rPr>
      <t>(ACG 795 Articlad-Aggregate Material-German Handmade)</t>
    </r>
  </si>
  <si>
    <r>
      <t>Dado Brick / Tile Cladding - 3 (Booth seating area)-</t>
    </r>
    <r>
      <rPr>
        <u/>
        <sz val="9"/>
        <color theme="1"/>
        <rFont val="Times New Roman"/>
        <family val="1"/>
      </rPr>
      <t>(ACG 795 Articlad- Aggregate Material-German Handmade)</t>
    </r>
  </si>
  <si>
    <r>
      <t>Dado Brick / Tile Cladding - 3 (Booth seating area)-</t>
    </r>
    <r>
      <rPr>
        <u/>
        <sz val="9"/>
        <color theme="1"/>
        <rFont val="Times New Roman"/>
        <family val="1"/>
      </rPr>
      <t>MCM(Code -A Series Brick 54058)</t>
    </r>
  </si>
  <si>
    <r>
      <t>Dado Brick / Tile Cladding - White Brick at Entrance area-</t>
    </r>
    <r>
      <rPr>
        <u/>
        <sz val="9"/>
        <color theme="1"/>
        <rFont val="Times New Roman"/>
        <family val="1"/>
      </rPr>
      <t>Articlad ACG 555 Exterior Grade-Aggregate Material-German Handmade</t>
    </r>
  </si>
  <si>
    <r>
      <t>Dado Brick / Tile Cladding - White Brick at Entrance area-</t>
    </r>
    <r>
      <rPr>
        <u/>
        <sz val="9"/>
        <color theme="1"/>
        <rFont val="Times New Roman"/>
        <family val="1"/>
      </rPr>
      <t>MCM Clay Tile(Code -K series ,facing brick /052)</t>
    </r>
  </si>
  <si>
    <r>
      <t xml:space="preserve">Dado Brick / Tile Cladding - White Brick at Entrance area- </t>
    </r>
    <r>
      <rPr>
        <u/>
        <sz val="9"/>
        <color theme="1"/>
        <rFont val="Times New Roman"/>
        <family val="1"/>
      </rPr>
      <t>Unistone (Dholpur)</t>
    </r>
  </si>
  <si>
    <r>
      <t xml:space="preserve">Exterior Textured Paint </t>
    </r>
    <r>
      <rPr>
        <u/>
        <sz val="9"/>
        <color theme="1"/>
        <rFont val="Times New Roman"/>
        <family val="1"/>
      </rPr>
      <t>(Spectrum/Equivalent  -Graniplast stone dust finish)</t>
    </r>
    <r>
      <rPr>
        <sz val="9"/>
        <color theme="1"/>
        <rFont val="Times New Roman"/>
        <family val="1"/>
      </rPr>
      <t xml:space="preserve"> on facade portal- Refer material specification sheet</t>
    </r>
  </si>
  <si>
    <r>
      <t>Painting - Textured Paint -</t>
    </r>
    <r>
      <rPr>
        <b/>
        <sz val="9"/>
        <color theme="1"/>
        <rFont val="Times New Roman"/>
        <family val="1"/>
      </rPr>
      <t>(Details- Refer Material Spec. sheet)</t>
    </r>
    <r>
      <rPr>
        <sz val="9"/>
        <color theme="1"/>
        <rFont val="Times New Roman"/>
        <family val="1"/>
      </rPr>
      <t xml:space="preserve">
(Vertical Exposed Surfaces)</t>
    </r>
  </si>
  <si>
    <r>
      <t>WC</t>
    </r>
    <r>
      <rPr>
        <b/>
        <sz val="9"/>
        <color theme="1"/>
        <rFont val="Times New Roman"/>
        <family val="1"/>
      </rPr>
      <t xml:space="preserve"> (Details - Refer Toilet Specs.)</t>
    </r>
  </si>
  <si>
    <r>
      <t xml:space="preserve">Wash Basin </t>
    </r>
    <r>
      <rPr>
        <b/>
        <sz val="9"/>
        <color theme="1"/>
        <rFont val="Times New Roman"/>
        <family val="1"/>
      </rPr>
      <t>(Details - Refer Toilet Specs.)</t>
    </r>
  </si>
  <si>
    <r>
      <t xml:space="preserve">Soap Dispenser Wash Basin </t>
    </r>
    <r>
      <rPr>
        <b/>
        <sz val="9"/>
        <color theme="1"/>
        <rFont val="Times New Roman"/>
        <family val="1"/>
      </rPr>
      <t>(Details - Refer Toilet Specs.)</t>
    </r>
  </si>
  <si>
    <r>
      <t xml:space="preserve">Jet Spray (Health Faucet)  </t>
    </r>
    <r>
      <rPr>
        <b/>
        <sz val="9"/>
        <color theme="1"/>
        <rFont val="Times New Roman"/>
        <family val="1"/>
      </rPr>
      <t>(Details - Refer Toilet Specs.)</t>
    </r>
  </si>
  <si>
    <r>
      <t>Providing and fixing TPN/DP enclosure box</t>
    </r>
    <r>
      <rPr>
        <b/>
        <sz val="9"/>
        <color theme="1"/>
        <rFont val="Times New Roman"/>
        <family val="1"/>
      </rPr>
      <t xml:space="preserve"> </t>
    </r>
    <r>
      <rPr>
        <sz val="9"/>
        <color theme="1"/>
        <rFont val="Times New Roman"/>
        <family val="1"/>
      </rPr>
      <t>(Wheather Proof) for outdoor purposes</t>
    </r>
  </si>
  <si>
    <r>
      <t>Point wiring shall include FRLS</t>
    </r>
    <r>
      <rPr>
        <b/>
        <sz val="9"/>
        <color theme="1"/>
        <rFont val="Times New Roman"/>
        <family val="1"/>
      </rPr>
      <t xml:space="preserve"> </t>
    </r>
    <r>
      <rPr>
        <sz val="9"/>
        <color theme="1"/>
        <rFont val="Times New Roman"/>
        <family val="1"/>
      </rPr>
      <t xml:space="preserve">wire with all necessary "MMS PVC CONDUIT", with all fittings ,  accessories , couplings,collars etc., junction / pull / inspection boxes, wires, supports,bushings lamp holders, ceiling rose, flexible conduit, fan hooks wherever required, modular switch, switch box, Fan electronic regulator &amp; terminations using tinned copper lugs of crimping type with cheisling and scaffolding.  The scope of sub mains wiring from Panel to DB are excluded.All wiring should be terminated with coupler &amp; connectors.All lighting fixture wiring shall be carried out for primary point using 1.5sqmm copper stranded &amp; for secondary wiring 1sqmm copper stranded conductor 660/1100V  grade PVC insulated wire in "PVC  Conduit".  Individual junction/inspection boxes shall be provided for each lighting fitting for the purpose of looping from fitting to fitting. 
</t>
    </r>
    <r>
      <rPr>
        <b/>
        <sz val="9"/>
        <color theme="1"/>
        <rFont val="Times New Roman"/>
        <family val="1"/>
      </rPr>
      <t>From switch board/DB to first light fitting will be termed as primary point and First fitting to subsequent fitting on the same circuit shall be as termed secondary point. Light point wiring shall excluded submains wiring from Panel to DB. The scope of light point wiring starts after switch board/DB where switching control is directly from DB.</t>
    </r>
  </si>
  <si>
    <r>
      <t xml:space="preserve">Wiring for the following light points with 2X1.5 sq mm PVC insulated copper conductor 650V grade FRLS wires in concealed or surface mounted 20/25mm dia MMS PVC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9"/>
        <color theme="1"/>
        <rFont val="Times New Roman"/>
        <family val="1"/>
      </rPr>
      <t>upto 10 Mt. wire length is inclusive.</t>
    </r>
  </si>
  <si>
    <r>
      <t>Supply, Installation, Testing &amp; Commissioning of mains with 2 X 1.5 sq.mm and earth wire 1.5 sqmm FRLS PVC copper wire ,in rigid  MMS PVC conduit min.25 mm dia, for light/fan/exhaust point from DB to point including all required accessories,etc  as per specification.</t>
    </r>
    <r>
      <rPr>
        <b/>
        <sz val="9"/>
        <color theme="1"/>
        <rFont val="Times New Roman"/>
        <family val="1"/>
      </rPr>
      <t>(If wire length increase above 10 mt mentioned in lighting circuit)</t>
    </r>
  </si>
  <si>
    <r>
      <t xml:space="preserve">Wiring for the following light points with 2X1.5 sq mm PVC insulated copper conductor 650V grade FRLS wires in concealed or surface mounted 20/25mm dia MS conduit as required including providing 6 amps flush type PVC moulded switches, cover plate,5 sided 1.2mm thick G.I. Box one module  for housing switches and earthing of the fixtures and outlet box with 1.5 mm PVC insulated copper conductor 650V grade green earth wire.(switches-as/approved make)- </t>
    </r>
    <r>
      <rPr>
        <b/>
        <sz val="9"/>
        <color theme="1"/>
        <rFont val="Times New Roman"/>
        <family val="1"/>
      </rPr>
      <t>upto 10 Mt. wire length is inclusive.</t>
    </r>
  </si>
  <si>
    <r>
      <t>Supply, Installation, Testing &amp; Commissioning of mains with 2 X 1.5 sq.mm and earth wire 1.5 sqmm FRLS PVC copper wire ,in rigid  MS conduit min.25 mm dia, for light/fan/exhaust point from DB to point including all required accessories,etc  as per specification.</t>
    </r>
    <r>
      <rPr>
        <b/>
        <sz val="9"/>
        <color theme="1"/>
        <rFont val="Times New Roman"/>
        <family val="1"/>
      </rPr>
      <t>(If wire length increase above 10 mt mentioned in lighting circuit)</t>
    </r>
  </si>
  <si>
    <r>
      <t xml:space="preserve">Supplying and making indoor Cable end Termination of following sizes 1.1kV grade LT XLPE insulated, HR PVC sheathed, stranded Aluminum/copper conductor, Armoured/ Unarmoured cables as per IS:7098 part-I including cost of tinned copper / Aluminium heavy duty crimpping lugs, </t>
    </r>
    <r>
      <rPr>
        <b/>
        <u/>
        <sz val="9"/>
        <color theme="1"/>
        <rFont val="Times New Roman"/>
        <family val="1"/>
      </rPr>
      <t>double compression weatherproof glands</t>
    </r>
    <r>
      <rPr>
        <sz val="9"/>
        <color theme="1"/>
        <rFont val="Times New Roman"/>
        <family val="1"/>
      </rPr>
      <t>, insulation tape, Name Plate at Both Ends and all necessary material to complete the termination.</t>
    </r>
  </si>
  <si>
    <r>
      <t>3C x 2.5mm</t>
    </r>
    <r>
      <rPr>
        <vertAlign val="superscript"/>
        <sz val="9"/>
        <color theme="1"/>
        <rFont val="Times New Roman"/>
        <family val="1"/>
      </rPr>
      <t>2</t>
    </r>
    <r>
      <rPr>
        <sz val="9"/>
        <color theme="1"/>
        <rFont val="Times New Roman"/>
        <family val="1"/>
      </rPr>
      <t xml:space="preserve"> 1100V grade flexible copper conductor sheathed FLRS PVC cable (P, N, IG)- IS 694/1990.</t>
    </r>
  </si>
  <si>
    <r>
      <t>3C x 4.0mm</t>
    </r>
    <r>
      <rPr>
        <vertAlign val="superscript"/>
        <sz val="9"/>
        <color theme="1"/>
        <rFont val="Times New Roman"/>
        <family val="1"/>
      </rPr>
      <t>2</t>
    </r>
    <r>
      <rPr>
        <sz val="9"/>
        <color theme="1"/>
        <rFont val="Times New Roman"/>
        <family val="1"/>
      </rPr>
      <t xml:space="preserve"> 1100V grade flexible copper conductor sheathed FLRS PVC cable (P, N, IG)- IS 694/1990.</t>
    </r>
  </si>
  <si>
    <r>
      <t>Providing &amp; erecting Hot deeped Galvanised Non -Perforated type Cable tray manufactured from 18 swg (</t>
    </r>
    <r>
      <rPr>
        <u/>
        <sz val="9"/>
        <color theme="1"/>
        <rFont val="Times New Roman"/>
        <family val="1"/>
      </rPr>
      <t xml:space="preserve">1.6 mm thick) </t>
    </r>
    <r>
      <rPr>
        <sz val="9"/>
        <color theme="1"/>
        <rFont val="Times New Roman"/>
        <family val="1"/>
      </rPr>
      <t>GI sheet of 50 mm width &amp; 50 mm height complete with necessary coupler plates &amp; hardware in approved manner.Including Paint</t>
    </r>
  </si>
  <si>
    <r>
      <t>Supply, Installation, Testing and Commissioning of factory made lock-forming quality</t>
    </r>
    <r>
      <rPr>
        <b/>
        <sz val="9"/>
        <color theme="1"/>
        <rFont val="Times New Roman"/>
        <family val="1"/>
      </rPr>
      <t xml:space="preserve"> flat oval spiral ducting</t>
    </r>
    <r>
      <rPr>
        <sz val="9"/>
        <color theme="1"/>
        <rFont val="Times New Roman"/>
        <family val="1"/>
      </rPr>
      <t xml:space="preserve"> of approved makes complying with IS: 277 and having 120 GSM coating classification with elbows, turning vanes, volume control dampers, G.I. supports, hangers, etc. required accessories .  The price shall include the cost of threaded rod supports/Gripples for open ceiling area etc.  The item also include providing &amp; applying two coat  of approved make anti corrosive paint over a coat of primer as per manufacturers/architect's recommendations. </t>
    </r>
  </si>
  <si>
    <r>
      <t xml:space="preserve">Supply, Installation, Testing and Commissioning of Site Fabricated </t>
    </r>
    <r>
      <rPr>
        <b/>
        <sz val="9"/>
        <color theme="1"/>
        <rFont val="Times New Roman"/>
        <family val="1"/>
      </rPr>
      <t xml:space="preserve">rectangular GI ducting </t>
    </r>
    <r>
      <rPr>
        <sz val="9"/>
        <color theme="1"/>
        <rFont val="Times New Roman"/>
        <family val="1"/>
      </rPr>
      <t xml:space="preserve">of approved makes complying with IS: 277 and having 120 GSM coating classification. The price shall include the cost of necessary accessories &amp; supports (like flanges, neoprene gaskets, wire ropes, corner saddles, guide vanes, vibration isolators, fire retardant canvas connection in all fan outlet connections, joints, sealing around the duct at wall crossings, labeling, </t>
    </r>
    <r>
      <rPr>
        <b/>
        <sz val="9"/>
        <color theme="1"/>
        <rFont val="Times New Roman"/>
        <family val="1"/>
      </rPr>
      <t>(M.S supports / M.S Frame</t>
    </r>
    <r>
      <rPr>
        <sz val="9"/>
        <color theme="1"/>
        <rFont val="Times New Roman"/>
        <family val="1"/>
      </rPr>
      <t xml:space="preserve"> </t>
    </r>
    <r>
      <rPr>
        <b/>
        <sz val="9"/>
        <color theme="1"/>
        <rFont val="Times New Roman"/>
        <family val="1"/>
      </rPr>
      <t xml:space="preserve">For Duct travelling Vertical up to Terrace, necessary flange type opening at specific interval for duct cleaning etc. for kitchen exhaust duct )as per specifications. </t>
    </r>
    <r>
      <rPr>
        <sz val="9"/>
        <color theme="1"/>
        <rFont val="Times New Roman"/>
        <family val="1"/>
      </rPr>
      <t>The price shall include the cost of threaded rod support. The item also include providing &amp; applying two coat of approved make anti corrosive paint over a coat of primer as per manufacturers/architect's recommendations,also with cheisling and scaffolding if required.</t>
    </r>
  </si>
  <si>
    <r>
      <rPr>
        <b/>
        <sz val="9"/>
        <color theme="1"/>
        <rFont val="Times New Roman"/>
        <family val="1"/>
      </rPr>
      <t>Air Grille :</t>
    </r>
    <r>
      <rPr>
        <sz val="9"/>
        <color theme="1"/>
        <rFont val="Times New Roman"/>
        <family val="1"/>
      </rPr>
      <t xml:space="preserve"> Supply, installation, testing and commissioning of extruded aluminium powder coated linear grill without volume control dampers as  perthe approved drawings and specifications. Colour of the Grille should be match with the False ceiling colour. It should be zero degree deflection. Return air grille should be four side flange &amp; also should have flange end at the end of the grille, If required use perforated sheet in black colour of necessary thickness to avoid light refection. (Colour should be match with the colour code of ceiling/ducting). </t>
    </r>
  </si>
  <si>
    <r>
      <rPr>
        <b/>
        <sz val="9"/>
        <color theme="1"/>
        <rFont val="Times New Roman"/>
        <family val="1"/>
      </rPr>
      <t xml:space="preserve">VCD :- </t>
    </r>
    <r>
      <rPr>
        <sz val="9"/>
        <color theme="1"/>
        <rFont val="Times New Roman"/>
        <family val="1"/>
      </rPr>
      <t xml:space="preserve">Supply, installation, testing and commissioning of 150mm wide GSS Volume Control Dampers with 18G GI casing &amp; 20G GI Blade, complete with chrome plated Spindle lubricating bush and quadrent to suit Manual operation. </t>
    </r>
  </si>
  <si>
    <r>
      <rPr>
        <b/>
        <sz val="9"/>
        <color theme="1"/>
        <rFont val="Times New Roman"/>
        <family val="1"/>
      </rPr>
      <t>Collar Damper for Supply air Grill :-</t>
    </r>
    <r>
      <rPr>
        <sz val="9"/>
        <color theme="1"/>
        <rFont val="Times New Roman"/>
        <family val="1"/>
      </rPr>
      <t xml:space="preserve"> Supply, Installation, Testing &amp; Commissioning of opposite balde collar with black matt finish for fresh air supply grill.</t>
    </r>
  </si>
  <si>
    <t>ghy airport domino's</t>
  </si>
  <si>
    <t>Signage</t>
  </si>
  <si>
    <t>UPS DB WALL</t>
  </si>
  <si>
    <t>GST Amount  18%</t>
  </si>
  <si>
    <t>GHY Domino's</t>
  </si>
  <si>
    <t>HB3</t>
  </si>
  <si>
    <t>HB4</t>
  </si>
  <si>
    <t>HB7</t>
  </si>
  <si>
    <t>HB8</t>
  </si>
  <si>
    <t>HB10</t>
  </si>
  <si>
    <t>HB11</t>
  </si>
  <si>
    <t>HB13</t>
  </si>
  <si>
    <t>HB17</t>
  </si>
  <si>
    <t>HB18</t>
  </si>
  <si>
    <t>HB19</t>
  </si>
  <si>
    <t xml:space="preserve">FRESH AIR </t>
  </si>
  <si>
    <t xml:space="preserve">AC </t>
  </si>
  <si>
    <t>FB2</t>
  </si>
  <si>
    <t>FB3</t>
  </si>
  <si>
    <t>FB4</t>
  </si>
  <si>
    <t>FB5</t>
  </si>
  <si>
    <t>FB7</t>
  </si>
  <si>
    <t>FB9</t>
  </si>
  <si>
    <t>FB10</t>
  </si>
  <si>
    <t>FB11</t>
  </si>
  <si>
    <t>FB12</t>
  </si>
  <si>
    <t>FB15</t>
  </si>
  <si>
    <t>FB16</t>
  </si>
  <si>
    <t xml:space="preserve">EXAUST </t>
  </si>
  <si>
    <t>EB3</t>
  </si>
  <si>
    <t>EB5</t>
  </si>
  <si>
    <t>EB7</t>
  </si>
  <si>
    <t>EB8</t>
  </si>
  <si>
    <t>EB11</t>
  </si>
  <si>
    <t>EB12</t>
  </si>
  <si>
    <t>EB13</t>
  </si>
  <si>
    <t>air port lt panel to dominos main vtpn db 1</t>
  </si>
  <si>
    <t>vtpn db 1 to oven 1</t>
  </si>
  <si>
    <t>vtpn db 2 to oven 2</t>
  </si>
  <si>
    <t>airport lt panel to sdominos main vtpn db 2</t>
  </si>
  <si>
    <t>vtpn db 1 to ac odu 1</t>
  </si>
  <si>
    <t>VTPN DB 1 TO EXAUST ODU</t>
  </si>
  <si>
    <t>VTPN DB TO FRESH AIR ODU</t>
  </si>
  <si>
    <t>VTPN DB 1 TO UPS INPUT+OUTPUT</t>
  </si>
  <si>
    <t>PANEL TO VTPN DB 2</t>
  </si>
  <si>
    <t>PANEL TO VTPN DB 1</t>
  </si>
  <si>
    <t>Removing of  Ms frame structure</t>
  </si>
  <si>
    <t xml:space="preserve">Dismantled Boundary  Wall back side </t>
  </si>
  <si>
    <t>BOH &amp; FOH Partition  wall</t>
  </si>
  <si>
    <t>Cold Room area Wall</t>
  </si>
  <si>
    <t>Fire exit door side wall plaster</t>
  </si>
  <si>
    <t>Above fire exit door wall plaster</t>
  </si>
  <si>
    <t>Cold Room Area Base Flooring</t>
  </si>
  <si>
    <t>Cold Room Area Internal  Flooring</t>
  </si>
  <si>
    <t>Skirting from pos Counter  left Side to boh side   (28.77+1.5+1.01+1.5+1.01+1.5+1.5+1.01+1.5+0.78+3.75+8.16+3.67+4+0.5+(three sink back side wall)-23.24)</t>
  </si>
  <si>
    <t>Starting from Counter  right Side to cold room &amp; boh exit door   (2+24+0.5+3.5+3+7+0.5+18+2)</t>
  </si>
  <si>
    <t>column depth</t>
  </si>
  <si>
    <t>Boh area</t>
  </si>
  <si>
    <t>foh area left wall (28+3.5)</t>
  </si>
  <si>
    <t>foh area right wall (23+3.5+3.5+5.5)</t>
  </si>
  <si>
    <t>foh area pos counter wall tile</t>
  </si>
  <si>
    <t>boh area 3 sink wall to exit door round up (24.5+2+7+3.5+18+2)</t>
  </si>
  <si>
    <t xml:space="preserve">above door </t>
  </si>
  <si>
    <t>above door openning</t>
  </si>
  <si>
    <t>Fc area</t>
  </si>
  <si>
    <t>POWER CK 1 for Geyser point</t>
  </si>
  <si>
    <t>POWER CK 2 for Industrial Point Slap Table</t>
  </si>
  <si>
    <t>POWER CK 3 for Make line point</t>
  </si>
  <si>
    <t>POWER CK 4 for PMX Machine</t>
  </si>
  <si>
    <t>POWER CK 5 for VICI Cooler</t>
  </si>
  <si>
    <t>POWER CK 6 for ICE Machine</t>
  </si>
  <si>
    <t>POWER CK 7 for POS Counter</t>
  </si>
  <si>
    <t>POWER CK 8 for Oven 1</t>
  </si>
  <si>
    <t>POWER CK 9 for Oven 2</t>
  </si>
  <si>
    <t>POWER CK 10 for Signage</t>
  </si>
  <si>
    <t>POWER CK 11 for Manager Table</t>
  </si>
  <si>
    <t>POWER CK 12 for Server Point Below</t>
  </si>
  <si>
    <t>POWER CK 13 for Purifier Machine (Below Loft Tank)</t>
  </si>
  <si>
    <t>POWER CK 14 for Booster Pump</t>
  </si>
  <si>
    <t>POWER CK 15 for Geyser near handwash</t>
  </si>
  <si>
    <t>POWER CK 16 for Pesto Flash</t>
  </si>
  <si>
    <t>POWER CK 17 for AIR Curtain</t>
  </si>
  <si>
    <t>Slap Table Screen</t>
  </si>
  <si>
    <t xml:space="preserve"> Make Line Table Screen</t>
  </si>
  <si>
    <t>data Point Front Side</t>
  </si>
  <si>
    <t>for Cold room Controller</t>
  </si>
  <si>
    <t xml:space="preserve"> for DMB Point 1</t>
  </si>
  <si>
    <t xml:space="preserve"> for DMB Point 2</t>
  </si>
  <si>
    <t>DB TO SERVER POINT BELOW MANAGER TABLE</t>
  </si>
  <si>
    <t>DB TO IT PANNEL</t>
  </si>
  <si>
    <t>POWER CK 5 for SLAP Table</t>
  </si>
  <si>
    <t>POWER CK 11 for Router Table</t>
  </si>
  <si>
    <t>POWER CK 6 for UV plant1</t>
  </si>
  <si>
    <t>POWER CK 8 for UV plant 2nd point</t>
  </si>
  <si>
    <t>POWER CK 9 for Manager Table Below</t>
  </si>
  <si>
    <t>POWER CK 14 for IT UPS Raw</t>
  </si>
  <si>
    <t>POWER CK 13 for near Oven above</t>
  </si>
  <si>
    <t>LIGHT HANGING</t>
  </si>
  <si>
    <t>KITCHEN AREA ALL LIGHT LOOPING, HANGING PURPOSE FOH and Cold Room area</t>
  </si>
  <si>
    <t>KITCHEN AREA ALL LIGHT LOOPING, HANGING PURPOSE,BOH area, MP , IT RACK</t>
  </si>
  <si>
    <t>HB20</t>
  </si>
  <si>
    <t>HB21</t>
  </si>
  <si>
    <t>HB22</t>
  </si>
  <si>
    <t>HB23</t>
  </si>
  <si>
    <t>HB1(Drop)</t>
  </si>
  <si>
    <t>HB2(Drop)</t>
  </si>
  <si>
    <t>HB6(Drop)</t>
  </si>
  <si>
    <t>HB9(Drop)</t>
  </si>
  <si>
    <t>HB12(Drop)</t>
  </si>
  <si>
    <t>HB14(Drop)</t>
  </si>
  <si>
    <t>HB15(Drop)</t>
  </si>
  <si>
    <t>HB16(Drop)</t>
  </si>
  <si>
    <t>HB24(Drop)</t>
  </si>
  <si>
    <t>FB1(Drop)</t>
  </si>
  <si>
    <t>FB6(Drop)</t>
  </si>
  <si>
    <t>FB8(Tee Band)</t>
  </si>
  <si>
    <t>FB13(Vertical Drop)</t>
  </si>
  <si>
    <t>FB14(Bottom Bend)</t>
  </si>
  <si>
    <t>EB14</t>
  </si>
  <si>
    <t>EB1(Drop)</t>
  </si>
  <si>
    <t>EB1a (Tee Band)</t>
  </si>
  <si>
    <t>EB2 (Drop)</t>
  </si>
  <si>
    <t>EB2a (Tee Band)</t>
  </si>
  <si>
    <t>EB4(Bottom Bend)</t>
  </si>
  <si>
    <t>EB6(Top Bend)</t>
  </si>
  <si>
    <t>EB9(Vertical Top)</t>
  </si>
  <si>
    <t>EB10 (Bend Towards Machine)</t>
  </si>
  <si>
    <t>EB15 (Extesion)</t>
  </si>
  <si>
    <t>Cold Room Area Floor (Base Floor)</t>
  </si>
  <si>
    <t>Cold room (Internal Floor)</t>
  </si>
  <si>
    <t>FOH &amp; BOH LHS wall plaster (Existing Wall)</t>
  </si>
  <si>
    <t>As per BOQ</t>
  </si>
  <si>
    <t>As per Site Executed</t>
  </si>
  <si>
    <t>Difference</t>
  </si>
  <si>
    <t>25x25 angle 3 mm @1.95 Kg/m</t>
  </si>
  <si>
    <t>Vertical Support: 3.5ft x 4 nos = 14 ft</t>
  </si>
  <si>
    <t>Frame Size: 3.5 ft x 4.5 ft (2 Nos Each) = 16 ft</t>
  </si>
  <si>
    <t>Total Length  In Ft (14 + 16)</t>
  </si>
  <si>
    <t>MS flat 25x6mm @1.18kg/m</t>
  </si>
  <si>
    <t>For Loft Tank base</t>
  </si>
  <si>
    <t>Cold Room's ODU</t>
  </si>
  <si>
    <t>25x25 square pipe 3 mm @ 1.95 kg/m</t>
  </si>
  <si>
    <t>Stand Size: 3.5ft x 3.25 ft x 2.5ft ht.</t>
  </si>
  <si>
    <t>Top Fram: 3.5ft (2 Nos) = 7 ft + 3.25 (10 +2 nos) = 39 ft</t>
  </si>
  <si>
    <t>Leg: 2.5ft (4 nos) = 10 ft</t>
  </si>
  <si>
    <t>HVAC ODU</t>
  </si>
  <si>
    <t>Stand Size: 4ft x 3.25 ft x 2.5ft ht.</t>
  </si>
  <si>
    <t>Top Fram: 4ft (2 Nos) = 8 ft + 3.25 (10 +2 nos) = 39 ft</t>
  </si>
  <si>
    <t>Fresh Air AHU</t>
  </si>
  <si>
    <t>50x50 square pipe 3.5mm @ 4.95 kg/m</t>
  </si>
  <si>
    <t>Stand Size: 2.75ft x 2.75ft x 2ft ht.</t>
  </si>
  <si>
    <t>Top Fram: 2.75ft (4+3 nos) = 19.2 ft + 1 ft cross support top (4 nos) = 4 ft</t>
  </si>
  <si>
    <t>Leg: 2.] ft (4 nos) = 8 ft</t>
  </si>
  <si>
    <t>Loft Tank to UV Plant, Three Sink Point
Drop Towards Hand wash sink (Makeline) and Ice Cube &amp; PMX Machine</t>
  </si>
  <si>
    <t>RAW WATER CONNECTION TO O/H water storage Tank</t>
  </si>
  <si>
    <t>Raw Water line to Mop Sink</t>
  </si>
  <si>
    <t>Loft Tank to PMX and Ice Cube Machine (Top Toute)</t>
  </si>
  <si>
    <t>RO Plant connection to O/H Water Storage Tank</t>
  </si>
  <si>
    <t>3 Sink and MOP Sink connection (0.8 + 0.3+ 0.7)</t>
  </si>
  <si>
    <t>MOP sink area to Inspection Chamber</t>
  </si>
  <si>
    <t>Cold Room's External Trap to Main drain Line Connection</t>
  </si>
  <si>
    <t>PMX Machine to Hand wash Sink Junction (5.43 + o.2+0.2+ 0.7)</t>
  </si>
  <si>
    <t>Handwash Sink Junction to External Existing Drain Line Connection (5 + 0.42 + 0.63)</t>
  </si>
  <si>
    <t>FOOH Area Both Wall Drop</t>
  </si>
  <si>
    <t>HVAC Internal Ducting</t>
  </si>
  <si>
    <t>Extra Work
(Extra Work executed as per Site)</t>
  </si>
  <si>
    <t>Additional Cost
(Labour Idle Seating)</t>
  </si>
  <si>
    <t>Additional (Difference)</t>
  </si>
  <si>
    <t>VTPN DB 1 to AC ODU + Fresh Air ODU &amp; Exhaust ODU</t>
  </si>
  <si>
    <t>Sr. no.</t>
  </si>
  <si>
    <t>Civil &amp; Interior (Additional)</t>
  </si>
  <si>
    <t xml:space="preserve">TOTAL </t>
  </si>
  <si>
    <t>GST 18%</t>
  </si>
  <si>
    <t>NET</t>
  </si>
  <si>
    <t xml:space="preserve">SUMMARY OF ADD WORK _GWH DOMINOS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</si>
</sst>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_(* #,##0.00_);_(* \(#,##0.00\);_(* &quot;-&quot;??_);_(@_)"/>
    <numFmt numFmtId="165" formatCode="_(* #,##0_);_(* \(#,##0\);_(* &quot;-&quot;??_);_(@_)"/>
    <numFmt numFmtId="166" formatCode="0.00;[Red]0.00"/>
    <numFmt numFmtId="167" formatCode="_(* #,##0.000_);_(* \(#,##0.000\);_(* &quot;-&quot;??_);_(@_)"/>
    <numFmt numFmtId="168" formatCode="_ * #,##0_ ;_ * \-#,##0_ ;_ * &quot;-&quot;??_ ;_ @_ "/>
  </numFmts>
  <fonts count="3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rgb="FFFF0000"/>
      <name val="Calibri"/>
      <family val="2"/>
      <scheme val="minor"/>
    </font>
    <font>
      <sz val="10"/>
      <name val="Arial"/>
      <family val="2"/>
    </font>
    <font>
      <sz val="10"/>
      <name val="MS Sans Serif"/>
      <family val="2"/>
      <charset val="1"/>
    </font>
    <font>
      <sz val="11"/>
      <color indexed="8"/>
      <name val="Calibri"/>
      <family val="2"/>
      <charset val="1"/>
    </font>
    <font>
      <b/>
      <sz val="14"/>
      <color theme="1"/>
      <name val="Calibri"/>
      <family val="2"/>
      <scheme val="minor"/>
    </font>
    <font>
      <b/>
      <sz val="10"/>
      <color theme="1"/>
      <name val="Calibri"/>
      <family val="2"/>
      <scheme val="minor"/>
    </font>
    <font>
      <b/>
      <sz val="15"/>
      <color rgb="FFFF0000"/>
      <name val="Calibri"/>
      <family val="2"/>
      <scheme val="minor"/>
    </font>
    <font>
      <b/>
      <sz val="13"/>
      <name val="Calibri"/>
      <family val="2"/>
      <scheme val="minor"/>
    </font>
    <font>
      <sz val="8"/>
      <name val="Calibri"/>
      <family val="2"/>
      <scheme val="minor"/>
    </font>
    <font>
      <sz val="11"/>
      <name val="Calibri"/>
      <family val="2"/>
    </font>
    <font>
      <sz val="11"/>
      <color rgb="FFFF0000"/>
      <name val="Calibri"/>
      <family val="2"/>
      <scheme val="minor"/>
    </font>
    <font>
      <sz val="11"/>
      <color theme="2" tint="-0.89999084444715716"/>
      <name val="Calibri"/>
      <family val="2"/>
      <scheme val="minor"/>
    </font>
    <font>
      <sz val="9"/>
      <color theme="1"/>
      <name val="Calibri"/>
      <family val="2"/>
      <scheme val="minor"/>
    </font>
    <font>
      <b/>
      <sz val="9"/>
      <color theme="1"/>
      <name val="Calibri"/>
      <family val="2"/>
      <scheme val="minor"/>
    </font>
    <font>
      <sz val="11"/>
      <color rgb="FF000000"/>
      <name val="Calibri"/>
      <family val="2"/>
    </font>
    <font>
      <sz val="11"/>
      <color indexed="8"/>
      <name val="Calibri"/>
      <family val="2"/>
    </font>
    <font>
      <sz val="10"/>
      <name val="MS Sans Serif"/>
      <charset val="1"/>
    </font>
    <font>
      <b/>
      <sz val="9"/>
      <color theme="1"/>
      <name val="Times New Roman"/>
      <family val="1"/>
    </font>
    <font>
      <sz val="9"/>
      <color theme="1"/>
      <name val="Times New Roman"/>
      <family val="1"/>
    </font>
    <font>
      <sz val="9"/>
      <color theme="1"/>
      <name val="Calibri"/>
      <family val="2"/>
    </font>
    <font>
      <b/>
      <sz val="9"/>
      <color theme="1"/>
      <name val="Calibri"/>
      <family val="2"/>
    </font>
    <font>
      <b/>
      <sz val="9"/>
      <color theme="1" tint="4.9989318521683403E-2"/>
      <name val="Calibri"/>
      <family val="2"/>
      <scheme val="minor"/>
    </font>
    <font>
      <b/>
      <sz val="9"/>
      <name val="Calibri"/>
      <family val="2"/>
    </font>
    <font>
      <sz val="9"/>
      <name val="Calibri"/>
      <family val="2"/>
    </font>
    <font>
      <u/>
      <sz val="9"/>
      <color theme="1"/>
      <name val="Times New Roman"/>
      <family val="1"/>
    </font>
    <font>
      <b/>
      <u/>
      <sz val="9"/>
      <color theme="1"/>
      <name val="Times New Roman"/>
      <family val="1"/>
    </font>
    <font>
      <vertAlign val="superscript"/>
      <sz val="9"/>
      <color theme="1"/>
      <name val="Times New Roman"/>
      <family val="1"/>
    </font>
    <font>
      <sz val="9"/>
      <color rgb="FFFF0000"/>
      <name val="Times New Roman"/>
      <family val="1"/>
    </font>
    <font>
      <b/>
      <sz val="9"/>
      <color rgb="FFFF0000"/>
      <name val="Times New Roman"/>
      <family val="1"/>
    </font>
    <font>
      <sz val="9"/>
      <name val="Times New Roman"/>
      <family val="1"/>
    </font>
  </fonts>
  <fills count="10">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0000"/>
        <bgColor indexed="64"/>
      </patternFill>
    </fill>
  </fills>
  <borders count="40">
    <border>
      <left/>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right style="thin">
        <color indexed="64"/>
      </right>
      <top style="thin">
        <color indexed="64"/>
      </top>
      <bottom style="medium">
        <color auto="1"/>
      </bottom>
      <diagonal/>
    </border>
    <border>
      <left style="thin">
        <color auto="1"/>
      </left>
      <right style="thin">
        <color auto="1"/>
      </right>
      <top style="medium">
        <color auto="1"/>
      </top>
      <bottom style="thin">
        <color auto="1"/>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s>
  <cellStyleXfs count="35">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0" fontId="5" fillId="0" borderId="0"/>
    <xf numFmtId="164" fontId="5" fillId="0" borderId="0" applyFont="0" applyFill="0" applyBorder="0" applyAlignment="0" applyProtection="0"/>
    <xf numFmtId="0" fontId="1" fillId="0" borderId="0"/>
    <xf numFmtId="0" fontId="6" fillId="0" borderId="0"/>
    <xf numFmtId="43" fontId="1" fillId="0" borderId="0" applyFont="0" applyFill="0" applyBorder="0" applyAlignment="0" applyProtection="0"/>
    <xf numFmtId="0" fontId="1" fillId="0" borderId="0"/>
    <xf numFmtId="0" fontId="7" fillId="0" borderId="0"/>
    <xf numFmtId="0" fontId="5" fillId="0" borderId="0"/>
    <xf numFmtId="0" fontId="5" fillId="0" borderId="0"/>
    <xf numFmtId="164" fontId="1" fillId="0" borderId="0" applyFont="0" applyFill="0" applyBorder="0" applyAlignment="0" applyProtection="0"/>
    <xf numFmtId="0" fontId="13" fillId="0" borderId="0">
      <alignment vertical="center"/>
    </xf>
    <xf numFmtId="43" fontId="18" fillId="0" borderId="0">
      <alignment vertical="top"/>
      <protection locked="0"/>
    </xf>
    <xf numFmtId="9" fontId="18" fillId="0" borderId="0">
      <alignment vertical="top"/>
      <protection locked="0"/>
    </xf>
    <xf numFmtId="0" fontId="5" fillId="0" borderId="0">
      <protection locked="0"/>
    </xf>
    <xf numFmtId="0" fontId="5" fillId="0" borderId="0">
      <protection locked="0"/>
    </xf>
    <xf numFmtId="0" fontId="18" fillId="0" borderId="0">
      <protection locked="0"/>
    </xf>
    <xf numFmtId="43" fontId="5" fillId="0" borderId="0">
      <alignment vertical="top"/>
      <protection locked="0"/>
    </xf>
    <xf numFmtId="43" fontId="18" fillId="0" borderId="0">
      <alignment vertical="top"/>
      <protection locked="0"/>
    </xf>
    <xf numFmtId="43" fontId="18" fillId="0" borderId="0">
      <alignment vertical="top"/>
      <protection locked="0"/>
    </xf>
    <xf numFmtId="0" fontId="19" fillId="0" borderId="0">
      <protection locked="0"/>
    </xf>
    <xf numFmtId="0" fontId="5" fillId="0" borderId="0">
      <protection locked="0"/>
    </xf>
    <xf numFmtId="0" fontId="20" fillId="0" borderId="0">
      <protection locked="0"/>
    </xf>
    <xf numFmtId="0" fontId="5" fillId="0" borderId="0">
      <protection locked="0"/>
    </xf>
    <xf numFmtId="43" fontId="18" fillId="0" borderId="0">
      <alignment vertical="top"/>
      <protection locked="0"/>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cellStyleXfs>
  <cellXfs count="446">
    <xf numFmtId="0" fontId="0" fillId="0" borderId="0" xfId="0"/>
    <xf numFmtId="0" fontId="0" fillId="2" borderId="2" xfId="0" applyFill="1" applyBorder="1" applyAlignment="1">
      <alignment horizontal="center" vertical="center"/>
    </xf>
    <xf numFmtId="0" fontId="0" fillId="0" borderId="2" xfId="0" applyBorder="1" applyAlignment="1">
      <alignment horizontal="center" vertical="center"/>
    </xf>
    <xf numFmtId="0" fontId="8" fillId="0" borderId="2" xfId="0" applyFont="1" applyBorder="1" applyAlignment="1">
      <alignment horizontal="center"/>
    </xf>
    <xf numFmtId="0" fontId="8" fillId="2" borderId="2" xfId="0" applyFont="1" applyFill="1" applyBorder="1" applyAlignment="1">
      <alignment horizontal="center" vertical="center" wrapText="1"/>
    </xf>
    <xf numFmtId="0" fontId="8" fillId="0" borderId="3" xfId="0" applyFont="1" applyBorder="1" applyAlignment="1">
      <alignment horizontal="center"/>
    </xf>
    <xf numFmtId="0" fontId="9" fillId="4" borderId="2" xfId="0" applyFont="1" applyFill="1" applyBorder="1" applyAlignment="1">
      <alignment vertical="center" wrapText="1"/>
    </xf>
    <xf numFmtId="0" fontId="9" fillId="4" borderId="2" xfId="0" applyFont="1" applyFill="1" applyBorder="1" applyAlignment="1">
      <alignment horizontal="center" vertical="center" wrapText="1"/>
    </xf>
    <xf numFmtId="2" fontId="3" fillId="0" borderId="2" xfId="0" applyNumberFormat="1" applyFont="1" applyBorder="1" applyAlignment="1">
      <alignment horizontal="center" vertical="center"/>
    </xf>
    <xf numFmtId="0" fontId="11" fillId="4" borderId="2" xfId="0" applyFont="1" applyFill="1" applyBorder="1" applyAlignment="1">
      <alignment horizontal="center" vertical="center"/>
    </xf>
    <xf numFmtId="0" fontId="0" fillId="6" borderId="2" xfId="0" applyFill="1" applyBorder="1" applyAlignment="1">
      <alignment horizontal="left" vertical="top"/>
    </xf>
    <xf numFmtId="4" fontId="0" fillId="6" borderId="2" xfId="0" applyNumberFormat="1" applyFill="1" applyBorder="1" applyAlignment="1">
      <alignment horizontal="left" vertical="top"/>
    </xf>
    <xf numFmtId="0" fontId="0" fillId="0" borderId="2" xfId="0" applyBorder="1" applyAlignment="1">
      <alignment horizontal="left" vertical="top"/>
    </xf>
    <xf numFmtId="4" fontId="0" fillId="0" borderId="2" xfId="0" applyNumberFormat="1" applyBorder="1" applyAlignment="1">
      <alignment horizontal="left" vertical="top" wrapText="1"/>
    </xf>
    <xf numFmtId="4" fontId="0" fillId="0" borderId="2" xfId="0" applyNumberFormat="1" applyBorder="1" applyAlignment="1">
      <alignment horizontal="left" vertical="top"/>
    </xf>
    <xf numFmtId="0" fontId="0" fillId="7" borderId="2" xfId="0" applyFill="1" applyBorder="1" applyAlignment="1">
      <alignment horizontal="left" vertical="top"/>
    </xf>
    <xf numFmtId="4" fontId="0" fillId="7" borderId="2" xfId="0" applyNumberFormat="1" applyFill="1" applyBorder="1" applyAlignment="1">
      <alignment horizontal="left" vertical="top"/>
    </xf>
    <xf numFmtId="0" fontId="0" fillId="0" borderId="2" xfId="0" applyBorder="1" applyAlignment="1">
      <alignment vertical="center"/>
    </xf>
    <xf numFmtId="0" fontId="8" fillId="0" borderId="2" xfId="0" applyFont="1" applyBorder="1"/>
    <xf numFmtId="0" fontId="14" fillId="0" borderId="0" xfId="0" applyFont="1"/>
    <xf numFmtId="0" fontId="3" fillId="0" borderId="2" xfId="0" applyFont="1" applyBorder="1" applyAlignment="1">
      <alignment horizontal="center" vertical="center"/>
    </xf>
    <xf numFmtId="0" fontId="11" fillId="8" borderId="2" xfId="0" applyFont="1" applyFill="1" applyBorder="1" applyAlignment="1">
      <alignment horizontal="center" vertical="center"/>
    </xf>
    <xf numFmtId="0" fontId="0" fillId="2" borderId="0" xfId="0" applyFill="1"/>
    <xf numFmtId="0" fontId="3" fillId="2" borderId="2" xfId="0" applyFont="1" applyFill="1" applyBorder="1" applyAlignment="1">
      <alignment horizontal="center" vertical="center"/>
    </xf>
    <xf numFmtId="0" fontId="15" fillId="0" borderId="0" xfId="0" applyFont="1"/>
    <xf numFmtId="0" fontId="0" fillId="2" borderId="3" xfId="0" applyFill="1" applyBorder="1" applyAlignment="1">
      <alignment horizontal="center" vertical="center"/>
    </xf>
    <xf numFmtId="0" fontId="14" fillId="2" borderId="2" xfId="0" applyFont="1" applyFill="1" applyBorder="1" applyAlignment="1">
      <alignment horizontal="center" vertical="center"/>
    </xf>
    <xf numFmtId="0" fontId="14" fillId="0" borderId="2" xfId="0" applyFont="1" applyBorder="1" applyAlignment="1">
      <alignment vertical="center"/>
    </xf>
    <xf numFmtId="0" fontId="14" fillId="0" borderId="2" xfId="0" applyFont="1" applyBorder="1" applyAlignment="1">
      <alignment horizontal="center" vertical="center"/>
    </xf>
    <xf numFmtId="0" fontId="14" fillId="2" borderId="0" xfId="0" applyFont="1" applyFill="1"/>
    <xf numFmtId="2" fontId="14" fillId="2" borderId="2" xfId="0" applyNumberFormat="1" applyFont="1" applyFill="1" applyBorder="1" applyAlignment="1">
      <alignment horizontal="center" vertical="center"/>
    </xf>
    <xf numFmtId="0" fontId="14" fillId="2" borderId="3" xfId="0" applyFont="1" applyFill="1" applyBorder="1" applyAlignment="1">
      <alignment horizontal="center" vertical="center"/>
    </xf>
    <xf numFmtId="0" fontId="22" fillId="0" borderId="0" xfId="0" applyFont="1" applyAlignment="1">
      <alignment vertical="center" wrapTex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vertical="center" wrapText="1" shrinkToFit="1"/>
    </xf>
    <xf numFmtId="0" fontId="22" fillId="0" borderId="2" xfId="0" applyFont="1" applyBorder="1" applyAlignment="1">
      <alignment horizontal="center" vertical="center" wrapText="1"/>
    </xf>
    <xf numFmtId="164" fontId="22" fillId="0" borderId="2" xfId="0" applyNumberFormat="1" applyFont="1" applyBorder="1" applyAlignment="1">
      <alignment horizontal="center" vertical="center" wrapText="1"/>
    </xf>
    <xf numFmtId="164" fontId="21" fillId="0" borderId="2" xfId="0" applyNumberFormat="1" applyFont="1" applyBorder="1" applyAlignment="1">
      <alignment horizontal="center" vertical="center"/>
    </xf>
    <xf numFmtId="0" fontId="22" fillId="0" borderId="2" xfId="0" applyFont="1" applyBorder="1" applyAlignment="1">
      <alignment vertical="center" wrapText="1"/>
    </xf>
    <xf numFmtId="164" fontId="22" fillId="0" borderId="2" xfId="0" applyNumberFormat="1" applyFont="1" applyBorder="1" applyAlignment="1">
      <alignment horizontal="center" vertical="center"/>
    </xf>
    <xf numFmtId="4" fontId="22" fillId="0" borderId="2" xfId="1" applyNumberFormat="1" applyFont="1" applyFill="1" applyBorder="1" applyAlignment="1">
      <alignment horizontal="center" vertical="center" wrapText="1"/>
    </xf>
    <xf numFmtId="0" fontId="22" fillId="0" borderId="2" xfId="0" applyFont="1" applyBorder="1" applyAlignment="1">
      <alignment horizontal="left" vertical="center" wrapText="1" shrinkToFit="1"/>
    </xf>
    <xf numFmtId="4" fontId="22" fillId="0" borderId="2" xfId="0" applyNumberFormat="1" applyFont="1" applyBorder="1" applyAlignment="1">
      <alignment horizontal="center" vertical="center"/>
    </xf>
    <xf numFmtId="0" fontId="22" fillId="0" borderId="2" xfId="0" applyFont="1" applyBorder="1" applyAlignment="1">
      <alignment horizontal="justify" vertical="center" wrapText="1" shrinkToFit="1"/>
    </xf>
    <xf numFmtId="0" fontId="16" fillId="0" borderId="2" xfId="0" applyFont="1" applyBorder="1" applyAlignment="1">
      <alignment horizontal="justify" vertical="center" wrapText="1" shrinkToFit="1"/>
    </xf>
    <xf numFmtId="0" fontId="21" fillId="0" borderId="2" xfId="0" applyFont="1" applyBorder="1" applyAlignment="1">
      <alignment vertical="center"/>
    </xf>
    <xf numFmtId="0" fontId="21" fillId="0" borderId="2" xfId="0" applyFont="1" applyBorder="1" applyAlignment="1">
      <alignment horizontal="justify" vertical="center" wrapText="1" shrinkToFit="1"/>
    </xf>
    <xf numFmtId="0" fontId="22" fillId="0" borderId="2" xfId="0" applyFont="1" applyBorder="1" applyAlignment="1">
      <alignment horizontal="justify" vertical="center" wrapText="1"/>
    </xf>
    <xf numFmtId="0" fontId="22" fillId="0" borderId="2" xfId="0" applyFont="1" applyBorder="1" applyAlignment="1">
      <alignment vertical="center" wrapText="1" shrinkToFit="1"/>
    </xf>
    <xf numFmtId="0" fontId="22" fillId="0" borderId="2" xfId="0" applyFont="1" applyBorder="1" applyAlignment="1">
      <alignment horizontal="justify" vertical="center"/>
    </xf>
    <xf numFmtId="4" fontId="22" fillId="0" borderId="2" xfId="1" applyNumberFormat="1" applyFont="1" applyFill="1" applyBorder="1" applyAlignment="1">
      <alignment horizontal="left" vertical="center" wrapText="1"/>
    </xf>
    <xf numFmtId="0" fontId="21" fillId="0" borderId="2" xfId="0" applyFont="1" applyBorder="1" applyAlignment="1">
      <alignment vertical="center" wrapText="1"/>
    </xf>
    <xf numFmtId="164" fontId="21" fillId="0" borderId="2" xfId="0" applyNumberFormat="1" applyFont="1" applyBorder="1" applyAlignment="1">
      <alignment vertical="center" wrapText="1"/>
    </xf>
    <xf numFmtId="1" fontId="22" fillId="0" borderId="2" xfId="0" applyNumberFormat="1" applyFont="1" applyBorder="1" applyAlignment="1">
      <alignment horizontal="left" vertical="center" wrapText="1"/>
    </xf>
    <xf numFmtId="164" fontId="21" fillId="0" borderId="2" xfId="0" applyNumberFormat="1" applyFont="1" applyBorder="1" applyAlignment="1">
      <alignment vertical="center"/>
    </xf>
    <xf numFmtId="4" fontId="21" fillId="0" borderId="2" xfId="0" applyNumberFormat="1" applyFont="1" applyBorder="1" applyAlignment="1">
      <alignment vertical="center"/>
    </xf>
    <xf numFmtId="4" fontId="21" fillId="0" borderId="2" xfId="1" applyNumberFormat="1" applyFont="1" applyFill="1" applyBorder="1" applyAlignment="1">
      <alignment vertical="center" wrapText="1"/>
    </xf>
    <xf numFmtId="0" fontId="23" fillId="0" borderId="2" xfId="0" applyFont="1" applyBorder="1" applyAlignment="1">
      <alignment horizontal="center" vertical="center"/>
    </xf>
    <xf numFmtId="0" fontId="23" fillId="0" borderId="5" xfId="0" applyFont="1" applyBorder="1" applyAlignment="1">
      <alignment horizontal="center" vertical="center" wrapText="1"/>
    </xf>
    <xf numFmtId="0" fontId="24" fillId="0" borderId="2" xfId="0" applyFont="1" applyBorder="1" applyAlignment="1">
      <alignment horizontal="center" vertical="center" wrapText="1"/>
    </xf>
    <xf numFmtId="0" fontId="23" fillId="0" borderId="2" xfId="0" applyFont="1" applyBorder="1" applyAlignment="1">
      <alignment vertical="center" wrapText="1"/>
    </xf>
    <xf numFmtId="0" fontId="24" fillId="0" borderId="2" xfId="0" applyFont="1" applyBorder="1" applyAlignment="1">
      <alignment horizontal="justify" vertical="center" wrapText="1" shrinkToFit="1"/>
    </xf>
    <xf numFmtId="164" fontId="23" fillId="0" borderId="2" xfId="0" applyNumberFormat="1" applyFont="1" applyBorder="1" applyAlignment="1">
      <alignment horizontal="center" vertical="center" wrapText="1" shrinkToFit="1"/>
    </xf>
    <xf numFmtId="4" fontId="23" fillId="0" borderId="2" xfId="0" applyNumberFormat="1" applyFont="1" applyBorder="1" applyAlignment="1">
      <alignment horizontal="center" vertical="center" wrapText="1" shrinkToFit="1"/>
    </xf>
    <xf numFmtId="164" fontId="23" fillId="0" borderId="2" xfId="15" applyFont="1" applyFill="1" applyBorder="1" applyAlignment="1">
      <alignment vertical="center" wrapText="1"/>
    </xf>
    <xf numFmtId="0" fontId="16" fillId="0" borderId="0" xfId="0" applyFont="1" applyAlignment="1">
      <alignment wrapText="1"/>
    </xf>
    <xf numFmtId="0" fontId="17" fillId="0" borderId="2" xfId="0" applyFont="1" applyBorder="1" applyAlignment="1">
      <alignment horizontal="justify" vertical="center" wrapText="1" shrinkToFit="1"/>
    </xf>
    <xf numFmtId="0" fontId="23" fillId="0" borderId="2" xfId="0" applyFont="1" applyBorder="1" applyAlignment="1">
      <alignment horizontal="justify" vertical="center" wrapText="1" shrinkToFit="1"/>
    </xf>
    <xf numFmtId="164" fontId="24" fillId="0" borderId="2" xfId="0" applyNumberFormat="1" applyFont="1" applyBorder="1" applyAlignment="1">
      <alignment horizontal="center" vertical="center" wrapText="1" shrinkToFit="1"/>
    </xf>
    <xf numFmtId="4" fontId="24" fillId="0" borderId="2" xfId="0" applyNumberFormat="1" applyFont="1" applyBorder="1" applyAlignment="1">
      <alignment horizontal="center" vertical="center" wrapText="1" shrinkToFit="1"/>
    </xf>
    <xf numFmtId="0" fontId="23" fillId="2" borderId="2" xfId="0" applyFont="1" applyFill="1" applyBorder="1" applyAlignment="1">
      <alignment horizontal="center" vertical="center"/>
    </xf>
    <xf numFmtId="0" fontId="23" fillId="2" borderId="5"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3" fillId="2" borderId="2" xfId="0" applyFont="1" applyFill="1" applyBorder="1" applyAlignment="1">
      <alignment vertical="center" wrapText="1"/>
    </xf>
    <xf numFmtId="0" fontId="25" fillId="0" borderId="2" xfId="0" applyFont="1" applyBorder="1" applyAlignment="1">
      <alignment horizontal="justify" vertical="center" wrapText="1" shrinkToFit="1"/>
    </xf>
    <xf numFmtId="164" fontId="23" fillId="2" borderId="2" xfId="0" applyNumberFormat="1" applyFont="1" applyFill="1" applyBorder="1" applyAlignment="1">
      <alignment horizontal="center" vertical="center" wrapText="1" shrinkToFit="1"/>
    </xf>
    <xf numFmtId="4" fontId="23" fillId="2" borderId="2" xfId="0" applyNumberFormat="1" applyFont="1" applyFill="1" applyBorder="1" applyAlignment="1">
      <alignment horizontal="center" vertical="center" wrapText="1" shrinkToFit="1"/>
    </xf>
    <xf numFmtId="164" fontId="23" fillId="2" borderId="2" xfId="15" applyFont="1" applyFill="1" applyBorder="1" applyAlignment="1">
      <alignment vertical="center" wrapText="1"/>
    </xf>
    <xf numFmtId="0" fontId="23" fillId="2" borderId="2" xfId="0" applyFont="1" applyFill="1" applyBorder="1" applyAlignment="1">
      <alignment horizontal="justify" vertical="center" wrapText="1" shrinkToFit="1"/>
    </xf>
    <xf numFmtId="0" fontId="24" fillId="2" borderId="2" xfId="0" applyFont="1" applyFill="1" applyBorder="1" applyAlignment="1">
      <alignment horizontal="justify" vertical="center" wrapText="1" shrinkToFit="1"/>
    </xf>
    <xf numFmtId="164" fontId="24" fillId="2" borderId="2" xfId="0" applyNumberFormat="1" applyFont="1" applyFill="1" applyBorder="1" applyAlignment="1">
      <alignment horizontal="center" vertical="center" wrapText="1" shrinkToFit="1"/>
    </xf>
    <xf numFmtId="4" fontId="24" fillId="2" borderId="2" xfId="0" applyNumberFormat="1" applyFont="1" applyFill="1" applyBorder="1" applyAlignment="1">
      <alignment horizontal="center" vertical="center" wrapText="1" shrinkToFit="1"/>
    </xf>
    <xf numFmtId="0" fontId="22" fillId="0" borderId="2" xfId="2" applyNumberFormat="1" applyFont="1" applyFill="1" applyBorder="1" applyAlignment="1">
      <alignment horizontal="justify" vertical="center" wrapText="1" shrinkToFit="1"/>
    </xf>
    <xf numFmtId="4" fontId="22" fillId="0" borderId="2" xfId="0" applyNumberFormat="1" applyFont="1" applyBorder="1" applyAlignment="1">
      <alignment vertical="center"/>
    </xf>
    <xf numFmtId="0" fontId="21" fillId="0" borderId="2" xfId="0" applyFont="1" applyBorder="1" applyAlignment="1">
      <alignment horizontal="center" vertical="center" wrapText="1" shrinkToFit="1"/>
    </xf>
    <xf numFmtId="0" fontId="21" fillId="0" borderId="2" xfId="0" applyFont="1" applyBorder="1" applyAlignment="1">
      <alignment horizontal="left" vertical="center" wrapText="1" shrinkToFit="1"/>
    </xf>
    <xf numFmtId="164" fontId="21" fillId="0" borderId="2" xfId="0" applyNumberFormat="1" applyFont="1" applyBorder="1" applyAlignment="1">
      <alignment horizontal="center" vertical="center" wrapText="1" shrinkToFit="1"/>
    </xf>
    <xf numFmtId="4" fontId="22" fillId="0" borderId="2" xfId="0" applyNumberFormat="1" applyFont="1" applyBorder="1" applyAlignment="1">
      <alignment horizontal="center" vertical="center" wrapText="1" shrinkToFit="1"/>
    </xf>
    <xf numFmtId="0" fontId="21" fillId="0" borderId="2" xfId="0" applyFont="1" applyBorder="1" applyAlignment="1">
      <alignment horizontal="left" vertical="center"/>
    </xf>
    <xf numFmtId="164" fontId="21" fillId="0" borderId="2" xfId="0" applyNumberFormat="1" applyFont="1" applyBorder="1" applyAlignment="1">
      <alignment horizontal="center" vertical="center" wrapText="1"/>
    </xf>
    <xf numFmtId="4" fontId="21" fillId="0" borderId="2" xfId="0" applyNumberFormat="1" applyFont="1" applyBorder="1" applyAlignment="1">
      <alignment horizontal="center" vertical="center"/>
    </xf>
    <xf numFmtId="0" fontId="21" fillId="0" borderId="2" xfId="0" applyFont="1" applyBorder="1" applyAlignment="1">
      <alignment horizontal="left" vertical="center" wrapText="1"/>
    </xf>
    <xf numFmtId="0" fontId="22" fillId="0" borderId="2" xfId="5" applyFont="1" applyBorder="1" applyAlignment="1">
      <alignment vertical="center" wrapText="1"/>
    </xf>
    <xf numFmtId="4" fontId="21" fillId="0" borderId="2" xfId="0" applyNumberFormat="1" applyFont="1" applyBorder="1" applyAlignment="1">
      <alignment horizontal="center" vertical="center" wrapText="1" shrinkToFit="1"/>
    </xf>
    <xf numFmtId="0" fontId="22" fillId="0" borderId="2" xfId="0" applyFont="1" applyBorder="1" applyAlignment="1">
      <alignment horizontal="center" vertical="center" wrapText="1" shrinkToFit="1"/>
    </xf>
    <xf numFmtId="164" fontId="22" fillId="0" borderId="2" xfId="0" applyNumberFormat="1" applyFont="1" applyBorder="1" applyAlignment="1">
      <alignment horizontal="center" vertical="center" wrapText="1" shrinkToFit="1"/>
    </xf>
    <xf numFmtId="0" fontId="22" fillId="0" borderId="2" xfId="0" applyFont="1" applyBorder="1" applyAlignment="1">
      <alignment horizontal="left" vertical="center" wrapText="1"/>
    </xf>
    <xf numFmtId="2" fontId="22" fillId="0" borderId="2" xfId="0" applyNumberFormat="1" applyFont="1" applyBorder="1" applyAlignment="1">
      <alignment horizontal="left" vertical="center" wrapText="1"/>
    </xf>
    <xf numFmtId="2" fontId="21" fillId="0" borderId="2" xfId="0" applyNumberFormat="1" applyFont="1" applyBorder="1" applyAlignment="1">
      <alignment horizontal="center" vertical="center" wrapText="1"/>
    </xf>
    <xf numFmtId="0" fontId="22" fillId="0" borderId="2" xfId="5" applyFont="1" applyBorder="1" applyAlignment="1">
      <alignment horizontal="center" vertical="center" wrapText="1"/>
    </xf>
    <xf numFmtId="164" fontId="22" fillId="0" borderId="2" xfId="5" applyNumberFormat="1" applyFont="1" applyBorder="1" applyAlignment="1">
      <alignment horizontal="center" vertical="center" wrapText="1"/>
    </xf>
    <xf numFmtId="0" fontId="21" fillId="0" borderId="2" xfId="6" applyFont="1" applyBorder="1" applyAlignment="1">
      <alignment horizontal="left" vertical="center" wrapText="1"/>
    </xf>
    <xf numFmtId="0" fontId="22" fillId="0" borderId="2" xfId="6" applyFont="1" applyBorder="1" applyAlignment="1">
      <alignment horizontal="center" vertical="center" wrapText="1"/>
    </xf>
    <xf numFmtId="164" fontId="22" fillId="0" borderId="2" xfId="6" applyNumberFormat="1" applyFont="1" applyBorder="1" applyAlignment="1">
      <alignment horizontal="center" vertical="center" wrapText="1"/>
    </xf>
    <xf numFmtId="0" fontId="21" fillId="0" borderId="2" xfId="6" applyFont="1" applyBorder="1" applyAlignment="1">
      <alignment horizontal="center" vertical="center" wrapText="1"/>
    </xf>
    <xf numFmtId="164" fontId="21" fillId="0" borderId="2" xfId="6" applyNumberFormat="1" applyFont="1" applyBorder="1" applyAlignment="1">
      <alignment horizontal="center" vertical="center" wrapText="1"/>
    </xf>
    <xf numFmtId="164" fontId="22" fillId="0" borderId="3" xfId="6" applyNumberFormat="1" applyFont="1" applyBorder="1" applyAlignment="1">
      <alignment horizontal="center" vertical="center" wrapText="1"/>
    </xf>
    <xf numFmtId="164" fontId="22" fillId="0" borderId="3" xfId="0" applyNumberFormat="1" applyFont="1" applyBorder="1" applyAlignment="1">
      <alignment horizontal="center" vertical="center"/>
    </xf>
    <xf numFmtId="4" fontId="22" fillId="0" borderId="2" xfId="0" applyNumberFormat="1" applyFont="1" applyBorder="1" applyAlignment="1">
      <alignment horizontal="left" vertical="center" wrapText="1"/>
    </xf>
    <xf numFmtId="164" fontId="22" fillId="0" borderId="3" xfId="0" applyNumberFormat="1" applyFont="1" applyBorder="1" applyAlignment="1">
      <alignment horizontal="center" vertical="center" wrapText="1"/>
    </xf>
    <xf numFmtId="164" fontId="22" fillId="0" borderId="3" xfId="5" applyNumberFormat="1" applyFont="1" applyBorder="1" applyAlignment="1">
      <alignment horizontal="center" vertical="center" wrapText="1"/>
    </xf>
    <xf numFmtId="0" fontId="21" fillId="0" borderId="2" xfId="0" applyFont="1" applyBorder="1" applyAlignment="1">
      <alignment horizontal="center" vertical="top" wrapText="1"/>
    </xf>
    <xf numFmtId="164" fontId="22" fillId="0" borderId="2" xfId="0" applyNumberFormat="1" applyFont="1" applyBorder="1" applyAlignment="1">
      <alignment horizontal="left" vertical="center" wrapText="1"/>
    </xf>
    <xf numFmtId="3" fontId="22" fillId="0" borderId="2" xfId="0" applyNumberFormat="1" applyFont="1" applyBorder="1" applyAlignment="1">
      <alignment horizontal="center" vertical="center"/>
    </xf>
    <xf numFmtId="165" fontId="22" fillId="0" borderId="2" xfId="1" applyNumberFormat="1" applyFont="1" applyFill="1" applyBorder="1" applyAlignment="1">
      <alignment horizontal="center" vertical="center" wrapText="1"/>
    </xf>
    <xf numFmtId="0" fontId="28" fillId="0" borderId="2" xfId="0" applyFont="1" applyBorder="1" applyAlignment="1">
      <alignment horizontal="center" vertical="center" wrapText="1"/>
    </xf>
    <xf numFmtId="0" fontId="22" fillId="0" borderId="2" xfId="0" applyFont="1" applyBorder="1" applyAlignment="1" applyProtection="1">
      <alignment horizontal="left" vertical="center" wrapText="1"/>
      <protection locked="0"/>
    </xf>
    <xf numFmtId="164" fontId="22" fillId="0" borderId="2" xfId="0" applyNumberFormat="1" applyFont="1" applyBorder="1" applyAlignment="1">
      <alignment vertical="center" wrapText="1"/>
    </xf>
    <xf numFmtId="0" fontId="29" fillId="0" borderId="2" xfId="0" applyFont="1" applyBorder="1" applyAlignment="1">
      <alignment horizontal="justify" vertical="center" wrapText="1"/>
    </xf>
    <xf numFmtId="0" fontId="22" fillId="0" borderId="2" xfId="8" applyFont="1" applyBorder="1" applyAlignment="1">
      <alignment horizontal="left" vertical="center" wrapText="1"/>
    </xf>
    <xf numFmtId="165" fontId="22" fillId="0" borderId="2" xfId="7" applyNumberFormat="1" applyFont="1" applyFill="1" applyBorder="1" applyAlignment="1">
      <alignment horizontal="center" vertical="center" wrapText="1"/>
    </xf>
    <xf numFmtId="164" fontId="22" fillId="0" borderId="2" xfId="7" applyFont="1" applyFill="1" applyBorder="1" applyAlignment="1">
      <alignment horizontal="center" vertical="center" wrapText="1"/>
    </xf>
    <xf numFmtId="0" fontId="22" fillId="0" borderId="2" xfId="6" applyFont="1" applyBorder="1" applyAlignment="1">
      <alignment horizontal="left" vertical="center" wrapText="1"/>
    </xf>
    <xf numFmtId="2" fontId="17" fillId="0" borderId="2"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2" xfId="0" applyFont="1" applyBorder="1" applyAlignment="1">
      <alignment vertical="center"/>
    </xf>
    <xf numFmtId="0" fontId="16" fillId="0" borderId="2" xfId="0" applyFont="1" applyBorder="1" applyAlignment="1">
      <alignment horizontal="left" vertical="center" wrapText="1"/>
    </xf>
    <xf numFmtId="164" fontId="16" fillId="0" borderId="3" xfId="6" applyNumberFormat="1" applyFont="1" applyBorder="1" applyAlignment="1">
      <alignment horizontal="right" wrapText="1"/>
    </xf>
    <xf numFmtId="164" fontId="16" fillId="0" borderId="2" xfId="6" applyNumberFormat="1" applyFont="1" applyBorder="1" applyAlignment="1">
      <alignment horizontal="right" wrapText="1"/>
    </xf>
    <xf numFmtId="0" fontId="16" fillId="0" borderId="0" xfId="0" applyFont="1"/>
    <xf numFmtId="0" fontId="21" fillId="0" borderId="2" xfId="0" applyFont="1" applyBorder="1" applyAlignment="1">
      <alignment horizontal="center" vertical="center"/>
    </xf>
    <xf numFmtId="0" fontId="22" fillId="0" borderId="2" xfId="3" applyNumberFormat="1" applyFont="1" applyFill="1" applyBorder="1" applyAlignment="1" applyProtection="1">
      <alignment horizontal="justify" vertical="center" wrapText="1"/>
    </xf>
    <xf numFmtId="0" fontId="22" fillId="0" borderId="2" xfId="10" applyNumberFormat="1" applyFont="1" applyFill="1" applyBorder="1" applyAlignment="1" applyProtection="1">
      <alignment horizontal="justify" vertical="center" wrapText="1"/>
    </xf>
    <xf numFmtId="0" fontId="22" fillId="0" borderId="2" xfId="6" applyFont="1" applyBorder="1" applyAlignment="1">
      <alignment horizontal="justify" vertical="center" wrapText="1"/>
    </xf>
    <xf numFmtId="164" fontId="21" fillId="0" borderId="2" xfId="0" applyNumberFormat="1" applyFont="1" applyBorder="1" applyAlignment="1">
      <alignment horizontal="left" vertical="center" wrapText="1"/>
    </xf>
    <xf numFmtId="4" fontId="21" fillId="0" borderId="2" xfId="0" applyNumberFormat="1" applyFont="1" applyBorder="1" applyAlignment="1">
      <alignment horizontal="left" vertical="center"/>
    </xf>
    <xf numFmtId="0" fontId="22" fillId="0" borderId="2" xfId="12" applyFont="1" applyBorder="1" applyAlignment="1">
      <alignment horizontal="left" vertical="center" wrapText="1"/>
    </xf>
    <xf numFmtId="0" fontId="22" fillId="0" borderId="2" xfId="12" applyFont="1" applyBorder="1" applyAlignment="1">
      <alignment horizontal="left" vertical="center" wrapText="1" shrinkToFit="1"/>
    </xf>
    <xf numFmtId="0" fontId="22" fillId="0" borderId="2" xfId="13" applyFont="1" applyBorder="1" applyAlignment="1">
      <alignment horizontal="left" vertical="center" wrapText="1"/>
    </xf>
    <xf numFmtId="0" fontId="22" fillId="0" borderId="2" xfId="9" applyFont="1" applyBorder="1" applyAlignment="1">
      <alignment horizontal="left" vertical="center" wrapText="1"/>
    </xf>
    <xf numFmtId="164" fontId="21" fillId="0" borderId="2" xfId="0" applyNumberFormat="1" applyFont="1" applyBorder="1" applyAlignment="1">
      <alignment horizontal="left" vertical="center" wrapText="1" shrinkToFit="1"/>
    </xf>
    <xf numFmtId="4" fontId="21" fillId="0" borderId="2" xfId="0" applyNumberFormat="1" applyFont="1" applyBorder="1" applyAlignment="1">
      <alignment horizontal="left" vertical="center" wrapText="1" shrinkToFit="1"/>
    </xf>
    <xf numFmtId="0" fontId="22" fillId="0" borderId="0" xfId="0" applyFont="1" applyAlignment="1">
      <alignment horizontal="center" vertical="center" wrapText="1"/>
    </xf>
    <xf numFmtId="164" fontId="22" fillId="0" borderId="0" xfId="0" applyNumberFormat="1" applyFont="1" applyAlignment="1">
      <alignment vertical="center" wrapText="1"/>
    </xf>
    <xf numFmtId="164" fontId="22" fillId="0" borderId="0" xfId="0" applyNumberFormat="1" applyFont="1" applyAlignment="1">
      <alignment vertical="center"/>
    </xf>
    <xf numFmtId="4" fontId="22" fillId="0" borderId="0" xfId="1" applyNumberFormat="1" applyFont="1" applyFill="1" applyAlignment="1">
      <alignment vertical="center" wrapText="1"/>
    </xf>
    <xf numFmtId="0" fontId="21" fillId="0" borderId="1" xfId="0" applyFont="1" applyBorder="1" applyAlignment="1">
      <alignment horizontal="center" vertical="center"/>
    </xf>
    <xf numFmtId="0" fontId="22" fillId="0" borderId="2" xfId="0" applyFont="1" applyBorder="1" applyAlignment="1">
      <alignment vertical="center"/>
    </xf>
    <xf numFmtId="0" fontId="22" fillId="0" borderId="2" xfId="0" applyFont="1" applyBorder="1" applyAlignment="1">
      <alignment horizontal="center" vertical="center"/>
    </xf>
    <xf numFmtId="0" fontId="21" fillId="0" borderId="2" xfId="0" applyFont="1" applyBorder="1" applyAlignment="1">
      <alignment horizontal="center" vertical="center" shrinkToFit="1"/>
    </xf>
    <xf numFmtId="2" fontId="21" fillId="0" borderId="2" xfId="0" applyNumberFormat="1" applyFont="1" applyBorder="1" applyAlignment="1">
      <alignment horizontal="center" vertical="center"/>
    </xf>
    <xf numFmtId="0" fontId="22" fillId="0" borderId="2" xfId="0" applyFont="1" applyBorder="1" applyAlignment="1">
      <alignment horizontal="left" vertical="center"/>
    </xf>
    <xf numFmtId="0" fontId="22" fillId="0" borderId="0" xfId="0" applyFont="1" applyAlignment="1">
      <alignment vertical="center"/>
    </xf>
    <xf numFmtId="0" fontId="31" fillId="0" borderId="2" xfId="0" applyFont="1" applyBorder="1" applyAlignment="1">
      <alignment horizontal="center" vertical="center"/>
    </xf>
    <xf numFmtId="0" fontId="31" fillId="0" borderId="2" xfId="0" applyFont="1" applyBorder="1" applyAlignment="1">
      <alignment horizontal="center" vertical="center" wrapText="1"/>
    </xf>
    <xf numFmtId="0" fontId="32" fillId="0" borderId="2" xfId="0" applyFont="1" applyBorder="1" applyAlignment="1">
      <alignment horizontal="center" vertical="center" wrapText="1"/>
    </xf>
    <xf numFmtId="0" fontId="31" fillId="0" borderId="2" xfId="0" applyFont="1" applyBorder="1" applyAlignment="1">
      <alignment horizontal="justify" vertical="center" wrapText="1" shrinkToFit="1"/>
    </xf>
    <xf numFmtId="164" fontId="31" fillId="0" borderId="2" xfId="0" applyNumberFormat="1" applyFont="1" applyBorder="1" applyAlignment="1">
      <alignment horizontal="center" vertical="center" wrapText="1"/>
    </xf>
    <xf numFmtId="4" fontId="31" fillId="0" borderId="2" xfId="0" applyNumberFormat="1" applyFont="1" applyBorder="1" applyAlignment="1">
      <alignment horizontal="center" vertical="center"/>
    </xf>
    <xf numFmtId="0" fontId="31" fillId="0" borderId="0" xfId="0" applyFont="1" applyAlignment="1">
      <alignment vertical="center" wrapText="1"/>
    </xf>
    <xf numFmtId="0" fontId="21" fillId="0" borderId="2" xfId="12" applyFont="1" applyBorder="1" applyAlignment="1">
      <alignment horizontal="left" vertical="center" wrapText="1"/>
    </xf>
    <xf numFmtId="167" fontId="22" fillId="0" borderId="2" xfId="0" applyNumberFormat="1" applyFont="1" applyBorder="1" applyAlignment="1">
      <alignment horizontal="center" vertical="center" wrapText="1"/>
    </xf>
    <xf numFmtId="0" fontId="22" fillId="2" borderId="2" xfId="0" applyFont="1" applyFill="1" applyBorder="1" applyAlignment="1">
      <alignment vertical="center" wrapText="1"/>
    </xf>
    <xf numFmtId="0" fontId="22" fillId="2" borderId="2" xfId="0" applyFont="1" applyFill="1" applyBorder="1" applyAlignment="1">
      <alignment horizontal="center" vertical="center" wrapText="1"/>
    </xf>
    <xf numFmtId="164" fontId="22" fillId="2" borderId="2" xfId="0" applyNumberFormat="1" applyFont="1" applyFill="1" applyBorder="1" applyAlignment="1">
      <alignment horizontal="center" vertical="center" wrapText="1"/>
    </xf>
    <xf numFmtId="0" fontId="21" fillId="2" borderId="2" xfId="0" applyFont="1" applyFill="1" applyBorder="1" applyAlignment="1">
      <alignment vertical="center" wrapText="1"/>
    </xf>
    <xf numFmtId="0" fontId="22" fillId="2" borderId="2" xfId="0" applyFont="1" applyFill="1" applyBorder="1" applyAlignment="1">
      <alignment horizontal="justify" vertical="center" wrapText="1" shrinkToFit="1"/>
    </xf>
    <xf numFmtId="0" fontId="31" fillId="2" borderId="2" xfId="0" applyFont="1" applyFill="1" applyBorder="1" applyAlignment="1">
      <alignment horizontal="justify" vertical="center" wrapText="1" shrinkToFit="1"/>
    </xf>
    <xf numFmtId="0" fontId="33" fillId="0" borderId="2" xfId="0" applyFont="1" applyBorder="1" applyAlignment="1">
      <alignment horizontal="justify" vertical="center" wrapText="1" shrinkToFit="1"/>
    </xf>
    <xf numFmtId="0" fontId="33" fillId="0" borderId="2" xfId="0" applyFont="1" applyBorder="1" applyAlignment="1">
      <alignment horizontal="center" vertical="center" wrapText="1"/>
    </xf>
    <xf numFmtId="164" fontId="33" fillId="0" borderId="2" xfId="0" applyNumberFormat="1" applyFont="1" applyBorder="1" applyAlignment="1">
      <alignment horizontal="center" vertical="center" wrapText="1"/>
    </xf>
    <xf numFmtId="2" fontId="22" fillId="0" borderId="2" xfId="0" applyNumberFormat="1" applyFont="1" applyBorder="1" applyAlignment="1">
      <alignment vertical="center" wrapText="1"/>
    </xf>
    <xf numFmtId="4" fontId="32" fillId="4" borderId="2" xfId="1" applyNumberFormat="1" applyFont="1" applyFill="1" applyBorder="1" applyAlignment="1">
      <alignment vertical="center" wrapText="1"/>
    </xf>
    <xf numFmtId="4" fontId="22" fillId="0" borderId="2" xfId="1" applyNumberFormat="1" applyFont="1" applyFill="1" applyBorder="1" applyAlignment="1">
      <alignment horizontal="right" vertical="center" wrapText="1"/>
    </xf>
    <xf numFmtId="4" fontId="21" fillId="0" borderId="2" xfId="1" applyNumberFormat="1" applyFont="1" applyFill="1" applyBorder="1" applyAlignment="1">
      <alignment horizontal="right" vertical="center" wrapText="1"/>
    </xf>
    <xf numFmtId="4" fontId="22" fillId="0" borderId="2" xfId="0" applyNumberFormat="1" applyFont="1" applyBorder="1" applyAlignment="1">
      <alignment vertical="center" wrapText="1"/>
    </xf>
    <xf numFmtId="0" fontId="16" fillId="0" borderId="2" xfId="0" applyFont="1" applyBorder="1" applyAlignment="1">
      <alignment wrapText="1"/>
    </xf>
    <xf numFmtId="0" fontId="31" fillId="0" borderId="2" xfId="0" applyFont="1" applyBorder="1" applyAlignment="1">
      <alignment vertical="center" wrapText="1"/>
    </xf>
    <xf numFmtId="4" fontId="22" fillId="0" borderId="1" xfId="0" applyNumberFormat="1" applyFont="1" applyBorder="1" applyAlignment="1">
      <alignment horizontal="center" vertical="center"/>
    </xf>
    <xf numFmtId="0" fontId="16" fillId="0" borderId="2" xfId="0" applyFont="1" applyBorder="1"/>
    <xf numFmtId="164" fontId="21" fillId="0" borderId="3" xfId="0" applyNumberFormat="1" applyFont="1" applyBorder="1" applyAlignment="1">
      <alignment horizontal="center" vertical="center" wrapText="1"/>
    </xf>
    <xf numFmtId="4" fontId="21" fillId="4" borderId="2" xfId="1" applyNumberFormat="1" applyFont="1" applyFill="1" applyBorder="1" applyAlignment="1">
      <alignment horizontal="right" vertical="center" wrapText="1"/>
    </xf>
    <xf numFmtId="4" fontId="22" fillId="0" borderId="1" xfId="1" applyNumberFormat="1" applyFont="1" applyFill="1" applyBorder="1" applyAlignment="1">
      <alignment horizontal="center" vertical="center" wrapText="1"/>
    </xf>
    <xf numFmtId="0" fontId="22" fillId="0" borderId="1" xfId="0" applyFont="1" applyBorder="1" applyAlignment="1">
      <alignment vertical="center" wrapText="1"/>
    </xf>
    <xf numFmtId="43" fontId="21" fillId="0" borderId="19" xfId="1" applyFont="1" applyFill="1" applyBorder="1" applyAlignment="1">
      <alignment horizontal="center" vertical="center" wrapText="1"/>
    </xf>
    <xf numFmtId="164" fontId="21" fillId="0" borderId="19" xfId="1" applyNumberFormat="1" applyFont="1" applyFill="1" applyBorder="1" applyAlignment="1">
      <alignment horizontal="center" vertical="center" wrapText="1"/>
    </xf>
    <xf numFmtId="164" fontId="21" fillId="0" borderId="19" xfId="1" applyNumberFormat="1" applyFont="1" applyFill="1" applyBorder="1" applyAlignment="1">
      <alignment vertical="center" wrapText="1"/>
    </xf>
    <xf numFmtId="4" fontId="21" fillId="0" borderId="19" xfId="1" applyNumberFormat="1" applyFont="1" applyFill="1" applyBorder="1" applyAlignment="1">
      <alignment vertical="center" wrapText="1"/>
    </xf>
    <xf numFmtId="4" fontId="21" fillId="0" borderId="20" xfId="1" applyNumberFormat="1" applyFont="1" applyFill="1" applyBorder="1" applyAlignment="1">
      <alignment vertical="center" wrapText="1"/>
    </xf>
    <xf numFmtId="0" fontId="21" fillId="0" borderId="1" xfId="0" applyFont="1" applyBorder="1" applyAlignment="1">
      <alignment vertical="center" wrapText="1" shrinkToFit="1"/>
    </xf>
    <xf numFmtId="0" fontId="22" fillId="0" borderId="1" xfId="0" applyFont="1" applyBorder="1" applyAlignment="1">
      <alignment horizontal="center" vertical="center" wrapText="1"/>
    </xf>
    <xf numFmtId="164" fontId="22" fillId="0" borderId="1" xfId="0" applyNumberFormat="1" applyFont="1" applyBorder="1" applyAlignment="1">
      <alignment horizontal="center" vertical="center" wrapText="1"/>
    </xf>
    <xf numFmtId="164" fontId="22" fillId="0" borderId="14" xfId="0" applyNumberFormat="1" applyFont="1" applyBorder="1" applyAlignment="1">
      <alignment horizontal="center" vertical="center" wrapText="1"/>
    </xf>
    <xf numFmtId="0" fontId="21" fillId="0" borderId="24" xfId="0" applyFont="1" applyBorder="1" applyAlignment="1">
      <alignment horizontal="center" vertical="center"/>
    </xf>
    <xf numFmtId="0" fontId="21" fillId="0" borderId="25" xfId="0" applyFont="1" applyBorder="1" applyAlignment="1">
      <alignment horizontal="center" vertical="center" wrapText="1"/>
    </xf>
    <xf numFmtId="0" fontId="21" fillId="0" borderId="25" xfId="0" applyFont="1" applyBorder="1" applyAlignment="1">
      <alignment horizontal="center" vertical="center" wrapText="1" shrinkToFit="1"/>
    </xf>
    <xf numFmtId="164" fontId="21" fillId="0" borderId="25" xfId="0" applyNumberFormat="1" applyFont="1" applyBorder="1" applyAlignment="1">
      <alignment horizontal="center" vertical="center" wrapText="1"/>
    </xf>
    <xf numFmtId="4" fontId="21" fillId="0" borderId="25" xfId="1" applyNumberFormat="1" applyFont="1" applyFill="1" applyBorder="1" applyAlignment="1">
      <alignment horizontal="center" vertical="center" wrapText="1"/>
    </xf>
    <xf numFmtId="4" fontId="21" fillId="0" borderId="26" xfId="1" applyNumberFormat="1" applyFont="1" applyFill="1" applyBorder="1" applyAlignment="1">
      <alignment horizontal="center" vertical="center" wrapText="1"/>
    </xf>
    <xf numFmtId="4" fontId="21" fillId="0" borderId="27" xfId="1" applyNumberFormat="1" applyFont="1" applyFill="1" applyBorder="1" applyAlignment="1">
      <alignment horizontal="center" vertical="center" wrapText="1"/>
    </xf>
    <xf numFmtId="164" fontId="21" fillId="0" borderId="24" xfId="0" applyNumberFormat="1" applyFont="1" applyBorder="1" applyAlignment="1">
      <alignment horizontal="center" vertical="center" wrapText="1"/>
    </xf>
    <xf numFmtId="164" fontId="21" fillId="0" borderId="27" xfId="0" applyNumberFormat="1" applyFont="1" applyBorder="1" applyAlignment="1">
      <alignment horizontal="center" vertical="center" wrapText="1"/>
    </xf>
    <xf numFmtId="4" fontId="21" fillId="0" borderId="3" xfId="1" applyNumberFormat="1" applyFont="1" applyFill="1" applyBorder="1" applyAlignment="1">
      <alignment horizontal="right" vertical="center" wrapText="1"/>
    </xf>
    <xf numFmtId="4" fontId="21" fillId="0" borderId="3" xfId="1" applyNumberFormat="1" applyFont="1" applyFill="1" applyBorder="1" applyAlignment="1">
      <alignment vertical="center" wrapText="1"/>
    </xf>
    <xf numFmtId="0" fontId="22" fillId="0" borderId="13" xfId="0" applyFont="1" applyBorder="1" applyAlignment="1">
      <alignment vertical="center" wrapText="1"/>
    </xf>
    <xf numFmtId="0" fontId="22" fillId="0" borderId="28" xfId="0" applyFont="1" applyBorder="1" applyAlignment="1">
      <alignment vertical="center" wrapText="1"/>
    </xf>
    <xf numFmtId="0" fontId="22" fillId="0" borderId="6" xfId="0" applyFont="1" applyBorder="1" applyAlignment="1">
      <alignment vertical="center" wrapText="1"/>
    </xf>
    <xf numFmtId="4" fontId="22" fillId="0" borderId="6" xfId="0" applyNumberFormat="1" applyFont="1" applyBorder="1" applyAlignment="1">
      <alignment vertical="center" wrapText="1"/>
    </xf>
    <xf numFmtId="0" fontId="22" fillId="0" borderId="29" xfId="0" applyFont="1" applyBorder="1" applyAlignment="1">
      <alignment vertical="center" wrapText="1"/>
    </xf>
    <xf numFmtId="4" fontId="21" fillId="0" borderId="29" xfId="1" applyNumberFormat="1" applyFont="1" applyFill="1" applyBorder="1" applyAlignment="1">
      <alignment horizontal="right" vertical="center" wrapText="1"/>
    </xf>
    <xf numFmtId="4" fontId="21" fillId="4" borderId="29" xfId="1" applyNumberFormat="1" applyFont="1" applyFill="1" applyBorder="1" applyAlignment="1">
      <alignment horizontal="right" vertical="center" wrapText="1"/>
    </xf>
    <xf numFmtId="0" fontId="16" fillId="0" borderId="6" xfId="0" applyFont="1" applyBorder="1" applyAlignment="1">
      <alignment wrapText="1"/>
    </xf>
    <xf numFmtId="0" fontId="31" fillId="0" borderId="6" xfId="0" applyFont="1" applyBorder="1" applyAlignment="1">
      <alignment vertical="center" wrapText="1"/>
    </xf>
    <xf numFmtId="0" fontId="16" fillId="0" borderId="6" xfId="0" applyFont="1" applyBorder="1"/>
    <xf numFmtId="4" fontId="21" fillId="0" borderId="29" xfId="1" applyNumberFormat="1" applyFont="1" applyFill="1" applyBorder="1" applyAlignment="1">
      <alignment vertical="center" wrapText="1"/>
    </xf>
    <xf numFmtId="0" fontId="22" fillId="0" borderId="30" xfId="0" applyFont="1" applyBorder="1" applyAlignment="1">
      <alignment vertical="center" wrapText="1"/>
    </xf>
    <xf numFmtId="0" fontId="22" fillId="0" borderId="31" xfId="0" applyFont="1" applyBorder="1" applyAlignment="1">
      <alignment vertical="center" wrapText="1"/>
    </xf>
    <xf numFmtId="0" fontId="22" fillId="0" borderId="32" xfId="0" applyFont="1" applyBorder="1" applyAlignment="1">
      <alignment vertical="center" wrapText="1"/>
    </xf>
    <xf numFmtId="164" fontId="21" fillId="0" borderId="3" xfId="0" applyNumberFormat="1" applyFont="1" applyBorder="1" applyAlignment="1">
      <alignment vertical="center" wrapText="1"/>
    </xf>
    <xf numFmtId="4" fontId="24" fillId="0" borderId="3" xfId="0" applyNumberFormat="1" applyFont="1" applyBorder="1" applyAlignment="1">
      <alignment horizontal="center" vertical="center" wrapText="1"/>
    </xf>
    <xf numFmtId="4" fontId="26" fillId="2" borderId="3" xfId="0" applyNumberFormat="1" applyFont="1" applyFill="1" applyBorder="1" applyAlignment="1">
      <alignment horizontal="center" vertical="center" wrapText="1"/>
    </xf>
    <xf numFmtId="164" fontId="31" fillId="0" borderId="3" xfId="0" applyNumberFormat="1" applyFont="1" applyBorder="1" applyAlignment="1">
      <alignment horizontal="center" vertical="center" wrapText="1"/>
    </xf>
    <xf numFmtId="164" fontId="21" fillId="0" borderId="3" xfId="0" applyNumberFormat="1" applyFont="1" applyBorder="1" applyAlignment="1">
      <alignment horizontal="center" vertical="center" wrapText="1" shrinkToFit="1"/>
    </xf>
    <xf numFmtId="164" fontId="22" fillId="0" borderId="3" xfId="0" applyNumberFormat="1" applyFont="1" applyBorder="1" applyAlignment="1">
      <alignment horizontal="center" vertical="center" wrapText="1" shrinkToFit="1"/>
    </xf>
    <xf numFmtId="164" fontId="21" fillId="0" borderId="3" xfId="6" applyNumberFormat="1" applyFont="1" applyBorder="1" applyAlignment="1">
      <alignment horizontal="center" vertical="center" wrapText="1"/>
    </xf>
    <xf numFmtId="164" fontId="22" fillId="2" borderId="3" xfId="0" applyNumberFormat="1" applyFont="1" applyFill="1" applyBorder="1" applyAlignment="1">
      <alignment horizontal="center" vertical="center" wrapText="1"/>
    </xf>
    <xf numFmtId="164" fontId="22" fillId="0" borderId="3" xfId="0" applyNumberFormat="1" applyFont="1" applyBorder="1" applyAlignment="1">
      <alignment vertical="center" wrapText="1"/>
    </xf>
    <xf numFmtId="164" fontId="22" fillId="0" borderId="3" xfId="7" applyFont="1" applyFill="1" applyBorder="1" applyAlignment="1">
      <alignment horizontal="center" vertical="center" wrapText="1"/>
    </xf>
    <xf numFmtId="164" fontId="21" fillId="0" borderId="3" xfId="0" applyNumberFormat="1" applyFont="1" applyBorder="1" applyAlignment="1">
      <alignment horizontal="left" vertical="center" wrapText="1"/>
    </xf>
    <xf numFmtId="0" fontId="22" fillId="0" borderId="3" xfId="0" applyFont="1" applyBorder="1" applyAlignment="1">
      <alignment vertical="center" wrapText="1"/>
    </xf>
    <xf numFmtId="164" fontId="21" fillId="0" borderId="3" xfId="0" applyNumberFormat="1" applyFont="1" applyBorder="1" applyAlignment="1">
      <alignment horizontal="left" vertical="center" wrapText="1" shrinkToFit="1"/>
    </xf>
    <xf numFmtId="164" fontId="22" fillId="0" borderId="13" xfId="0" applyNumberFormat="1" applyFont="1" applyBorder="1" applyAlignment="1">
      <alignment horizontal="center" vertical="center"/>
    </xf>
    <xf numFmtId="4" fontId="22" fillId="0" borderId="28" xfId="1" applyNumberFormat="1" applyFont="1" applyFill="1" applyBorder="1" applyAlignment="1">
      <alignment horizontal="center" vertical="center" wrapText="1"/>
    </xf>
    <xf numFmtId="164" fontId="22" fillId="0" borderId="6" xfId="0" applyNumberFormat="1" applyFont="1" applyBorder="1" applyAlignment="1">
      <alignment horizontal="center" vertical="center"/>
    </xf>
    <xf numFmtId="4" fontId="22" fillId="0" borderId="29" xfId="1" applyNumberFormat="1" applyFont="1" applyFill="1" applyBorder="1" applyAlignment="1">
      <alignment horizontal="right" vertical="center" wrapText="1"/>
    </xf>
    <xf numFmtId="164" fontId="21" fillId="0" borderId="6" xfId="0" applyNumberFormat="1" applyFont="1" applyBorder="1" applyAlignment="1">
      <alignment vertical="center"/>
    </xf>
    <xf numFmtId="0" fontId="23" fillId="0" borderId="33" xfId="0" applyFont="1" applyBorder="1" applyAlignment="1">
      <alignment horizontal="center" vertical="center" wrapText="1"/>
    </xf>
    <xf numFmtId="164" fontId="23" fillId="0" borderId="29" xfId="15" applyFont="1" applyFill="1" applyBorder="1" applyAlignment="1">
      <alignment horizontal="right" vertical="center" wrapText="1"/>
    </xf>
    <xf numFmtId="0" fontId="27" fillId="2" borderId="33" xfId="0" applyFont="1" applyFill="1" applyBorder="1" applyAlignment="1">
      <alignment horizontal="center" vertical="center" wrapText="1"/>
    </xf>
    <xf numFmtId="164" fontId="27" fillId="2" borderId="29" xfId="15" applyFont="1" applyFill="1" applyBorder="1" applyAlignment="1">
      <alignment horizontal="right" vertical="center" wrapText="1"/>
    </xf>
    <xf numFmtId="164" fontId="31" fillId="0" borderId="6" xfId="0" applyNumberFormat="1" applyFont="1" applyBorder="1" applyAlignment="1">
      <alignment horizontal="center" vertical="center"/>
    </xf>
    <xf numFmtId="4" fontId="31" fillId="0" borderId="29" xfId="1" applyNumberFormat="1" applyFont="1" applyFill="1" applyBorder="1" applyAlignment="1">
      <alignment horizontal="right" vertical="center" wrapText="1"/>
    </xf>
    <xf numFmtId="164" fontId="21" fillId="0" borderId="6" xfId="0" applyNumberFormat="1" applyFont="1" applyBorder="1" applyAlignment="1">
      <alignment horizontal="center" vertical="center" wrapText="1" shrinkToFit="1"/>
    </xf>
    <xf numFmtId="4" fontId="21" fillId="0" borderId="29" xfId="1" applyNumberFormat="1" applyFont="1" applyFill="1" applyBorder="1" applyAlignment="1">
      <alignment horizontal="right" vertical="center" wrapText="1" shrinkToFit="1"/>
    </xf>
    <xf numFmtId="164" fontId="21" fillId="0" borderId="6" xfId="0" applyNumberFormat="1" applyFont="1" applyBorder="1" applyAlignment="1">
      <alignment horizontal="center" vertical="center"/>
    </xf>
    <xf numFmtId="164" fontId="22" fillId="0" borderId="6" xfId="0" applyNumberFormat="1" applyFont="1" applyBorder="1" applyAlignment="1">
      <alignment horizontal="center" vertical="center" wrapText="1"/>
    </xf>
    <xf numFmtId="4" fontId="22" fillId="0" borderId="28" xfId="1" applyNumberFormat="1" applyFont="1" applyFill="1" applyBorder="1" applyAlignment="1">
      <alignment horizontal="right" vertical="center" wrapText="1"/>
    </xf>
    <xf numFmtId="164" fontId="22" fillId="0" borderId="33" xfId="0" applyNumberFormat="1" applyFont="1" applyBorder="1" applyAlignment="1">
      <alignment horizontal="center" vertical="center"/>
    </xf>
    <xf numFmtId="164" fontId="22" fillId="0" borderId="33" xfId="0" applyNumberFormat="1" applyFont="1" applyBorder="1" applyAlignment="1">
      <alignment horizontal="left" vertical="center" wrapText="1"/>
    </xf>
    <xf numFmtId="164" fontId="22" fillId="0" borderId="33" xfId="0" applyNumberFormat="1" applyFont="1" applyBorder="1" applyAlignment="1">
      <alignment horizontal="center" vertical="center" wrapText="1"/>
    </xf>
    <xf numFmtId="164" fontId="22" fillId="0" borderId="29" xfId="1" applyNumberFormat="1" applyFont="1" applyFill="1" applyBorder="1" applyAlignment="1">
      <alignment horizontal="right" vertical="center" wrapText="1"/>
    </xf>
    <xf numFmtId="164" fontId="22" fillId="2" borderId="6" xfId="0" applyNumberFormat="1" applyFont="1" applyFill="1" applyBorder="1" applyAlignment="1">
      <alignment horizontal="center" vertical="center"/>
    </xf>
    <xf numFmtId="164" fontId="16" fillId="0" borderId="6" xfId="6" applyNumberFormat="1" applyFont="1" applyBorder="1" applyAlignment="1">
      <alignment wrapText="1"/>
    </xf>
    <xf numFmtId="164" fontId="16" fillId="0" borderId="29" xfId="15" applyFont="1" applyFill="1" applyBorder="1" applyAlignment="1" applyProtection="1">
      <alignment horizontal="right" wrapText="1"/>
      <protection locked="0"/>
    </xf>
    <xf numFmtId="164" fontId="21" fillId="0" borderId="6" xfId="0" applyNumberFormat="1" applyFont="1" applyBorder="1" applyAlignment="1">
      <alignment horizontal="left" vertical="center"/>
    </xf>
    <xf numFmtId="2" fontId="22" fillId="0" borderId="6" xfId="0" applyNumberFormat="1" applyFont="1" applyBorder="1" applyAlignment="1">
      <alignment vertical="center" wrapText="1"/>
    </xf>
    <xf numFmtId="164" fontId="21" fillId="0" borderId="6" xfId="0" applyNumberFormat="1" applyFont="1" applyBorder="1" applyAlignment="1">
      <alignment horizontal="left" vertical="center" wrapText="1" shrinkToFit="1"/>
    </xf>
    <xf numFmtId="164" fontId="22" fillId="0" borderId="6" xfId="5" applyNumberFormat="1" applyFont="1" applyBorder="1" applyAlignment="1">
      <alignment horizontal="center" vertical="center" wrapText="1"/>
    </xf>
    <xf numFmtId="4" fontId="32" fillId="4" borderId="29" xfId="1" applyNumberFormat="1" applyFont="1" applyFill="1" applyBorder="1" applyAlignment="1">
      <alignment vertical="center" wrapText="1"/>
    </xf>
    <xf numFmtId="4" fontId="21" fillId="0" borderId="6" xfId="1" applyNumberFormat="1" applyFont="1" applyFill="1" applyBorder="1" applyAlignment="1">
      <alignment vertical="center" wrapText="1"/>
    </xf>
    <xf numFmtId="4" fontId="21" fillId="0" borderId="29" xfId="0" applyNumberFormat="1" applyFont="1" applyBorder="1" applyAlignment="1">
      <alignment horizontal="right" vertical="center"/>
    </xf>
    <xf numFmtId="164" fontId="22" fillId="0" borderId="6" xfId="0" applyNumberFormat="1" applyFont="1" applyBorder="1" applyAlignment="1">
      <alignment vertical="center"/>
    </xf>
    <xf numFmtId="164" fontId="22" fillId="0" borderId="30" xfId="0" applyNumberFormat="1" applyFont="1" applyBorder="1" applyAlignment="1">
      <alignment vertical="center" wrapText="1"/>
    </xf>
    <xf numFmtId="4" fontId="21" fillId="0" borderId="32" xfId="0" applyNumberFormat="1" applyFont="1" applyBorder="1" applyAlignment="1">
      <alignment horizontal="right" vertical="center" wrapText="1"/>
    </xf>
    <xf numFmtId="0" fontId="22" fillId="4" borderId="3" xfId="0" applyFont="1" applyFill="1" applyBorder="1" applyAlignment="1">
      <alignment vertical="center" wrapText="1"/>
    </xf>
    <xf numFmtId="4" fontId="21" fillId="4" borderId="2" xfId="0" applyNumberFormat="1" applyFont="1" applyFill="1" applyBorder="1" applyAlignment="1">
      <alignment vertical="center" wrapText="1"/>
    </xf>
    <xf numFmtId="0" fontId="21" fillId="4" borderId="3" xfId="0" applyFont="1" applyFill="1" applyBorder="1" applyAlignment="1">
      <alignment vertical="center" wrapText="1"/>
    </xf>
    <xf numFmtId="0" fontId="22" fillId="0" borderId="14" xfId="0" applyFont="1" applyBorder="1" applyAlignment="1">
      <alignment vertical="center" wrapText="1"/>
    </xf>
    <xf numFmtId="2" fontId="22" fillId="0" borderId="3" xfId="0" applyNumberFormat="1" applyFont="1" applyBorder="1" applyAlignment="1">
      <alignment vertical="center" wrapText="1"/>
    </xf>
    <xf numFmtId="2" fontId="21" fillId="4" borderId="3" xfId="0" applyNumberFormat="1" applyFont="1" applyFill="1" applyBorder="1" applyAlignment="1">
      <alignment vertical="center" wrapText="1"/>
    </xf>
    <xf numFmtId="4" fontId="21" fillId="4" borderId="3" xfId="1" applyNumberFormat="1" applyFont="1" applyFill="1" applyBorder="1" applyAlignment="1">
      <alignment horizontal="right" vertical="center" wrapText="1"/>
    </xf>
    <xf numFmtId="0" fontId="16" fillId="0" borderId="3" xfId="0" applyFont="1" applyBorder="1"/>
    <xf numFmtId="4" fontId="22" fillId="4" borderId="2" xfId="0" applyNumberFormat="1" applyFont="1" applyFill="1" applyBorder="1" applyAlignment="1">
      <alignment vertical="center" wrapText="1"/>
    </xf>
    <xf numFmtId="4" fontId="21" fillId="0" borderId="2" xfId="0" applyNumberFormat="1" applyFont="1" applyBorder="1" applyAlignment="1">
      <alignment vertical="center" wrapText="1"/>
    </xf>
    <xf numFmtId="43" fontId="22" fillId="0" borderId="6" xfId="0" applyNumberFormat="1" applyFont="1" applyBorder="1" applyAlignment="1">
      <alignment vertical="center" wrapText="1"/>
    </xf>
    <xf numFmtId="4" fontId="22" fillId="0" borderId="29" xfId="0" applyNumberFormat="1" applyFont="1" applyBorder="1" applyAlignment="1">
      <alignment vertical="center" wrapText="1"/>
    </xf>
    <xf numFmtId="43" fontId="21" fillId="4" borderId="6" xfId="0" applyNumberFormat="1" applyFont="1" applyFill="1" applyBorder="1" applyAlignment="1">
      <alignment vertical="center" wrapText="1"/>
    </xf>
    <xf numFmtId="4" fontId="21" fillId="4" borderId="29" xfId="0" applyNumberFormat="1" applyFont="1" applyFill="1" applyBorder="1" applyAlignment="1">
      <alignment vertical="center" wrapText="1"/>
    </xf>
    <xf numFmtId="43" fontId="22" fillId="4" borderId="6" xfId="0" applyNumberFormat="1" applyFont="1" applyFill="1" applyBorder="1" applyAlignment="1">
      <alignment vertical="center" wrapText="1"/>
    </xf>
    <xf numFmtId="4" fontId="22" fillId="4" borderId="29" xfId="0" applyNumberFormat="1" applyFont="1" applyFill="1" applyBorder="1" applyAlignment="1">
      <alignment vertical="center" wrapText="1"/>
    </xf>
    <xf numFmtId="43" fontId="21" fillId="0" borderId="6" xfId="0" applyNumberFormat="1" applyFont="1" applyBorder="1" applyAlignment="1">
      <alignment vertical="center" wrapText="1"/>
    </xf>
    <xf numFmtId="4" fontId="21" fillId="0" borderId="29" xfId="0" applyNumberFormat="1" applyFont="1" applyBorder="1" applyAlignment="1">
      <alignment vertical="center" wrapText="1"/>
    </xf>
    <xf numFmtId="4" fontId="21" fillId="4" borderId="6" xfId="1" applyNumberFormat="1" applyFont="1" applyFill="1" applyBorder="1" applyAlignment="1">
      <alignment horizontal="right" vertical="center" wrapText="1"/>
    </xf>
    <xf numFmtId="4" fontId="22" fillId="0" borderId="6" xfId="1" applyNumberFormat="1" applyFont="1" applyFill="1" applyBorder="1" applyAlignment="1">
      <alignment horizontal="right" vertical="center" wrapText="1"/>
    </xf>
    <xf numFmtId="164" fontId="21" fillId="0" borderId="16" xfId="0" applyNumberFormat="1" applyFont="1" applyBorder="1" applyAlignment="1">
      <alignment horizontal="center" vertical="center" wrapText="1"/>
    </xf>
    <xf numFmtId="4" fontId="21" fillId="0" borderId="17" xfId="1" applyNumberFormat="1" applyFont="1" applyFill="1" applyBorder="1" applyAlignment="1">
      <alignment horizontal="center" vertical="center" wrapText="1"/>
    </xf>
    <xf numFmtId="4" fontId="21" fillId="0" borderId="15" xfId="1" applyNumberFormat="1" applyFont="1" applyFill="1" applyBorder="1" applyAlignment="1">
      <alignment horizontal="center" vertical="center" wrapText="1"/>
    </xf>
    <xf numFmtId="4" fontId="21" fillId="0" borderId="31" xfId="1" applyNumberFormat="1" applyFont="1" applyFill="1" applyBorder="1" applyAlignment="1">
      <alignment vertical="center" wrapText="1"/>
    </xf>
    <xf numFmtId="0" fontId="21" fillId="9" borderId="2" xfId="0" applyFont="1" applyFill="1" applyBorder="1" applyAlignment="1">
      <alignment horizontal="center" vertical="center" wrapText="1"/>
    </xf>
    <xf numFmtId="0" fontId="21" fillId="9" borderId="2" xfId="0" applyFont="1" applyFill="1" applyBorder="1" applyAlignment="1">
      <alignment vertical="center"/>
    </xf>
    <xf numFmtId="0" fontId="21" fillId="9" borderId="2" xfId="0" applyFont="1" applyFill="1" applyBorder="1" applyAlignment="1">
      <alignment vertical="center" wrapText="1"/>
    </xf>
    <xf numFmtId="164" fontId="21" fillId="9" borderId="2" xfId="0" applyNumberFormat="1" applyFont="1" applyFill="1" applyBorder="1" applyAlignment="1">
      <alignment vertical="center" wrapText="1"/>
    </xf>
    <xf numFmtId="164" fontId="21" fillId="9" borderId="3" xfId="0" applyNumberFormat="1" applyFont="1" applyFill="1" applyBorder="1" applyAlignment="1">
      <alignment vertical="center" wrapText="1"/>
    </xf>
    <xf numFmtId="164" fontId="21" fillId="9" borderId="6" xfId="0" applyNumberFormat="1" applyFont="1" applyFill="1" applyBorder="1" applyAlignment="1">
      <alignment vertical="center"/>
    </xf>
    <xf numFmtId="4" fontId="21" fillId="9" borderId="2" xfId="1" applyNumberFormat="1" applyFont="1" applyFill="1" applyBorder="1" applyAlignment="1">
      <alignment vertical="center" wrapText="1"/>
    </xf>
    <xf numFmtId="4" fontId="21" fillId="9" borderId="29" xfId="1" applyNumberFormat="1" applyFont="1" applyFill="1" applyBorder="1" applyAlignment="1">
      <alignment vertical="center" wrapText="1"/>
    </xf>
    <xf numFmtId="0" fontId="22" fillId="9" borderId="6" xfId="0" applyFont="1" applyFill="1" applyBorder="1" applyAlignment="1">
      <alignment vertical="center" wrapText="1"/>
    </xf>
    <xf numFmtId="0" fontId="22" fillId="9" borderId="2" xfId="0" applyFont="1" applyFill="1" applyBorder="1" applyAlignment="1">
      <alignment vertical="center" wrapText="1"/>
    </xf>
    <xf numFmtId="4" fontId="21" fillId="9" borderId="3" xfId="1" applyNumberFormat="1" applyFont="1" applyFill="1" applyBorder="1" applyAlignment="1">
      <alignment vertical="center" wrapText="1"/>
    </xf>
    <xf numFmtId="0" fontId="22" fillId="9" borderId="29" xfId="0" applyFont="1" applyFill="1" applyBorder="1" applyAlignment="1">
      <alignment vertical="center" wrapText="1"/>
    </xf>
    <xf numFmtId="0" fontId="21" fillId="0" borderId="0" xfId="0" applyFont="1" applyAlignment="1">
      <alignment vertical="center" wrapText="1"/>
    </xf>
    <xf numFmtId="0" fontId="22" fillId="0" borderId="0" xfId="0" applyFont="1" applyFill="1" applyAlignment="1">
      <alignment vertical="center" wrapText="1"/>
    </xf>
    <xf numFmtId="0" fontId="22" fillId="0" borderId="2" xfId="0" applyFont="1" applyFill="1" applyBorder="1" applyAlignment="1">
      <alignment horizontal="center" vertical="center" wrapText="1"/>
    </xf>
    <xf numFmtId="164" fontId="22" fillId="0" borderId="2" xfId="0" applyNumberFormat="1" applyFont="1" applyFill="1" applyBorder="1" applyAlignment="1">
      <alignment horizontal="center" vertical="center" wrapText="1"/>
    </xf>
    <xf numFmtId="164" fontId="22" fillId="0" borderId="3" xfId="0" applyNumberFormat="1" applyFont="1" applyFill="1" applyBorder="1" applyAlignment="1">
      <alignment horizontal="center" vertical="center" wrapText="1"/>
    </xf>
    <xf numFmtId="164" fontId="22" fillId="0" borderId="6" xfId="0" applyNumberFormat="1" applyFont="1" applyFill="1" applyBorder="1" applyAlignment="1">
      <alignment horizontal="center" vertical="center"/>
    </xf>
    <xf numFmtId="4" fontId="22" fillId="0" borderId="2" xfId="0" applyNumberFormat="1" applyFont="1" applyFill="1" applyBorder="1" applyAlignment="1">
      <alignment horizontal="center" vertical="center"/>
    </xf>
    <xf numFmtId="0" fontId="22" fillId="0" borderId="6" xfId="0" applyFont="1" applyFill="1" applyBorder="1" applyAlignment="1">
      <alignment vertical="center" wrapText="1"/>
    </xf>
    <xf numFmtId="0" fontId="22" fillId="0" borderId="2" xfId="0" applyFont="1" applyFill="1" applyBorder="1" applyAlignment="1">
      <alignment vertical="center" wrapText="1"/>
    </xf>
    <xf numFmtId="2" fontId="22" fillId="0" borderId="3" xfId="0" applyNumberFormat="1" applyFont="1" applyFill="1" applyBorder="1" applyAlignment="1">
      <alignment vertical="center" wrapText="1"/>
    </xf>
    <xf numFmtId="0" fontId="22" fillId="0" borderId="29" xfId="0" applyFont="1" applyFill="1" applyBorder="1" applyAlignment="1">
      <alignment vertical="center" wrapText="1"/>
    </xf>
    <xf numFmtId="43" fontId="22" fillId="0" borderId="6" xfId="0" applyNumberFormat="1" applyFont="1" applyFill="1" applyBorder="1" applyAlignment="1">
      <alignment vertical="center" wrapText="1"/>
    </xf>
    <xf numFmtId="4" fontId="22" fillId="0" borderId="2" xfId="0" applyNumberFormat="1" applyFont="1" applyFill="1" applyBorder="1" applyAlignment="1">
      <alignment vertical="center" wrapText="1"/>
    </xf>
    <xf numFmtId="4" fontId="22" fillId="0" borderId="29" xfId="0" applyNumberFormat="1" applyFont="1" applyFill="1" applyBorder="1" applyAlignment="1">
      <alignment vertical="center" wrapText="1"/>
    </xf>
    <xf numFmtId="0" fontId="22" fillId="0" borderId="3" xfId="0" applyFont="1" applyFill="1" applyBorder="1" applyAlignment="1">
      <alignment vertical="center" wrapText="1"/>
    </xf>
    <xf numFmtId="0" fontId="21" fillId="0" borderId="2" xfId="0" applyFont="1" applyFill="1" applyBorder="1" applyAlignment="1">
      <alignment vertical="center" wrapText="1"/>
    </xf>
    <xf numFmtId="164" fontId="21" fillId="0" borderId="2" xfId="0" applyNumberFormat="1" applyFont="1" applyFill="1" applyBorder="1" applyAlignment="1">
      <alignment vertical="center" wrapText="1"/>
    </xf>
    <xf numFmtId="164" fontId="21" fillId="0" borderId="3" xfId="0" applyNumberFormat="1" applyFont="1" applyFill="1" applyBorder="1" applyAlignment="1">
      <alignment vertical="center" wrapText="1"/>
    </xf>
    <xf numFmtId="43" fontId="21" fillId="0" borderId="6" xfId="0" applyNumberFormat="1" applyFont="1" applyFill="1" applyBorder="1" applyAlignment="1">
      <alignment vertical="center" wrapText="1"/>
    </xf>
    <xf numFmtId="4" fontId="21" fillId="0" borderId="2" xfId="0" applyNumberFormat="1" applyFont="1" applyFill="1" applyBorder="1" applyAlignment="1">
      <alignment vertical="center" wrapText="1"/>
    </xf>
    <xf numFmtId="4" fontId="21" fillId="0" borderId="29" xfId="0" applyNumberFormat="1" applyFont="1" applyFill="1" applyBorder="1" applyAlignment="1">
      <alignment vertical="center" wrapText="1"/>
    </xf>
    <xf numFmtId="164" fontId="21" fillId="0" borderId="6" xfId="0" applyNumberFormat="1" applyFont="1" applyFill="1" applyBorder="1" applyAlignment="1">
      <alignment vertical="center"/>
    </xf>
    <xf numFmtId="4" fontId="21" fillId="0" borderId="2" xfId="0" applyNumberFormat="1" applyFont="1" applyFill="1" applyBorder="1" applyAlignment="1">
      <alignment vertical="center"/>
    </xf>
    <xf numFmtId="0" fontId="31" fillId="0" borderId="2" xfId="0" applyFont="1" applyFill="1" applyBorder="1" applyAlignment="1">
      <alignment horizontal="center" vertical="center" wrapText="1"/>
    </xf>
    <xf numFmtId="164" fontId="31" fillId="0" borderId="2" xfId="0" applyNumberFormat="1" applyFont="1" applyFill="1" applyBorder="1" applyAlignment="1">
      <alignment horizontal="center" vertical="center" wrapText="1"/>
    </xf>
    <xf numFmtId="164" fontId="31" fillId="0" borderId="3" xfId="0" applyNumberFormat="1" applyFont="1" applyFill="1" applyBorder="1" applyAlignment="1">
      <alignment horizontal="center" vertical="center" wrapText="1"/>
    </xf>
    <xf numFmtId="164" fontId="31" fillId="0" borderId="6" xfId="0" applyNumberFormat="1" applyFont="1" applyFill="1" applyBorder="1" applyAlignment="1">
      <alignment horizontal="center" vertical="center"/>
    </xf>
    <xf numFmtId="4" fontId="31" fillId="0" borderId="2" xfId="0" applyNumberFormat="1" applyFont="1" applyFill="1" applyBorder="1" applyAlignment="1">
      <alignment horizontal="center" vertical="center"/>
    </xf>
    <xf numFmtId="0" fontId="31" fillId="0" borderId="6" xfId="0" applyFont="1" applyFill="1" applyBorder="1" applyAlignment="1">
      <alignment vertical="center" wrapText="1"/>
    </xf>
    <xf numFmtId="0" fontId="31" fillId="0" borderId="2" xfId="0" applyFont="1" applyFill="1" applyBorder="1" applyAlignment="1">
      <alignment vertical="center" wrapText="1"/>
    </xf>
    <xf numFmtId="0" fontId="31" fillId="0" borderId="0" xfId="0" applyFont="1" applyFill="1" applyAlignment="1">
      <alignment vertical="center" wrapText="1"/>
    </xf>
    <xf numFmtId="0" fontId="33" fillId="0" borderId="2" xfId="0" applyFont="1" applyFill="1" applyBorder="1" applyAlignment="1">
      <alignment horizontal="center" vertical="center" wrapText="1"/>
    </xf>
    <xf numFmtId="164" fontId="33" fillId="0" borderId="2" xfId="0" applyNumberFormat="1" applyFont="1" applyFill="1" applyBorder="1" applyAlignment="1">
      <alignment horizontal="center" vertical="center" wrapText="1"/>
    </xf>
    <xf numFmtId="0" fontId="21" fillId="0" borderId="2" xfId="0" applyFont="1" applyFill="1" applyBorder="1" applyAlignment="1">
      <alignment horizontal="center" vertical="center" wrapText="1" shrinkToFit="1"/>
    </xf>
    <xf numFmtId="164" fontId="21" fillId="0" borderId="2" xfId="0" applyNumberFormat="1" applyFont="1" applyFill="1" applyBorder="1" applyAlignment="1">
      <alignment horizontal="center" vertical="center" wrapText="1" shrinkToFit="1"/>
    </xf>
    <xf numFmtId="164" fontId="21" fillId="0" borderId="3" xfId="0" applyNumberFormat="1" applyFont="1" applyFill="1" applyBorder="1" applyAlignment="1">
      <alignment horizontal="center" vertical="center" wrapText="1" shrinkToFit="1"/>
    </xf>
    <xf numFmtId="164" fontId="21" fillId="0" borderId="6" xfId="0" applyNumberFormat="1" applyFont="1" applyFill="1" applyBorder="1" applyAlignment="1">
      <alignment horizontal="center" vertical="center" wrapText="1" shrinkToFit="1"/>
    </xf>
    <xf numFmtId="4" fontId="21" fillId="0" borderId="2" xfId="0" applyNumberFormat="1" applyFont="1" applyFill="1" applyBorder="1" applyAlignment="1">
      <alignment horizontal="center" vertical="center" wrapText="1" shrinkToFit="1"/>
    </xf>
    <xf numFmtId="0" fontId="21" fillId="0" borderId="2" xfId="0" applyFont="1" applyFill="1" applyBorder="1" applyAlignment="1">
      <alignment horizontal="center" vertical="center" wrapText="1"/>
    </xf>
    <xf numFmtId="164" fontId="21" fillId="0" borderId="2" xfId="0" applyNumberFormat="1" applyFont="1" applyFill="1" applyBorder="1" applyAlignment="1">
      <alignment horizontal="center" vertical="center" wrapText="1"/>
    </xf>
    <xf numFmtId="164" fontId="21" fillId="0" borderId="3" xfId="0" applyNumberFormat="1" applyFont="1" applyFill="1" applyBorder="1" applyAlignment="1">
      <alignment horizontal="center" vertical="center" wrapText="1"/>
    </xf>
    <xf numFmtId="164" fontId="21" fillId="0" borderId="6" xfId="0" applyNumberFormat="1" applyFont="1" applyFill="1" applyBorder="1" applyAlignment="1">
      <alignment horizontal="center" vertical="center"/>
    </xf>
    <xf numFmtId="4" fontId="21" fillId="0" borderId="2" xfId="0" applyNumberFormat="1" applyFont="1" applyFill="1" applyBorder="1" applyAlignment="1">
      <alignment horizontal="center" vertical="center"/>
    </xf>
    <xf numFmtId="164" fontId="21" fillId="0" borderId="2" xfId="0" applyNumberFormat="1" applyFont="1" applyFill="1" applyBorder="1" applyAlignment="1">
      <alignment vertical="center"/>
    </xf>
    <xf numFmtId="0" fontId="22" fillId="0" borderId="2" xfId="5" applyFont="1" applyFill="1" applyBorder="1" applyAlignment="1">
      <alignment horizontal="center" vertical="center" wrapText="1"/>
    </xf>
    <xf numFmtId="164" fontId="22" fillId="0" borderId="2" xfId="5" applyNumberFormat="1" applyFont="1" applyFill="1" applyBorder="1" applyAlignment="1">
      <alignment horizontal="center" vertical="center" wrapText="1"/>
    </xf>
    <xf numFmtId="164" fontId="22" fillId="0" borderId="3" xfId="5" applyNumberFormat="1"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 xfId="6" applyFont="1" applyFill="1" applyBorder="1" applyAlignment="1">
      <alignment horizontal="center" vertical="center" wrapText="1"/>
    </xf>
    <xf numFmtId="164" fontId="22" fillId="0" borderId="2" xfId="6" applyNumberFormat="1" applyFont="1" applyFill="1" applyBorder="1" applyAlignment="1">
      <alignment horizontal="center" vertical="center" wrapText="1"/>
    </xf>
    <xf numFmtId="164" fontId="22" fillId="0" borderId="3" xfId="6" applyNumberFormat="1" applyFont="1" applyFill="1" applyBorder="1" applyAlignment="1">
      <alignment horizontal="center" vertical="center" wrapText="1"/>
    </xf>
    <xf numFmtId="2" fontId="22" fillId="0" borderId="2" xfId="0" applyNumberFormat="1" applyFont="1" applyFill="1" applyBorder="1" applyAlignment="1">
      <alignment vertical="center" wrapText="1"/>
    </xf>
    <xf numFmtId="164" fontId="22" fillId="0" borderId="33" xfId="0" applyNumberFormat="1" applyFont="1" applyFill="1" applyBorder="1" applyAlignment="1">
      <alignment horizontal="left" vertical="center" wrapText="1"/>
    </xf>
    <xf numFmtId="4" fontId="22" fillId="0" borderId="2" xfId="0" applyNumberFormat="1" applyFont="1" applyFill="1" applyBorder="1" applyAlignment="1">
      <alignment horizontal="left" vertical="center" wrapText="1"/>
    </xf>
    <xf numFmtId="164" fontId="22" fillId="0" borderId="33" xfId="0" applyNumberFormat="1" applyFont="1" applyFill="1" applyBorder="1" applyAlignment="1">
      <alignment horizontal="center" vertical="center" wrapText="1"/>
    </xf>
    <xf numFmtId="0" fontId="21" fillId="0" borderId="2" xfId="0" applyFont="1" applyFill="1" applyBorder="1" applyAlignment="1">
      <alignment horizontal="left" vertical="center" wrapText="1"/>
    </xf>
    <xf numFmtId="164" fontId="21" fillId="0" borderId="2" xfId="0" applyNumberFormat="1" applyFont="1" applyFill="1" applyBorder="1" applyAlignment="1">
      <alignment horizontal="left" vertical="center" wrapText="1"/>
    </xf>
    <xf numFmtId="164" fontId="21" fillId="0" borderId="3" xfId="0" applyNumberFormat="1" applyFont="1" applyFill="1" applyBorder="1" applyAlignment="1">
      <alignment horizontal="left" vertical="center" wrapText="1"/>
    </xf>
    <xf numFmtId="164" fontId="21" fillId="0" borderId="6" xfId="0" applyNumberFormat="1" applyFont="1" applyFill="1" applyBorder="1" applyAlignment="1">
      <alignment horizontal="left" vertical="center"/>
    </xf>
    <xf numFmtId="4" fontId="21" fillId="0" borderId="2" xfId="0" applyNumberFormat="1" applyFont="1" applyFill="1" applyBorder="1" applyAlignment="1">
      <alignment horizontal="left" vertical="center"/>
    </xf>
    <xf numFmtId="167" fontId="22" fillId="0" borderId="2" xfId="0" applyNumberFormat="1" applyFont="1" applyFill="1" applyBorder="1" applyAlignment="1">
      <alignment horizontal="center" vertical="center" wrapText="1"/>
    </xf>
    <xf numFmtId="2" fontId="22" fillId="0" borderId="6" xfId="0" applyNumberFormat="1" applyFont="1" applyFill="1" applyBorder="1" applyAlignment="1">
      <alignment vertical="center" wrapText="1"/>
    </xf>
    <xf numFmtId="164" fontId="22" fillId="0" borderId="2" xfId="0" applyNumberFormat="1" applyFont="1" applyFill="1" applyBorder="1" applyAlignment="1">
      <alignment vertical="center" wrapText="1"/>
    </xf>
    <xf numFmtId="164" fontId="22" fillId="0" borderId="3" xfId="0" applyNumberFormat="1" applyFont="1" applyFill="1" applyBorder="1" applyAlignment="1">
      <alignment vertical="center" wrapText="1"/>
    </xf>
    <xf numFmtId="0" fontId="21" fillId="0" borderId="2" xfId="0" applyFont="1" applyFill="1" applyBorder="1" applyAlignment="1">
      <alignment vertical="center"/>
    </xf>
    <xf numFmtId="0" fontId="21" fillId="0" borderId="3"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2" xfId="0" applyFont="1" applyBorder="1" applyAlignment="1">
      <alignment vertical="center"/>
    </xf>
    <xf numFmtId="0" fontId="21" fillId="0" borderId="12" xfId="0" applyFont="1" applyFill="1" applyBorder="1" applyAlignment="1">
      <alignment vertical="center" wrapText="1"/>
    </xf>
    <xf numFmtId="164" fontId="21" fillId="0" borderId="12" xfId="0" applyNumberFormat="1" applyFont="1" applyFill="1" applyBorder="1" applyAlignment="1">
      <alignment vertical="center" wrapText="1"/>
    </xf>
    <xf numFmtId="164" fontId="21" fillId="0" borderId="18" xfId="0" applyNumberFormat="1" applyFont="1" applyFill="1" applyBorder="1" applyAlignment="1">
      <alignment vertical="center" wrapText="1"/>
    </xf>
    <xf numFmtId="164" fontId="21" fillId="0" borderId="8" xfId="0" applyNumberFormat="1" applyFont="1" applyFill="1" applyBorder="1" applyAlignment="1">
      <alignment vertical="center"/>
    </xf>
    <xf numFmtId="4" fontId="21" fillId="0" borderId="12" xfId="1" applyNumberFormat="1" applyFont="1" applyFill="1" applyBorder="1" applyAlignment="1">
      <alignment vertical="center" wrapText="1"/>
    </xf>
    <xf numFmtId="4" fontId="21" fillId="0" borderId="34" xfId="1" applyNumberFormat="1" applyFont="1" applyFill="1" applyBorder="1" applyAlignment="1">
      <alignment horizontal="right" vertical="center" wrapText="1"/>
    </xf>
    <xf numFmtId="0" fontId="22" fillId="0" borderId="8" xfId="0" applyFont="1" applyFill="1" applyBorder="1" applyAlignment="1">
      <alignment vertical="center" wrapText="1"/>
    </xf>
    <xf numFmtId="4" fontId="21" fillId="0" borderId="12" xfId="1" applyNumberFormat="1" applyFont="1" applyFill="1" applyBorder="1" applyAlignment="1">
      <alignment horizontal="right" vertical="center" wrapText="1"/>
    </xf>
    <xf numFmtId="4" fontId="21" fillId="0" borderId="18" xfId="1" applyNumberFormat="1" applyFont="1" applyFill="1" applyBorder="1" applyAlignment="1">
      <alignment horizontal="right" vertical="center" wrapText="1"/>
    </xf>
    <xf numFmtId="43" fontId="22" fillId="0" borderId="8" xfId="0" applyNumberFormat="1" applyFont="1" applyFill="1" applyBorder="1" applyAlignment="1">
      <alignment vertical="center" wrapText="1"/>
    </xf>
    <xf numFmtId="4" fontId="22" fillId="0" borderId="12" xfId="0" applyNumberFormat="1" applyFont="1" applyFill="1" applyBorder="1" applyAlignment="1">
      <alignment vertical="center" wrapText="1"/>
    </xf>
    <xf numFmtId="4" fontId="22" fillId="0" borderId="34" xfId="0" applyNumberFormat="1" applyFont="1" applyFill="1" applyBorder="1" applyAlignment="1">
      <alignment vertical="center" wrapText="1"/>
    </xf>
    <xf numFmtId="0" fontId="21" fillId="0" borderId="9" xfId="0" applyFont="1" applyFill="1" applyBorder="1" applyAlignment="1">
      <alignment horizontal="center" vertical="center" wrapText="1"/>
    </xf>
    <xf numFmtId="0" fontId="21" fillId="0" borderId="11" xfId="0" applyFont="1" applyFill="1" applyBorder="1" applyAlignment="1">
      <alignment vertical="center"/>
    </xf>
    <xf numFmtId="0" fontId="21" fillId="0" borderId="11" xfId="0" applyFont="1" applyFill="1" applyBorder="1" applyAlignment="1">
      <alignment vertical="center" wrapText="1"/>
    </xf>
    <xf numFmtId="164" fontId="21" fillId="0" borderId="11" xfId="0" applyNumberFormat="1" applyFont="1" applyFill="1" applyBorder="1" applyAlignment="1">
      <alignment vertical="center" wrapText="1"/>
    </xf>
    <xf numFmtId="0" fontId="21" fillId="0" borderId="6" xfId="0" applyFont="1" applyFill="1" applyBorder="1" applyAlignment="1">
      <alignment horizontal="center" vertical="center" wrapText="1"/>
    </xf>
    <xf numFmtId="164" fontId="21" fillId="4" borderId="11" xfId="0" applyNumberFormat="1" applyFont="1" applyFill="1" applyBorder="1" applyAlignment="1">
      <alignment vertical="center"/>
    </xf>
    <xf numFmtId="4" fontId="21" fillId="4" borderId="11" xfId="1" applyNumberFormat="1" applyFont="1" applyFill="1" applyBorder="1" applyAlignment="1">
      <alignment vertical="center" wrapText="1"/>
    </xf>
    <xf numFmtId="0" fontId="22" fillId="4" borderId="11" xfId="0" applyFont="1" applyFill="1" applyBorder="1" applyAlignment="1">
      <alignment vertical="center" wrapText="1"/>
    </xf>
    <xf numFmtId="2" fontId="22" fillId="4" borderId="11" xfId="0" applyNumberFormat="1" applyFont="1" applyFill="1" applyBorder="1" applyAlignment="1">
      <alignment vertical="center" wrapText="1"/>
    </xf>
    <xf numFmtId="43" fontId="22" fillId="4" borderId="11" xfId="0" applyNumberFormat="1" applyFont="1" applyFill="1" applyBorder="1" applyAlignment="1">
      <alignment vertical="center" wrapText="1"/>
    </xf>
    <xf numFmtId="4" fontId="22" fillId="4" borderId="11" xfId="0" applyNumberFormat="1" applyFont="1" applyFill="1" applyBorder="1" applyAlignment="1">
      <alignment vertical="center" wrapText="1"/>
    </xf>
    <xf numFmtId="4" fontId="21" fillId="4" borderId="35" xfId="0" applyNumberFormat="1" applyFont="1" applyFill="1" applyBorder="1" applyAlignment="1">
      <alignment vertical="center" wrapText="1"/>
    </xf>
    <xf numFmtId="0" fontId="0" fillId="0" borderId="0" xfId="0" applyAlignment="1">
      <alignment horizontal="center" vertical="center"/>
    </xf>
    <xf numFmtId="0" fontId="0" fillId="0" borderId="13" xfId="0" applyBorder="1" applyAlignment="1">
      <alignment horizontal="center" vertical="center"/>
    </xf>
    <xf numFmtId="0" fontId="0" fillId="0" borderId="1" xfId="0" applyBorder="1" applyAlignment="1">
      <alignment horizontal="center" vertical="center"/>
    </xf>
    <xf numFmtId="168" fontId="0" fillId="0" borderId="28" xfId="1" applyNumberFormat="1" applyFont="1" applyBorder="1" applyAlignment="1">
      <alignment horizontal="center" vertical="center"/>
    </xf>
    <xf numFmtId="168" fontId="0" fillId="0" borderId="32" xfId="1" applyNumberFormat="1" applyFont="1" applyBorder="1" applyAlignment="1">
      <alignment horizontal="center" vertical="center"/>
    </xf>
    <xf numFmtId="168" fontId="2" fillId="0" borderId="32" xfId="1" applyNumberFormat="1"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0" fontId="2" fillId="0" borderId="36" xfId="0" applyFont="1" applyBorder="1" applyAlignment="1">
      <alignment horizontal="center" vertical="center"/>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164" fontId="21" fillId="4" borderId="11" xfId="0" applyNumberFormat="1" applyFont="1" applyFill="1" applyBorder="1" applyAlignment="1">
      <alignment horizontal="center" vertical="center" wrapText="1"/>
    </xf>
    <xf numFmtId="43" fontId="21" fillId="0" borderId="18" xfId="1" applyFont="1" applyFill="1" applyBorder="1" applyAlignment="1">
      <alignment horizontal="left" vertical="center" wrapText="1"/>
    </xf>
    <xf numFmtId="43" fontId="21" fillId="0" borderId="19" xfId="1" applyFont="1" applyFill="1" applyBorder="1" applyAlignment="1">
      <alignment horizontal="left" vertical="center" wrapText="1"/>
    </xf>
    <xf numFmtId="164" fontId="21" fillId="4" borderId="21" xfId="0" applyNumberFormat="1" applyFont="1" applyFill="1" applyBorder="1" applyAlignment="1">
      <alignment horizontal="center" vertical="center"/>
    </xf>
    <xf numFmtId="164" fontId="21" fillId="4" borderId="22" xfId="0" applyNumberFormat="1" applyFont="1" applyFill="1" applyBorder="1" applyAlignment="1">
      <alignment horizontal="center" vertical="center"/>
    </xf>
    <xf numFmtId="164" fontId="21" fillId="4" borderId="23" xfId="0" applyNumberFormat="1" applyFont="1" applyFill="1" applyBorder="1" applyAlignment="1">
      <alignment horizontal="center" vertical="center"/>
    </xf>
    <xf numFmtId="0" fontId="21" fillId="3" borderId="21" xfId="0" applyFont="1" applyFill="1" applyBorder="1" applyAlignment="1">
      <alignment horizontal="center" vertical="center" wrapText="1"/>
    </xf>
    <xf numFmtId="0" fontId="21" fillId="3" borderId="22"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2" xfId="0" applyFont="1" applyFill="1" applyBorder="1" applyAlignment="1">
      <alignment horizontal="center" vertical="center" wrapText="1"/>
    </xf>
    <xf numFmtId="0" fontId="21" fillId="9" borderId="23" xfId="0" applyFont="1" applyFill="1" applyBorder="1" applyAlignment="1">
      <alignment horizontal="center" vertical="center" wrapText="1"/>
    </xf>
    <xf numFmtId="0" fontId="8" fillId="0" borderId="3" xfId="0" applyFont="1" applyBorder="1" applyAlignment="1">
      <alignment horizontal="center"/>
    </xf>
    <xf numFmtId="0" fontId="8" fillId="0" borderId="4" xfId="0" applyFont="1" applyBorder="1" applyAlignment="1">
      <alignment horizontal="center"/>
    </xf>
    <xf numFmtId="0" fontId="0" fillId="5" borderId="7" xfId="0" applyFill="1" applyBorder="1" applyAlignment="1">
      <alignment horizontal="center"/>
    </xf>
    <xf numFmtId="0" fontId="8" fillId="0" borderId="2" xfId="0" applyFont="1" applyBorder="1" applyAlignment="1">
      <alignment horizontal="center"/>
    </xf>
    <xf numFmtId="0" fontId="2" fillId="4" borderId="3" xfId="0" applyFont="1" applyFill="1" applyBorder="1" applyAlignment="1">
      <alignment horizontal="center"/>
    </xf>
    <xf numFmtId="0" fontId="2" fillId="4" borderId="4" xfId="0" applyFont="1" applyFill="1" applyBorder="1" applyAlignment="1">
      <alignment horizontal="center"/>
    </xf>
    <xf numFmtId="0" fontId="2" fillId="4" borderId="5" xfId="0" applyFont="1" applyFill="1" applyBorder="1" applyAlignment="1">
      <alignment horizont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4" fillId="5" borderId="3" xfId="0" applyFont="1" applyFill="1" applyBorder="1" applyAlignment="1">
      <alignment horizontal="left" vertical="center"/>
    </xf>
    <xf numFmtId="0" fontId="4" fillId="5" borderId="4" xfId="0" applyFont="1" applyFill="1" applyBorder="1" applyAlignment="1">
      <alignment horizontal="left" vertical="center"/>
    </xf>
    <xf numFmtId="0" fontId="4" fillId="5" borderId="5" xfId="0" applyFont="1" applyFill="1" applyBorder="1" applyAlignment="1">
      <alignment horizontal="left" vertical="center"/>
    </xf>
    <xf numFmtId="0" fontId="11" fillId="4" borderId="3" xfId="0" applyFont="1" applyFill="1" applyBorder="1" applyAlignment="1">
      <alignment horizontal="center" vertical="center"/>
    </xf>
    <xf numFmtId="0" fontId="11" fillId="4" borderId="5" xfId="0" applyFont="1" applyFill="1" applyBorder="1" applyAlignment="1">
      <alignment horizontal="center"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164" fontId="22" fillId="0" borderId="6" xfId="0" applyNumberFormat="1" applyFont="1" applyBorder="1" applyAlignment="1">
      <alignment horizontal="center" vertical="center"/>
    </xf>
    <xf numFmtId="0" fontId="22" fillId="0" borderId="2" xfId="0" applyFont="1" applyBorder="1" applyAlignment="1">
      <alignment horizontal="center" vertical="center" wrapText="1"/>
    </xf>
    <xf numFmtId="166" fontId="22" fillId="0" borderId="2" xfId="0" applyNumberFormat="1" applyFont="1" applyBorder="1" applyAlignment="1">
      <alignment horizontal="center" vertical="center" wrapText="1"/>
    </xf>
    <xf numFmtId="0" fontId="21" fillId="0" borderId="2" xfId="0" applyFont="1" applyBorder="1" applyAlignment="1">
      <alignment horizontal="center" vertical="center"/>
    </xf>
    <xf numFmtId="0" fontId="21" fillId="0" borderId="2" xfId="0" applyFont="1" applyBorder="1" applyAlignment="1">
      <alignment horizontal="center" vertical="center" wrapText="1"/>
    </xf>
    <xf numFmtId="164" fontId="21" fillId="0" borderId="3" xfId="0" applyNumberFormat="1" applyFont="1" applyBorder="1" applyAlignment="1">
      <alignment horizontal="center" vertical="center" wrapText="1"/>
    </xf>
    <xf numFmtId="164" fontId="21" fillId="0" borderId="4" xfId="0" applyNumberFormat="1" applyFont="1" applyBorder="1" applyAlignment="1">
      <alignment horizontal="center" vertical="center" wrapText="1"/>
    </xf>
    <xf numFmtId="4" fontId="0" fillId="7" borderId="2" xfId="0" applyNumberFormat="1" applyFill="1" applyBorder="1" applyAlignment="1">
      <alignment horizontal="left" vertical="top" wrapText="1"/>
    </xf>
  </cellXfs>
  <cellStyles count="35">
    <cellStyle name="Comma" xfId="1" builtinId="3"/>
    <cellStyle name="Comma 12 3" xfId="7"/>
    <cellStyle name="Comma 12 3 2" xfId="22"/>
    <cellStyle name="Comma 2" xfId="4"/>
    <cellStyle name="Comma 3" xfId="15"/>
    <cellStyle name="Comma 3 2" xfId="29"/>
    <cellStyle name="Comma 4" xfId="17"/>
    <cellStyle name="Comma 6" xfId="3"/>
    <cellStyle name="Comma 6 2" xfId="10"/>
    <cellStyle name="Comma 6 2 2" xfId="24"/>
    <cellStyle name="Comma 6 3" xfId="23"/>
    <cellStyle name="Excel Built-in Normal 2" xfId="12"/>
    <cellStyle name="Excel Built-in Normal 2 2" xfId="25"/>
    <cellStyle name="Normal" xfId="0" builtinId="0"/>
    <cellStyle name="Normal - Style1" xfId="6"/>
    <cellStyle name="Normal - Style1 2" xfId="20"/>
    <cellStyle name="Normal 10 3 2 2" xfId="11"/>
    <cellStyle name="Normal 2" xfId="16"/>
    <cellStyle name="Normal 2 2" xfId="13"/>
    <cellStyle name="Normal 2 2 2" xfId="26"/>
    <cellStyle name="Normal 2 3" xfId="9"/>
    <cellStyle name="Normal 2 3 2" xfId="27"/>
    <cellStyle name="Normal 3" xfId="30"/>
    <cellStyle name="Normal 3 3" xfId="5"/>
    <cellStyle name="Normal 3 3 2" xfId="19"/>
    <cellStyle name="Normal 4" xfId="31"/>
    <cellStyle name="Normal 5" xfId="14"/>
    <cellStyle name="Normal 5 2" xfId="8"/>
    <cellStyle name="Normal 5 2 2" xfId="21"/>
    <cellStyle name="Normal 5 3" xfId="28"/>
    <cellStyle name="Normal 6" xfId="34"/>
    <cellStyle name="Normal 7" xfId="32"/>
    <cellStyle name="Normal 8" xfId="33"/>
    <cellStyle name="Percent" xfId="2" builtinId="5"/>
    <cellStyle name="Percent 2"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8"/>
  <sheetViews>
    <sheetView tabSelected="1" workbookViewId="0">
      <selection activeCell="E16" sqref="E16"/>
    </sheetView>
  </sheetViews>
  <sheetFormatPr defaultColWidth="8.90625" defaultRowHeight="14.5" x14ac:dyDescent="0.35"/>
  <cols>
    <col min="1" max="1" width="8.90625" style="393"/>
    <col min="2" max="2" width="31.08984375" style="393" customWidth="1"/>
    <col min="3" max="3" width="14.1796875" style="393" customWidth="1"/>
    <col min="4" max="16384" width="8.90625" style="393"/>
  </cols>
  <sheetData>
    <row r="2" spans="1:3" ht="15" thickBot="1" x14ac:dyDescent="0.4"/>
    <row r="3" spans="1:3" ht="15" thickBot="1" x14ac:dyDescent="0.4">
      <c r="A3" s="406" t="s">
        <v>1131</v>
      </c>
      <c r="B3" s="407"/>
      <c r="C3" s="408"/>
    </row>
    <row r="4" spans="1:3" ht="15" thickBot="1" x14ac:dyDescent="0.4">
      <c r="A4" s="399" t="s">
        <v>1126</v>
      </c>
      <c r="B4" s="400" t="s">
        <v>843</v>
      </c>
      <c r="C4" s="401" t="s">
        <v>716</v>
      </c>
    </row>
    <row r="5" spans="1:3" ht="28.75" customHeight="1" x14ac:dyDescent="0.35">
      <c r="A5" s="394">
        <v>1</v>
      </c>
      <c r="B5" s="395" t="s">
        <v>1127</v>
      </c>
      <c r="C5" s="396">
        <f>'Civil &amp; Interior_work'!S256</f>
        <v>634144.93204666686</v>
      </c>
    </row>
    <row r="6" spans="1:3" ht="15" thickBot="1" x14ac:dyDescent="0.4">
      <c r="A6" s="402" t="s">
        <v>1128</v>
      </c>
      <c r="B6" s="403"/>
      <c r="C6" s="397">
        <f>C5</f>
        <v>634144.93204666686</v>
      </c>
    </row>
    <row r="7" spans="1:3" ht="15" thickBot="1" x14ac:dyDescent="0.4">
      <c r="A7" s="402" t="s">
        <v>1129</v>
      </c>
      <c r="B7" s="403"/>
      <c r="C7" s="397">
        <f>C6*0.18</f>
        <v>114146.08776840003</v>
      </c>
    </row>
    <row r="8" spans="1:3" ht="15" thickBot="1" x14ac:dyDescent="0.4">
      <c r="A8" s="404" t="s">
        <v>1130</v>
      </c>
      <c r="B8" s="405"/>
      <c r="C8" s="398">
        <f>SUM(C6:C7)</f>
        <v>748291.01981506683</v>
      </c>
    </row>
  </sheetData>
  <mergeCells count="4">
    <mergeCell ref="A6:B6"/>
    <mergeCell ref="A7:B7"/>
    <mergeCell ref="A8:B8"/>
    <mergeCell ref="A3:C3"/>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7"/>
  <sheetViews>
    <sheetView zoomScale="70" zoomScaleNormal="70" zoomScaleSheetLayoutView="85" workbookViewId="0">
      <pane ySplit="4" topLeftCell="A5" activePane="bottomLeft" state="frozen"/>
      <selection activeCell="D1" sqref="D1"/>
      <selection pane="bottomLeft" activeCell="T250" sqref="T250"/>
    </sheetView>
  </sheetViews>
  <sheetFormatPr defaultColWidth="9.08984375" defaultRowHeight="11.5" x14ac:dyDescent="0.35"/>
  <cols>
    <col min="1" max="1" width="11.6328125" style="153" hidden="1" customWidth="1"/>
    <col min="2" max="2" width="9.08984375" style="32" hidden="1" customWidth="1"/>
    <col min="3" max="3" width="13" style="143" hidden="1" customWidth="1"/>
    <col min="4" max="4" width="25.453125" style="143" customWidth="1"/>
    <col min="5" max="5" width="64" style="32" customWidth="1"/>
    <col min="6" max="6" width="7" style="32" bestFit="1" customWidth="1"/>
    <col min="7" max="7" width="6.6328125" style="144" customWidth="1"/>
    <col min="8" max="8" width="8.08984375" style="144" customWidth="1"/>
    <col min="9" max="9" width="6.36328125" style="144" customWidth="1"/>
    <col min="10" max="10" width="10.81640625" style="144" bestFit="1" customWidth="1"/>
    <col min="11" max="11" width="10" style="145" bestFit="1" customWidth="1"/>
    <col min="12" max="12" width="10.453125" style="146" bestFit="1" customWidth="1"/>
    <col min="13" max="13" width="12.1796875" style="146" bestFit="1" customWidth="1"/>
    <col min="14" max="14" width="10.08984375" style="32" bestFit="1" customWidth="1"/>
    <col min="15" max="15" width="7.81640625" style="32" bestFit="1" customWidth="1"/>
    <col min="16" max="16" width="9.1796875" style="32" bestFit="1" customWidth="1"/>
    <col min="17" max="17" width="10" style="32" customWidth="1"/>
    <col min="18" max="18" width="8.1796875" style="32" bestFit="1" customWidth="1"/>
    <col min="19" max="19" width="12.6328125" style="32" bestFit="1" customWidth="1"/>
    <col min="20" max="20" width="42.54296875" style="302" customWidth="1"/>
    <col min="21" max="16384" width="9.08984375" style="32"/>
  </cols>
  <sheetData>
    <row r="1" spans="1:19" ht="12" thickBot="1" x14ac:dyDescent="0.4">
      <c r="A1" s="410" t="s">
        <v>858</v>
      </c>
      <c r="B1" s="411"/>
      <c r="C1" s="411"/>
      <c r="D1" s="411"/>
      <c r="E1" s="411"/>
      <c r="F1" s="185" t="s">
        <v>785</v>
      </c>
      <c r="G1" s="186"/>
      <c r="H1" s="186"/>
      <c r="I1" s="186"/>
      <c r="J1" s="186"/>
      <c r="K1" s="187">
        <v>594</v>
      </c>
      <c r="L1" s="188" t="s">
        <v>859</v>
      </c>
      <c r="M1" s="189"/>
    </row>
    <row r="2" spans="1:19" ht="19.25" customHeight="1" thickBot="1" x14ac:dyDescent="0.4">
      <c r="A2" s="194" t="s">
        <v>507</v>
      </c>
      <c r="B2" s="195"/>
      <c r="C2" s="195" t="s">
        <v>508</v>
      </c>
      <c r="D2" s="195" t="s">
        <v>0</v>
      </c>
      <c r="E2" s="196" t="s">
        <v>1</v>
      </c>
      <c r="F2" s="195" t="s">
        <v>3</v>
      </c>
      <c r="G2" s="197"/>
      <c r="H2" s="197"/>
      <c r="I2" s="197"/>
      <c r="J2" s="202"/>
      <c r="K2" s="201" t="s">
        <v>2</v>
      </c>
      <c r="L2" s="198" t="s">
        <v>784</v>
      </c>
      <c r="M2" s="199" t="s">
        <v>716</v>
      </c>
      <c r="N2" s="201" t="s">
        <v>2</v>
      </c>
      <c r="O2" s="198" t="s">
        <v>784</v>
      </c>
      <c r="P2" s="200" t="s">
        <v>716</v>
      </c>
      <c r="Q2" s="285" t="s">
        <v>2</v>
      </c>
      <c r="R2" s="287" t="s">
        <v>784</v>
      </c>
      <c r="S2" s="286" t="s">
        <v>716</v>
      </c>
    </row>
    <row r="3" spans="1:19" ht="19.25" customHeight="1" thickBot="1" x14ac:dyDescent="0.4">
      <c r="A3" s="147" t="s">
        <v>4</v>
      </c>
      <c r="B3" s="33"/>
      <c r="C3" s="33"/>
      <c r="D3" s="33"/>
      <c r="E3" s="190" t="s">
        <v>5</v>
      </c>
      <c r="F3" s="191"/>
      <c r="G3" s="192"/>
      <c r="H3" s="192"/>
      <c r="I3" s="192"/>
      <c r="J3" s="193"/>
      <c r="K3" s="412" t="s">
        <v>1089</v>
      </c>
      <c r="L3" s="413"/>
      <c r="M3" s="414"/>
      <c r="N3" s="415" t="s">
        <v>1088</v>
      </c>
      <c r="O3" s="416"/>
      <c r="P3" s="416"/>
      <c r="Q3" s="417" t="s">
        <v>1124</v>
      </c>
      <c r="R3" s="418"/>
      <c r="S3" s="419"/>
    </row>
    <row r="4" spans="1:19" x14ac:dyDescent="0.35">
      <c r="A4" s="148"/>
      <c r="B4" s="34" t="s">
        <v>6</v>
      </c>
      <c r="C4" s="34"/>
      <c r="D4" s="34"/>
      <c r="E4" s="35" t="s">
        <v>7</v>
      </c>
      <c r="F4" s="36"/>
      <c r="G4" s="37" t="s">
        <v>464</v>
      </c>
      <c r="H4" s="37" t="s">
        <v>786</v>
      </c>
      <c r="I4" s="37" t="s">
        <v>118</v>
      </c>
      <c r="J4" s="110" t="s">
        <v>438</v>
      </c>
      <c r="K4" s="232"/>
      <c r="L4" s="183"/>
      <c r="M4" s="233"/>
      <c r="N4" s="205"/>
      <c r="O4" s="184"/>
      <c r="P4" s="268"/>
      <c r="Q4" s="205"/>
      <c r="R4" s="184"/>
      <c r="S4" s="206"/>
    </row>
    <row r="5" spans="1:19" ht="34.5" x14ac:dyDescent="0.35">
      <c r="A5" s="149"/>
      <c r="B5" s="36"/>
      <c r="C5" s="34" t="s">
        <v>8</v>
      </c>
      <c r="D5" s="36" t="s">
        <v>9</v>
      </c>
      <c r="E5" s="42" t="s">
        <v>10</v>
      </c>
      <c r="F5" s="303"/>
      <c r="G5" s="304"/>
      <c r="H5" s="304"/>
      <c r="I5" s="304"/>
      <c r="J5" s="305"/>
      <c r="K5" s="306"/>
      <c r="L5" s="307"/>
      <c r="M5" s="235"/>
      <c r="N5" s="308"/>
      <c r="O5" s="309"/>
      <c r="P5" s="310"/>
      <c r="Q5" s="308"/>
      <c r="R5" s="309"/>
      <c r="S5" s="311"/>
    </row>
    <row r="6" spans="1:19" ht="23" x14ac:dyDescent="0.35">
      <c r="A6" s="149"/>
      <c r="B6" s="36"/>
      <c r="C6" s="36" t="s">
        <v>11</v>
      </c>
      <c r="D6" s="36"/>
      <c r="E6" s="44" t="s">
        <v>12</v>
      </c>
      <c r="F6" s="303" t="s">
        <v>13</v>
      </c>
      <c r="G6" s="304"/>
      <c r="H6" s="304"/>
      <c r="I6" s="304"/>
      <c r="J6" s="305"/>
      <c r="K6" s="306">
        <f>SUM(K7:K17)</f>
        <v>1356.6426000000001</v>
      </c>
      <c r="L6" s="307">
        <v>15.45</v>
      </c>
      <c r="M6" s="235">
        <f>L6*$K6</f>
        <v>20960.12817</v>
      </c>
      <c r="N6" s="308">
        <v>336</v>
      </c>
      <c r="O6" s="309">
        <v>15.45</v>
      </c>
      <c r="P6" s="310">
        <f>O6*N6</f>
        <v>5191.2</v>
      </c>
      <c r="Q6" s="312">
        <f>K6-N6</f>
        <v>1020.6426000000001</v>
      </c>
      <c r="R6" s="313">
        <v>15.45</v>
      </c>
      <c r="S6" s="314">
        <f>R6*Q6</f>
        <v>15768.928170000001</v>
      </c>
    </row>
    <row r="7" spans="1:19" x14ac:dyDescent="0.35">
      <c r="A7" s="149"/>
      <c r="B7" s="36"/>
      <c r="C7" s="36"/>
      <c r="D7" s="36"/>
      <c r="E7" s="44" t="s">
        <v>788</v>
      </c>
      <c r="F7" s="303"/>
      <c r="G7" s="304">
        <v>1</v>
      </c>
      <c r="H7" s="304">
        <v>30.04</v>
      </c>
      <c r="I7" s="304">
        <v>12.36</v>
      </c>
      <c r="J7" s="305"/>
      <c r="K7" s="306">
        <f>I7*H7*G7</f>
        <v>371.2944</v>
      </c>
      <c r="L7" s="307"/>
      <c r="M7" s="235"/>
      <c r="N7" s="308"/>
      <c r="O7" s="309"/>
      <c r="P7" s="310"/>
      <c r="Q7" s="312"/>
      <c r="R7" s="313"/>
      <c r="S7" s="314"/>
    </row>
    <row r="8" spans="1:19" x14ac:dyDescent="0.35">
      <c r="A8" s="149"/>
      <c r="B8" s="36"/>
      <c r="C8" s="36"/>
      <c r="D8" s="36"/>
      <c r="E8" s="44" t="s">
        <v>787</v>
      </c>
      <c r="F8" s="303"/>
      <c r="G8" s="304">
        <v>1</v>
      </c>
      <c r="H8" s="304">
        <v>13.91</v>
      </c>
      <c r="I8" s="304">
        <v>8.24</v>
      </c>
      <c r="J8" s="305"/>
      <c r="K8" s="306">
        <f t="shared" ref="K8:K16" si="0">I8*H8*G8</f>
        <v>114.61840000000001</v>
      </c>
      <c r="L8" s="307"/>
      <c r="M8" s="235"/>
      <c r="N8" s="308"/>
      <c r="O8" s="309"/>
      <c r="P8" s="310"/>
      <c r="Q8" s="312"/>
      <c r="R8" s="313"/>
      <c r="S8" s="314"/>
    </row>
    <row r="9" spans="1:19" x14ac:dyDescent="0.35">
      <c r="A9" s="149"/>
      <c r="B9" s="36"/>
      <c r="C9" s="36"/>
      <c r="D9" s="36"/>
      <c r="E9" s="44" t="s">
        <v>789</v>
      </c>
      <c r="F9" s="303"/>
      <c r="G9" s="304">
        <v>1</v>
      </c>
      <c r="H9" s="304">
        <v>24.92</v>
      </c>
      <c r="I9" s="304">
        <v>7.04</v>
      </c>
      <c r="J9" s="305"/>
      <c r="K9" s="306">
        <f t="shared" si="0"/>
        <v>175.43680000000001</v>
      </c>
      <c r="L9" s="307"/>
      <c r="M9" s="235"/>
      <c r="N9" s="308"/>
      <c r="O9" s="309"/>
      <c r="P9" s="310"/>
      <c r="Q9" s="312"/>
      <c r="R9" s="313"/>
      <c r="S9" s="314"/>
    </row>
    <row r="10" spans="1:19" x14ac:dyDescent="0.35">
      <c r="A10" s="149"/>
      <c r="B10" s="36"/>
      <c r="C10" s="36"/>
      <c r="D10" s="36"/>
      <c r="E10" s="44" t="s">
        <v>790</v>
      </c>
      <c r="F10" s="303"/>
      <c r="G10" s="304">
        <v>1</v>
      </c>
      <c r="H10" s="304">
        <v>24.93</v>
      </c>
      <c r="I10" s="304">
        <v>8</v>
      </c>
      <c r="J10" s="305"/>
      <c r="K10" s="306">
        <f t="shared" si="0"/>
        <v>199.44</v>
      </c>
      <c r="L10" s="307"/>
      <c r="M10" s="235"/>
      <c r="N10" s="308"/>
      <c r="O10" s="309"/>
      <c r="P10" s="310"/>
      <c r="Q10" s="312"/>
      <c r="R10" s="313"/>
      <c r="S10" s="314"/>
    </row>
    <row r="11" spans="1:19" x14ac:dyDescent="0.35">
      <c r="A11" s="149"/>
      <c r="B11" s="36"/>
      <c r="C11" s="36"/>
      <c r="D11" s="36"/>
      <c r="E11" s="44" t="s">
        <v>791</v>
      </c>
      <c r="F11" s="303"/>
      <c r="G11" s="304">
        <v>-1</v>
      </c>
      <c r="H11" s="304">
        <v>3</v>
      </c>
      <c r="I11" s="304">
        <v>7</v>
      </c>
      <c r="J11" s="305"/>
      <c r="K11" s="306">
        <f t="shared" si="0"/>
        <v>-21</v>
      </c>
      <c r="L11" s="307"/>
      <c r="M11" s="235"/>
      <c r="N11" s="308"/>
      <c r="O11" s="309"/>
      <c r="P11" s="310"/>
      <c r="Q11" s="312"/>
      <c r="R11" s="313"/>
      <c r="S11" s="314"/>
    </row>
    <row r="12" spans="1:19" x14ac:dyDescent="0.35">
      <c r="A12" s="149"/>
      <c r="B12" s="36"/>
      <c r="C12" s="36"/>
      <c r="D12" s="36"/>
      <c r="E12" s="44" t="s">
        <v>792</v>
      </c>
      <c r="F12" s="303"/>
      <c r="G12" s="304">
        <v>1</v>
      </c>
      <c r="H12" s="304">
        <v>12.59</v>
      </c>
      <c r="I12" s="304">
        <v>7</v>
      </c>
      <c r="J12" s="305"/>
      <c r="K12" s="306">
        <f t="shared" si="0"/>
        <v>88.13</v>
      </c>
      <c r="L12" s="307"/>
      <c r="M12" s="235"/>
      <c r="N12" s="308"/>
      <c r="O12" s="309"/>
      <c r="P12" s="310"/>
      <c r="Q12" s="312"/>
      <c r="R12" s="313"/>
      <c r="S12" s="314"/>
    </row>
    <row r="13" spans="1:19" x14ac:dyDescent="0.35">
      <c r="A13" s="149"/>
      <c r="B13" s="36"/>
      <c r="C13" s="36"/>
      <c r="D13" s="36"/>
      <c r="E13" s="44" t="s">
        <v>791</v>
      </c>
      <c r="F13" s="303"/>
      <c r="G13" s="304">
        <v>-1</v>
      </c>
      <c r="H13" s="304">
        <v>3</v>
      </c>
      <c r="I13" s="304">
        <v>7</v>
      </c>
      <c r="J13" s="305"/>
      <c r="K13" s="306">
        <f t="shared" si="0"/>
        <v>-21</v>
      </c>
      <c r="L13" s="307"/>
      <c r="M13" s="235"/>
      <c r="N13" s="308"/>
      <c r="O13" s="309"/>
      <c r="P13" s="310"/>
      <c r="Q13" s="312"/>
      <c r="R13" s="313"/>
      <c r="S13" s="314"/>
    </row>
    <row r="14" spans="1:19" x14ac:dyDescent="0.35">
      <c r="A14" s="149"/>
      <c r="B14" s="36"/>
      <c r="C14" s="36"/>
      <c r="D14" s="36"/>
      <c r="E14" s="44" t="s">
        <v>793</v>
      </c>
      <c r="F14" s="303"/>
      <c r="G14" s="304">
        <v>1</v>
      </c>
      <c r="H14" s="304">
        <v>12.8</v>
      </c>
      <c r="I14" s="304">
        <v>8</v>
      </c>
      <c r="J14" s="305"/>
      <c r="K14" s="306">
        <f t="shared" si="0"/>
        <v>102.4</v>
      </c>
      <c r="L14" s="307"/>
      <c r="M14" s="235"/>
      <c r="N14" s="308"/>
      <c r="O14" s="309"/>
      <c r="P14" s="310"/>
      <c r="Q14" s="312"/>
      <c r="R14" s="313"/>
      <c r="S14" s="314"/>
    </row>
    <row r="15" spans="1:19" x14ac:dyDescent="0.35">
      <c r="A15" s="149"/>
      <c r="B15" s="36"/>
      <c r="C15" s="36"/>
      <c r="D15" s="36"/>
      <c r="E15" s="44" t="s">
        <v>794</v>
      </c>
      <c r="F15" s="303"/>
      <c r="G15" s="304">
        <v>1</v>
      </c>
      <c r="H15" s="304">
        <v>24.95</v>
      </c>
      <c r="I15" s="304">
        <v>11.94</v>
      </c>
      <c r="J15" s="305"/>
      <c r="K15" s="306">
        <f t="shared" si="0"/>
        <v>297.90299999999996</v>
      </c>
      <c r="L15" s="307"/>
      <c r="M15" s="235"/>
      <c r="N15" s="308"/>
      <c r="O15" s="309"/>
      <c r="P15" s="310"/>
      <c r="Q15" s="312"/>
      <c r="R15" s="313"/>
      <c r="S15" s="314"/>
    </row>
    <row r="16" spans="1:19" x14ac:dyDescent="0.35">
      <c r="A16" s="149"/>
      <c r="B16" s="36"/>
      <c r="C16" s="36"/>
      <c r="D16" s="36"/>
      <c r="E16" s="44" t="s">
        <v>795</v>
      </c>
      <c r="F16" s="303"/>
      <c r="G16" s="304">
        <v>1</v>
      </c>
      <c r="H16" s="304">
        <v>7.06</v>
      </c>
      <c r="I16" s="304">
        <v>7</v>
      </c>
      <c r="J16" s="305"/>
      <c r="K16" s="306">
        <f t="shared" si="0"/>
        <v>49.419999999999995</v>
      </c>
      <c r="L16" s="307"/>
      <c r="M16" s="235"/>
      <c r="N16" s="308"/>
      <c r="O16" s="309"/>
      <c r="P16" s="310"/>
      <c r="Q16" s="312"/>
      <c r="R16" s="313"/>
      <c r="S16" s="314"/>
    </row>
    <row r="17" spans="1:19" x14ac:dyDescent="0.35">
      <c r="A17" s="149"/>
      <c r="B17" s="36"/>
      <c r="C17" s="36"/>
      <c r="D17" s="36"/>
      <c r="E17" s="44"/>
      <c r="F17" s="303"/>
      <c r="G17" s="304"/>
      <c r="H17" s="304"/>
      <c r="I17" s="304"/>
      <c r="J17" s="305"/>
      <c r="K17" s="306"/>
      <c r="L17" s="307"/>
      <c r="M17" s="235"/>
      <c r="N17" s="308"/>
      <c r="O17" s="309"/>
      <c r="P17" s="310"/>
      <c r="Q17" s="312"/>
      <c r="R17" s="313"/>
      <c r="S17" s="314"/>
    </row>
    <row r="18" spans="1:19" x14ac:dyDescent="0.35">
      <c r="A18" s="131"/>
      <c r="B18" s="34" t="s">
        <v>50</v>
      </c>
      <c r="C18" s="36"/>
      <c r="D18" s="34"/>
      <c r="E18" s="35" t="s">
        <v>51</v>
      </c>
      <c r="F18" s="303"/>
      <c r="G18" s="304"/>
      <c r="H18" s="304"/>
      <c r="I18" s="304"/>
      <c r="J18" s="305"/>
      <c r="K18" s="306"/>
      <c r="L18" s="307"/>
      <c r="M18" s="235"/>
      <c r="N18" s="308"/>
      <c r="O18" s="309"/>
      <c r="P18" s="315"/>
      <c r="Q18" s="312"/>
      <c r="R18" s="313"/>
      <c r="S18" s="314"/>
    </row>
    <row r="19" spans="1:19" ht="42.65" customHeight="1" x14ac:dyDescent="0.35">
      <c r="A19" s="131"/>
      <c r="B19" s="34"/>
      <c r="C19" s="36" t="s">
        <v>8</v>
      </c>
      <c r="D19" s="34"/>
      <c r="E19" s="49" t="s">
        <v>510</v>
      </c>
      <c r="F19" s="303"/>
      <c r="G19" s="304"/>
      <c r="H19" s="304"/>
      <c r="I19" s="304"/>
      <c r="J19" s="305"/>
      <c r="K19" s="306"/>
      <c r="L19" s="307"/>
      <c r="M19" s="235"/>
      <c r="N19" s="308"/>
      <c r="O19" s="309"/>
      <c r="P19" s="315"/>
      <c r="Q19" s="312"/>
      <c r="R19" s="313"/>
      <c r="S19" s="314"/>
    </row>
    <row r="20" spans="1:19" ht="57.5" x14ac:dyDescent="0.35">
      <c r="A20" s="148"/>
      <c r="B20" s="39"/>
      <c r="C20" s="36" t="s">
        <v>29</v>
      </c>
      <c r="D20" s="36" t="s">
        <v>58</v>
      </c>
      <c r="E20" s="48" t="s">
        <v>684</v>
      </c>
      <c r="F20" s="303" t="s">
        <v>54</v>
      </c>
      <c r="G20" s="304"/>
      <c r="H20" s="304"/>
      <c r="I20" s="304"/>
      <c r="J20" s="305"/>
      <c r="K20" s="306">
        <f>SUM(K21:K28)</f>
        <v>455.14689999999996</v>
      </c>
      <c r="L20" s="307">
        <v>110</v>
      </c>
      <c r="M20" s="235">
        <f>L20*$K20</f>
        <v>50066.158999999992</v>
      </c>
      <c r="N20" s="308">
        <v>295</v>
      </c>
      <c r="O20" s="309">
        <v>110</v>
      </c>
      <c r="P20" s="315">
        <f t="shared" ref="P20:P30" si="1">N20*O20</f>
        <v>32450</v>
      </c>
      <c r="Q20" s="312">
        <f>K20-N20</f>
        <v>160.14689999999996</v>
      </c>
      <c r="R20" s="313">
        <v>110</v>
      </c>
      <c r="S20" s="314">
        <f>R20*Q20</f>
        <v>17616.158999999996</v>
      </c>
    </row>
    <row r="21" spans="1:19" x14ac:dyDescent="0.35">
      <c r="A21" s="148"/>
      <c r="B21" s="39"/>
      <c r="C21" s="36"/>
      <c r="D21" s="36"/>
      <c r="E21" s="48" t="s">
        <v>1005</v>
      </c>
      <c r="F21" s="303"/>
      <c r="G21" s="304">
        <v>1</v>
      </c>
      <c r="H21" s="304">
        <v>24.91</v>
      </c>
      <c r="I21" s="304"/>
      <c r="J21" s="305">
        <v>11.94</v>
      </c>
      <c r="K21" s="306">
        <f t="shared" ref="K21:K26" si="2">J21*H21*G21</f>
        <v>297.42539999999997</v>
      </c>
      <c r="L21" s="307"/>
      <c r="M21" s="235"/>
      <c r="N21" s="308"/>
      <c r="O21" s="309"/>
      <c r="P21" s="315"/>
      <c r="Q21" s="312"/>
      <c r="R21" s="313"/>
      <c r="S21" s="314"/>
    </row>
    <row r="22" spans="1:19" x14ac:dyDescent="0.35">
      <c r="A22" s="148"/>
      <c r="B22" s="39"/>
      <c r="C22" s="36"/>
      <c r="D22" s="36"/>
      <c r="E22" s="48" t="s">
        <v>791</v>
      </c>
      <c r="F22" s="303"/>
      <c r="G22" s="304">
        <v>-1</v>
      </c>
      <c r="H22" s="304">
        <v>3</v>
      </c>
      <c r="I22" s="304"/>
      <c r="J22" s="305">
        <v>7</v>
      </c>
      <c r="K22" s="306">
        <f t="shared" si="2"/>
        <v>-21</v>
      </c>
      <c r="L22" s="307"/>
      <c r="M22" s="235"/>
      <c r="N22" s="308"/>
      <c r="O22" s="309"/>
      <c r="P22" s="315"/>
      <c r="Q22" s="312"/>
      <c r="R22" s="313"/>
      <c r="S22" s="314"/>
    </row>
    <row r="23" spans="1:19" x14ac:dyDescent="0.35">
      <c r="A23" s="148"/>
      <c r="B23" s="39"/>
      <c r="C23" s="36"/>
      <c r="D23" s="36"/>
      <c r="E23" s="48" t="s">
        <v>1006</v>
      </c>
      <c r="F23" s="303"/>
      <c r="G23" s="304">
        <v>1</v>
      </c>
      <c r="H23" s="304">
        <v>4</v>
      </c>
      <c r="I23" s="304"/>
      <c r="J23" s="305">
        <v>11.94</v>
      </c>
      <c r="K23" s="306">
        <f t="shared" si="2"/>
        <v>47.76</v>
      </c>
      <c r="L23" s="307"/>
      <c r="M23" s="235"/>
      <c r="N23" s="308"/>
      <c r="O23" s="309"/>
      <c r="P23" s="315"/>
      <c r="Q23" s="312"/>
      <c r="R23" s="313"/>
      <c r="S23" s="314"/>
    </row>
    <row r="24" spans="1:19" x14ac:dyDescent="0.35">
      <c r="A24" s="148"/>
      <c r="B24" s="39"/>
      <c r="C24" s="36"/>
      <c r="D24" s="36"/>
      <c r="E24" s="48" t="s">
        <v>1004</v>
      </c>
      <c r="F24" s="303"/>
      <c r="G24" s="304">
        <v>1</v>
      </c>
      <c r="H24" s="304">
        <v>14</v>
      </c>
      <c r="I24" s="304"/>
      <c r="J24" s="305">
        <v>7</v>
      </c>
      <c r="K24" s="306">
        <f t="shared" si="2"/>
        <v>98</v>
      </c>
      <c r="L24" s="307"/>
      <c r="M24" s="235"/>
      <c r="N24" s="308"/>
      <c r="O24" s="309"/>
      <c r="P24" s="315"/>
      <c r="Q24" s="312"/>
      <c r="R24" s="313"/>
      <c r="S24" s="314"/>
    </row>
    <row r="25" spans="1:19" x14ac:dyDescent="0.35">
      <c r="A25" s="148"/>
      <c r="B25" s="39"/>
      <c r="C25" s="36"/>
      <c r="D25" s="36"/>
      <c r="E25" s="48" t="s">
        <v>799</v>
      </c>
      <c r="F25" s="303"/>
      <c r="G25" s="304">
        <v>1</v>
      </c>
      <c r="H25" s="304">
        <v>11.38</v>
      </c>
      <c r="I25" s="304"/>
      <c r="J25" s="305">
        <v>3.5</v>
      </c>
      <c r="K25" s="306">
        <f t="shared" si="2"/>
        <v>39.830000000000005</v>
      </c>
      <c r="L25" s="307"/>
      <c r="M25" s="235"/>
      <c r="N25" s="308"/>
      <c r="O25" s="309"/>
      <c r="P25" s="315"/>
      <c r="Q25" s="312"/>
      <c r="R25" s="313"/>
      <c r="S25" s="314"/>
    </row>
    <row r="26" spans="1:19" x14ac:dyDescent="0.35">
      <c r="A26" s="148"/>
      <c r="B26" s="39"/>
      <c r="C26" s="36"/>
      <c r="D26" s="36"/>
      <c r="E26" s="48" t="s">
        <v>791</v>
      </c>
      <c r="F26" s="303"/>
      <c r="G26" s="304">
        <v>-1</v>
      </c>
      <c r="H26" s="304">
        <v>2.41</v>
      </c>
      <c r="I26" s="304"/>
      <c r="J26" s="305">
        <v>2.85</v>
      </c>
      <c r="K26" s="306">
        <f t="shared" si="2"/>
        <v>-6.8685000000000009</v>
      </c>
      <c r="L26" s="307"/>
      <c r="M26" s="235"/>
      <c r="N26" s="308"/>
      <c r="O26" s="309"/>
      <c r="P26" s="315"/>
      <c r="Q26" s="312"/>
      <c r="R26" s="313"/>
      <c r="S26" s="314"/>
    </row>
    <row r="27" spans="1:19" x14ac:dyDescent="0.35">
      <c r="A27" s="148"/>
      <c r="B27" s="39"/>
      <c r="C27" s="36"/>
      <c r="D27" s="36"/>
      <c r="E27" s="48"/>
      <c r="F27" s="303"/>
      <c r="G27" s="304"/>
      <c r="H27" s="304"/>
      <c r="I27" s="304"/>
      <c r="J27" s="305"/>
      <c r="K27" s="306"/>
      <c r="L27" s="307"/>
      <c r="M27" s="235"/>
      <c r="N27" s="308"/>
      <c r="O27" s="309"/>
      <c r="P27" s="315"/>
      <c r="Q27" s="312"/>
      <c r="R27" s="313"/>
      <c r="S27" s="314"/>
    </row>
    <row r="28" spans="1:19" x14ac:dyDescent="0.35">
      <c r="A28" s="148"/>
      <c r="B28" s="39"/>
      <c r="C28" s="36"/>
      <c r="D28" s="36"/>
      <c r="E28" s="48"/>
      <c r="F28" s="303"/>
      <c r="G28" s="304"/>
      <c r="H28" s="304"/>
      <c r="I28" s="304"/>
      <c r="J28" s="305"/>
      <c r="K28" s="306"/>
      <c r="L28" s="307"/>
      <c r="M28" s="235"/>
      <c r="N28" s="308"/>
      <c r="O28" s="309"/>
      <c r="P28" s="315"/>
      <c r="Q28" s="312"/>
      <c r="R28" s="313"/>
      <c r="S28" s="314"/>
    </row>
    <row r="29" spans="1:19" x14ac:dyDescent="0.35">
      <c r="A29" s="148"/>
      <c r="B29" s="39"/>
      <c r="C29" s="34" t="s">
        <v>38</v>
      </c>
      <c r="D29" s="34"/>
      <c r="E29" s="48" t="s">
        <v>512</v>
      </c>
      <c r="F29" s="303"/>
      <c r="G29" s="304"/>
      <c r="H29" s="304"/>
      <c r="I29" s="304"/>
      <c r="J29" s="305"/>
      <c r="K29" s="306"/>
      <c r="L29" s="307"/>
      <c r="M29" s="235"/>
      <c r="N29" s="308"/>
      <c r="O29" s="309"/>
      <c r="P29" s="315"/>
      <c r="Q29" s="312"/>
      <c r="R29" s="313"/>
      <c r="S29" s="314"/>
    </row>
    <row r="30" spans="1:19" ht="34.5" x14ac:dyDescent="0.35">
      <c r="A30" s="148"/>
      <c r="B30" s="39"/>
      <c r="C30" s="36" t="s">
        <v>68</v>
      </c>
      <c r="D30" s="36" t="s">
        <v>513</v>
      </c>
      <c r="E30" s="48" t="s">
        <v>685</v>
      </c>
      <c r="F30" s="303" t="s">
        <v>54</v>
      </c>
      <c r="G30" s="304"/>
      <c r="H30" s="304"/>
      <c r="I30" s="304"/>
      <c r="J30" s="305"/>
      <c r="K30" s="306">
        <f>SUM(K31:K41)</f>
        <v>1217.0874999999999</v>
      </c>
      <c r="L30" s="307">
        <v>36</v>
      </c>
      <c r="M30" s="235">
        <f>L30*$K30</f>
        <v>43815.149999999994</v>
      </c>
      <c r="N30" s="308">
        <v>650</v>
      </c>
      <c r="O30" s="309">
        <v>36</v>
      </c>
      <c r="P30" s="315">
        <f t="shared" si="1"/>
        <v>23400</v>
      </c>
      <c r="Q30" s="312">
        <f t="shared" ref="Q30" si="3">K30-N30</f>
        <v>567.08749999999986</v>
      </c>
      <c r="R30" s="313">
        <v>36</v>
      </c>
      <c r="S30" s="314">
        <f>R30*Q30</f>
        <v>20415.149999999994</v>
      </c>
    </row>
    <row r="31" spans="1:19" x14ac:dyDescent="0.35">
      <c r="A31" s="148"/>
      <c r="B31" s="39"/>
      <c r="C31" s="36"/>
      <c r="D31" s="36"/>
      <c r="E31" s="48" t="s">
        <v>1005</v>
      </c>
      <c r="F31" s="303"/>
      <c r="G31" s="304">
        <v>2</v>
      </c>
      <c r="H31" s="304">
        <v>24.91</v>
      </c>
      <c r="I31" s="304"/>
      <c r="J31" s="305">
        <v>11.94</v>
      </c>
      <c r="K31" s="306">
        <f t="shared" ref="K31:K36" si="4">J31*H31*G31</f>
        <v>594.85079999999994</v>
      </c>
      <c r="L31" s="307"/>
      <c r="M31" s="235"/>
      <c r="N31" s="308"/>
      <c r="O31" s="309"/>
      <c r="P31" s="315"/>
      <c r="Q31" s="312"/>
      <c r="R31" s="313"/>
      <c r="S31" s="314"/>
    </row>
    <row r="32" spans="1:19" x14ac:dyDescent="0.35">
      <c r="A32" s="148"/>
      <c r="B32" s="39"/>
      <c r="C32" s="36"/>
      <c r="D32" s="36"/>
      <c r="E32" s="48" t="s">
        <v>791</v>
      </c>
      <c r="F32" s="303"/>
      <c r="G32" s="304">
        <v>-2</v>
      </c>
      <c r="H32" s="304">
        <v>3</v>
      </c>
      <c r="I32" s="304"/>
      <c r="J32" s="305">
        <v>7</v>
      </c>
      <c r="K32" s="306">
        <f t="shared" si="4"/>
        <v>-42</v>
      </c>
      <c r="L32" s="307"/>
      <c r="M32" s="235"/>
      <c r="N32" s="308"/>
      <c r="O32" s="309"/>
      <c r="P32" s="315"/>
      <c r="Q32" s="312"/>
      <c r="R32" s="313"/>
      <c r="S32" s="314"/>
    </row>
    <row r="33" spans="1:19" x14ac:dyDescent="0.35">
      <c r="A33" s="148"/>
      <c r="B33" s="39"/>
      <c r="C33" s="36"/>
      <c r="D33" s="36"/>
      <c r="E33" s="48" t="s">
        <v>1006</v>
      </c>
      <c r="F33" s="303"/>
      <c r="G33" s="304">
        <v>2</v>
      </c>
      <c r="H33" s="304">
        <v>4</v>
      </c>
      <c r="I33" s="304"/>
      <c r="J33" s="305">
        <v>11.94</v>
      </c>
      <c r="K33" s="306">
        <f t="shared" si="4"/>
        <v>95.52</v>
      </c>
      <c r="L33" s="307"/>
      <c r="M33" s="235"/>
      <c r="N33" s="308"/>
      <c r="O33" s="309"/>
      <c r="P33" s="315"/>
      <c r="Q33" s="312"/>
      <c r="R33" s="313"/>
      <c r="S33" s="314"/>
    </row>
    <row r="34" spans="1:19" x14ac:dyDescent="0.35">
      <c r="A34" s="148"/>
      <c r="B34" s="39"/>
      <c r="C34" s="36"/>
      <c r="D34" s="36"/>
      <c r="E34" s="48" t="s">
        <v>1004</v>
      </c>
      <c r="F34" s="303"/>
      <c r="G34" s="304">
        <v>2</v>
      </c>
      <c r="H34" s="304">
        <v>14</v>
      </c>
      <c r="I34" s="304"/>
      <c r="J34" s="305">
        <v>7</v>
      </c>
      <c r="K34" s="306">
        <f t="shared" si="4"/>
        <v>196</v>
      </c>
      <c r="L34" s="307"/>
      <c r="M34" s="235"/>
      <c r="N34" s="308"/>
      <c r="O34" s="309"/>
      <c r="P34" s="315"/>
      <c r="Q34" s="312"/>
      <c r="R34" s="313"/>
      <c r="S34" s="314"/>
    </row>
    <row r="35" spans="1:19" x14ac:dyDescent="0.35">
      <c r="A35" s="148"/>
      <c r="B35" s="39"/>
      <c r="C35" s="36"/>
      <c r="D35" s="36"/>
      <c r="E35" s="48" t="s">
        <v>799</v>
      </c>
      <c r="F35" s="303"/>
      <c r="G35" s="304">
        <v>2</v>
      </c>
      <c r="H35" s="304">
        <v>11.38</v>
      </c>
      <c r="I35" s="304"/>
      <c r="J35" s="305">
        <v>3.5</v>
      </c>
      <c r="K35" s="306">
        <f t="shared" si="4"/>
        <v>79.660000000000011</v>
      </c>
      <c r="L35" s="307"/>
      <c r="M35" s="235"/>
      <c r="N35" s="308"/>
      <c r="O35" s="309"/>
      <c r="P35" s="315"/>
      <c r="Q35" s="312"/>
      <c r="R35" s="313"/>
      <c r="S35" s="314"/>
    </row>
    <row r="36" spans="1:19" x14ac:dyDescent="0.35">
      <c r="A36" s="148"/>
      <c r="B36" s="39"/>
      <c r="C36" s="36"/>
      <c r="D36" s="36"/>
      <c r="E36" s="48" t="s">
        <v>791</v>
      </c>
      <c r="F36" s="303"/>
      <c r="G36" s="304">
        <v>-2</v>
      </c>
      <c r="H36" s="304">
        <v>2.41</v>
      </c>
      <c r="I36" s="304"/>
      <c r="J36" s="305">
        <v>2.85</v>
      </c>
      <c r="K36" s="306">
        <f t="shared" si="4"/>
        <v>-13.737000000000002</v>
      </c>
      <c r="L36" s="307"/>
      <c r="M36" s="235"/>
      <c r="N36" s="308"/>
      <c r="O36" s="309"/>
      <c r="P36" s="315"/>
      <c r="Q36" s="312"/>
      <c r="R36" s="313"/>
      <c r="S36" s="314"/>
    </row>
    <row r="37" spans="1:19" x14ac:dyDescent="0.35">
      <c r="A37" s="148"/>
      <c r="B37" s="39"/>
      <c r="C37" s="36"/>
      <c r="D37" s="36"/>
      <c r="E37" s="51" t="s">
        <v>862</v>
      </c>
      <c r="F37" s="303"/>
      <c r="G37" s="304">
        <v>1</v>
      </c>
      <c r="H37" s="304">
        <v>8.57</v>
      </c>
      <c r="I37" s="304">
        <v>1</v>
      </c>
      <c r="J37" s="305">
        <v>0.41</v>
      </c>
      <c r="K37" s="306">
        <v>3.5137</v>
      </c>
      <c r="L37" s="307"/>
      <c r="M37" s="235"/>
      <c r="N37" s="308"/>
      <c r="O37" s="309"/>
      <c r="P37" s="315"/>
      <c r="Q37" s="312"/>
      <c r="R37" s="313"/>
      <c r="S37" s="314"/>
    </row>
    <row r="38" spans="1:19" x14ac:dyDescent="0.35">
      <c r="A38" s="148"/>
      <c r="B38" s="39"/>
      <c r="C38" s="36"/>
      <c r="D38" s="36"/>
      <c r="E38" s="51" t="s">
        <v>1087</v>
      </c>
      <c r="F38" s="303"/>
      <c r="G38" s="304">
        <v>1</v>
      </c>
      <c r="H38" s="304">
        <v>35.08</v>
      </c>
      <c r="I38" s="304">
        <v>1</v>
      </c>
      <c r="J38" s="305">
        <v>8</v>
      </c>
      <c r="K38" s="306">
        <v>280.64</v>
      </c>
      <c r="L38" s="307"/>
      <c r="M38" s="235"/>
      <c r="N38" s="308"/>
      <c r="O38" s="309"/>
      <c r="P38" s="315"/>
      <c r="Q38" s="312"/>
      <c r="R38" s="313"/>
      <c r="S38" s="314"/>
    </row>
    <row r="39" spans="1:19" x14ac:dyDescent="0.35">
      <c r="A39" s="148"/>
      <c r="B39" s="39"/>
      <c r="C39" s="36"/>
      <c r="D39" s="36"/>
      <c r="E39" s="51" t="s">
        <v>1007</v>
      </c>
      <c r="F39" s="303"/>
      <c r="G39" s="304">
        <v>1</v>
      </c>
      <c r="H39" s="304">
        <v>3</v>
      </c>
      <c r="I39" s="304">
        <v>1</v>
      </c>
      <c r="J39" s="305">
        <v>7</v>
      </c>
      <c r="K39" s="306">
        <v>21</v>
      </c>
      <c r="L39" s="307"/>
      <c r="M39" s="235"/>
      <c r="N39" s="308"/>
      <c r="O39" s="309"/>
      <c r="P39" s="315"/>
      <c r="Q39" s="312"/>
      <c r="R39" s="313"/>
      <c r="S39" s="314"/>
    </row>
    <row r="40" spans="1:19" x14ac:dyDescent="0.35">
      <c r="A40" s="148"/>
      <c r="B40" s="39"/>
      <c r="C40" s="36"/>
      <c r="D40" s="36"/>
      <c r="E40" s="51" t="s">
        <v>1008</v>
      </c>
      <c r="F40" s="303"/>
      <c r="G40" s="304">
        <v>1</v>
      </c>
      <c r="H40" s="304">
        <v>4</v>
      </c>
      <c r="I40" s="304">
        <v>1</v>
      </c>
      <c r="J40" s="305">
        <v>0.41</v>
      </c>
      <c r="K40" s="306">
        <v>1.64</v>
      </c>
      <c r="L40" s="307"/>
      <c r="M40" s="235"/>
      <c r="N40" s="308"/>
      <c r="O40" s="309"/>
      <c r="P40" s="315"/>
      <c r="Q40" s="312"/>
      <c r="R40" s="313"/>
      <c r="S40" s="314"/>
    </row>
    <row r="41" spans="1:19" x14ac:dyDescent="0.35">
      <c r="A41" s="148"/>
      <c r="B41" s="39"/>
      <c r="C41" s="36"/>
      <c r="D41" s="36"/>
      <c r="E41" s="48"/>
      <c r="F41" s="303"/>
      <c r="G41" s="304"/>
      <c r="H41" s="304"/>
      <c r="I41" s="304"/>
      <c r="J41" s="305"/>
      <c r="K41" s="306"/>
      <c r="L41" s="307"/>
      <c r="M41" s="235"/>
      <c r="N41" s="308"/>
      <c r="O41" s="309"/>
      <c r="P41" s="315"/>
      <c r="Q41" s="312"/>
      <c r="R41" s="313"/>
      <c r="S41" s="314"/>
    </row>
    <row r="42" spans="1:19" x14ac:dyDescent="0.35">
      <c r="A42" s="46" t="s">
        <v>62</v>
      </c>
      <c r="B42" s="52"/>
      <c r="C42" s="34"/>
      <c r="D42" s="34"/>
      <c r="E42" s="52"/>
      <c r="F42" s="316"/>
      <c r="G42" s="317"/>
      <c r="H42" s="317"/>
      <c r="I42" s="317"/>
      <c r="J42" s="318"/>
      <c r="K42" s="306"/>
      <c r="L42" s="307"/>
      <c r="M42" s="210"/>
      <c r="N42" s="308"/>
      <c r="O42" s="309"/>
      <c r="P42" s="203"/>
      <c r="Q42" s="319"/>
      <c r="R42" s="320"/>
      <c r="S42" s="321"/>
    </row>
    <row r="43" spans="1:19" x14ac:dyDescent="0.35">
      <c r="A43" s="46"/>
      <c r="B43" s="52" t="s">
        <v>90</v>
      </c>
      <c r="C43" s="34"/>
      <c r="D43" s="34"/>
      <c r="E43" s="46" t="s">
        <v>91</v>
      </c>
      <c r="F43" s="316"/>
      <c r="G43" s="317"/>
      <c r="H43" s="317"/>
      <c r="I43" s="317"/>
      <c r="J43" s="318"/>
      <c r="K43" s="322"/>
      <c r="L43" s="323"/>
      <c r="M43" s="210"/>
      <c r="N43" s="308"/>
      <c r="O43" s="309"/>
      <c r="P43" s="315"/>
      <c r="Q43" s="312"/>
      <c r="R43" s="313"/>
      <c r="S43" s="314"/>
    </row>
    <row r="44" spans="1:19" ht="92" x14ac:dyDescent="0.35">
      <c r="A44" s="131"/>
      <c r="B44" s="34"/>
      <c r="C44" s="34" t="s">
        <v>57</v>
      </c>
      <c r="D44" s="36" t="s">
        <v>913</v>
      </c>
      <c r="E44" s="44" t="s">
        <v>698</v>
      </c>
      <c r="F44" s="303" t="s">
        <v>71</v>
      </c>
      <c r="G44" s="304"/>
      <c r="H44" s="304"/>
      <c r="I44" s="304"/>
      <c r="J44" s="305"/>
      <c r="K44" s="306">
        <f>SUM(K45:K53)</f>
        <v>670.11656666666681</v>
      </c>
      <c r="L44" s="307">
        <v>160</v>
      </c>
      <c r="M44" s="235">
        <f>L44*$K44</f>
        <v>107218.65066666668</v>
      </c>
      <c r="N44" s="308">
        <v>654</v>
      </c>
      <c r="O44" s="309">
        <v>160</v>
      </c>
      <c r="P44" s="315">
        <f t="shared" ref="P44:P58" si="5">O44*N44</f>
        <v>104640</v>
      </c>
      <c r="Q44" s="312">
        <f t="shared" ref="Q44" si="6">K44-N44</f>
        <v>16.116566666666813</v>
      </c>
      <c r="R44" s="313">
        <v>160</v>
      </c>
      <c r="S44" s="314">
        <f>R44*Q44</f>
        <v>2578.6506666666901</v>
      </c>
    </row>
    <row r="45" spans="1:19" x14ac:dyDescent="0.35">
      <c r="A45" s="131"/>
      <c r="B45" s="34"/>
      <c r="C45" s="34"/>
      <c r="D45" s="36"/>
      <c r="E45" s="44" t="s">
        <v>788</v>
      </c>
      <c r="F45" s="303"/>
      <c r="G45" s="304">
        <v>1</v>
      </c>
      <c r="H45" s="304">
        <v>27.5</v>
      </c>
      <c r="I45" s="304">
        <v>11.35</v>
      </c>
      <c r="J45" s="305"/>
      <c r="K45" s="306">
        <f>I45*H45*G45</f>
        <v>312.125</v>
      </c>
      <c r="L45" s="307"/>
      <c r="M45" s="235"/>
      <c r="N45" s="308"/>
      <c r="O45" s="309"/>
      <c r="P45" s="315"/>
      <c r="Q45" s="312"/>
      <c r="R45" s="313"/>
      <c r="S45" s="314"/>
    </row>
    <row r="46" spans="1:19" x14ac:dyDescent="0.35">
      <c r="A46" s="131"/>
      <c r="B46" s="34"/>
      <c r="C46" s="34"/>
      <c r="D46" s="36"/>
      <c r="E46" s="44" t="s">
        <v>1009</v>
      </c>
      <c r="F46" s="303"/>
      <c r="G46" s="304">
        <v>1</v>
      </c>
      <c r="H46" s="304">
        <v>13.26</v>
      </c>
      <c r="I46" s="304">
        <v>8.24</v>
      </c>
      <c r="J46" s="305"/>
      <c r="K46" s="306">
        <f t="shared" ref="K46:K52" si="7">I46*H46*G46</f>
        <v>109.2624</v>
      </c>
      <c r="L46" s="307"/>
      <c r="M46" s="235"/>
      <c r="N46" s="308"/>
      <c r="O46" s="309"/>
      <c r="P46" s="315"/>
      <c r="Q46" s="312"/>
      <c r="R46" s="313"/>
      <c r="S46" s="314"/>
    </row>
    <row r="47" spans="1:19" x14ac:dyDescent="0.35">
      <c r="A47" s="131"/>
      <c r="B47" s="34"/>
      <c r="C47" s="34"/>
      <c r="D47" s="36"/>
      <c r="E47" s="44" t="s">
        <v>789</v>
      </c>
      <c r="F47" s="303"/>
      <c r="G47" s="304">
        <v>1</v>
      </c>
      <c r="H47" s="304">
        <v>7</v>
      </c>
      <c r="I47" s="304">
        <v>25</v>
      </c>
      <c r="J47" s="305"/>
      <c r="K47" s="306">
        <f t="shared" si="7"/>
        <v>175</v>
      </c>
      <c r="L47" s="307"/>
      <c r="M47" s="235"/>
      <c r="N47" s="308"/>
      <c r="O47" s="309"/>
      <c r="P47" s="315"/>
      <c r="Q47" s="312"/>
      <c r="R47" s="313"/>
      <c r="S47" s="314"/>
    </row>
    <row r="48" spans="1:19" x14ac:dyDescent="0.35">
      <c r="A48" s="131"/>
      <c r="B48" s="34"/>
      <c r="C48" s="34"/>
      <c r="D48" s="36"/>
      <c r="E48" s="51" t="s">
        <v>863</v>
      </c>
      <c r="F48" s="303"/>
      <c r="G48" s="304">
        <v>-1</v>
      </c>
      <c r="H48" s="304">
        <v>3</v>
      </c>
      <c r="I48" s="304">
        <f>5/12</f>
        <v>0.41666666666666669</v>
      </c>
      <c r="J48" s="305"/>
      <c r="K48" s="306">
        <f t="shared" si="7"/>
        <v>-1.25</v>
      </c>
      <c r="L48" s="307"/>
      <c r="M48" s="235"/>
      <c r="N48" s="308"/>
      <c r="O48" s="309"/>
      <c r="P48" s="315"/>
      <c r="Q48" s="312"/>
      <c r="R48" s="313"/>
      <c r="S48" s="314"/>
    </row>
    <row r="49" spans="1:20" x14ac:dyDescent="0.35">
      <c r="A49" s="131"/>
      <c r="B49" s="34"/>
      <c r="C49" s="34"/>
      <c r="D49" s="36"/>
      <c r="E49" s="51" t="s">
        <v>863</v>
      </c>
      <c r="F49" s="303"/>
      <c r="G49" s="304">
        <v>-1</v>
      </c>
      <c r="H49" s="304">
        <v>4</v>
      </c>
      <c r="I49" s="304">
        <f>5/12</f>
        <v>0.41666666666666669</v>
      </c>
      <c r="J49" s="305"/>
      <c r="K49" s="306">
        <f t="shared" si="7"/>
        <v>-1.6666666666666667</v>
      </c>
      <c r="L49" s="307"/>
      <c r="M49" s="235"/>
      <c r="N49" s="308"/>
      <c r="O49" s="309"/>
      <c r="P49" s="315"/>
      <c r="Q49" s="312"/>
      <c r="R49" s="313"/>
      <c r="S49" s="314"/>
    </row>
    <row r="50" spans="1:20" x14ac:dyDescent="0.35">
      <c r="A50" s="131"/>
      <c r="B50" s="34"/>
      <c r="C50" s="34"/>
      <c r="D50" s="36"/>
      <c r="E50" s="51" t="s">
        <v>863</v>
      </c>
      <c r="F50" s="303"/>
      <c r="G50" s="304">
        <v>-1</v>
      </c>
      <c r="H50" s="304">
        <v>2.25</v>
      </c>
      <c r="I50" s="304">
        <f>7/12</f>
        <v>0.58333333333333337</v>
      </c>
      <c r="J50" s="305"/>
      <c r="K50" s="306">
        <f t="shared" si="7"/>
        <v>-1.3125</v>
      </c>
      <c r="L50" s="307"/>
      <c r="M50" s="235"/>
      <c r="N50" s="308"/>
      <c r="O50" s="309"/>
      <c r="P50" s="315"/>
      <c r="Q50" s="312"/>
      <c r="R50" s="313"/>
      <c r="S50" s="314"/>
    </row>
    <row r="51" spans="1:20" x14ac:dyDescent="0.35">
      <c r="A51" s="131"/>
      <c r="B51" s="34"/>
      <c r="C51" s="34"/>
      <c r="D51" s="36"/>
      <c r="E51" s="51" t="s">
        <v>863</v>
      </c>
      <c r="F51" s="303"/>
      <c r="G51" s="304">
        <v>-1</v>
      </c>
      <c r="H51" s="304">
        <v>3.5</v>
      </c>
      <c r="I51" s="304">
        <f>7/12</f>
        <v>0.58333333333333337</v>
      </c>
      <c r="J51" s="305"/>
      <c r="K51" s="306">
        <f t="shared" si="7"/>
        <v>-2.041666666666667</v>
      </c>
      <c r="L51" s="307"/>
      <c r="M51" s="235"/>
      <c r="N51" s="308"/>
      <c r="O51" s="309"/>
      <c r="P51" s="315"/>
      <c r="Q51" s="312"/>
      <c r="R51" s="313"/>
      <c r="S51" s="314"/>
    </row>
    <row r="52" spans="1:20" x14ac:dyDescent="0.35">
      <c r="A52" s="131"/>
      <c r="B52" s="34"/>
      <c r="C52" s="34"/>
      <c r="D52" s="36"/>
      <c r="E52" s="44" t="s">
        <v>1010</v>
      </c>
      <c r="F52" s="303"/>
      <c r="G52" s="304">
        <v>1</v>
      </c>
      <c r="H52" s="304">
        <v>10</v>
      </c>
      <c r="I52" s="304">
        <v>8</v>
      </c>
      <c r="J52" s="305"/>
      <c r="K52" s="306">
        <f t="shared" si="7"/>
        <v>80</v>
      </c>
      <c r="L52" s="307"/>
      <c r="M52" s="235"/>
      <c r="N52" s="308"/>
      <c r="O52" s="309"/>
      <c r="P52" s="315"/>
      <c r="Q52" s="312"/>
      <c r="R52" s="313"/>
      <c r="S52" s="314"/>
    </row>
    <row r="53" spans="1:20" x14ac:dyDescent="0.35">
      <c r="A53" s="131"/>
      <c r="B53" s="34"/>
      <c r="C53" s="34"/>
      <c r="D53" s="36"/>
      <c r="E53" s="44"/>
      <c r="F53" s="303"/>
      <c r="G53" s="304"/>
      <c r="H53" s="304"/>
      <c r="I53" s="304"/>
      <c r="J53" s="305"/>
      <c r="K53" s="306"/>
      <c r="L53" s="307"/>
      <c r="M53" s="235"/>
      <c r="N53" s="308"/>
      <c r="O53" s="309"/>
      <c r="P53" s="315"/>
      <c r="Q53" s="312"/>
      <c r="R53" s="313"/>
      <c r="S53" s="314"/>
    </row>
    <row r="54" spans="1:20" ht="96" customHeight="1" x14ac:dyDescent="0.35">
      <c r="A54" s="149"/>
      <c r="B54" s="36"/>
      <c r="C54" s="34" t="s">
        <v>98</v>
      </c>
      <c r="D54" s="36" t="s">
        <v>918</v>
      </c>
      <c r="E54" s="44" t="s">
        <v>668</v>
      </c>
      <c r="F54" s="303" t="s">
        <v>96</v>
      </c>
      <c r="G54" s="304"/>
      <c r="H54" s="304"/>
      <c r="I54" s="304"/>
      <c r="J54" s="305"/>
      <c r="K54" s="306">
        <f>SUM(K55:K57)</f>
        <v>143.89999999999998</v>
      </c>
      <c r="L54" s="307">
        <v>45.85</v>
      </c>
      <c r="M54" s="235">
        <f t="shared" ref="M54" si="8">L54*$K54</f>
        <v>6597.8149999999996</v>
      </c>
      <c r="N54" s="308">
        <v>104</v>
      </c>
      <c r="O54" s="309">
        <v>45.85</v>
      </c>
      <c r="P54" s="315">
        <f t="shared" si="5"/>
        <v>4768.4000000000005</v>
      </c>
      <c r="Q54" s="312">
        <f>K54-N54</f>
        <v>39.899999999999977</v>
      </c>
      <c r="R54" s="313">
        <v>45.85</v>
      </c>
      <c r="S54" s="314">
        <f>R54*Q54</f>
        <v>1829.4149999999991</v>
      </c>
    </row>
    <row r="55" spans="1:20" s="160" customFormat="1" ht="34.5" x14ac:dyDescent="0.35">
      <c r="A55" s="154"/>
      <c r="B55" s="155"/>
      <c r="C55" s="156"/>
      <c r="D55" s="155"/>
      <c r="E55" s="157" t="s">
        <v>1011</v>
      </c>
      <c r="F55" s="324"/>
      <c r="G55" s="325">
        <v>1</v>
      </c>
      <c r="H55" s="325">
        <f>28.77+1.5+1.01+1.5+1.01+1.5+1.5+1.01+1.5+0.78+3.75+8.16+3.67+4+0.5+23.24</f>
        <v>83.399999999999991</v>
      </c>
      <c r="I55" s="325"/>
      <c r="J55" s="326"/>
      <c r="K55" s="327">
        <f>H55*G55</f>
        <v>83.399999999999991</v>
      </c>
      <c r="L55" s="328"/>
      <c r="M55" s="242"/>
      <c r="N55" s="329"/>
      <c r="O55" s="330"/>
      <c r="P55" s="315"/>
      <c r="Q55" s="312"/>
      <c r="R55" s="313"/>
      <c r="S55" s="314"/>
      <c r="T55" s="331"/>
    </row>
    <row r="56" spans="1:20" s="160" customFormat="1" ht="23" x14ac:dyDescent="0.35">
      <c r="A56" s="154"/>
      <c r="B56" s="155"/>
      <c r="C56" s="156"/>
      <c r="D56" s="155"/>
      <c r="E56" s="157" t="s">
        <v>1012</v>
      </c>
      <c r="F56" s="324"/>
      <c r="G56" s="325">
        <v>1</v>
      </c>
      <c r="H56" s="331">
        <f>2+24+0.5+3.5+3+7+0.5+18+2</f>
        <v>60.5</v>
      </c>
      <c r="I56" s="325"/>
      <c r="J56" s="326"/>
      <c r="K56" s="327">
        <f>H56*G56</f>
        <v>60.5</v>
      </c>
      <c r="L56" s="328"/>
      <c r="M56" s="242"/>
      <c r="N56" s="329"/>
      <c r="O56" s="330"/>
      <c r="P56" s="315"/>
      <c r="Q56" s="312"/>
      <c r="R56" s="313"/>
      <c r="S56" s="314"/>
      <c r="T56" s="331"/>
    </row>
    <row r="57" spans="1:20" x14ac:dyDescent="0.35">
      <c r="A57" s="149"/>
      <c r="B57" s="36"/>
      <c r="C57" s="34"/>
      <c r="D57" s="36"/>
      <c r="E57" s="44"/>
      <c r="F57" s="303"/>
      <c r="G57" s="304"/>
      <c r="H57" s="304"/>
      <c r="I57" s="304"/>
      <c r="J57" s="305"/>
      <c r="K57" s="306"/>
      <c r="L57" s="307"/>
      <c r="M57" s="235"/>
      <c r="N57" s="308"/>
      <c r="O57" s="309"/>
      <c r="P57" s="315"/>
      <c r="Q57" s="312"/>
      <c r="R57" s="313"/>
      <c r="S57" s="314"/>
    </row>
    <row r="58" spans="1:20" ht="80.5" x14ac:dyDescent="0.35">
      <c r="A58" s="149"/>
      <c r="B58" s="36"/>
      <c r="C58" s="34" t="s">
        <v>100</v>
      </c>
      <c r="D58" s="36" t="s">
        <v>921</v>
      </c>
      <c r="E58" s="42" t="s">
        <v>720</v>
      </c>
      <c r="F58" s="303" t="s">
        <v>71</v>
      </c>
      <c r="G58" s="304"/>
      <c r="H58" s="304"/>
      <c r="I58" s="304"/>
      <c r="J58" s="305"/>
      <c r="K58" s="306">
        <f>SUM(K59:K67)</f>
        <v>990.25</v>
      </c>
      <c r="L58" s="307">
        <v>150</v>
      </c>
      <c r="M58" s="235">
        <f>L58*$K58</f>
        <v>148537.5</v>
      </c>
      <c r="N58" s="308">
        <v>284</v>
      </c>
      <c r="O58" s="309">
        <v>150</v>
      </c>
      <c r="P58" s="315">
        <f t="shared" si="5"/>
        <v>42600</v>
      </c>
      <c r="Q58" s="312">
        <f t="shared" ref="Q58" si="9">K58-N58</f>
        <v>706.25</v>
      </c>
      <c r="R58" s="313">
        <f>O58</f>
        <v>150</v>
      </c>
      <c r="S58" s="314">
        <f>R58*Q58</f>
        <v>105937.5</v>
      </c>
    </row>
    <row r="59" spans="1:20" x14ac:dyDescent="0.35">
      <c r="A59" s="149"/>
      <c r="B59" s="36"/>
      <c r="C59" s="34"/>
      <c r="D59" s="36"/>
      <c r="E59" s="44" t="s">
        <v>1014</v>
      </c>
      <c r="F59" s="303"/>
      <c r="G59" s="304"/>
      <c r="H59" s="304"/>
      <c r="I59" s="304"/>
      <c r="J59" s="305"/>
      <c r="K59" s="306">
        <f t="shared" ref="K59:K67" si="10">H59*G59*J59</f>
        <v>0</v>
      </c>
      <c r="L59" s="307"/>
      <c r="M59" s="235"/>
      <c r="N59" s="308"/>
      <c r="O59" s="309"/>
      <c r="P59" s="315"/>
      <c r="Q59" s="312"/>
      <c r="R59" s="313"/>
      <c r="S59" s="314"/>
    </row>
    <row r="60" spans="1:20" x14ac:dyDescent="0.35">
      <c r="A60" s="149"/>
      <c r="B60" s="36"/>
      <c r="C60" s="34"/>
      <c r="D60" s="36"/>
      <c r="E60" s="44" t="s">
        <v>1019</v>
      </c>
      <c r="F60" s="303"/>
      <c r="G60" s="304">
        <v>1</v>
      </c>
      <c r="H60" s="304">
        <v>3.5</v>
      </c>
      <c r="I60" s="304"/>
      <c r="J60" s="305">
        <v>0.5</v>
      </c>
      <c r="K60" s="306">
        <f t="shared" si="10"/>
        <v>1.75</v>
      </c>
      <c r="L60" s="307"/>
      <c r="M60" s="235"/>
      <c r="N60" s="308"/>
      <c r="O60" s="309"/>
      <c r="P60" s="315"/>
      <c r="Q60" s="312"/>
      <c r="R60" s="313"/>
      <c r="S60" s="314"/>
    </row>
    <row r="61" spans="1:20" x14ac:dyDescent="0.35">
      <c r="A61" s="149"/>
      <c r="B61" s="36"/>
      <c r="C61" s="34"/>
      <c r="D61" s="36"/>
      <c r="E61" s="44" t="s">
        <v>1018</v>
      </c>
      <c r="F61" s="303"/>
      <c r="G61" s="304">
        <v>1</v>
      </c>
      <c r="H61" s="304">
        <f>(24.5+2+7+3.5+18+2)</f>
        <v>57</v>
      </c>
      <c r="I61" s="304"/>
      <c r="J61" s="305">
        <v>7</v>
      </c>
      <c r="K61" s="306">
        <f t="shared" si="10"/>
        <v>399</v>
      </c>
      <c r="L61" s="307"/>
      <c r="M61" s="235"/>
      <c r="N61" s="308"/>
      <c r="O61" s="309"/>
      <c r="P61" s="315"/>
      <c r="Q61" s="312"/>
      <c r="R61" s="313"/>
      <c r="S61" s="314"/>
    </row>
    <row r="62" spans="1:20" x14ac:dyDescent="0.35">
      <c r="A62" s="149"/>
      <c r="B62" s="36"/>
      <c r="C62" s="34"/>
      <c r="D62" s="36"/>
      <c r="E62" s="44" t="s">
        <v>1015</v>
      </c>
      <c r="F62" s="303"/>
      <c r="G62" s="304">
        <v>1</v>
      </c>
      <c r="H62" s="304">
        <f>28+3.5</f>
        <v>31.5</v>
      </c>
      <c r="I62" s="304"/>
      <c r="J62" s="305">
        <v>8</v>
      </c>
      <c r="K62" s="306">
        <f t="shared" si="10"/>
        <v>252</v>
      </c>
      <c r="L62" s="307"/>
      <c r="M62" s="235"/>
      <c r="N62" s="308"/>
      <c r="O62" s="309"/>
      <c r="P62" s="315"/>
      <c r="Q62" s="312"/>
      <c r="R62" s="313"/>
      <c r="S62" s="314"/>
    </row>
    <row r="63" spans="1:20" x14ac:dyDescent="0.35">
      <c r="A63" s="149"/>
      <c r="B63" s="36"/>
      <c r="C63" s="34"/>
      <c r="D63" s="36"/>
      <c r="E63" s="44" t="s">
        <v>1016</v>
      </c>
      <c r="F63" s="303"/>
      <c r="G63" s="304">
        <v>1</v>
      </c>
      <c r="H63" s="304">
        <f>23+3.5+3.5+5.5</f>
        <v>35.5</v>
      </c>
      <c r="I63" s="304"/>
      <c r="J63" s="305">
        <v>8</v>
      </c>
      <c r="K63" s="306">
        <f t="shared" si="10"/>
        <v>284</v>
      </c>
      <c r="L63" s="307"/>
      <c r="M63" s="235"/>
      <c r="N63" s="308"/>
      <c r="O63" s="309"/>
      <c r="P63" s="315"/>
      <c r="Q63" s="312"/>
      <c r="R63" s="313"/>
      <c r="S63" s="314"/>
    </row>
    <row r="64" spans="1:20" x14ac:dyDescent="0.35">
      <c r="A64" s="149"/>
      <c r="B64" s="36"/>
      <c r="C64" s="34"/>
      <c r="D64" s="36"/>
      <c r="E64" s="44" t="s">
        <v>1017</v>
      </c>
      <c r="F64" s="303"/>
      <c r="G64" s="304">
        <v>1</v>
      </c>
      <c r="H64" s="304">
        <v>2</v>
      </c>
      <c r="I64" s="304"/>
      <c r="J64" s="305">
        <v>3</v>
      </c>
      <c r="K64" s="306">
        <f t="shared" si="10"/>
        <v>6</v>
      </c>
      <c r="L64" s="307"/>
      <c r="M64" s="235"/>
      <c r="N64" s="308"/>
      <c r="O64" s="309"/>
      <c r="P64" s="315"/>
      <c r="Q64" s="312"/>
      <c r="R64" s="313"/>
      <c r="S64" s="314"/>
    </row>
    <row r="65" spans="1:19" x14ac:dyDescent="0.35">
      <c r="A65" s="149"/>
      <c r="B65" s="36"/>
      <c r="C65" s="34"/>
      <c r="D65" s="36"/>
      <c r="E65" s="169" t="s">
        <v>1013</v>
      </c>
      <c r="F65" s="332"/>
      <c r="G65" s="333">
        <v>6</v>
      </c>
      <c r="H65" s="333">
        <v>0.75</v>
      </c>
      <c r="I65" s="304"/>
      <c r="J65" s="305">
        <v>8</v>
      </c>
      <c r="K65" s="306">
        <f t="shared" si="10"/>
        <v>36</v>
      </c>
      <c r="L65" s="307"/>
      <c r="M65" s="235"/>
      <c r="N65" s="308"/>
      <c r="O65" s="309"/>
      <c r="P65" s="315"/>
      <c r="Q65" s="312"/>
      <c r="R65" s="313"/>
      <c r="S65" s="314"/>
    </row>
    <row r="66" spans="1:19" x14ac:dyDescent="0.35">
      <c r="A66" s="149"/>
      <c r="B66" s="36"/>
      <c r="C66" s="34"/>
      <c r="D66" s="36"/>
      <c r="E66" s="44" t="s">
        <v>1019</v>
      </c>
      <c r="F66" s="303"/>
      <c r="G66" s="304">
        <v>1</v>
      </c>
      <c r="H66" s="304">
        <v>3.5</v>
      </c>
      <c r="I66" s="304"/>
      <c r="J66" s="305">
        <v>1</v>
      </c>
      <c r="K66" s="306">
        <f t="shared" si="10"/>
        <v>3.5</v>
      </c>
      <c r="L66" s="307"/>
      <c r="M66" s="235"/>
      <c r="N66" s="308"/>
      <c r="O66" s="309"/>
      <c r="P66" s="315"/>
      <c r="Q66" s="312"/>
      <c r="R66" s="313"/>
      <c r="S66" s="314"/>
    </row>
    <row r="67" spans="1:19" x14ac:dyDescent="0.35">
      <c r="A67" s="149"/>
      <c r="B67" s="36"/>
      <c r="C67" s="34"/>
      <c r="D67" s="36"/>
      <c r="E67" s="44" t="s">
        <v>1020</v>
      </c>
      <c r="F67" s="303"/>
      <c r="G67" s="304">
        <v>2</v>
      </c>
      <c r="H67" s="304">
        <v>4</v>
      </c>
      <c r="I67" s="304"/>
      <c r="J67" s="305">
        <v>1</v>
      </c>
      <c r="K67" s="306">
        <f t="shared" si="10"/>
        <v>8</v>
      </c>
      <c r="L67" s="307"/>
      <c r="M67" s="235"/>
      <c r="N67" s="308"/>
      <c r="O67" s="309"/>
      <c r="P67" s="315"/>
      <c r="Q67" s="312"/>
      <c r="R67" s="313"/>
      <c r="S67" s="314"/>
    </row>
    <row r="68" spans="1:19" x14ac:dyDescent="0.35">
      <c r="A68" s="149"/>
      <c r="B68" s="36"/>
      <c r="C68" s="34"/>
      <c r="D68" s="36"/>
      <c r="E68" s="44"/>
      <c r="F68" s="303"/>
      <c r="G68" s="304"/>
      <c r="H68" s="304"/>
      <c r="I68" s="304"/>
      <c r="J68" s="305"/>
      <c r="K68" s="306"/>
      <c r="L68" s="307"/>
      <c r="M68" s="235"/>
      <c r="N68" s="308"/>
      <c r="O68" s="309"/>
      <c r="P68" s="315"/>
      <c r="Q68" s="312"/>
      <c r="R68" s="313"/>
      <c r="S68" s="314"/>
    </row>
    <row r="69" spans="1:19" x14ac:dyDescent="0.35">
      <c r="A69" s="149"/>
      <c r="B69" s="36"/>
      <c r="C69" s="34"/>
      <c r="D69" s="36"/>
      <c r="E69" s="44"/>
      <c r="F69" s="303"/>
      <c r="G69" s="304"/>
      <c r="H69" s="304"/>
      <c r="I69" s="304"/>
      <c r="J69" s="305"/>
      <c r="K69" s="306"/>
      <c r="L69" s="307"/>
      <c r="M69" s="235"/>
      <c r="N69" s="308"/>
      <c r="O69" s="309"/>
      <c r="P69" s="315"/>
      <c r="Q69" s="312"/>
      <c r="R69" s="313"/>
      <c r="S69" s="314"/>
    </row>
    <row r="70" spans="1:19" ht="40.25" customHeight="1" x14ac:dyDescent="0.35">
      <c r="A70" s="149"/>
      <c r="B70" s="36"/>
      <c r="C70" s="34" t="s">
        <v>100</v>
      </c>
      <c r="D70" s="36" t="s">
        <v>711</v>
      </c>
      <c r="E70" s="44" t="s">
        <v>693</v>
      </c>
      <c r="F70" s="303" t="s">
        <v>150</v>
      </c>
      <c r="G70" s="304"/>
      <c r="H70" s="304"/>
      <c r="I70" s="304"/>
      <c r="J70" s="305"/>
      <c r="K70" s="306">
        <f>SUM(K71:K73)</f>
        <v>83</v>
      </c>
      <c r="L70" s="307">
        <v>160</v>
      </c>
      <c r="M70" s="235">
        <f t="shared" ref="M70" si="11">L70*$K70</f>
        <v>13280</v>
      </c>
      <c r="N70" s="308">
        <v>73</v>
      </c>
      <c r="O70" s="309">
        <v>160</v>
      </c>
      <c r="P70" s="315">
        <f t="shared" ref="P70" si="12">O70*N70</f>
        <v>11680</v>
      </c>
      <c r="Q70" s="312">
        <f t="shared" ref="Q70" si="13">K70-N70</f>
        <v>10</v>
      </c>
      <c r="R70" s="313">
        <v>160</v>
      </c>
      <c r="S70" s="314">
        <f>R70*Q70</f>
        <v>1600</v>
      </c>
    </row>
    <row r="71" spans="1:19" x14ac:dyDescent="0.35">
      <c r="A71" s="149"/>
      <c r="B71" s="36"/>
      <c r="C71" s="34"/>
      <c r="D71" s="36"/>
      <c r="E71" s="44" t="s">
        <v>803</v>
      </c>
      <c r="F71" s="303"/>
      <c r="G71" s="304">
        <v>2</v>
      </c>
      <c r="H71" s="304">
        <v>8</v>
      </c>
      <c r="I71" s="304"/>
      <c r="J71" s="305"/>
      <c r="K71" s="306">
        <f>H71*G71</f>
        <v>16</v>
      </c>
      <c r="L71" s="307"/>
      <c r="M71" s="235"/>
      <c r="N71" s="308"/>
      <c r="O71" s="309"/>
      <c r="P71" s="315"/>
      <c r="Q71" s="312"/>
      <c r="R71" s="313"/>
      <c r="S71" s="314"/>
    </row>
    <row r="72" spans="1:19" x14ac:dyDescent="0.35">
      <c r="A72" s="149"/>
      <c r="B72" s="36"/>
      <c r="C72" s="34"/>
      <c r="D72" s="36"/>
      <c r="E72" s="44" t="s">
        <v>804</v>
      </c>
      <c r="F72" s="303"/>
      <c r="G72" s="304">
        <v>2</v>
      </c>
      <c r="H72" s="304">
        <v>3.5</v>
      </c>
      <c r="I72" s="304"/>
      <c r="J72" s="305"/>
      <c r="K72" s="306">
        <f t="shared" ref="K72:K73" si="14">H72*G72</f>
        <v>7</v>
      </c>
      <c r="L72" s="307"/>
      <c r="M72" s="235"/>
      <c r="N72" s="308"/>
      <c r="O72" s="309"/>
      <c r="P72" s="315"/>
      <c r="Q72" s="312"/>
      <c r="R72" s="313"/>
      <c r="S72" s="314"/>
    </row>
    <row r="73" spans="1:19" x14ac:dyDescent="0.35">
      <c r="A73" s="149"/>
      <c r="B73" s="36"/>
      <c r="C73" s="34"/>
      <c r="D73" s="36"/>
      <c r="E73" s="44" t="s">
        <v>802</v>
      </c>
      <c r="F73" s="303"/>
      <c r="G73" s="304">
        <v>6</v>
      </c>
      <c r="H73" s="304">
        <v>10</v>
      </c>
      <c r="I73" s="304"/>
      <c r="J73" s="305"/>
      <c r="K73" s="306">
        <f t="shared" si="14"/>
        <v>60</v>
      </c>
      <c r="L73" s="307"/>
      <c r="M73" s="235"/>
      <c r="N73" s="308"/>
      <c r="O73" s="309"/>
      <c r="P73" s="315"/>
      <c r="Q73" s="312"/>
      <c r="R73" s="313"/>
      <c r="S73" s="314"/>
    </row>
    <row r="74" spans="1:19" x14ac:dyDescent="0.35">
      <c r="A74" s="46" t="s">
        <v>551</v>
      </c>
      <c r="B74" s="52"/>
      <c r="C74" s="34"/>
      <c r="D74" s="34"/>
      <c r="E74" s="46"/>
      <c r="F74" s="316"/>
      <c r="G74" s="317"/>
      <c r="H74" s="317"/>
      <c r="I74" s="317"/>
      <c r="J74" s="318"/>
      <c r="K74" s="322"/>
      <c r="L74" s="323"/>
      <c r="M74" s="210"/>
      <c r="N74" s="308"/>
      <c r="O74" s="309"/>
      <c r="P74" s="315"/>
      <c r="Q74" s="319"/>
      <c r="R74" s="320"/>
      <c r="S74" s="321"/>
    </row>
    <row r="75" spans="1:19" x14ac:dyDescent="0.35">
      <c r="A75" s="150" t="s">
        <v>167</v>
      </c>
      <c r="B75" s="85"/>
      <c r="C75" s="85"/>
      <c r="D75" s="85"/>
      <c r="E75" s="86" t="s">
        <v>201</v>
      </c>
      <c r="F75" s="334"/>
      <c r="G75" s="335"/>
      <c r="H75" s="335"/>
      <c r="I75" s="335"/>
      <c r="J75" s="336"/>
      <c r="K75" s="337"/>
      <c r="L75" s="338"/>
      <c r="M75" s="244"/>
      <c r="N75" s="308"/>
      <c r="O75" s="309"/>
      <c r="P75" s="315"/>
      <c r="Q75" s="312"/>
      <c r="R75" s="313"/>
      <c r="S75" s="314"/>
    </row>
    <row r="76" spans="1:19" x14ac:dyDescent="0.35">
      <c r="A76" s="131"/>
      <c r="B76" s="34" t="s">
        <v>202</v>
      </c>
      <c r="C76" s="34"/>
      <c r="D76" s="34"/>
      <c r="E76" s="89" t="s">
        <v>203</v>
      </c>
      <c r="F76" s="339"/>
      <c r="G76" s="340"/>
      <c r="H76" s="340"/>
      <c r="I76" s="340"/>
      <c r="J76" s="341"/>
      <c r="K76" s="342"/>
      <c r="L76" s="343"/>
      <c r="M76" s="210"/>
      <c r="N76" s="308"/>
      <c r="O76" s="309"/>
      <c r="P76" s="315"/>
      <c r="Q76" s="312"/>
      <c r="R76" s="313"/>
      <c r="S76" s="314"/>
    </row>
    <row r="77" spans="1:19" ht="23" x14ac:dyDescent="0.35">
      <c r="A77" s="149"/>
      <c r="B77" s="36"/>
      <c r="C77" s="34" t="s">
        <v>57</v>
      </c>
      <c r="D77" s="36" t="s">
        <v>209</v>
      </c>
      <c r="E77" s="44" t="s">
        <v>717</v>
      </c>
      <c r="F77" s="303" t="s">
        <v>32</v>
      </c>
      <c r="G77" s="304"/>
      <c r="H77" s="304"/>
      <c r="I77" s="304"/>
      <c r="J77" s="305"/>
      <c r="K77" s="306">
        <v>3</v>
      </c>
      <c r="L77" s="307">
        <v>1478.05</v>
      </c>
      <c r="M77" s="235">
        <f t="shared" ref="M77" si="15">L77*$K77</f>
        <v>4434.1499999999996</v>
      </c>
      <c r="N77" s="308">
        <v>1</v>
      </c>
      <c r="O77" s="309">
        <v>1478.05</v>
      </c>
      <c r="P77" s="315">
        <f t="shared" ref="P77" si="16">O77*N77</f>
        <v>1478.05</v>
      </c>
      <c r="Q77" s="312">
        <f t="shared" ref="Q77" si="17">K77-N77</f>
        <v>2</v>
      </c>
      <c r="R77" s="313">
        <v>1478.05</v>
      </c>
      <c r="S77" s="314">
        <f>R77*Q77</f>
        <v>2956.1</v>
      </c>
    </row>
    <row r="78" spans="1:19" x14ac:dyDescent="0.35">
      <c r="A78" s="46" t="s">
        <v>552</v>
      </c>
      <c r="B78" s="52"/>
      <c r="C78" s="34"/>
      <c r="D78" s="34"/>
      <c r="E78" s="46"/>
      <c r="F78" s="316"/>
      <c r="G78" s="317"/>
      <c r="H78" s="317"/>
      <c r="I78" s="317"/>
      <c r="J78" s="318"/>
      <c r="K78" s="322"/>
      <c r="L78" s="323"/>
      <c r="M78" s="210"/>
      <c r="N78" s="308"/>
      <c r="O78" s="309"/>
      <c r="P78" s="203"/>
      <c r="Q78" s="312">
        <f t="shared" ref="Q78:S78" si="18">K78-N78</f>
        <v>0</v>
      </c>
      <c r="R78" s="313">
        <f t="shared" si="18"/>
        <v>0</v>
      </c>
      <c r="S78" s="314">
        <f t="shared" si="18"/>
        <v>0</v>
      </c>
    </row>
    <row r="79" spans="1:19" x14ac:dyDescent="0.35">
      <c r="A79" s="150" t="s">
        <v>224</v>
      </c>
      <c r="B79" s="85"/>
      <c r="C79" s="85"/>
      <c r="D79" s="85"/>
      <c r="E79" s="86" t="s">
        <v>225</v>
      </c>
      <c r="F79" s="334"/>
      <c r="G79" s="335"/>
      <c r="H79" s="335"/>
      <c r="I79" s="335"/>
      <c r="J79" s="336"/>
      <c r="K79" s="337"/>
      <c r="L79" s="338"/>
      <c r="M79" s="244"/>
      <c r="N79" s="308"/>
      <c r="O79" s="309"/>
      <c r="P79" s="315"/>
      <c r="Q79" s="312"/>
      <c r="R79" s="313"/>
      <c r="S79" s="314"/>
    </row>
    <row r="80" spans="1:19" x14ac:dyDescent="0.35">
      <c r="A80" s="46" t="s">
        <v>553</v>
      </c>
      <c r="B80" s="52"/>
      <c r="C80" s="34"/>
      <c r="D80" s="34"/>
      <c r="E80" s="46"/>
      <c r="F80" s="316"/>
      <c r="G80" s="317"/>
      <c r="H80" s="317"/>
      <c r="I80" s="317"/>
      <c r="J80" s="318"/>
      <c r="K80" s="322"/>
      <c r="L80" s="323"/>
      <c r="M80" s="210"/>
      <c r="N80" s="308"/>
      <c r="O80" s="309"/>
      <c r="P80" s="203"/>
      <c r="Q80" s="312"/>
      <c r="R80" s="313"/>
      <c r="S80" s="314"/>
    </row>
    <row r="81" spans="1:19" x14ac:dyDescent="0.35">
      <c r="A81" s="131"/>
      <c r="B81" s="34" t="s">
        <v>251</v>
      </c>
      <c r="C81" s="34"/>
      <c r="D81" s="34"/>
      <c r="E81" s="89" t="s">
        <v>252</v>
      </c>
      <c r="F81" s="339"/>
      <c r="G81" s="340"/>
      <c r="H81" s="340"/>
      <c r="I81" s="340"/>
      <c r="J81" s="341"/>
      <c r="K81" s="342"/>
      <c r="L81" s="343"/>
      <c r="M81" s="210"/>
      <c r="N81" s="308"/>
      <c r="O81" s="309"/>
      <c r="P81" s="315"/>
      <c r="Q81" s="312"/>
      <c r="R81" s="313"/>
      <c r="S81" s="314"/>
    </row>
    <row r="82" spans="1:19" ht="80.5" x14ac:dyDescent="0.35">
      <c r="A82" s="131"/>
      <c r="B82" s="34"/>
      <c r="C82" s="34" t="s">
        <v>8</v>
      </c>
      <c r="D82" s="36"/>
      <c r="E82" s="97" t="s">
        <v>253</v>
      </c>
      <c r="F82" s="303"/>
      <c r="G82" s="304"/>
      <c r="H82" s="304"/>
      <c r="I82" s="304"/>
      <c r="J82" s="305"/>
      <c r="K82" s="306"/>
      <c r="L82" s="307"/>
      <c r="M82" s="247"/>
      <c r="N82" s="308"/>
      <c r="O82" s="309"/>
      <c r="P82" s="315"/>
      <c r="Q82" s="312"/>
      <c r="R82" s="313"/>
      <c r="S82" s="314"/>
    </row>
    <row r="83" spans="1:19" x14ac:dyDescent="0.35">
      <c r="A83" s="131"/>
      <c r="B83" s="34"/>
      <c r="C83" s="34" t="s">
        <v>11</v>
      </c>
      <c r="D83" s="36"/>
      <c r="E83" s="97" t="s">
        <v>254</v>
      </c>
      <c r="F83" s="303" t="s">
        <v>101</v>
      </c>
      <c r="G83" s="304"/>
      <c r="H83" s="304"/>
      <c r="I83" s="304"/>
      <c r="J83" s="305"/>
      <c r="K83" s="306">
        <v>0</v>
      </c>
      <c r="L83" s="307">
        <v>209.89</v>
      </c>
      <c r="M83" s="235">
        <f>L83*$K83</f>
        <v>0</v>
      </c>
      <c r="N83" s="308">
        <v>0</v>
      </c>
      <c r="O83" s="309">
        <v>209.89</v>
      </c>
      <c r="P83" s="315">
        <f>O83*N83</f>
        <v>0</v>
      </c>
      <c r="Q83" s="312"/>
      <c r="R83" s="313"/>
      <c r="S83" s="314"/>
    </row>
    <row r="84" spans="1:19" x14ac:dyDescent="0.35">
      <c r="A84" s="131"/>
      <c r="B84" s="34"/>
      <c r="C84" s="34" t="s">
        <v>14</v>
      </c>
      <c r="D84" s="36"/>
      <c r="E84" s="97" t="s">
        <v>255</v>
      </c>
      <c r="F84" s="303" t="s">
        <v>101</v>
      </c>
      <c r="G84" s="304"/>
      <c r="H84" s="304"/>
      <c r="I84" s="304"/>
      <c r="J84" s="305"/>
      <c r="K84" s="306"/>
      <c r="L84" s="307">
        <v>280.43</v>
      </c>
      <c r="M84" s="235">
        <f>L84*$K84</f>
        <v>0</v>
      </c>
      <c r="N84" s="308">
        <v>13</v>
      </c>
      <c r="O84" s="309">
        <v>280</v>
      </c>
      <c r="P84" s="315">
        <f t="shared" ref="P84:P100" si="19">O84*N84</f>
        <v>3640</v>
      </c>
      <c r="Q84" s="312"/>
      <c r="R84" s="313"/>
      <c r="S84" s="314"/>
    </row>
    <row r="85" spans="1:19" x14ac:dyDescent="0.35">
      <c r="A85" s="131"/>
      <c r="B85" s="34"/>
      <c r="C85" s="34" t="s">
        <v>16</v>
      </c>
      <c r="D85" s="36"/>
      <c r="E85" s="97" t="s">
        <v>256</v>
      </c>
      <c r="F85" s="303" t="s">
        <v>101</v>
      </c>
      <c r="G85" s="304"/>
      <c r="H85" s="304"/>
      <c r="I85" s="304"/>
      <c r="J85" s="305"/>
      <c r="K85" s="306"/>
      <c r="L85" s="307">
        <v>330.45</v>
      </c>
      <c r="M85" s="235">
        <f>L85*$K85</f>
        <v>0</v>
      </c>
      <c r="N85" s="308">
        <v>0</v>
      </c>
      <c r="O85" s="309">
        <v>330.45</v>
      </c>
      <c r="P85" s="315">
        <f t="shared" si="19"/>
        <v>0</v>
      </c>
      <c r="Q85" s="312"/>
      <c r="R85" s="313"/>
      <c r="S85" s="314"/>
    </row>
    <row r="86" spans="1:19" x14ac:dyDescent="0.35">
      <c r="A86" s="131"/>
      <c r="B86" s="34"/>
      <c r="C86" s="34" t="s">
        <v>18</v>
      </c>
      <c r="D86" s="36"/>
      <c r="E86" s="97" t="s">
        <v>257</v>
      </c>
      <c r="F86" s="303" t="s">
        <v>101</v>
      </c>
      <c r="G86" s="304"/>
      <c r="H86" s="304"/>
      <c r="I86" s="304"/>
      <c r="J86" s="305"/>
      <c r="K86" s="306"/>
      <c r="L86" s="307">
        <v>392</v>
      </c>
      <c r="M86" s="235">
        <f>L86*$K86</f>
        <v>0</v>
      </c>
      <c r="N86" s="308">
        <v>0</v>
      </c>
      <c r="O86" s="309">
        <v>392</v>
      </c>
      <c r="P86" s="315">
        <f t="shared" si="19"/>
        <v>0</v>
      </c>
      <c r="Q86" s="312"/>
      <c r="R86" s="313"/>
      <c r="S86" s="314"/>
    </row>
    <row r="87" spans="1:19" x14ac:dyDescent="0.35">
      <c r="A87" s="131"/>
      <c r="B87" s="34"/>
      <c r="C87" s="34" t="s">
        <v>20</v>
      </c>
      <c r="D87" s="36"/>
      <c r="E87" s="97" t="s">
        <v>258</v>
      </c>
      <c r="F87" s="303" t="s">
        <v>101</v>
      </c>
      <c r="G87" s="304"/>
      <c r="H87" s="304"/>
      <c r="I87" s="304"/>
      <c r="J87" s="305"/>
      <c r="K87" s="306">
        <f>SUM(K88:K89)</f>
        <v>0</v>
      </c>
      <c r="L87" s="307">
        <v>475.2</v>
      </c>
      <c r="M87" s="235">
        <f>L87*$K87</f>
        <v>0</v>
      </c>
      <c r="N87" s="308">
        <v>19</v>
      </c>
      <c r="O87" s="309">
        <v>475.2</v>
      </c>
      <c r="P87" s="315">
        <f t="shared" si="19"/>
        <v>9028.7999999999993</v>
      </c>
      <c r="Q87" s="312"/>
      <c r="R87" s="313"/>
      <c r="S87" s="314"/>
    </row>
    <row r="88" spans="1:19" x14ac:dyDescent="0.35">
      <c r="A88" s="131"/>
      <c r="B88" s="34"/>
      <c r="C88" s="34"/>
      <c r="D88" s="36"/>
      <c r="E88" s="97"/>
      <c r="F88" s="303"/>
      <c r="G88" s="304"/>
      <c r="H88" s="304"/>
      <c r="I88" s="304"/>
      <c r="J88" s="305"/>
      <c r="K88" s="306"/>
      <c r="L88" s="307"/>
      <c r="M88" s="235"/>
      <c r="N88" s="308"/>
      <c r="O88" s="309"/>
      <c r="P88" s="315"/>
      <c r="Q88" s="312"/>
      <c r="R88" s="313"/>
      <c r="S88" s="314"/>
    </row>
    <row r="89" spans="1:19" x14ac:dyDescent="0.35">
      <c r="A89" s="131"/>
      <c r="B89" s="34"/>
      <c r="C89" s="34"/>
      <c r="D89" s="36"/>
      <c r="E89" s="97"/>
      <c r="F89" s="303"/>
      <c r="G89" s="304"/>
      <c r="H89" s="304"/>
      <c r="I89" s="304"/>
      <c r="J89" s="305"/>
      <c r="K89" s="306"/>
      <c r="L89" s="307"/>
      <c r="M89" s="235"/>
      <c r="N89" s="308"/>
      <c r="O89" s="309"/>
      <c r="P89" s="315"/>
      <c r="Q89" s="312"/>
      <c r="R89" s="313"/>
      <c r="S89" s="314"/>
    </row>
    <row r="90" spans="1:19" x14ac:dyDescent="0.35">
      <c r="A90" s="131"/>
      <c r="B90" s="34"/>
      <c r="C90" s="34"/>
      <c r="D90" s="36"/>
      <c r="E90" s="97"/>
      <c r="F90" s="303"/>
      <c r="G90" s="304"/>
      <c r="H90" s="304"/>
      <c r="I90" s="304"/>
      <c r="J90" s="305"/>
      <c r="K90" s="306"/>
      <c r="L90" s="307"/>
      <c r="M90" s="235"/>
      <c r="N90" s="308"/>
      <c r="O90" s="309"/>
      <c r="P90" s="315"/>
      <c r="Q90" s="312"/>
      <c r="R90" s="313"/>
      <c r="S90" s="314"/>
    </row>
    <row r="91" spans="1:19" x14ac:dyDescent="0.35">
      <c r="A91" s="131"/>
      <c r="B91" s="34"/>
      <c r="C91" s="34" t="s">
        <v>22</v>
      </c>
      <c r="D91" s="36"/>
      <c r="E91" s="97" t="s">
        <v>259</v>
      </c>
      <c r="F91" s="303" t="s">
        <v>101</v>
      </c>
      <c r="G91" s="304"/>
      <c r="H91" s="304"/>
      <c r="I91" s="304"/>
      <c r="J91" s="305"/>
      <c r="K91" s="306">
        <f>SUM(K92:K98)</f>
        <v>19.64</v>
      </c>
      <c r="L91" s="307">
        <v>750</v>
      </c>
      <c r="M91" s="235">
        <f>L91*$K91</f>
        <v>14730</v>
      </c>
      <c r="N91" s="308">
        <v>19</v>
      </c>
      <c r="O91" s="309">
        <v>750</v>
      </c>
      <c r="P91" s="315">
        <f t="shared" si="19"/>
        <v>14250</v>
      </c>
      <c r="Q91" s="312">
        <f t="shared" ref="Q91" si="20">K91-N91</f>
        <v>0.64000000000000057</v>
      </c>
      <c r="R91" s="313">
        <v>750</v>
      </c>
      <c r="S91" s="314">
        <f>R91*Q91</f>
        <v>480.00000000000045</v>
      </c>
    </row>
    <row r="92" spans="1:19" x14ac:dyDescent="0.35">
      <c r="A92" s="131"/>
      <c r="B92" s="34"/>
      <c r="C92" s="34"/>
      <c r="D92" s="36"/>
      <c r="E92" s="97" t="s">
        <v>1115</v>
      </c>
      <c r="F92" s="303"/>
      <c r="G92" s="304">
        <v>1</v>
      </c>
      <c r="H92" s="304">
        <v>1.8</v>
      </c>
      <c r="I92" s="304"/>
      <c r="J92" s="305"/>
      <c r="K92" s="306">
        <f t="shared" ref="K92:K96" si="21">H92*G92</f>
        <v>1.8</v>
      </c>
      <c r="L92" s="307"/>
      <c r="M92" s="235"/>
      <c r="N92" s="308"/>
      <c r="O92" s="309"/>
      <c r="P92" s="315"/>
      <c r="Q92" s="312"/>
      <c r="R92" s="313"/>
      <c r="S92" s="314"/>
    </row>
    <row r="93" spans="1:19" x14ac:dyDescent="0.35">
      <c r="A93" s="131"/>
      <c r="B93" s="34"/>
      <c r="C93" s="34"/>
      <c r="D93" s="36"/>
      <c r="E93" s="97" t="s">
        <v>1116</v>
      </c>
      <c r="F93" s="303"/>
      <c r="G93" s="304">
        <v>1</v>
      </c>
      <c r="H93" s="304">
        <v>4.5</v>
      </c>
      <c r="I93" s="304"/>
      <c r="J93" s="305"/>
      <c r="K93" s="306">
        <f t="shared" si="21"/>
        <v>4.5</v>
      </c>
      <c r="L93" s="307"/>
      <c r="M93" s="235"/>
      <c r="N93" s="308"/>
      <c r="O93" s="309"/>
      <c r="P93" s="315"/>
      <c r="Q93" s="312"/>
      <c r="R93" s="313"/>
      <c r="S93" s="314"/>
    </row>
    <row r="94" spans="1:19" x14ac:dyDescent="0.35">
      <c r="A94" s="131"/>
      <c r="B94" s="34"/>
      <c r="C94" s="34"/>
      <c r="D94" s="36"/>
      <c r="E94" s="97" t="s">
        <v>1117</v>
      </c>
      <c r="F94" s="303"/>
      <c r="G94" s="304">
        <v>1</v>
      </c>
      <c r="H94" s="304">
        <v>0.76</v>
      </c>
      <c r="I94" s="304"/>
      <c r="J94" s="305"/>
      <c r="K94" s="306">
        <f t="shared" si="21"/>
        <v>0.76</v>
      </c>
      <c r="L94" s="307"/>
      <c r="M94" s="235"/>
      <c r="N94" s="308"/>
      <c r="O94" s="309"/>
      <c r="P94" s="315"/>
      <c r="Q94" s="312"/>
      <c r="R94" s="313"/>
      <c r="S94" s="314"/>
    </row>
    <row r="95" spans="1:19" x14ac:dyDescent="0.35">
      <c r="A95" s="131"/>
      <c r="B95" s="34"/>
      <c r="C95" s="34"/>
      <c r="D95" s="36"/>
      <c r="E95" s="97" t="s">
        <v>1118</v>
      </c>
      <c r="F95" s="303"/>
      <c r="G95" s="304">
        <v>1</v>
      </c>
      <c r="H95" s="304">
        <v>6.53</v>
      </c>
      <c r="I95" s="304"/>
      <c r="J95" s="305"/>
      <c r="K95" s="306">
        <f t="shared" si="21"/>
        <v>6.53</v>
      </c>
      <c r="L95" s="307"/>
      <c r="M95" s="235"/>
      <c r="N95" s="308"/>
      <c r="O95" s="309"/>
      <c r="P95" s="315"/>
      <c r="Q95" s="312"/>
      <c r="R95" s="313"/>
      <c r="S95" s="314"/>
    </row>
    <row r="96" spans="1:19" x14ac:dyDescent="0.35">
      <c r="A96" s="131"/>
      <c r="B96" s="34"/>
      <c r="C96" s="34"/>
      <c r="D96" s="36"/>
      <c r="E96" s="97" t="s">
        <v>1119</v>
      </c>
      <c r="F96" s="303"/>
      <c r="G96" s="304">
        <v>1</v>
      </c>
      <c r="H96" s="304">
        <v>6.05</v>
      </c>
      <c r="I96" s="304"/>
      <c r="J96" s="305"/>
      <c r="K96" s="306">
        <f t="shared" si="21"/>
        <v>6.05</v>
      </c>
      <c r="L96" s="307"/>
      <c r="M96" s="235"/>
      <c r="N96" s="308"/>
      <c r="O96" s="309"/>
      <c r="P96" s="315"/>
      <c r="Q96" s="312"/>
      <c r="R96" s="313"/>
      <c r="S96" s="314"/>
    </row>
    <row r="97" spans="1:19" x14ac:dyDescent="0.35">
      <c r="A97" s="131"/>
      <c r="B97" s="34"/>
      <c r="C97" s="34"/>
      <c r="D97" s="36"/>
      <c r="E97" s="97"/>
      <c r="F97" s="303"/>
      <c r="G97" s="304"/>
      <c r="H97" s="304"/>
      <c r="I97" s="304"/>
      <c r="J97" s="305"/>
      <c r="K97" s="306"/>
      <c r="L97" s="307"/>
      <c r="M97" s="235"/>
      <c r="N97" s="308"/>
      <c r="O97" s="309"/>
      <c r="P97" s="315"/>
      <c r="Q97" s="312"/>
      <c r="R97" s="313"/>
      <c r="S97" s="314"/>
    </row>
    <row r="98" spans="1:19" x14ac:dyDescent="0.35">
      <c r="A98" s="131"/>
      <c r="B98" s="34"/>
      <c r="C98" s="34"/>
      <c r="D98" s="36"/>
      <c r="E98" s="97"/>
      <c r="F98" s="303"/>
      <c r="G98" s="304"/>
      <c r="H98" s="304"/>
      <c r="I98" s="304"/>
      <c r="J98" s="305"/>
      <c r="K98" s="306"/>
      <c r="L98" s="307"/>
      <c r="M98" s="235"/>
      <c r="N98" s="308"/>
      <c r="O98" s="309"/>
      <c r="P98" s="315"/>
      <c r="Q98" s="312"/>
      <c r="R98" s="313"/>
      <c r="S98" s="314"/>
    </row>
    <row r="99" spans="1:19" x14ac:dyDescent="0.35">
      <c r="A99" s="131"/>
      <c r="B99" s="34"/>
      <c r="C99" s="34"/>
      <c r="D99" s="36"/>
      <c r="E99" s="97"/>
      <c r="F99" s="303"/>
      <c r="G99" s="304"/>
      <c r="H99" s="304"/>
      <c r="I99" s="304"/>
      <c r="J99" s="305"/>
      <c r="K99" s="306"/>
      <c r="L99" s="307"/>
      <c r="M99" s="235"/>
      <c r="N99" s="308"/>
      <c r="O99" s="309"/>
      <c r="P99" s="315"/>
      <c r="Q99" s="312"/>
      <c r="R99" s="313"/>
      <c r="S99" s="314"/>
    </row>
    <row r="100" spans="1:19" ht="34.5" x14ac:dyDescent="0.35">
      <c r="A100" s="131"/>
      <c r="B100" s="34"/>
      <c r="C100" s="34" t="s">
        <v>92</v>
      </c>
      <c r="D100" s="36"/>
      <c r="E100" s="39" t="s">
        <v>905</v>
      </c>
      <c r="F100" s="303" t="s">
        <v>193</v>
      </c>
      <c r="G100" s="304"/>
      <c r="H100" s="304"/>
      <c r="I100" s="304"/>
      <c r="J100" s="305"/>
      <c r="K100" s="306">
        <v>1</v>
      </c>
      <c r="L100" s="307">
        <v>2934.47</v>
      </c>
      <c r="M100" s="235">
        <f t="shared" ref="M100" si="22">L100*$K100</f>
        <v>2934.47</v>
      </c>
      <c r="N100" s="308">
        <v>0.47</v>
      </c>
      <c r="O100" s="309">
        <v>2934.47</v>
      </c>
      <c r="P100" s="315">
        <f t="shared" si="19"/>
        <v>1379.2008999999998</v>
      </c>
      <c r="Q100" s="312">
        <f t="shared" ref="Q100:Q106" si="23">K100-N100</f>
        <v>0.53</v>
      </c>
      <c r="R100" s="313">
        <v>2934.47</v>
      </c>
      <c r="S100" s="314">
        <f>R100*Q100</f>
        <v>1555.2691</v>
      </c>
    </row>
    <row r="101" spans="1:19" x14ac:dyDescent="0.35">
      <c r="A101" s="46" t="s">
        <v>554</v>
      </c>
      <c r="B101" s="52"/>
      <c r="C101" s="34"/>
      <c r="D101" s="34"/>
      <c r="E101" s="46"/>
      <c r="F101" s="316"/>
      <c r="G101" s="317"/>
      <c r="H101" s="317"/>
      <c r="I101" s="317"/>
      <c r="J101" s="318"/>
      <c r="K101" s="322"/>
      <c r="L101" s="344"/>
      <c r="M101" s="210"/>
      <c r="N101" s="308"/>
      <c r="O101" s="309"/>
      <c r="P101" s="203"/>
      <c r="Q101" s="312"/>
      <c r="R101" s="313"/>
      <c r="S101" s="314"/>
    </row>
    <row r="102" spans="1:19" x14ac:dyDescent="0.35">
      <c r="A102" s="46" t="s">
        <v>555</v>
      </c>
      <c r="B102" s="52"/>
      <c r="C102" s="34"/>
      <c r="D102" s="34"/>
      <c r="E102" s="46"/>
      <c r="F102" s="316"/>
      <c r="G102" s="317"/>
      <c r="H102" s="317"/>
      <c r="I102" s="317"/>
      <c r="J102" s="318"/>
      <c r="K102" s="322"/>
      <c r="L102" s="323"/>
      <c r="M102" s="210"/>
      <c r="N102" s="308"/>
      <c r="O102" s="309"/>
      <c r="P102" s="203"/>
      <c r="Q102" s="312"/>
      <c r="R102" s="313"/>
      <c r="S102" s="314"/>
    </row>
    <row r="103" spans="1:19" x14ac:dyDescent="0.35">
      <c r="A103" s="131"/>
      <c r="B103" s="34" t="s">
        <v>268</v>
      </c>
      <c r="C103" s="34"/>
      <c r="D103" s="34"/>
      <c r="E103" s="89" t="s">
        <v>269</v>
      </c>
      <c r="F103" s="339"/>
      <c r="G103" s="340"/>
      <c r="H103" s="340"/>
      <c r="I103" s="340"/>
      <c r="J103" s="341"/>
      <c r="K103" s="342"/>
      <c r="L103" s="343"/>
      <c r="M103" s="210"/>
      <c r="N103" s="308"/>
      <c r="O103" s="309"/>
      <c r="P103" s="315"/>
      <c r="Q103" s="312"/>
      <c r="R103" s="313"/>
      <c r="S103" s="314"/>
    </row>
    <row r="104" spans="1:19" ht="69" x14ac:dyDescent="0.35">
      <c r="A104" s="151"/>
      <c r="B104" s="99"/>
      <c r="C104" s="34" t="s">
        <v>8</v>
      </c>
      <c r="D104" s="36"/>
      <c r="E104" s="44" t="s">
        <v>270</v>
      </c>
      <c r="F104" s="303"/>
      <c r="G104" s="304"/>
      <c r="H104" s="304"/>
      <c r="I104" s="304"/>
      <c r="J104" s="305"/>
      <c r="K104" s="306"/>
      <c r="L104" s="307"/>
      <c r="M104" s="235"/>
      <c r="N104" s="308"/>
      <c r="O104" s="309"/>
      <c r="P104" s="315"/>
      <c r="Q104" s="312"/>
      <c r="R104" s="313"/>
      <c r="S104" s="314"/>
    </row>
    <row r="105" spans="1:19" ht="52.25" customHeight="1" x14ac:dyDescent="0.35">
      <c r="A105" s="131"/>
      <c r="B105" s="34"/>
      <c r="C105" s="34" t="s">
        <v>322</v>
      </c>
      <c r="D105" s="36" t="s">
        <v>285</v>
      </c>
      <c r="E105" s="42" t="s">
        <v>286</v>
      </c>
      <c r="F105" s="345" t="s">
        <v>266</v>
      </c>
      <c r="G105" s="346"/>
      <c r="H105" s="346"/>
      <c r="I105" s="346"/>
      <c r="J105" s="347"/>
      <c r="K105" s="306">
        <v>3</v>
      </c>
      <c r="L105" s="307">
        <v>3330.08</v>
      </c>
      <c r="M105" s="235">
        <f t="shared" ref="M105:M106" si="24">L105*$K105</f>
        <v>9990.24</v>
      </c>
      <c r="N105" s="348">
        <v>1</v>
      </c>
      <c r="O105" s="309">
        <v>3330.08</v>
      </c>
      <c r="P105" s="315">
        <f t="shared" ref="P105:P106" si="25">O105*N105</f>
        <v>3330.08</v>
      </c>
      <c r="Q105" s="312">
        <f t="shared" si="23"/>
        <v>2</v>
      </c>
      <c r="R105" s="313">
        <v>3330.08</v>
      </c>
      <c r="S105" s="314">
        <f>R105*Q105</f>
        <v>6660.16</v>
      </c>
    </row>
    <row r="106" spans="1:19" ht="34.5" x14ac:dyDescent="0.35">
      <c r="A106" s="131"/>
      <c r="B106" s="34"/>
      <c r="C106" s="34" t="s">
        <v>290</v>
      </c>
      <c r="D106" s="36" t="s">
        <v>296</v>
      </c>
      <c r="E106" s="42" t="s">
        <v>728</v>
      </c>
      <c r="F106" s="303" t="s">
        <v>297</v>
      </c>
      <c r="G106" s="304"/>
      <c r="H106" s="304"/>
      <c r="I106" s="304"/>
      <c r="J106" s="305"/>
      <c r="K106" s="306">
        <v>14</v>
      </c>
      <c r="L106" s="307">
        <v>1414.4</v>
      </c>
      <c r="M106" s="235">
        <f t="shared" si="24"/>
        <v>19801.600000000002</v>
      </c>
      <c r="N106" s="348">
        <v>1</v>
      </c>
      <c r="O106" s="309">
        <v>1414.4</v>
      </c>
      <c r="P106" s="315">
        <f t="shared" si="25"/>
        <v>1414.4</v>
      </c>
      <c r="Q106" s="312">
        <f t="shared" si="23"/>
        <v>13</v>
      </c>
      <c r="R106" s="313">
        <v>1414.4</v>
      </c>
      <c r="S106" s="314">
        <f>R106*Q106</f>
        <v>18387.2</v>
      </c>
    </row>
    <row r="107" spans="1:19" x14ac:dyDescent="0.35">
      <c r="A107" s="46" t="s">
        <v>556</v>
      </c>
      <c r="B107" s="52"/>
      <c r="C107" s="34"/>
      <c r="D107" s="34"/>
      <c r="E107" s="46"/>
      <c r="F107" s="316"/>
      <c r="G107" s="317"/>
      <c r="H107" s="317"/>
      <c r="I107" s="317"/>
      <c r="J107" s="318"/>
      <c r="K107" s="322"/>
      <c r="L107" s="323"/>
      <c r="M107" s="210"/>
      <c r="N107" s="348"/>
      <c r="O107" s="309"/>
      <c r="P107" s="203"/>
      <c r="Q107" s="319"/>
      <c r="R107" s="320"/>
      <c r="S107" s="321"/>
    </row>
    <row r="108" spans="1:19" x14ac:dyDescent="0.35">
      <c r="A108" s="150" t="s">
        <v>298</v>
      </c>
      <c r="B108" s="85"/>
      <c r="C108" s="85"/>
      <c r="D108" s="85"/>
      <c r="E108" s="86" t="s">
        <v>299</v>
      </c>
      <c r="F108" s="334"/>
      <c r="G108" s="335"/>
      <c r="H108" s="335"/>
      <c r="I108" s="335"/>
      <c r="J108" s="336"/>
      <c r="K108" s="337"/>
      <c r="L108" s="338"/>
      <c r="M108" s="244"/>
      <c r="N108" s="348"/>
      <c r="O108" s="309"/>
      <c r="P108" s="315"/>
      <c r="Q108" s="312"/>
      <c r="R108" s="313"/>
      <c r="S108" s="314"/>
    </row>
    <row r="109" spans="1:19" ht="23" x14ac:dyDescent="0.35">
      <c r="A109" s="131"/>
      <c r="B109" s="34"/>
      <c r="C109" s="34" t="s">
        <v>33</v>
      </c>
      <c r="D109" s="34"/>
      <c r="E109" s="39" t="s">
        <v>333</v>
      </c>
      <c r="F109" s="349" t="s">
        <v>266</v>
      </c>
      <c r="G109" s="350"/>
      <c r="H109" s="350"/>
      <c r="I109" s="350"/>
      <c r="J109" s="351"/>
      <c r="K109" s="306">
        <v>1</v>
      </c>
      <c r="L109" s="307">
        <v>9648.01</v>
      </c>
      <c r="M109" s="235">
        <f t="shared" ref="M109:M110" si="26">L109*$K109</f>
        <v>9648.01</v>
      </c>
      <c r="N109" s="308">
        <v>1</v>
      </c>
      <c r="O109" s="352">
        <v>9648.01</v>
      </c>
      <c r="P109" s="310">
        <f t="shared" ref="P109:P121" si="27">O109*N109</f>
        <v>9648.01</v>
      </c>
      <c r="Q109" s="312"/>
      <c r="R109" s="313"/>
      <c r="S109" s="314"/>
    </row>
    <row r="110" spans="1:19" ht="27" customHeight="1" x14ac:dyDescent="0.35">
      <c r="A110" s="131"/>
      <c r="B110" s="34"/>
      <c r="C110" s="34" t="s">
        <v>38</v>
      </c>
      <c r="D110" s="34"/>
      <c r="E110" s="39" t="s">
        <v>334</v>
      </c>
      <c r="F110" s="349" t="s">
        <v>266</v>
      </c>
      <c r="G110" s="350"/>
      <c r="H110" s="350"/>
      <c r="I110" s="350"/>
      <c r="J110" s="351"/>
      <c r="K110" s="306">
        <v>5</v>
      </c>
      <c r="L110" s="307">
        <v>96.82</v>
      </c>
      <c r="M110" s="235">
        <f t="shared" si="26"/>
        <v>484.09999999999997</v>
      </c>
      <c r="N110" s="308">
        <v>2</v>
      </c>
      <c r="O110" s="352">
        <v>96.82</v>
      </c>
      <c r="P110" s="310">
        <f t="shared" si="27"/>
        <v>193.64</v>
      </c>
      <c r="Q110" s="312">
        <f t="shared" ref="Q110" si="28">K110-N110</f>
        <v>3</v>
      </c>
      <c r="R110" s="313">
        <v>96.82</v>
      </c>
      <c r="S110" s="314">
        <f>R110*Q110</f>
        <v>290.45999999999998</v>
      </c>
    </row>
    <row r="111" spans="1:19" ht="214.25" customHeight="1" x14ac:dyDescent="0.35">
      <c r="A111" s="131"/>
      <c r="B111" s="34"/>
      <c r="C111" s="34"/>
      <c r="D111" s="36" t="s">
        <v>601</v>
      </c>
      <c r="E111" s="39" t="s">
        <v>943</v>
      </c>
      <c r="F111" s="349"/>
      <c r="G111" s="350"/>
      <c r="H111" s="350"/>
      <c r="I111" s="350"/>
      <c r="J111" s="351"/>
      <c r="K111" s="306"/>
      <c r="L111" s="307"/>
      <c r="M111" s="235"/>
      <c r="N111" s="308"/>
      <c r="O111" s="352"/>
      <c r="P111" s="310"/>
      <c r="Q111" s="312"/>
      <c r="R111" s="313"/>
      <c r="S111" s="314"/>
    </row>
    <row r="112" spans="1:19" ht="69" x14ac:dyDescent="0.35">
      <c r="A112" s="131"/>
      <c r="B112" s="34"/>
      <c r="C112" s="34" t="s">
        <v>57</v>
      </c>
      <c r="D112" s="36" t="s">
        <v>636</v>
      </c>
      <c r="E112" s="39" t="s">
        <v>944</v>
      </c>
      <c r="F112" s="345"/>
      <c r="G112" s="346"/>
      <c r="H112" s="346"/>
      <c r="I112" s="346"/>
      <c r="J112" s="347"/>
      <c r="K112" s="306"/>
      <c r="L112" s="307"/>
      <c r="M112" s="235"/>
      <c r="N112" s="308"/>
      <c r="O112" s="352"/>
      <c r="P112" s="310"/>
      <c r="Q112" s="312"/>
      <c r="R112" s="313"/>
      <c r="S112" s="314"/>
    </row>
    <row r="113" spans="1:19" x14ac:dyDescent="0.35">
      <c r="A113" s="131"/>
      <c r="B113" s="34"/>
      <c r="C113" s="34" t="s">
        <v>172</v>
      </c>
      <c r="D113" s="34"/>
      <c r="E113" s="48" t="s">
        <v>335</v>
      </c>
      <c r="F113" s="349" t="s">
        <v>336</v>
      </c>
      <c r="G113" s="350"/>
      <c r="H113" s="350"/>
      <c r="I113" s="350"/>
      <c r="J113" s="351"/>
      <c r="K113" s="306">
        <v>9</v>
      </c>
      <c r="L113" s="307">
        <v>1155</v>
      </c>
      <c r="M113" s="235">
        <f t="shared" ref="M113:M115" si="29">L113*$K113</f>
        <v>10395</v>
      </c>
      <c r="N113" s="308">
        <v>2</v>
      </c>
      <c r="O113" s="352">
        <v>1155</v>
      </c>
      <c r="P113" s="310">
        <f t="shared" si="27"/>
        <v>2310</v>
      </c>
      <c r="Q113" s="312">
        <f t="shared" ref="Q113:Q115" si="30">K113-N113</f>
        <v>7</v>
      </c>
      <c r="R113" s="313">
        <v>1155</v>
      </c>
      <c r="S113" s="314">
        <f>R113*Q113</f>
        <v>8085</v>
      </c>
    </row>
    <row r="114" spans="1:19" x14ac:dyDescent="0.35">
      <c r="A114" s="131"/>
      <c r="B114" s="34"/>
      <c r="C114" s="34" t="s">
        <v>597</v>
      </c>
      <c r="D114" s="34"/>
      <c r="E114" s="48" t="s">
        <v>635</v>
      </c>
      <c r="F114" s="349" t="s">
        <v>336</v>
      </c>
      <c r="G114" s="350"/>
      <c r="H114" s="350"/>
      <c r="I114" s="350"/>
      <c r="J114" s="351"/>
      <c r="K114" s="306">
        <v>10</v>
      </c>
      <c r="L114" s="307">
        <v>469</v>
      </c>
      <c r="M114" s="235">
        <f t="shared" si="29"/>
        <v>4690</v>
      </c>
      <c r="N114" s="308">
        <v>6</v>
      </c>
      <c r="O114" s="352">
        <v>469</v>
      </c>
      <c r="P114" s="310">
        <f t="shared" si="27"/>
        <v>2814</v>
      </c>
      <c r="Q114" s="312">
        <f t="shared" si="30"/>
        <v>4</v>
      </c>
      <c r="R114" s="313">
        <v>469</v>
      </c>
      <c r="S114" s="314">
        <f>R114*Q114</f>
        <v>1876</v>
      </c>
    </row>
    <row r="115" spans="1:19" ht="48" customHeight="1" x14ac:dyDescent="0.35">
      <c r="A115" s="131"/>
      <c r="B115" s="34"/>
      <c r="C115" s="34" t="s">
        <v>600</v>
      </c>
      <c r="D115" s="34"/>
      <c r="E115" s="97" t="s">
        <v>739</v>
      </c>
      <c r="F115" s="349" t="s">
        <v>338</v>
      </c>
      <c r="G115" s="350"/>
      <c r="H115" s="350"/>
      <c r="I115" s="350"/>
      <c r="J115" s="351"/>
      <c r="K115" s="306">
        <f>'electrical circuit breaku'!I66+'electrical circuit breaku'!K66+'electrical circuit breaku'!I72+'electrical circuit breaku'!K72</f>
        <v>73</v>
      </c>
      <c r="L115" s="307">
        <v>168.23</v>
      </c>
      <c r="M115" s="235">
        <f t="shared" si="29"/>
        <v>12280.789999999999</v>
      </c>
      <c r="N115" s="308">
        <v>5</v>
      </c>
      <c r="O115" s="352">
        <v>168.23</v>
      </c>
      <c r="P115" s="310">
        <f t="shared" si="27"/>
        <v>841.15</v>
      </c>
      <c r="Q115" s="312">
        <f t="shared" si="30"/>
        <v>68</v>
      </c>
      <c r="R115" s="313">
        <v>168.23</v>
      </c>
      <c r="S115" s="314">
        <f>R115*Q115</f>
        <v>11439.64</v>
      </c>
    </row>
    <row r="116" spans="1:19" x14ac:dyDescent="0.35">
      <c r="A116" s="131"/>
      <c r="B116" s="34"/>
      <c r="C116" s="34" t="s">
        <v>92</v>
      </c>
      <c r="D116" s="34"/>
      <c r="E116" s="92" t="s">
        <v>751</v>
      </c>
      <c r="F116" s="349"/>
      <c r="G116" s="351"/>
      <c r="H116" s="351"/>
      <c r="I116" s="351"/>
      <c r="J116" s="351"/>
      <c r="K116" s="353"/>
      <c r="L116" s="354"/>
      <c r="M116" s="235"/>
      <c r="N116" s="308"/>
      <c r="O116" s="352"/>
      <c r="P116" s="310">
        <f t="shared" si="27"/>
        <v>0</v>
      </c>
      <c r="Q116" s="312"/>
      <c r="R116" s="313"/>
      <c r="S116" s="314"/>
    </row>
    <row r="117" spans="1:19" ht="92" x14ac:dyDescent="0.35">
      <c r="A117" s="131"/>
      <c r="B117" s="34"/>
      <c r="C117" s="34"/>
      <c r="D117" s="34"/>
      <c r="E117" s="97" t="s">
        <v>752</v>
      </c>
      <c r="F117" s="349"/>
      <c r="G117" s="351"/>
      <c r="H117" s="351"/>
      <c r="I117" s="351"/>
      <c r="J117" s="351"/>
      <c r="K117" s="353"/>
      <c r="L117" s="354"/>
      <c r="M117" s="235"/>
      <c r="N117" s="308"/>
      <c r="O117" s="352"/>
      <c r="P117" s="310"/>
      <c r="Q117" s="312"/>
      <c r="R117" s="313"/>
      <c r="S117" s="314"/>
    </row>
    <row r="118" spans="1:19" x14ac:dyDescent="0.35">
      <c r="A118" s="131"/>
      <c r="B118" s="34"/>
      <c r="C118" s="34" t="s">
        <v>602</v>
      </c>
      <c r="D118" s="34"/>
      <c r="E118" s="97" t="s">
        <v>753</v>
      </c>
      <c r="F118" s="349" t="s">
        <v>336</v>
      </c>
      <c r="G118" s="351"/>
      <c r="H118" s="351"/>
      <c r="I118" s="351"/>
      <c r="J118" s="351"/>
      <c r="K118" s="355">
        <v>8</v>
      </c>
      <c r="L118" s="307">
        <v>1493.5</v>
      </c>
      <c r="M118" s="235">
        <f>L118*$K118</f>
        <v>11948</v>
      </c>
      <c r="N118" s="308">
        <v>3</v>
      </c>
      <c r="O118" s="352">
        <v>1494.5</v>
      </c>
      <c r="P118" s="310">
        <f t="shared" si="27"/>
        <v>4483.5</v>
      </c>
      <c r="Q118" s="312">
        <f>K118-N118</f>
        <v>5</v>
      </c>
      <c r="R118" s="313">
        <v>1493.5</v>
      </c>
      <c r="S118" s="314">
        <f>R118*Q118</f>
        <v>7467.5</v>
      </c>
    </row>
    <row r="119" spans="1:19" ht="23" x14ac:dyDescent="0.35">
      <c r="A119" s="131"/>
      <c r="B119" s="34"/>
      <c r="C119" s="34" t="s">
        <v>603</v>
      </c>
      <c r="D119" s="34"/>
      <c r="E119" s="97" t="s">
        <v>754</v>
      </c>
      <c r="F119" s="349" t="s">
        <v>336</v>
      </c>
      <c r="G119" s="351"/>
      <c r="H119" s="351"/>
      <c r="I119" s="351"/>
      <c r="J119" s="351"/>
      <c r="K119" s="355">
        <v>1</v>
      </c>
      <c r="L119" s="307">
        <v>906.4</v>
      </c>
      <c r="M119" s="235">
        <f>L119*$K119</f>
        <v>906.4</v>
      </c>
      <c r="N119" s="308">
        <v>10</v>
      </c>
      <c r="O119" s="352">
        <v>906.4</v>
      </c>
      <c r="P119" s="310">
        <f t="shared" si="27"/>
        <v>9064</v>
      </c>
      <c r="Q119" s="312"/>
      <c r="R119" s="313"/>
      <c r="S119" s="314"/>
    </row>
    <row r="120" spans="1:19" x14ac:dyDescent="0.35">
      <c r="A120" s="131"/>
      <c r="B120" s="34"/>
      <c r="C120" s="34" t="s">
        <v>604</v>
      </c>
      <c r="D120" s="34"/>
      <c r="E120" s="97" t="s">
        <v>755</v>
      </c>
      <c r="F120" s="349" t="s">
        <v>336</v>
      </c>
      <c r="G120" s="351"/>
      <c r="H120" s="351"/>
      <c r="I120" s="351"/>
      <c r="J120" s="351"/>
      <c r="K120" s="355">
        <v>12</v>
      </c>
      <c r="L120" s="307">
        <v>1545</v>
      </c>
      <c r="M120" s="235">
        <f>L120*$K120</f>
        <v>18540</v>
      </c>
      <c r="N120" s="308">
        <v>2</v>
      </c>
      <c r="O120" s="352">
        <v>1545</v>
      </c>
      <c r="P120" s="310">
        <f t="shared" si="27"/>
        <v>3090</v>
      </c>
      <c r="Q120" s="312">
        <f t="shared" ref="Q120:Q121" si="31">K120-N120</f>
        <v>10</v>
      </c>
      <c r="R120" s="313">
        <v>1545</v>
      </c>
      <c r="S120" s="314">
        <f>R120*Q120</f>
        <v>15450</v>
      </c>
    </row>
    <row r="121" spans="1:19" ht="23" x14ac:dyDescent="0.35">
      <c r="A121" s="131"/>
      <c r="B121" s="34"/>
      <c r="C121" s="34" t="s">
        <v>605</v>
      </c>
      <c r="D121" s="34"/>
      <c r="E121" s="97" t="s">
        <v>756</v>
      </c>
      <c r="F121" s="349" t="s">
        <v>336</v>
      </c>
      <c r="G121" s="351"/>
      <c r="H121" s="351"/>
      <c r="I121" s="351"/>
      <c r="J121" s="351"/>
      <c r="K121" s="355">
        <v>6</v>
      </c>
      <c r="L121" s="307">
        <v>1081.5</v>
      </c>
      <c r="M121" s="235">
        <f>L121*$K121</f>
        <v>6489</v>
      </c>
      <c r="N121" s="308">
        <v>5</v>
      </c>
      <c r="O121" s="352">
        <v>1081.5</v>
      </c>
      <c r="P121" s="310">
        <f t="shared" si="27"/>
        <v>5407.5</v>
      </c>
      <c r="Q121" s="312">
        <f t="shared" si="31"/>
        <v>1</v>
      </c>
      <c r="R121" s="313">
        <v>1081.5</v>
      </c>
      <c r="S121" s="314">
        <f>R121*Q121</f>
        <v>1081.5</v>
      </c>
    </row>
    <row r="122" spans="1:19" x14ac:dyDescent="0.35">
      <c r="A122" s="131"/>
      <c r="B122" s="34"/>
      <c r="C122" s="34" t="s">
        <v>94</v>
      </c>
      <c r="D122" s="34"/>
      <c r="E122" s="92" t="s">
        <v>763</v>
      </c>
      <c r="F122" s="349"/>
      <c r="G122" s="351"/>
      <c r="H122" s="351"/>
      <c r="I122" s="351"/>
      <c r="J122" s="351"/>
      <c r="K122" s="355"/>
      <c r="L122" s="307"/>
      <c r="M122" s="235"/>
      <c r="N122" s="308"/>
      <c r="O122" s="352"/>
      <c r="P122" s="310"/>
      <c r="Q122" s="312"/>
      <c r="R122" s="313"/>
      <c r="S122" s="314"/>
    </row>
    <row r="123" spans="1:19" x14ac:dyDescent="0.35">
      <c r="A123" s="46" t="s">
        <v>610</v>
      </c>
      <c r="B123" s="52"/>
      <c r="C123" s="34"/>
      <c r="D123" s="34"/>
      <c r="E123" s="46"/>
      <c r="F123" s="316"/>
      <c r="G123" s="317"/>
      <c r="H123" s="317"/>
      <c r="I123" s="317"/>
      <c r="J123" s="318"/>
      <c r="K123" s="322"/>
      <c r="L123" s="323"/>
      <c r="M123" s="210"/>
      <c r="N123" s="308"/>
      <c r="O123" s="309"/>
      <c r="P123" s="203"/>
      <c r="Q123" s="312"/>
      <c r="R123" s="313"/>
      <c r="S123" s="314"/>
    </row>
    <row r="124" spans="1:19" x14ac:dyDescent="0.35">
      <c r="A124" s="131"/>
      <c r="B124" s="34" t="s">
        <v>688</v>
      </c>
      <c r="C124" s="34"/>
      <c r="D124" s="34"/>
      <c r="E124" s="89" t="s">
        <v>356</v>
      </c>
      <c r="F124" s="339"/>
      <c r="G124" s="340"/>
      <c r="H124" s="340"/>
      <c r="I124" s="340"/>
      <c r="J124" s="341"/>
      <c r="K124" s="342"/>
      <c r="L124" s="343"/>
      <c r="M124" s="210"/>
      <c r="N124" s="308"/>
      <c r="O124" s="309"/>
      <c r="P124" s="315"/>
      <c r="Q124" s="312"/>
      <c r="R124" s="313"/>
      <c r="S124" s="314"/>
    </row>
    <row r="125" spans="1:19" ht="57.5" x14ac:dyDescent="0.35">
      <c r="A125" s="151"/>
      <c r="B125" s="99"/>
      <c r="C125" s="34" t="s">
        <v>8</v>
      </c>
      <c r="D125" s="36" t="s">
        <v>357</v>
      </c>
      <c r="E125" s="39" t="s">
        <v>358</v>
      </c>
      <c r="F125" s="349"/>
      <c r="G125" s="350"/>
      <c r="H125" s="350"/>
      <c r="I125" s="350"/>
      <c r="J125" s="351"/>
      <c r="K125" s="306"/>
      <c r="L125" s="307"/>
      <c r="M125" s="235"/>
      <c r="N125" s="308"/>
      <c r="O125" s="309"/>
      <c r="P125" s="315"/>
      <c r="Q125" s="312"/>
      <c r="R125" s="313"/>
      <c r="S125" s="314"/>
    </row>
    <row r="126" spans="1:19" x14ac:dyDescent="0.35">
      <c r="A126" s="151"/>
      <c r="B126" s="99"/>
      <c r="C126" s="34" t="s">
        <v>322</v>
      </c>
      <c r="D126" s="34"/>
      <c r="E126" s="166" t="s">
        <v>368</v>
      </c>
      <c r="F126" s="303" t="s">
        <v>339</v>
      </c>
      <c r="G126" s="304"/>
      <c r="H126" s="304"/>
      <c r="I126" s="304"/>
      <c r="J126" s="305"/>
      <c r="K126" s="306">
        <f>K127</f>
        <v>84</v>
      </c>
      <c r="L126" s="307">
        <v>607.70000000000005</v>
      </c>
      <c r="M126" s="235">
        <f t="shared" ref="M126" si="32">L126*$K126</f>
        <v>51046.8</v>
      </c>
      <c r="N126" s="308">
        <v>4</v>
      </c>
      <c r="O126" s="309">
        <v>607.70000000000005</v>
      </c>
      <c r="P126" s="315">
        <f t="shared" ref="P126" si="33">O126*N126</f>
        <v>2430.8000000000002</v>
      </c>
      <c r="Q126" s="312">
        <f t="shared" ref="Q126" si="34">K126-N126</f>
        <v>80</v>
      </c>
      <c r="R126" s="313">
        <v>607.70000000000005</v>
      </c>
      <c r="S126" s="314">
        <f>R126*Q126</f>
        <v>48616</v>
      </c>
    </row>
    <row r="127" spans="1:19" ht="19.75" customHeight="1" x14ac:dyDescent="0.35">
      <c r="A127" s="151"/>
      <c r="B127" s="99"/>
      <c r="C127" s="34"/>
      <c r="D127" s="34"/>
      <c r="E127" s="163" t="s">
        <v>1125</v>
      </c>
      <c r="F127" s="303"/>
      <c r="G127" s="304">
        <v>1</v>
      </c>
      <c r="H127" s="304">
        <v>84</v>
      </c>
      <c r="I127" s="304"/>
      <c r="J127" s="305"/>
      <c r="K127" s="306">
        <f>H127*G127</f>
        <v>84</v>
      </c>
      <c r="L127" s="307"/>
      <c r="M127" s="235"/>
      <c r="N127" s="308"/>
      <c r="O127" s="309"/>
      <c r="P127" s="315"/>
      <c r="Q127" s="312"/>
      <c r="R127" s="313"/>
      <c r="S127" s="314"/>
    </row>
    <row r="128" spans="1:19" x14ac:dyDescent="0.35">
      <c r="A128" s="46" t="s">
        <v>618</v>
      </c>
      <c r="B128" s="52"/>
      <c r="C128" s="34"/>
      <c r="D128" s="34"/>
      <c r="E128" s="46"/>
      <c r="F128" s="316"/>
      <c r="G128" s="317"/>
      <c r="H128" s="317"/>
      <c r="I128" s="317"/>
      <c r="J128" s="318"/>
      <c r="K128" s="322"/>
      <c r="L128" s="323"/>
      <c r="M128" s="210"/>
      <c r="N128" s="308"/>
      <c r="O128" s="309"/>
      <c r="P128" s="203"/>
      <c r="Q128" s="319"/>
      <c r="R128" s="320"/>
      <c r="S128" s="321"/>
    </row>
    <row r="129" spans="1:19" x14ac:dyDescent="0.35">
      <c r="A129" s="150" t="s">
        <v>438</v>
      </c>
      <c r="B129" s="85"/>
      <c r="C129" s="85"/>
      <c r="D129" s="85"/>
      <c r="E129" s="86" t="s">
        <v>439</v>
      </c>
      <c r="F129" s="334"/>
      <c r="G129" s="335"/>
      <c r="H129" s="335"/>
      <c r="I129" s="335"/>
      <c r="J129" s="336"/>
      <c r="K129" s="337"/>
      <c r="L129" s="338"/>
      <c r="M129" s="244"/>
      <c r="N129" s="308"/>
      <c r="O129" s="309"/>
      <c r="P129" s="315"/>
      <c r="Q129" s="312"/>
      <c r="R129" s="313"/>
      <c r="S129" s="314"/>
    </row>
    <row r="130" spans="1:19" x14ac:dyDescent="0.35">
      <c r="A130" s="89"/>
      <c r="B130" s="34" t="s">
        <v>440</v>
      </c>
      <c r="C130" s="34"/>
      <c r="D130" s="34"/>
      <c r="E130" s="89" t="s">
        <v>441</v>
      </c>
      <c r="F130" s="356"/>
      <c r="G130" s="357"/>
      <c r="H130" s="357"/>
      <c r="I130" s="357"/>
      <c r="J130" s="358"/>
      <c r="K130" s="359"/>
      <c r="L130" s="360"/>
      <c r="M130" s="210"/>
      <c r="N130" s="308"/>
      <c r="O130" s="309"/>
      <c r="P130" s="315"/>
      <c r="Q130" s="312"/>
      <c r="R130" s="313"/>
      <c r="S130" s="314"/>
    </row>
    <row r="131" spans="1:19" ht="156.65" customHeight="1" x14ac:dyDescent="0.35">
      <c r="A131" s="46"/>
      <c r="B131" s="52"/>
      <c r="C131" s="34"/>
      <c r="D131" s="34" t="s">
        <v>26</v>
      </c>
      <c r="E131" s="97" t="s">
        <v>953</v>
      </c>
      <c r="F131" s="303"/>
      <c r="G131" s="304"/>
      <c r="H131" s="304"/>
      <c r="I131" s="304"/>
      <c r="J131" s="305"/>
      <c r="K131" s="306"/>
      <c r="L131" s="307"/>
      <c r="M131" s="235"/>
      <c r="N131" s="308"/>
      <c r="O131" s="309"/>
      <c r="P131" s="315"/>
      <c r="Q131" s="312"/>
      <c r="R131" s="313"/>
      <c r="S131" s="314"/>
    </row>
    <row r="132" spans="1:19" x14ac:dyDescent="0.35">
      <c r="A132" s="46"/>
      <c r="B132" s="52"/>
      <c r="C132" s="34"/>
      <c r="D132" s="34" t="s">
        <v>29</v>
      </c>
      <c r="E132" s="137" t="s">
        <v>445</v>
      </c>
      <c r="F132" s="303" t="s">
        <v>443</v>
      </c>
      <c r="G132" s="304"/>
      <c r="H132" s="304"/>
      <c r="I132" s="304"/>
      <c r="J132" s="305"/>
      <c r="K132" s="306">
        <v>0</v>
      </c>
      <c r="L132" s="307">
        <v>450</v>
      </c>
      <c r="M132" s="235">
        <f>L132*$K132</f>
        <v>0</v>
      </c>
      <c r="N132" s="308">
        <v>24</v>
      </c>
      <c r="O132" s="309">
        <v>450</v>
      </c>
      <c r="P132" s="315">
        <f>O132*N132</f>
        <v>10800</v>
      </c>
      <c r="Q132" s="312"/>
      <c r="R132" s="313"/>
      <c r="S132" s="314"/>
    </row>
    <row r="133" spans="1:19" x14ac:dyDescent="0.35">
      <c r="A133" s="46"/>
      <c r="B133" s="52"/>
      <c r="C133" s="34"/>
      <c r="D133" s="34" t="s">
        <v>33</v>
      </c>
      <c r="E133" s="137" t="s">
        <v>446</v>
      </c>
      <c r="F133" s="303" t="s">
        <v>443</v>
      </c>
      <c r="G133" s="304"/>
      <c r="H133" s="304"/>
      <c r="I133" s="304"/>
      <c r="J133" s="305"/>
      <c r="K133" s="306">
        <f>SUM(K135:K195)</f>
        <v>163.13865000000001</v>
      </c>
      <c r="L133" s="307">
        <v>1400</v>
      </c>
      <c r="M133" s="235">
        <f>L133*$K133</f>
        <v>228394.11000000002</v>
      </c>
      <c r="N133" s="308">
        <v>13</v>
      </c>
      <c r="O133" s="309">
        <v>1400</v>
      </c>
      <c r="P133" s="315">
        <f>O133*N133</f>
        <v>18200</v>
      </c>
      <c r="Q133" s="312">
        <f t="shared" ref="Q133" si="35">K133-N133</f>
        <v>150.13865000000001</v>
      </c>
      <c r="R133" s="313">
        <v>1400</v>
      </c>
      <c r="S133" s="314">
        <f>R133*Q133</f>
        <v>210194.11000000002</v>
      </c>
    </row>
    <row r="134" spans="1:19" x14ac:dyDescent="0.35">
      <c r="A134" s="46"/>
      <c r="B134" s="52"/>
      <c r="C134" s="34"/>
      <c r="D134" s="34"/>
      <c r="E134" s="161" t="s">
        <v>973</v>
      </c>
      <c r="F134" s="303"/>
      <c r="G134" s="304"/>
      <c r="H134" s="304"/>
      <c r="I134" s="304"/>
      <c r="J134" s="305"/>
      <c r="K134" s="306"/>
      <c r="L134" s="307"/>
      <c r="M134" s="235"/>
      <c r="N134" s="308"/>
      <c r="O134" s="309"/>
      <c r="P134" s="315"/>
      <c r="Q134" s="312"/>
      <c r="R134" s="313"/>
      <c r="S134" s="314"/>
    </row>
    <row r="135" spans="1:19" x14ac:dyDescent="0.35">
      <c r="A135" s="46"/>
      <c r="B135" s="52"/>
      <c r="C135" s="34"/>
      <c r="D135" s="34"/>
      <c r="E135" s="137" t="s">
        <v>1061</v>
      </c>
      <c r="F135" s="303"/>
      <c r="G135" s="304">
        <v>1</v>
      </c>
      <c r="H135" s="304">
        <v>1.833</v>
      </c>
      <c r="I135" s="304">
        <v>0.75</v>
      </c>
      <c r="J135" s="305"/>
      <c r="K135" s="306">
        <f>I135*H135*G135</f>
        <v>1.3747499999999999</v>
      </c>
      <c r="L135" s="307"/>
      <c r="M135" s="235"/>
      <c r="N135" s="308"/>
      <c r="O135" s="309"/>
      <c r="P135" s="315"/>
      <c r="Q135" s="312"/>
      <c r="R135" s="313"/>
      <c r="S135" s="314"/>
    </row>
    <row r="136" spans="1:19" x14ac:dyDescent="0.35">
      <c r="A136" s="46"/>
      <c r="B136" s="52"/>
      <c r="C136" s="34"/>
      <c r="D136" s="34"/>
      <c r="E136" s="137" t="s">
        <v>1062</v>
      </c>
      <c r="F136" s="303"/>
      <c r="G136" s="304">
        <v>1</v>
      </c>
      <c r="H136" s="304">
        <v>1.83</v>
      </c>
      <c r="I136" s="304">
        <v>0.75</v>
      </c>
      <c r="J136" s="305"/>
      <c r="K136" s="306">
        <f t="shared" ref="K136:K194" si="36">I136*H136*G136</f>
        <v>1.3725000000000001</v>
      </c>
      <c r="L136" s="307"/>
      <c r="M136" s="235"/>
      <c r="N136" s="308"/>
      <c r="O136" s="309"/>
      <c r="P136" s="315"/>
      <c r="Q136" s="312"/>
      <c r="R136" s="313"/>
      <c r="S136" s="314"/>
    </row>
    <row r="137" spans="1:19" x14ac:dyDescent="0.35">
      <c r="A137" s="46"/>
      <c r="B137" s="52"/>
      <c r="C137" s="34"/>
      <c r="D137" s="34"/>
      <c r="E137" s="137" t="s">
        <v>962</v>
      </c>
      <c r="F137" s="303"/>
      <c r="G137" s="304">
        <v>1</v>
      </c>
      <c r="H137" s="304">
        <v>1.2</v>
      </c>
      <c r="I137" s="304">
        <v>1.96</v>
      </c>
      <c r="J137" s="305"/>
      <c r="K137" s="306">
        <f t="shared" si="36"/>
        <v>2.3519999999999999</v>
      </c>
      <c r="L137" s="307"/>
      <c r="M137" s="235"/>
      <c r="N137" s="308"/>
      <c r="O137" s="309"/>
      <c r="P137" s="315"/>
      <c r="Q137" s="312"/>
      <c r="R137" s="313"/>
      <c r="S137" s="314"/>
    </row>
    <row r="138" spans="1:19" x14ac:dyDescent="0.35">
      <c r="A138" s="46"/>
      <c r="B138" s="52"/>
      <c r="C138" s="34"/>
      <c r="D138" s="34"/>
      <c r="E138" s="137" t="s">
        <v>963</v>
      </c>
      <c r="F138" s="303"/>
      <c r="G138" s="304">
        <v>1</v>
      </c>
      <c r="H138" s="304">
        <v>1.82</v>
      </c>
      <c r="I138" s="304">
        <f t="shared" ref="I138" si="37">0.5*2+0.25*2</f>
        <v>1.5</v>
      </c>
      <c r="J138" s="305"/>
      <c r="K138" s="306">
        <f t="shared" si="36"/>
        <v>2.73</v>
      </c>
      <c r="L138" s="307"/>
      <c r="M138" s="235"/>
      <c r="N138" s="308"/>
      <c r="O138" s="309"/>
      <c r="P138" s="315"/>
      <c r="Q138" s="312"/>
      <c r="R138" s="313"/>
      <c r="S138" s="314"/>
    </row>
    <row r="139" spans="1:19" x14ac:dyDescent="0.35">
      <c r="A139" s="46"/>
      <c r="B139" s="52"/>
      <c r="C139" s="34"/>
      <c r="D139" s="34"/>
      <c r="E139" s="137" t="s">
        <v>1063</v>
      </c>
      <c r="F139" s="303"/>
      <c r="G139" s="304">
        <v>1</v>
      </c>
      <c r="H139" s="304">
        <v>1.83</v>
      </c>
      <c r="I139" s="304">
        <v>0.75</v>
      </c>
      <c r="J139" s="305"/>
      <c r="K139" s="306">
        <f t="shared" si="36"/>
        <v>1.3725000000000001</v>
      </c>
      <c r="L139" s="307"/>
      <c r="M139" s="235"/>
      <c r="N139" s="308"/>
      <c r="O139" s="309"/>
      <c r="P139" s="315"/>
      <c r="Q139" s="312"/>
      <c r="R139" s="313"/>
      <c r="S139" s="314"/>
    </row>
    <row r="140" spans="1:19" x14ac:dyDescent="0.35">
      <c r="A140" s="46"/>
      <c r="B140" s="52"/>
      <c r="C140" s="34"/>
      <c r="D140" s="34"/>
      <c r="E140" s="137" t="s">
        <v>964</v>
      </c>
      <c r="F140" s="303"/>
      <c r="G140" s="304">
        <v>1</v>
      </c>
      <c r="H140" s="304">
        <v>1.6</v>
      </c>
      <c r="I140" s="304">
        <v>1.23</v>
      </c>
      <c r="J140" s="305"/>
      <c r="K140" s="306">
        <f t="shared" si="36"/>
        <v>1.968</v>
      </c>
      <c r="L140" s="307"/>
      <c r="M140" s="235"/>
      <c r="N140" s="308"/>
      <c r="O140" s="309"/>
      <c r="P140" s="315"/>
      <c r="Q140" s="312"/>
      <c r="R140" s="313"/>
      <c r="S140" s="314"/>
    </row>
    <row r="141" spans="1:19" x14ac:dyDescent="0.35">
      <c r="A141" s="46"/>
      <c r="B141" s="52"/>
      <c r="C141" s="34"/>
      <c r="D141" s="34"/>
      <c r="E141" s="137" t="s">
        <v>965</v>
      </c>
      <c r="F141" s="303"/>
      <c r="G141" s="304">
        <v>1</v>
      </c>
      <c r="H141" s="304">
        <v>1.5</v>
      </c>
      <c r="I141" s="304">
        <v>2.1</v>
      </c>
      <c r="J141" s="305"/>
      <c r="K141" s="306">
        <f t="shared" si="36"/>
        <v>3.1500000000000004</v>
      </c>
      <c r="L141" s="307"/>
      <c r="M141" s="235"/>
      <c r="N141" s="308"/>
      <c r="O141" s="309"/>
      <c r="P141" s="315"/>
      <c r="Q141" s="312"/>
      <c r="R141" s="313"/>
      <c r="S141" s="314"/>
    </row>
    <row r="142" spans="1:19" x14ac:dyDescent="0.35">
      <c r="A142" s="46"/>
      <c r="B142" s="52"/>
      <c r="C142" s="34"/>
      <c r="D142" s="34"/>
      <c r="E142" s="137" t="s">
        <v>1064</v>
      </c>
      <c r="F142" s="303"/>
      <c r="G142" s="304">
        <v>1</v>
      </c>
      <c r="H142" s="304">
        <v>1.83</v>
      </c>
      <c r="I142" s="304">
        <v>0.75</v>
      </c>
      <c r="J142" s="305"/>
      <c r="K142" s="306">
        <f t="shared" si="36"/>
        <v>1.3725000000000001</v>
      </c>
      <c r="L142" s="307"/>
      <c r="M142" s="235"/>
      <c r="N142" s="308"/>
      <c r="O142" s="309"/>
      <c r="P142" s="315"/>
      <c r="Q142" s="312"/>
      <c r="R142" s="313"/>
      <c r="S142" s="314"/>
    </row>
    <row r="143" spans="1:19" x14ac:dyDescent="0.35">
      <c r="A143" s="46"/>
      <c r="B143" s="52"/>
      <c r="C143" s="34"/>
      <c r="D143" s="34"/>
      <c r="E143" s="137" t="s">
        <v>966</v>
      </c>
      <c r="F143" s="303"/>
      <c r="G143" s="304">
        <v>1</v>
      </c>
      <c r="H143" s="361">
        <v>1.6</v>
      </c>
      <c r="I143" s="304">
        <v>1.23</v>
      </c>
      <c r="J143" s="305"/>
      <c r="K143" s="306">
        <f t="shared" si="36"/>
        <v>1.968</v>
      </c>
      <c r="L143" s="307"/>
      <c r="M143" s="235"/>
      <c r="N143" s="308"/>
      <c r="O143" s="309"/>
      <c r="P143" s="315"/>
      <c r="Q143" s="312"/>
      <c r="R143" s="313"/>
      <c r="S143" s="314"/>
    </row>
    <row r="144" spans="1:19" x14ac:dyDescent="0.35">
      <c r="A144" s="46"/>
      <c r="B144" s="52"/>
      <c r="C144" s="34"/>
      <c r="D144" s="34"/>
      <c r="E144" s="137" t="s">
        <v>967</v>
      </c>
      <c r="F144" s="303"/>
      <c r="G144" s="304">
        <v>1</v>
      </c>
      <c r="H144" s="361">
        <v>1.89</v>
      </c>
      <c r="I144" s="304">
        <f t="shared" ref="I144" si="38">0.6*2+0.3*2</f>
        <v>1.7999999999999998</v>
      </c>
      <c r="J144" s="305"/>
      <c r="K144" s="306">
        <f t="shared" si="36"/>
        <v>3.4019999999999997</v>
      </c>
      <c r="L144" s="307"/>
      <c r="M144" s="235"/>
      <c r="N144" s="308"/>
      <c r="O144" s="309"/>
      <c r="P144" s="315"/>
      <c r="Q144" s="312"/>
      <c r="R144" s="313"/>
      <c r="S144" s="314"/>
    </row>
    <row r="145" spans="1:19" x14ac:dyDescent="0.35">
      <c r="A145" s="46"/>
      <c r="B145" s="52"/>
      <c r="C145" s="34"/>
      <c r="D145" s="34"/>
      <c r="E145" s="137" t="s">
        <v>1065</v>
      </c>
      <c r="F145" s="303"/>
      <c r="G145" s="304">
        <v>1</v>
      </c>
      <c r="H145" s="361">
        <v>1.83</v>
      </c>
      <c r="I145" s="304">
        <v>0.75</v>
      </c>
      <c r="J145" s="305"/>
      <c r="K145" s="306">
        <f t="shared" si="36"/>
        <v>1.3725000000000001</v>
      </c>
      <c r="L145" s="307"/>
      <c r="M145" s="235"/>
      <c r="N145" s="308"/>
      <c r="O145" s="309"/>
      <c r="P145" s="315"/>
      <c r="Q145" s="312"/>
      <c r="R145" s="313"/>
      <c r="S145" s="314"/>
    </row>
    <row r="146" spans="1:19" x14ac:dyDescent="0.35">
      <c r="A146" s="46"/>
      <c r="B146" s="52"/>
      <c r="C146" s="34"/>
      <c r="D146" s="34"/>
      <c r="E146" s="137" t="s">
        <v>968</v>
      </c>
      <c r="F146" s="303"/>
      <c r="G146" s="304">
        <v>1</v>
      </c>
      <c r="H146" s="361">
        <v>1.8</v>
      </c>
      <c r="I146" s="304">
        <v>3.53</v>
      </c>
      <c r="J146" s="305"/>
      <c r="K146" s="306">
        <f t="shared" si="36"/>
        <v>6.3540000000000001</v>
      </c>
      <c r="L146" s="307"/>
      <c r="M146" s="235"/>
      <c r="N146" s="308"/>
      <c r="O146" s="309"/>
      <c r="P146" s="315"/>
      <c r="Q146" s="312"/>
      <c r="R146" s="313"/>
      <c r="S146" s="314"/>
    </row>
    <row r="147" spans="1:19" x14ac:dyDescent="0.35">
      <c r="A147" s="46"/>
      <c r="B147" s="52"/>
      <c r="C147" s="34"/>
      <c r="D147" s="34"/>
      <c r="E147" s="137" t="s">
        <v>1066</v>
      </c>
      <c r="F147" s="303"/>
      <c r="G147" s="304">
        <v>1</v>
      </c>
      <c r="H147" s="361">
        <v>1.83</v>
      </c>
      <c r="I147" s="304">
        <v>0.75</v>
      </c>
      <c r="J147" s="305"/>
      <c r="K147" s="306">
        <f t="shared" si="36"/>
        <v>1.3725000000000001</v>
      </c>
      <c r="L147" s="307"/>
      <c r="M147" s="235"/>
      <c r="N147" s="308"/>
      <c r="O147" s="309"/>
      <c r="P147" s="315"/>
      <c r="Q147" s="312"/>
      <c r="R147" s="313"/>
      <c r="S147" s="314"/>
    </row>
    <row r="148" spans="1:19" x14ac:dyDescent="0.35">
      <c r="A148" s="46"/>
      <c r="B148" s="52"/>
      <c r="C148" s="34"/>
      <c r="D148" s="34"/>
      <c r="E148" s="137" t="s">
        <v>1067</v>
      </c>
      <c r="F148" s="303"/>
      <c r="G148" s="304">
        <v>1</v>
      </c>
      <c r="H148" s="361">
        <v>1.83</v>
      </c>
      <c r="I148" s="304">
        <v>0.6</v>
      </c>
      <c r="J148" s="305"/>
      <c r="K148" s="306">
        <f t="shared" si="36"/>
        <v>1.0980000000000001</v>
      </c>
      <c r="L148" s="307"/>
      <c r="M148" s="235"/>
      <c r="N148" s="308"/>
      <c r="O148" s="309"/>
      <c r="P148" s="315"/>
      <c r="Q148" s="312"/>
      <c r="R148" s="313"/>
      <c r="S148" s="314"/>
    </row>
    <row r="149" spans="1:19" x14ac:dyDescent="0.35">
      <c r="A149" s="46"/>
      <c r="B149" s="52"/>
      <c r="C149" s="34"/>
      <c r="D149" s="34"/>
      <c r="E149" s="137" t="s">
        <v>1068</v>
      </c>
      <c r="F149" s="303"/>
      <c r="G149" s="304">
        <v>1</v>
      </c>
      <c r="H149" s="361">
        <v>1.83</v>
      </c>
      <c r="I149" s="304">
        <v>0.6</v>
      </c>
      <c r="J149" s="305"/>
      <c r="K149" s="306">
        <f t="shared" si="36"/>
        <v>1.0980000000000001</v>
      </c>
      <c r="L149" s="307"/>
      <c r="M149" s="235"/>
      <c r="N149" s="308"/>
      <c r="O149" s="309"/>
      <c r="P149" s="315"/>
      <c r="Q149" s="312"/>
      <c r="R149" s="313"/>
      <c r="S149" s="314"/>
    </row>
    <row r="150" spans="1:19" x14ac:dyDescent="0.35">
      <c r="A150" s="46"/>
      <c r="B150" s="52"/>
      <c r="C150" s="34"/>
      <c r="D150" s="34"/>
      <c r="E150" s="137" t="s">
        <v>969</v>
      </c>
      <c r="F150" s="303"/>
      <c r="G150" s="304">
        <v>1</v>
      </c>
      <c r="H150" s="361">
        <v>1.45</v>
      </c>
      <c r="I150" s="304">
        <v>2.67</v>
      </c>
      <c r="J150" s="305"/>
      <c r="K150" s="306">
        <f t="shared" si="36"/>
        <v>3.8714999999999997</v>
      </c>
      <c r="L150" s="307"/>
      <c r="M150" s="235"/>
      <c r="N150" s="308"/>
      <c r="O150" s="309"/>
      <c r="P150" s="315"/>
      <c r="Q150" s="312"/>
      <c r="R150" s="313"/>
      <c r="S150" s="314"/>
    </row>
    <row r="151" spans="1:19" x14ac:dyDescent="0.35">
      <c r="A151" s="46"/>
      <c r="B151" s="52"/>
      <c r="C151" s="34"/>
      <c r="D151" s="34"/>
      <c r="E151" s="137" t="s">
        <v>970</v>
      </c>
      <c r="F151" s="303"/>
      <c r="G151" s="304">
        <v>1</v>
      </c>
      <c r="H151" s="361">
        <v>1.6</v>
      </c>
      <c r="I151" s="304">
        <v>1.23</v>
      </c>
      <c r="J151" s="305"/>
      <c r="K151" s="306">
        <f t="shared" si="36"/>
        <v>1.968</v>
      </c>
      <c r="L151" s="307"/>
      <c r="M151" s="235"/>
      <c r="N151" s="308"/>
      <c r="O151" s="309"/>
      <c r="P151" s="315"/>
      <c r="Q151" s="312"/>
      <c r="R151" s="313"/>
      <c r="S151" s="314"/>
    </row>
    <row r="152" spans="1:19" x14ac:dyDescent="0.35">
      <c r="A152" s="46"/>
      <c r="B152" s="52"/>
      <c r="C152" s="34"/>
      <c r="D152" s="34"/>
      <c r="E152" s="137" t="s">
        <v>971</v>
      </c>
      <c r="F152" s="303"/>
      <c r="G152" s="304">
        <v>1</v>
      </c>
      <c r="H152" s="361">
        <v>1.6</v>
      </c>
      <c r="I152" s="304">
        <v>1.23</v>
      </c>
      <c r="J152" s="305"/>
      <c r="K152" s="306">
        <f t="shared" si="36"/>
        <v>1.968</v>
      </c>
      <c r="L152" s="307"/>
      <c r="M152" s="235"/>
      <c r="N152" s="308"/>
      <c r="O152" s="309"/>
      <c r="P152" s="315"/>
      <c r="Q152" s="312"/>
      <c r="R152" s="313"/>
      <c r="S152" s="314"/>
    </row>
    <row r="153" spans="1:19" x14ac:dyDescent="0.35">
      <c r="A153" s="46"/>
      <c r="B153" s="52"/>
      <c r="C153" s="34"/>
      <c r="D153" s="34"/>
      <c r="E153" s="137" t="s">
        <v>1057</v>
      </c>
      <c r="F153" s="303"/>
      <c r="G153" s="304">
        <v>1</v>
      </c>
      <c r="H153" s="361">
        <v>1.4</v>
      </c>
      <c r="I153" s="304">
        <v>2.35</v>
      </c>
      <c r="J153" s="305"/>
      <c r="K153" s="306">
        <f t="shared" si="36"/>
        <v>3.29</v>
      </c>
      <c r="L153" s="307"/>
      <c r="M153" s="235"/>
      <c r="N153" s="308"/>
      <c r="O153" s="309"/>
      <c r="P153" s="315"/>
      <c r="Q153" s="312"/>
      <c r="R153" s="313"/>
      <c r="S153" s="314"/>
    </row>
    <row r="154" spans="1:19" x14ac:dyDescent="0.35">
      <c r="A154" s="46"/>
      <c r="B154" s="52"/>
      <c r="C154" s="34"/>
      <c r="D154" s="34"/>
      <c r="E154" s="137" t="s">
        <v>1058</v>
      </c>
      <c r="F154" s="303"/>
      <c r="G154" s="304">
        <v>1</v>
      </c>
      <c r="H154" s="361">
        <v>1.4</v>
      </c>
      <c r="I154" s="304">
        <v>1.23</v>
      </c>
      <c r="J154" s="305"/>
      <c r="K154" s="306">
        <f t="shared" si="36"/>
        <v>1.722</v>
      </c>
      <c r="L154" s="307"/>
      <c r="M154" s="235"/>
      <c r="N154" s="308"/>
      <c r="O154" s="309"/>
      <c r="P154" s="315"/>
      <c r="Q154" s="312"/>
      <c r="R154" s="313"/>
      <c r="S154" s="314"/>
    </row>
    <row r="155" spans="1:19" x14ac:dyDescent="0.35">
      <c r="A155" s="46"/>
      <c r="B155" s="52"/>
      <c r="C155" s="34"/>
      <c r="D155" s="34"/>
      <c r="E155" s="137" t="s">
        <v>1059</v>
      </c>
      <c r="F155" s="303"/>
      <c r="G155" s="304">
        <v>1</v>
      </c>
      <c r="H155" s="361">
        <v>2.2400000000000002</v>
      </c>
      <c r="I155" s="304">
        <v>1.8</v>
      </c>
      <c r="J155" s="305"/>
      <c r="K155" s="306">
        <f t="shared" si="36"/>
        <v>4.0320000000000009</v>
      </c>
      <c r="L155" s="307"/>
      <c r="M155" s="235"/>
      <c r="N155" s="308"/>
      <c r="O155" s="309"/>
      <c r="P155" s="315"/>
      <c r="Q155" s="312"/>
      <c r="R155" s="313"/>
      <c r="S155" s="314"/>
    </row>
    <row r="156" spans="1:19" x14ac:dyDescent="0.35">
      <c r="A156" s="46"/>
      <c r="B156" s="52"/>
      <c r="C156" s="34"/>
      <c r="D156" s="34"/>
      <c r="E156" s="137" t="s">
        <v>1060</v>
      </c>
      <c r="F156" s="303"/>
      <c r="G156" s="304">
        <v>1</v>
      </c>
      <c r="H156" s="361">
        <v>1.3</v>
      </c>
      <c r="I156" s="304">
        <v>0.94</v>
      </c>
      <c r="J156" s="305"/>
      <c r="K156" s="306">
        <f t="shared" si="36"/>
        <v>1.222</v>
      </c>
      <c r="L156" s="307"/>
      <c r="M156" s="235"/>
      <c r="N156" s="308"/>
      <c r="O156" s="309"/>
      <c r="P156" s="315"/>
      <c r="Q156" s="312"/>
      <c r="R156" s="313"/>
      <c r="S156" s="314"/>
    </row>
    <row r="157" spans="1:19" x14ac:dyDescent="0.35">
      <c r="A157" s="46"/>
      <c r="B157" s="52"/>
      <c r="C157" s="34"/>
      <c r="D157" s="34"/>
      <c r="E157" s="137" t="s">
        <v>1069</v>
      </c>
      <c r="F157" s="303"/>
      <c r="G157" s="304">
        <v>1</v>
      </c>
      <c r="H157" s="361">
        <v>1.83</v>
      </c>
      <c r="I157" s="304">
        <v>0.75</v>
      </c>
      <c r="J157" s="305"/>
      <c r="K157" s="306">
        <f t="shared" si="36"/>
        <v>1.3725000000000001</v>
      </c>
      <c r="L157" s="307"/>
      <c r="M157" s="235"/>
      <c r="N157" s="308"/>
      <c r="O157" s="309"/>
      <c r="P157" s="315"/>
      <c r="Q157" s="312"/>
      <c r="R157" s="313"/>
      <c r="S157" s="314"/>
    </row>
    <row r="158" spans="1:19" x14ac:dyDescent="0.35">
      <c r="A158" s="46"/>
      <c r="B158" s="52"/>
      <c r="C158" s="34"/>
      <c r="D158" s="34"/>
      <c r="E158" s="137"/>
      <c r="F158" s="303"/>
      <c r="G158" s="304"/>
      <c r="H158" s="361"/>
      <c r="I158" s="304"/>
      <c r="J158" s="305"/>
      <c r="K158" s="306"/>
      <c r="L158" s="307"/>
      <c r="M158" s="235"/>
      <c r="N158" s="308"/>
      <c r="O158" s="309"/>
      <c r="P158" s="315"/>
      <c r="Q158" s="312"/>
      <c r="R158" s="313"/>
      <c r="S158" s="314"/>
    </row>
    <row r="159" spans="1:19" x14ac:dyDescent="0.35">
      <c r="A159" s="46"/>
      <c r="B159" s="52"/>
      <c r="C159" s="34"/>
      <c r="D159" s="34"/>
      <c r="E159" s="161" t="s">
        <v>972</v>
      </c>
      <c r="F159" s="303"/>
      <c r="G159" s="304"/>
      <c r="H159" s="304"/>
      <c r="I159" s="304"/>
      <c r="J159" s="305"/>
      <c r="K159" s="306">
        <f t="shared" si="36"/>
        <v>0</v>
      </c>
      <c r="L159" s="307"/>
      <c r="M159" s="235"/>
      <c r="N159" s="308"/>
      <c r="O159" s="309"/>
      <c r="P159" s="315"/>
      <c r="Q159" s="312"/>
      <c r="R159" s="313"/>
      <c r="S159" s="314"/>
    </row>
    <row r="160" spans="1:19" x14ac:dyDescent="0.35">
      <c r="A160" s="46"/>
      <c r="B160" s="52"/>
      <c r="C160" s="34"/>
      <c r="D160" s="34"/>
      <c r="E160" s="137" t="s">
        <v>1070</v>
      </c>
      <c r="F160" s="303"/>
      <c r="G160" s="304">
        <v>1</v>
      </c>
      <c r="H160" s="304">
        <v>1.88</v>
      </c>
      <c r="I160" s="304">
        <f>0.45*2+0.35*2</f>
        <v>1.6</v>
      </c>
      <c r="J160" s="305"/>
      <c r="K160" s="306">
        <f t="shared" si="36"/>
        <v>3.008</v>
      </c>
      <c r="L160" s="307"/>
      <c r="M160" s="235"/>
      <c r="N160" s="308"/>
      <c r="O160" s="309"/>
      <c r="P160" s="315"/>
      <c r="Q160" s="312"/>
      <c r="R160" s="313"/>
      <c r="S160" s="314"/>
    </row>
    <row r="161" spans="1:19" x14ac:dyDescent="0.35">
      <c r="A161" s="46"/>
      <c r="B161" s="52"/>
      <c r="C161" s="34"/>
      <c r="D161" s="34"/>
      <c r="E161" s="137" t="s">
        <v>974</v>
      </c>
      <c r="F161" s="303"/>
      <c r="G161" s="304">
        <v>1</v>
      </c>
      <c r="H161" s="304">
        <v>1.3</v>
      </c>
      <c r="I161" s="304">
        <v>1.2</v>
      </c>
      <c r="J161" s="305"/>
      <c r="K161" s="306">
        <f t="shared" si="36"/>
        <v>1.56</v>
      </c>
      <c r="L161" s="307"/>
      <c r="M161" s="235"/>
      <c r="N161" s="308"/>
      <c r="O161" s="309"/>
      <c r="P161" s="315"/>
      <c r="Q161" s="312"/>
      <c r="R161" s="313"/>
      <c r="S161" s="314"/>
    </row>
    <row r="162" spans="1:19" x14ac:dyDescent="0.35">
      <c r="A162" s="46"/>
      <c r="B162" s="52"/>
      <c r="C162" s="34"/>
      <c r="D162" s="34"/>
      <c r="E162" s="137" t="s">
        <v>975</v>
      </c>
      <c r="F162" s="303"/>
      <c r="G162" s="304">
        <v>1</v>
      </c>
      <c r="H162" s="304">
        <v>2.2400000000000002</v>
      </c>
      <c r="I162" s="304">
        <f t="shared" ref="I162:I173" si="39">0.45*2+0.35*2</f>
        <v>1.6</v>
      </c>
      <c r="J162" s="305"/>
      <c r="K162" s="306">
        <f t="shared" si="36"/>
        <v>3.5840000000000005</v>
      </c>
      <c r="L162" s="307"/>
      <c r="M162" s="235"/>
      <c r="N162" s="308"/>
      <c r="O162" s="309"/>
      <c r="P162" s="315"/>
      <c r="Q162" s="312"/>
      <c r="R162" s="313"/>
      <c r="S162" s="314"/>
    </row>
    <row r="163" spans="1:19" x14ac:dyDescent="0.35">
      <c r="A163" s="46"/>
      <c r="B163" s="52"/>
      <c r="C163" s="34"/>
      <c r="D163" s="34"/>
      <c r="E163" s="137" t="s">
        <v>976</v>
      </c>
      <c r="F163" s="303"/>
      <c r="G163" s="304">
        <v>1</v>
      </c>
      <c r="H163" s="304">
        <v>1.85</v>
      </c>
      <c r="I163" s="304">
        <v>1.6</v>
      </c>
      <c r="J163" s="305"/>
      <c r="K163" s="306">
        <f t="shared" si="36"/>
        <v>2.9600000000000004</v>
      </c>
      <c r="L163" s="307"/>
      <c r="M163" s="235"/>
      <c r="N163" s="308"/>
      <c r="O163" s="309"/>
      <c r="P163" s="315"/>
      <c r="Q163" s="312"/>
      <c r="R163" s="313"/>
      <c r="S163" s="314"/>
    </row>
    <row r="164" spans="1:19" x14ac:dyDescent="0.35">
      <c r="A164" s="46"/>
      <c r="B164" s="52"/>
      <c r="C164" s="34"/>
      <c r="D164" s="34"/>
      <c r="E164" s="137" t="s">
        <v>977</v>
      </c>
      <c r="F164" s="303"/>
      <c r="G164" s="304">
        <v>1</v>
      </c>
      <c r="H164" s="304">
        <v>1.6</v>
      </c>
      <c r="I164" s="304">
        <v>1.22</v>
      </c>
      <c r="J164" s="305"/>
      <c r="K164" s="306">
        <f t="shared" si="36"/>
        <v>1.952</v>
      </c>
      <c r="L164" s="307"/>
      <c r="M164" s="235"/>
      <c r="N164" s="308"/>
      <c r="O164" s="309"/>
      <c r="P164" s="315"/>
      <c r="Q164" s="312"/>
      <c r="R164" s="313"/>
      <c r="S164" s="314"/>
    </row>
    <row r="165" spans="1:19" x14ac:dyDescent="0.35">
      <c r="A165" s="46"/>
      <c r="B165" s="52"/>
      <c r="C165" s="34"/>
      <c r="D165" s="34"/>
      <c r="E165" s="137" t="s">
        <v>1071</v>
      </c>
      <c r="F165" s="303"/>
      <c r="G165" s="304">
        <v>1</v>
      </c>
      <c r="H165" s="304">
        <v>1.88</v>
      </c>
      <c r="I165" s="304">
        <f t="shared" si="39"/>
        <v>1.6</v>
      </c>
      <c r="J165" s="305"/>
      <c r="K165" s="306">
        <f t="shared" si="36"/>
        <v>3.008</v>
      </c>
      <c r="L165" s="307"/>
      <c r="M165" s="235"/>
      <c r="N165" s="308"/>
      <c r="O165" s="309"/>
      <c r="P165" s="315"/>
      <c r="Q165" s="312"/>
      <c r="R165" s="313"/>
      <c r="S165" s="314"/>
    </row>
    <row r="166" spans="1:19" x14ac:dyDescent="0.35">
      <c r="A166" s="46"/>
      <c r="B166" s="52"/>
      <c r="C166" s="34"/>
      <c r="D166" s="34"/>
      <c r="E166" s="137" t="s">
        <v>978</v>
      </c>
      <c r="F166" s="303"/>
      <c r="G166" s="304">
        <v>1</v>
      </c>
      <c r="H166" s="304">
        <v>1.3</v>
      </c>
      <c r="I166" s="304">
        <v>1.2</v>
      </c>
      <c r="J166" s="305"/>
      <c r="K166" s="306">
        <f t="shared" si="36"/>
        <v>1.56</v>
      </c>
      <c r="L166" s="307"/>
      <c r="M166" s="235"/>
      <c r="N166" s="308"/>
      <c r="O166" s="309"/>
      <c r="P166" s="315"/>
      <c r="Q166" s="312"/>
      <c r="R166" s="313"/>
      <c r="S166" s="314"/>
    </row>
    <row r="167" spans="1:19" x14ac:dyDescent="0.35">
      <c r="A167" s="46"/>
      <c r="B167" s="52"/>
      <c r="C167" s="34"/>
      <c r="D167" s="34"/>
      <c r="E167" s="137" t="s">
        <v>1072</v>
      </c>
      <c r="F167" s="303"/>
      <c r="G167" s="304">
        <v>1</v>
      </c>
      <c r="H167" s="304">
        <v>2.21</v>
      </c>
      <c r="I167" s="304">
        <f t="shared" si="39"/>
        <v>1.6</v>
      </c>
      <c r="J167" s="305"/>
      <c r="K167" s="306">
        <f t="shared" si="36"/>
        <v>3.536</v>
      </c>
      <c r="L167" s="307"/>
      <c r="M167" s="235"/>
      <c r="N167" s="308"/>
      <c r="O167" s="309"/>
      <c r="P167" s="315"/>
      <c r="Q167" s="312"/>
      <c r="R167" s="313"/>
      <c r="S167" s="314"/>
    </row>
    <row r="168" spans="1:19" x14ac:dyDescent="0.35">
      <c r="A168" s="46"/>
      <c r="B168" s="52"/>
      <c r="C168" s="34"/>
      <c r="D168" s="34"/>
      <c r="E168" s="137" t="s">
        <v>979</v>
      </c>
      <c r="F168" s="303"/>
      <c r="G168" s="304">
        <v>1</v>
      </c>
      <c r="H168" s="304">
        <v>2.2400000000000002</v>
      </c>
      <c r="I168" s="304">
        <f t="shared" si="39"/>
        <v>1.6</v>
      </c>
      <c r="J168" s="305"/>
      <c r="K168" s="306">
        <f t="shared" si="36"/>
        <v>3.5840000000000005</v>
      </c>
      <c r="L168" s="307"/>
      <c r="M168" s="235"/>
      <c r="N168" s="308"/>
      <c r="O168" s="309"/>
      <c r="P168" s="315"/>
      <c r="Q168" s="312"/>
      <c r="R168" s="313"/>
      <c r="S168" s="314"/>
    </row>
    <row r="169" spans="1:19" x14ac:dyDescent="0.35">
      <c r="A169" s="46"/>
      <c r="B169" s="52"/>
      <c r="C169" s="34"/>
      <c r="D169" s="34"/>
      <c r="E169" s="137" t="s">
        <v>980</v>
      </c>
      <c r="F169" s="303"/>
      <c r="G169" s="304">
        <v>1</v>
      </c>
      <c r="H169" s="304">
        <v>2.2400000000000002</v>
      </c>
      <c r="I169" s="304">
        <v>1.6</v>
      </c>
      <c r="J169" s="305"/>
      <c r="K169" s="306">
        <f t="shared" si="36"/>
        <v>3.5840000000000005</v>
      </c>
      <c r="L169" s="307"/>
      <c r="M169" s="235"/>
      <c r="N169" s="308"/>
      <c r="O169" s="309"/>
      <c r="P169" s="315"/>
      <c r="Q169" s="312"/>
      <c r="R169" s="313"/>
      <c r="S169" s="314"/>
    </row>
    <row r="170" spans="1:19" x14ac:dyDescent="0.35">
      <c r="A170" s="46"/>
      <c r="B170" s="52"/>
      <c r="C170" s="34"/>
      <c r="D170" s="34"/>
      <c r="E170" s="137" t="s">
        <v>981</v>
      </c>
      <c r="F170" s="303"/>
      <c r="G170" s="304">
        <v>1</v>
      </c>
      <c r="H170" s="304">
        <v>1.6</v>
      </c>
      <c r="I170" s="304">
        <v>7.78</v>
      </c>
      <c r="J170" s="305"/>
      <c r="K170" s="306">
        <f t="shared" si="36"/>
        <v>12.448</v>
      </c>
      <c r="L170" s="307"/>
      <c r="M170" s="235"/>
      <c r="N170" s="308"/>
      <c r="O170" s="309"/>
      <c r="P170" s="315"/>
      <c r="Q170" s="312"/>
      <c r="R170" s="313"/>
      <c r="S170" s="314"/>
    </row>
    <row r="171" spans="1:19" x14ac:dyDescent="0.35">
      <c r="A171" s="46"/>
      <c r="B171" s="52"/>
      <c r="C171" s="34"/>
      <c r="D171" s="34"/>
      <c r="E171" s="137" t="s">
        <v>982</v>
      </c>
      <c r="F171" s="303"/>
      <c r="G171" s="304">
        <v>1</v>
      </c>
      <c r="H171" s="304">
        <v>1.86</v>
      </c>
      <c r="I171" s="304">
        <v>1.6</v>
      </c>
      <c r="J171" s="305"/>
      <c r="K171" s="306">
        <f t="shared" si="36"/>
        <v>2.9760000000000004</v>
      </c>
      <c r="L171" s="307"/>
      <c r="M171" s="235"/>
      <c r="N171" s="308"/>
      <c r="O171" s="309"/>
      <c r="P171" s="315"/>
      <c r="Q171" s="312"/>
      <c r="R171" s="313"/>
      <c r="S171" s="314"/>
    </row>
    <row r="172" spans="1:19" x14ac:dyDescent="0.35">
      <c r="A172" s="46"/>
      <c r="B172" s="52"/>
      <c r="C172" s="34"/>
      <c r="D172" s="34"/>
      <c r="E172" s="137" t="s">
        <v>1073</v>
      </c>
      <c r="F172" s="303"/>
      <c r="G172" s="304">
        <v>1</v>
      </c>
      <c r="H172" s="304">
        <v>1.6</v>
      </c>
      <c r="I172" s="304">
        <v>1.95</v>
      </c>
      <c r="J172" s="305"/>
      <c r="K172" s="306">
        <f t="shared" si="36"/>
        <v>3.12</v>
      </c>
      <c r="L172" s="307"/>
      <c r="M172" s="235"/>
      <c r="N172" s="308"/>
      <c r="O172" s="309"/>
      <c r="P172" s="315"/>
      <c r="Q172" s="312"/>
      <c r="R172" s="313"/>
      <c r="S172" s="314"/>
    </row>
    <row r="173" spans="1:19" x14ac:dyDescent="0.35">
      <c r="A173" s="46"/>
      <c r="B173" s="52"/>
      <c r="C173" s="34"/>
      <c r="D173" s="34"/>
      <c r="E173" s="137" t="s">
        <v>1074</v>
      </c>
      <c r="F173" s="303"/>
      <c r="G173" s="304">
        <v>1</v>
      </c>
      <c r="H173" s="304">
        <v>1.86</v>
      </c>
      <c r="I173" s="304">
        <f t="shared" si="39"/>
        <v>1.6</v>
      </c>
      <c r="J173" s="305"/>
      <c r="K173" s="306">
        <f t="shared" si="36"/>
        <v>2.9760000000000004</v>
      </c>
      <c r="L173" s="307"/>
      <c r="M173" s="235"/>
      <c r="N173" s="308"/>
      <c r="O173" s="309"/>
      <c r="P173" s="315"/>
      <c r="Q173" s="312"/>
      <c r="R173" s="313"/>
      <c r="S173" s="314"/>
    </row>
    <row r="174" spans="1:19" x14ac:dyDescent="0.35">
      <c r="A174" s="46"/>
      <c r="B174" s="52"/>
      <c r="C174" s="34"/>
      <c r="D174" s="34"/>
      <c r="E174" s="137" t="s">
        <v>983</v>
      </c>
      <c r="F174" s="303"/>
      <c r="G174" s="304">
        <v>1</v>
      </c>
      <c r="H174" s="304">
        <v>1.6</v>
      </c>
      <c r="I174" s="304">
        <v>1.1399999999999999</v>
      </c>
      <c r="J174" s="305"/>
      <c r="K174" s="306">
        <f t="shared" si="36"/>
        <v>1.8239999999999998</v>
      </c>
      <c r="L174" s="307"/>
      <c r="M174" s="235"/>
      <c r="N174" s="308"/>
      <c r="O174" s="309"/>
      <c r="P174" s="315"/>
      <c r="Q174" s="312"/>
      <c r="R174" s="313"/>
      <c r="S174" s="314"/>
    </row>
    <row r="175" spans="1:19" x14ac:dyDescent="0.35">
      <c r="A175" s="46"/>
      <c r="B175" s="52"/>
      <c r="C175" s="34"/>
      <c r="D175" s="34"/>
      <c r="E175" s="137" t="s">
        <v>984</v>
      </c>
      <c r="F175" s="303"/>
      <c r="G175" s="304">
        <v>1</v>
      </c>
      <c r="H175" s="304">
        <v>1.86</v>
      </c>
      <c r="I175" s="304">
        <v>1.6</v>
      </c>
      <c r="J175" s="305"/>
      <c r="K175" s="306">
        <f t="shared" si="36"/>
        <v>2.9760000000000004</v>
      </c>
      <c r="L175" s="307"/>
      <c r="M175" s="235"/>
      <c r="N175" s="308"/>
      <c r="O175" s="309"/>
      <c r="P175" s="315"/>
      <c r="Q175" s="312"/>
      <c r="R175" s="313"/>
      <c r="S175" s="314"/>
    </row>
    <row r="176" spans="1:19" x14ac:dyDescent="0.35">
      <c r="A176" s="46"/>
      <c r="B176" s="52"/>
      <c r="C176" s="34"/>
      <c r="D176" s="34"/>
      <c r="E176" s="137"/>
      <c r="F176" s="303"/>
      <c r="G176" s="304"/>
      <c r="H176" s="304"/>
      <c r="I176" s="304"/>
      <c r="J176" s="305"/>
      <c r="K176" s="306"/>
      <c r="L176" s="307"/>
      <c r="M176" s="235"/>
      <c r="N176" s="308"/>
      <c r="O176" s="309"/>
      <c r="P176" s="315"/>
      <c r="Q176" s="312"/>
      <c r="R176" s="313"/>
      <c r="S176" s="314"/>
    </row>
    <row r="177" spans="1:19" x14ac:dyDescent="0.35">
      <c r="A177" s="46"/>
      <c r="B177" s="52"/>
      <c r="C177" s="34"/>
      <c r="D177" s="34"/>
      <c r="E177" s="161" t="s">
        <v>985</v>
      </c>
      <c r="F177" s="303"/>
      <c r="G177" s="304"/>
      <c r="H177" s="304"/>
      <c r="I177" s="304"/>
      <c r="J177" s="305"/>
      <c r="K177" s="306">
        <f t="shared" si="36"/>
        <v>0</v>
      </c>
      <c r="L177" s="307"/>
      <c r="M177" s="235"/>
      <c r="N177" s="308"/>
      <c r="O177" s="309"/>
      <c r="P177" s="315"/>
      <c r="Q177" s="312"/>
      <c r="R177" s="313"/>
      <c r="S177" s="314"/>
    </row>
    <row r="178" spans="1:19" x14ac:dyDescent="0.35">
      <c r="A178" s="46"/>
      <c r="B178" s="52"/>
      <c r="C178" s="34"/>
      <c r="D178" s="34"/>
      <c r="E178" s="137" t="s">
        <v>1076</v>
      </c>
      <c r="F178" s="303"/>
      <c r="G178" s="304">
        <v>1</v>
      </c>
      <c r="H178" s="304">
        <v>2.14</v>
      </c>
      <c r="I178" s="304">
        <v>0.75</v>
      </c>
      <c r="J178" s="305"/>
      <c r="K178" s="306">
        <f t="shared" si="36"/>
        <v>1.605</v>
      </c>
      <c r="L178" s="307"/>
      <c r="M178" s="235"/>
      <c r="N178" s="308"/>
      <c r="O178" s="309"/>
      <c r="P178" s="315"/>
      <c r="Q178" s="312"/>
      <c r="R178" s="313"/>
      <c r="S178" s="314"/>
    </row>
    <row r="179" spans="1:19" x14ac:dyDescent="0.35">
      <c r="A179" s="46"/>
      <c r="B179" s="52"/>
      <c r="C179" s="34"/>
      <c r="D179" s="34"/>
      <c r="E179" s="137" t="s">
        <v>1077</v>
      </c>
      <c r="F179" s="303"/>
      <c r="G179" s="304">
        <v>1</v>
      </c>
      <c r="H179" s="304">
        <v>2.4500000000000002</v>
      </c>
      <c r="I179" s="304">
        <v>1.2</v>
      </c>
      <c r="J179" s="305"/>
      <c r="K179" s="306">
        <f t="shared" si="36"/>
        <v>2.94</v>
      </c>
      <c r="L179" s="307"/>
      <c r="M179" s="235"/>
      <c r="N179" s="308"/>
      <c r="O179" s="309"/>
      <c r="P179" s="315"/>
      <c r="Q179" s="312"/>
      <c r="R179" s="313"/>
      <c r="S179" s="314"/>
    </row>
    <row r="180" spans="1:19" x14ac:dyDescent="0.35">
      <c r="A180" s="46"/>
      <c r="B180" s="52"/>
      <c r="C180" s="34"/>
      <c r="D180" s="34"/>
      <c r="E180" s="137" t="s">
        <v>1078</v>
      </c>
      <c r="F180" s="303"/>
      <c r="G180" s="304">
        <v>1</v>
      </c>
      <c r="H180" s="304">
        <v>2.14</v>
      </c>
      <c r="I180" s="304">
        <v>0.75</v>
      </c>
      <c r="J180" s="305"/>
      <c r="K180" s="306">
        <f t="shared" si="36"/>
        <v>1.605</v>
      </c>
      <c r="L180" s="307"/>
      <c r="M180" s="235"/>
      <c r="N180" s="308"/>
      <c r="O180" s="309"/>
      <c r="P180" s="315"/>
      <c r="Q180" s="312"/>
      <c r="R180" s="313"/>
      <c r="S180" s="314"/>
    </row>
    <row r="181" spans="1:19" x14ac:dyDescent="0.35">
      <c r="A181" s="46"/>
      <c r="B181" s="52"/>
      <c r="C181" s="34"/>
      <c r="D181" s="34"/>
      <c r="E181" s="137" t="s">
        <v>1079</v>
      </c>
      <c r="F181" s="303"/>
      <c r="G181" s="304">
        <v>1</v>
      </c>
      <c r="H181" s="304">
        <v>2.4500000000000002</v>
      </c>
      <c r="I181" s="304">
        <v>1.2</v>
      </c>
      <c r="J181" s="305"/>
      <c r="K181" s="306">
        <f t="shared" si="36"/>
        <v>2.94</v>
      </c>
      <c r="L181" s="307"/>
      <c r="M181" s="235"/>
      <c r="N181" s="308"/>
      <c r="O181" s="309"/>
      <c r="P181" s="315"/>
      <c r="Q181" s="312"/>
      <c r="R181" s="313"/>
      <c r="S181" s="314"/>
    </row>
    <row r="182" spans="1:19" x14ac:dyDescent="0.35">
      <c r="A182" s="46"/>
      <c r="B182" s="52"/>
      <c r="C182" s="34"/>
      <c r="D182" s="34"/>
      <c r="E182" s="137" t="s">
        <v>986</v>
      </c>
      <c r="F182" s="303"/>
      <c r="G182" s="304">
        <v>1</v>
      </c>
      <c r="H182" s="304">
        <v>1.8</v>
      </c>
      <c r="I182" s="304">
        <v>1.1000000000000001</v>
      </c>
      <c r="J182" s="305"/>
      <c r="K182" s="306">
        <f t="shared" si="36"/>
        <v>1.9800000000000002</v>
      </c>
      <c r="L182" s="307"/>
      <c r="M182" s="235"/>
      <c r="N182" s="308"/>
      <c r="O182" s="309"/>
      <c r="P182" s="315"/>
      <c r="Q182" s="312"/>
      <c r="R182" s="313"/>
      <c r="S182" s="314"/>
    </row>
    <row r="183" spans="1:19" x14ac:dyDescent="0.35">
      <c r="A183" s="46"/>
      <c r="B183" s="52"/>
      <c r="C183" s="34"/>
      <c r="D183" s="34"/>
      <c r="E183" s="137" t="s">
        <v>1080</v>
      </c>
      <c r="F183" s="303"/>
      <c r="G183" s="304">
        <v>1</v>
      </c>
      <c r="H183" s="304">
        <v>2.2400000000000002</v>
      </c>
      <c r="I183" s="304">
        <v>1.6</v>
      </c>
      <c r="J183" s="305"/>
      <c r="K183" s="306">
        <f t="shared" si="36"/>
        <v>3.5840000000000005</v>
      </c>
      <c r="L183" s="307"/>
      <c r="M183" s="235"/>
      <c r="N183" s="308"/>
      <c r="O183" s="309"/>
      <c r="P183" s="315"/>
      <c r="Q183" s="312"/>
      <c r="R183" s="313"/>
      <c r="S183" s="314"/>
    </row>
    <row r="184" spans="1:19" x14ac:dyDescent="0.35">
      <c r="A184" s="46"/>
      <c r="B184" s="52"/>
      <c r="C184" s="34"/>
      <c r="D184" s="34"/>
      <c r="E184" s="137" t="s">
        <v>987</v>
      </c>
      <c r="F184" s="303"/>
      <c r="G184" s="304">
        <v>1</v>
      </c>
      <c r="H184" s="304">
        <v>1.8</v>
      </c>
      <c r="I184" s="309">
        <v>0.75</v>
      </c>
      <c r="J184" s="315"/>
      <c r="K184" s="308">
        <f t="shared" si="36"/>
        <v>1.35</v>
      </c>
      <c r="L184" s="307"/>
      <c r="M184" s="235"/>
      <c r="N184" s="308"/>
      <c r="O184" s="309"/>
      <c r="P184" s="315"/>
      <c r="Q184" s="312"/>
      <c r="R184" s="313"/>
      <c r="S184" s="314"/>
    </row>
    <row r="185" spans="1:19" x14ac:dyDescent="0.35">
      <c r="A185" s="46"/>
      <c r="B185" s="52"/>
      <c r="C185" s="34"/>
      <c r="D185" s="34"/>
      <c r="E185" s="137" t="s">
        <v>1081</v>
      </c>
      <c r="F185" s="303"/>
      <c r="G185" s="304">
        <v>1</v>
      </c>
      <c r="H185" s="309">
        <v>2.2400000000000002</v>
      </c>
      <c r="I185" s="352">
        <v>1.6</v>
      </c>
      <c r="J185" s="315"/>
      <c r="K185" s="362">
        <f t="shared" si="36"/>
        <v>3.5840000000000005</v>
      </c>
      <c r="L185" s="307"/>
      <c r="M185" s="235"/>
      <c r="N185" s="308"/>
      <c r="O185" s="309"/>
      <c r="P185" s="315"/>
      <c r="Q185" s="312"/>
      <c r="R185" s="313"/>
      <c r="S185" s="314"/>
    </row>
    <row r="186" spans="1:19" x14ac:dyDescent="0.35">
      <c r="A186" s="46"/>
      <c r="B186" s="52"/>
      <c r="C186" s="34"/>
      <c r="D186" s="34"/>
      <c r="E186" s="137" t="s">
        <v>988</v>
      </c>
      <c r="F186" s="303"/>
      <c r="G186" s="304">
        <v>1</v>
      </c>
      <c r="H186" s="304">
        <v>1.61</v>
      </c>
      <c r="I186" s="304">
        <v>9.14</v>
      </c>
      <c r="J186" s="305"/>
      <c r="K186" s="306">
        <f t="shared" si="36"/>
        <v>14.715400000000002</v>
      </c>
      <c r="L186" s="307"/>
      <c r="M186" s="235"/>
      <c r="N186" s="308"/>
      <c r="O186" s="309"/>
      <c r="P186" s="315"/>
      <c r="Q186" s="312"/>
      <c r="R186" s="313"/>
      <c r="S186" s="314"/>
    </row>
    <row r="187" spans="1:19" x14ac:dyDescent="0.35">
      <c r="A187" s="46"/>
      <c r="B187" s="52"/>
      <c r="C187" s="34"/>
      <c r="D187" s="34"/>
      <c r="E187" s="137" t="s">
        <v>989</v>
      </c>
      <c r="F187" s="303"/>
      <c r="G187" s="304">
        <v>1</v>
      </c>
      <c r="H187" s="304">
        <v>2.2400000000000002</v>
      </c>
      <c r="I187" s="304">
        <v>1.6</v>
      </c>
      <c r="J187" s="305"/>
      <c r="K187" s="306">
        <f t="shared" si="36"/>
        <v>3.5840000000000005</v>
      </c>
      <c r="L187" s="307"/>
      <c r="M187" s="235"/>
      <c r="N187" s="308"/>
      <c r="O187" s="309"/>
      <c r="P187" s="315"/>
      <c r="Q187" s="312"/>
      <c r="R187" s="313"/>
      <c r="S187" s="314"/>
    </row>
    <row r="188" spans="1:19" x14ac:dyDescent="0.35">
      <c r="A188" s="46"/>
      <c r="B188" s="52"/>
      <c r="C188" s="34"/>
      <c r="D188" s="34"/>
      <c r="E188" s="137" t="s">
        <v>1082</v>
      </c>
      <c r="F188" s="303"/>
      <c r="G188" s="304">
        <v>1</v>
      </c>
      <c r="H188" s="304">
        <v>1.6</v>
      </c>
      <c r="I188" s="304">
        <v>1.95</v>
      </c>
      <c r="J188" s="305"/>
      <c r="K188" s="306">
        <f t="shared" si="36"/>
        <v>3.12</v>
      </c>
      <c r="L188" s="307"/>
      <c r="M188" s="235"/>
      <c r="N188" s="308"/>
      <c r="O188" s="309"/>
      <c r="P188" s="315"/>
      <c r="Q188" s="312"/>
      <c r="R188" s="313"/>
      <c r="S188" s="314"/>
    </row>
    <row r="189" spans="1:19" x14ac:dyDescent="0.35">
      <c r="A189" s="46"/>
      <c r="B189" s="52"/>
      <c r="C189" s="34"/>
      <c r="D189" s="34"/>
      <c r="E189" s="137" t="s">
        <v>1083</v>
      </c>
      <c r="F189" s="303"/>
      <c r="G189" s="304">
        <v>1</v>
      </c>
      <c r="H189" s="304">
        <v>2.21</v>
      </c>
      <c r="I189" s="304">
        <v>1.6</v>
      </c>
      <c r="J189" s="305"/>
      <c r="K189" s="306">
        <f t="shared" si="36"/>
        <v>3.536</v>
      </c>
      <c r="L189" s="307"/>
      <c r="M189" s="235"/>
      <c r="N189" s="308"/>
      <c r="O189" s="309"/>
      <c r="P189" s="315"/>
      <c r="Q189" s="312"/>
      <c r="R189" s="313"/>
      <c r="S189" s="314"/>
    </row>
    <row r="190" spans="1:19" x14ac:dyDescent="0.35">
      <c r="A190" s="46"/>
      <c r="B190" s="52"/>
      <c r="C190" s="34"/>
      <c r="D190" s="34"/>
      <c r="E190" s="137" t="s">
        <v>990</v>
      </c>
      <c r="F190" s="303"/>
      <c r="G190" s="304">
        <v>1</v>
      </c>
      <c r="H190" s="304">
        <v>1.82</v>
      </c>
      <c r="I190" s="304">
        <v>0.3</v>
      </c>
      <c r="J190" s="305"/>
      <c r="K190" s="306">
        <f t="shared" si="36"/>
        <v>0.54600000000000004</v>
      </c>
      <c r="L190" s="307"/>
      <c r="M190" s="235"/>
      <c r="N190" s="308"/>
      <c r="O190" s="309"/>
      <c r="P190" s="315"/>
      <c r="Q190" s="312"/>
      <c r="R190" s="313"/>
      <c r="S190" s="314"/>
    </row>
    <row r="191" spans="1:19" x14ac:dyDescent="0.35">
      <c r="A191" s="46"/>
      <c r="B191" s="52"/>
      <c r="C191" s="34"/>
      <c r="D191" s="34"/>
      <c r="E191" s="137" t="s">
        <v>991</v>
      </c>
      <c r="F191" s="303"/>
      <c r="G191" s="304">
        <v>1</v>
      </c>
      <c r="H191" s="304">
        <v>1.82</v>
      </c>
      <c r="I191" s="304">
        <v>0.3</v>
      </c>
      <c r="J191" s="305"/>
      <c r="K191" s="306">
        <f t="shared" si="36"/>
        <v>0.54600000000000004</v>
      </c>
      <c r="L191" s="307"/>
      <c r="M191" s="235"/>
      <c r="N191" s="308"/>
      <c r="O191" s="309"/>
      <c r="P191" s="315"/>
      <c r="Q191" s="312"/>
      <c r="R191" s="313"/>
      <c r="S191" s="314"/>
    </row>
    <row r="192" spans="1:19" x14ac:dyDescent="0.35">
      <c r="A192" s="46"/>
      <c r="B192" s="52"/>
      <c r="C192" s="34"/>
      <c r="D192" s="34"/>
      <c r="E192" s="137" t="s">
        <v>992</v>
      </c>
      <c r="F192" s="303"/>
      <c r="G192" s="304">
        <v>1</v>
      </c>
      <c r="H192" s="304">
        <v>1.82</v>
      </c>
      <c r="I192" s="304">
        <v>1.6</v>
      </c>
      <c r="J192" s="305"/>
      <c r="K192" s="306">
        <f t="shared" si="36"/>
        <v>2.9120000000000004</v>
      </c>
      <c r="L192" s="307"/>
      <c r="M192" s="235"/>
      <c r="N192" s="308"/>
      <c r="O192" s="309"/>
      <c r="P192" s="315"/>
      <c r="Q192" s="312"/>
      <c r="R192" s="313"/>
      <c r="S192" s="314"/>
    </row>
    <row r="193" spans="1:19" x14ac:dyDescent="0.35">
      <c r="A193" s="46"/>
      <c r="B193" s="52"/>
      <c r="C193" s="34"/>
      <c r="D193" s="34"/>
      <c r="E193" s="137" t="s">
        <v>1075</v>
      </c>
      <c r="F193" s="303"/>
      <c r="G193" s="304">
        <v>1</v>
      </c>
      <c r="H193" s="304">
        <v>1.82</v>
      </c>
      <c r="I193" s="304">
        <v>1.6</v>
      </c>
      <c r="J193" s="305"/>
      <c r="K193" s="306">
        <f t="shared" si="36"/>
        <v>2.9120000000000004</v>
      </c>
      <c r="L193" s="307"/>
      <c r="M193" s="235"/>
      <c r="N193" s="308"/>
      <c r="O193" s="309"/>
      <c r="P193" s="315"/>
      <c r="Q193" s="312"/>
      <c r="R193" s="313"/>
      <c r="S193" s="314"/>
    </row>
    <row r="194" spans="1:19" x14ac:dyDescent="0.35">
      <c r="A194" s="46"/>
      <c r="B194" s="52"/>
      <c r="C194" s="34"/>
      <c r="D194" s="34"/>
      <c r="E194" s="137" t="s">
        <v>1084</v>
      </c>
      <c r="F194" s="303"/>
      <c r="G194" s="304">
        <v>1</v>
      </c>
      <c r="H194" s="304">
        <v>1.8</v>
      </c>
      <c r="I194" s="304">
        <v>2.9</v>
      </c>
      <c r="J194" s="305"/>
      <c r="K194" s="306">
        <f t="shared" si="36"/>
        <v>5.22</v>
      </c>
      <c r="L194" s="307"/>
      <c r="M194" s="235"/>
      <c r="N194" s="308"/>
      <c r="O194" s="309"/>
      <c r="P194" s="315"/>
      <c r="Q194" s="312"/>
      <c r="R194" s="313"/>
      <c r="S194" s="314"/>
    </row>
    <row r="195" spans="1:19" x14ac:dyDescent="0.35">
      <c r="A195" s="46"/>
      <c r="B195" s="52"/>
      <c r="C195" s="34"/>
      <c r="D195" s="34"/>
      <c r="E195" s="137"/>
      <c r="F195" s="303"/>
      <c r="G195" s="304"/>
      <c r="H195" s="304"/>
      <c r="I195" s="304"/>
      <c r="J195" s="305"/>
      <c r="K195" s="306"/>
      <c r="L195" s="307"/>
      <c r="M195" s="235"/>
      <c r="N195" s="308"/>
      <c r="O195" s="309"/>
      <c r="P195" s="315"/>
      <c r="Q195" s="312"/>
      <c r="R195" s="313"/>
      <c r="S195" s="314"/>
    </row>
    <row r="196" spans="1:19" x14ac:dyDescent="0.35">
      <c r="A196" s="46"/>
      <c r="B196" s="52"/>
      <c r="C196" s="34"/>
      <c r="D196" s="34" t="s">
        <v>36</v>
      </c>
      <c r="E196" s="137" t="s">
        <v>447</v>
      </c>
      <c r="F196" s="303" t="s">
        <v>193</v>
      </c>
      <c r="G196" s="304"/>
      <c r="H196" s="304"/>
      <c r="I196" s="304"/>
      <c r="J196" s="305"/>
      <c r="K196" s="306">
        <v>2</v>
      </c>
      <c r="L196" s="307">
        <v>1461.66</v>
      </c>
      <c r="M196" s="235">
        <f>L196*$K196</f>
        <v>2923.32</v>
      </c>
      <c r="N196" s="308">
        <v>2</v>
      </c>
      <c r="O196" s="309">
        <v>1461.66</v>
      </c>
      <c r="P196" s="315">
        <f>O196*N196</f>
        <v>2923.32</v>
      </c>
      <c r="Q196" s="312"/>
      <c r="R196" s="313"/>
      <c r="S196" s="314"/>
    </row>
    <row r="197" spans="1:19" x14ac:dyDescent="0.35">
      <c r="A197" s="46" t="s">
        <v>619</v>
      </c>
      <c r="B197" s="52"/>
      <c r="C197" s="34"/>
      <c r="D197" s="34"/>
      <c r="E197" s="46"/>
      <c r="F197" s="316"/>
      <c r="G197" s="317"/>
      <c r="H197" s="317"/>
      <c r="I197" s="317"/>
      <c r="J197" s="318"/>
      <c r="K197" s="322"/>
      <c r="L197" s="323"/>
      <c r="M197" s="210">
        <f>SUM(M131:M196)</f>
        <v>231317.43000000002</v>
      </c>
      <c r="N197" s="308"/>
      <c r="O197" s="309"/>
      <c r="P197" s="203"/>
      <c r="Q197" s="319"/>
      <c r="R197" s="320"/>
      <c r="S197" s="321"/>
    </row>
    <row r="198" spans="1:19" x14ac:dyDescent="0.35">
      <c r="A198" s="89"/>
      <c r="B198" s="92" t="s">
        <v>620</v>
      </c>
      <c r="C198" s="34"/>
      <c r="D198" s="34"/>
      <c r="E198" s="89" t="s">
        <v>449</v>
      </c>
      <c r="F198" s="356"/>
      <c r="G198" s="357"/>
      <c r="H198" s="357"/>
      <c r="I198" s="357"/>
      <c r="J198" s="358"/>
      <c r="K198" s="359"/>
      <c r="L198" s="360"/>
      <c r="M198" s="210"/>
      <c r="N198" s="308"/>
      <c r="O198" s="309"/>
      <c r="P198" s="315"/>
      <c r="Q198" s="312"/>
      <c r="R198" s="313"/>
      <c r="S198" s="314"/>
    </row>
    <row r="199" spans="1:19" ht="46" x14ac:dyDescent="0.35">
      <c r="A199" s="46"/>
      <c r="B199" s="52"/>
      <c r="C199" s="34" t="s">
        <v>8</v>
      </c>
      <c r="D199" s="34"/>
      <c r="E199" s="138" t="s">
        <v>450</v>
      </c>
      <c r="F199" s="309"/>
      <c r="G199" s="363"/>
      <c r="H199" s="363"/>
      <c r="I199" s="363"/>
      <c r="J199" s="364"/>
      <c r="K199" s="306"/>
      <c r="L199" s="307"/>
      <c r="M199" s="235"/>
      <c r="N199" s="308"/>
      <c r="O199" s="309"/>
      <c r="P199" s="315"/>
      <c r="Q199" s="312"/>
      <c r="R199" s="313"/>
      <c r="S199" s="314"/>
    </row>
    <row r="200" spans="1:19" x14ac:dyDescent="0.35">
      <c r="A200" s="46"/>
      <c r="B200" s="52"/>
      <c r="C200" s="34" t="s">
        <v>11</v>
      </c>
      <c r="D200" s="34"/>
      <c r="E200" s="97" t="s">
        <v>451</v>
      </c>
      <c r="F200" s="303" t="s">
        <v>443</v>
      </c>
      <c r="G200" s="304"/>
      <c r="H200" s="304"/>
      <c r="I200" s="304"/>
      <c r="J200" s="305"/>
      <c r="K200" s="306">
        <v>0</v>
      </c>
      <c r="L200" s="307">
        <v>666.06</v>
      </c>
      <c r="M200" s="235">
        <f>L200*$K200</f>
        <v>0</v>
      </c>
      <c r="N200" s="308">
        <v>0</v>
      </c>
      <c r="O200" s="309">
        <v>666</v>
      </c>
      <c r="P200" s="315">
        <f>O200*N200</f>
        <v>0</v>
      </c>
      <c r="Q200" s="312"/>
      <c r="R200" s="313"/>
      <c r="S200" s="314"/>
    </row>
    <row r="201" spans="1:19" x14ac:dyDescent="0.35">
      <c r="A201" s="46"/>
      <c r="B201" s="52"/>
      <c r="C201" s="34" t="s">
        <v>14</v>
      </c>
      <c r="D201" s="34"/>
      <c r="E201" s="97" t="s">
        <v>452</v>
      </c>
      <c r="F201" s="303" t="s">
        <v>443</v>
      </c>
      <c r="G201" s="304"/>
      <c r="H201" s="304"/>
      <c r="I201" s="304"/>
      <c r="J201" s="305"/>
      <c r="K201" s="306">
        <f>SUM(K203:K248)</f>
        <v>112.17525000000002</v>
      </c>
      <c r="L201" s="307">
        <v>532.44000000000005</v>
      </c>
      <c r="M201" s="235">
        <f>L201*$K201</f>
        <v>59726.590110000019</v>
      </c>
      <c r="N201" s="308">
        <v>24</v>
      </c>
      <c r="O201" s="309">
        <v>532.44000000000005</v>
      </c>
      <c r="P201" s="315">
        <f t="shared" ref="P201" si="40">O201*N201</f>
        <v>12778.560000000001</v>
      </c>
      <c r="Q201" s="312">
        <f t="shared" ref="Q201" si="41">K201-N201</f>
        <v>88.17525000000002</v>
      </c>
      <c r="R201" s="313">
        <v>532.44000000000005</v>
      </c>
      <c r="S201" s="314">
        <f>R201*Q201</f>
        <v>46948.030110000014</v>
      </c>
    </row>
    <row r="202" spans="1:19" x14ac:dyDescent="0.35">
      <c r="A202" s="46"/>
      <c r="B202" s="52"/>
      <c r="C202" s="34"/>
      <c r="D202" s="34"/>
      <c r="E202" s="161" t="s">
        <v>1121</v>
      </c>
      <c r="F202" s="303"/>
      <c r="G202" s="304"/>
      <c r="H202" s="304"/>
      <c r="I202" s="304"/>
      <c r="J202" s="305"/>
      <c r="K202" s="306"/>
      <c r="L202" s="307"/>
      <c r="M202" s="235"/>
      <c r="N202" s="308"/>
      <c r="O202" s="309"/>
      <c r="P202" s="315"/>
      <c r="Q202" s="312"/>
      <c r="R202" s="313"/>
      <c r="S202" s="314"/>
    </row>
    <row r="203" spans="1:19" x14ac:dyDescent="0.35">
      <c r="A203" s="46"/>
      <c r="B203" s="52"/>
      <c r="C203" s="34"/>
      <c r="D203" s="34"/>
      <c r="E203" s="137" t="s">
        <v>1061</v>
      </c>
      <c r="F203" s="303"/>
      <c r="G203" s="304">
        <v>1</v>
      </c>
      <c r="H203" s="304">
        <v>1.833</v>
      </c>
      <c r="I203" s="304">
        <v>0.75</v>
      </c>
      <c r="J203" s="305"/>
      <c r="K203" s="306">
        <f>I203*H203*G203</f>
        <v>1.3747499999999999</v>
      </c>
      <c r="L203" s="307"/>
      <c r="M203" s="235"/>
      <c r="N203" s="308"/>
      <c r="O203" s="309"/>
      <c r="P203" s="315"/>
      <c r="Q203" s="312"/>
      <c r="R203" s="313"/>
      <c r="S203" s="314"/>
    </row>
    <row r="204" spans="1:19" x14ac:dyDescent="0.35">
      <c r="A204" s="46"/>
      <c r="B204" s="52"/>
      <c r="C204" s="34"/>
      <c r="D204" s="34"/>
      <c r="E204" s="137" t="s">
        <v>1062</v>
      </c>
      <c r="F204" s="303"/>
      <c r="G204" s="304">
        <v>1</v>
      </c>
      <c r="H204" s="304">
        <v>1.83</v>
      </c>
      <c r="I204" s="304">
        <v>0.75</v>
      </c>
      <c r="J204" s="305"/>
      <c r="K204" s="306">
        <f t="shared" ref="K204:K225" si="42">I204*H204*G204</f>
        <v>1.3725000000000001</v>
      </c>
      <c r="L204" s="307"/>
      <c r="M204" s="235"/>
      <c r="N204" s="308"/>
      <c r="O204" s="309"/>
      <c r="P204" s="315"/>
      <c r="Q204" s="312"/>
      <c r="R204" s="313"/>
      <c r="S204" s="314"/>
    </row>
    <row r="205" spans="1:19" x14ac:dyDescent="0.35">
      <c r="A205" s="46"/>
      <c r="B205" s="52"/>
      <c r="C205" s="34"/>
      <c r="D205" s="34"/>
      <c r="E205" s="137" t="s">
        <v>962</v>
      </c>
      <c r="F205" s="303"/>
      <c r="G205" s="304">
        <v>1</v>
      </c>
      <c r="H205" s="304">
        <v>1.2</v>
      </c>
      <c r="I205" s="304">
        <v>1.96</v>
      </c>
      <c r="J205" s="305"/>
      <c r="K205" s="306">
        <f t="shared" si="42"/>
        <v>2.3519999999999999</v>
      </c>
      <c r="L205" s="307"/>
      <c r="M205" s="235"/>
      <c r="N205" s="308"/>
      <c r="O205" s="309"/>
      <c r="P205" s="315"/>
      <c r="Q205" s="312"/>
      <c r="R205" s="313"/>
      <c r="S205" s="314"/>
    </row>
    <row r="206" spans="1:19" x14ac:dyDescent="0.35">
      <c r="A206" s="46"/>
      <c r="B206" s="52"/>
      <c r="C206" s="34"/>
      <c r="D206" s="34"/>
      <c r="E206" s="137" t="s">
        <v>963</v>
      </c>
      <c r="F206" s="303"/>
      <c r="G206" s="304">
        <v>1</v>
      </c>
      <c r="H206" s="304">
        <v>1.82</v>
      </c>
      <c r="I206" s="304">
        <f t="shared" ref="I206" si="43">0.5*2+0.25*2</f>
        <v>1.5</v>
      </c>
      <c r="J206" s="305"/>
      <c r="K206" s="306">
        <f t="shared" si="42"/>
        <v>2.73</v>
      </c>
      <c r="L206" s="307"/>
      <c r="M206" s="235"/>
      <c r="N206" s="308"/>
      <c r="O206" s="309"/>
      <c r="P206" s="315"/>
      <c r="Q206" s="312"/>
      <c r="R206" s="313"/>
      <c r="S206" s="314"/>
    </row>
    <row r="207" spans="1:19" x14ac:dyDescent="0.35">
      <c r="A207" s="46"/>
      <c r="B207" s="52"/>
      <c r="C207" s="34"/>
      <c r="D207" s="34"/>
      <c r="E207" s="137" t="s">
        <v>1063</v>
      </c>
      <c r="F207" s="303"/>
      <c r="G207" s="304">
        <v>1</v>
      </c>
      <c r="H207" s="304">
        <v>1.83</v>
      </c>
      <c r="I207" s="304">
        <v>0.75</v>
      </c>
      <c r="J207" s="305"/>
      <c r="K207" s="306">
        <f t="shared" si="42"/>
        <v>1.3725000000000001</v>
      </c>
      <c r="L207" s="307"/>
      <c r="M207" s="235"/>
      <c r="N207" s="308"/>
      <c r="O207" s="309"/>
      <c r="P207" s="315"/>
      <c r="Q207" s="312"/>
      <c r="R207" s="313"/>
      <c r="S207" s="314"/>
    </row>
    <row r="208" spans="1:19" x14ac:dyDescent="0.35">
      <c r="A208" s="46"/>
      <c r="B208" s="52"/>
      <c r="C208" s="34"/>
      <c r="D208" s="34"/>
      <c r="E208" s="137" t="s">
        <v>964</v>
      </c>
      <c r="F208" s="303"/>
      <c r="G208" s="304">
        <v>1</v>
      </c>
      <c r="H208" s="304">
        <v>1.6</v>
      </c>
      <c r="I208" s="304">
        <v>1.23</v>
      </c>
      <c r="J208" s="305"/>
      <c r="K208" s="306">
        <f t="shared" si="42"/>
        <v>1.968</v>
      </c>
      <c r="L208" s="307"/>
      <c r="M208" s="235"/>
      <c r="N208" s="308"/>
      <c r="O208" s="309"/>
      <c r="P208" s="315"/>
      <c r="Q208" s="312"/>
      <c r="R208" s="313"/>
      <c r="S208" s="314"/>
    </row>
    <row r="209" spans="1:19" x14ac:dyDescent="0.35">
      <c r="A209" s="46"/>
      <c r="B209" s="52"/>
      <c r="C209" s="34"/>
      <c r="D209" s="34"/>
      <c r="E209" s="137" t="s">
        <v>965</v>
      </c>
      <c r="F209" s="303"/>
      <c r="G209" s="304">
        <v>1</v>
      </c>
      <c r="H209" s="304">
        <v>1.5</v>
      </c>
      <c r="I209" s="304">
        <v>2.1</v>
      </c>
      <c r="J209" s="305"/>
      <c r="K209" s="306">
        <f t="shared" si="42"/>
        <v>3.1500000000000004</v>
      </c>
      <c r="L209" s="307"/>
      <c r="M209" s="235"/>
      <c r="N209" s="308"/>
      <c r="O209" s="309"/>
      <c r="P209" s="315"/>
      <c r="Q209" s="312"/>
      <c r="R209" s="313"/>
      <c r="S209" s="314"/>
    </row>
    <row r="210" spans="1:19" x14ac:dyDescent="0.35">
      <c r="A210" s="46"/>
      <c r="B210" s="52"/>
      <c r="C210" s="34"/>
      <c r="D210" s="34"/>
      <c r="E210" s="137" t="s">
        <v>1064</v>
      </c>
      <c r="F210" s="303"/>
      <c r="G210" s="304">
        <v>1</v>
      </c>
      <c r="H210" s="304">
        <v>1.83</v>
      </c>
      <c r="I210" s="304">
        <v>0.75</v>
      </c>
      <c r="J210" s="305"/>
      <c r="K210" s="306">
        <f t="shared" si="42"/>
        <v>1.3725000000000001</v>
      </c>
      <c r="L210" s="307"/>
      <c r="M210" s="235"/>
      <c r="N210" s="308"/>
      <c r="O210" s="309"/>
      <c r="P210" s="315"/>
      <c r="Q210" s="312"/>
      <c r="R210" s="313"/>
      <c r="S210" s="314"/>
    </row>
    <row r="211" spans="1:19" x14ac:dyDescent="0.35">
      <c r="A211" s="46"/>
      <c r="B211" s="52"/>
      <c r="C211" s="34"/>
      <c r="D211" s="34"/>
      <c r="E211" s="137" t="s">
        <v>966</v>
      </c>
      <c r="F211" s="303"/>
      <c r="G211" s="304">
        <v>1</v>
      </c>
      <c r="H211" s="361">
        <v>1.6</v>
      </c>
      <c r="I211" s="304">
        <v>1.23</v>
      </c>
      <c r="J211" s="305"/>
      <c r="K211" s="306">
        <f t="shared" si="42"/>
        <v>1.968</v>
      </c>
      <c r="L211" s="307"/>
      <c r="M211" s="235"/>
      <c r="N211" s="308"/>
      <c r="O211" s="309"/>
      <c r="P211" s="315"/>
      <c r="Q211" s="312"/>
      <c r="R211" s="313"/>
      <c r="S211" s="314"/>
    </row>
    <row r="212" spans="1:19" x14ac:dyDescent="0.35">
      <c r="A212" s="46"/>
      <c r="B212" s="52"/>
      <c r="C212" s="34"/>
      <c r="D212" s="34"/>
      <c r="E212" s="137" t="s">
        <v>967</v>
      </c>
      <c r="F212" s="303"/>
      <c r="G212" s="304">
        <v>1</v>
      </c>
      <c r="H212" s="361">
        <v>1.89</v>
      </c>
      <c r="I212" s="304">
        <f t="shared" ref="I212" si="44">0.6*2+0.3*2</f>
        <v>1.7999999999999998</v>
      </c>
      <c r="J212" s="305"/>
      <c r="K212" s="306">
        <f t="shared" si="42"/>
        <v>3.4019999999999997</v>
      </c>
      <c r="L212" s="307"/>
      <c r="M212" s="235"/>
      <c r="N212" s="308"/>
      <c r="O212" s="309"/>
      <c r="P212" s="315"/>
      <c r="Q212" s="312"/>
      <c r="R212" s="313"/>
      <c r="S212" s="314"/>
    </row>
    <row r="213" spans="1:19" x14ac:dyDescent="0.35">
      <c r="A213" s="46"/>
      <c r="B213" s="52"/>
      <c r="C213" s="34"/>
      <c r="D213" s="34"/>
      <c r="E213" s="137" t="s">
        <v>1065</v>
      </c>
      <c r="F213" s="303"/>
      <c r="G213" s="304">
        <v>1</v>
      </c>
      <c r="H213" s="361">
        <v>1.83</v>
      </c>
      <c r="I213" s="304">
        <v>0.75</v>
      </c>
      <c r="J213" s="305"/>
      <c r="K213" s="306">
        <f t="shared" si="42"/>
        <v>1.3725000000000001</v>
      </c>
      <c r="L213" s="307"/>
      <c r="M213" s="235"/>
      <c r="N213" s="308"/>
      <c r="O213" s="309"/>
      <c r="P213" s="315"/>
      <c r="Q213" s="312"/>
      <c r="R213" s="313"/>
      <c r="S213" s="314"/>
    </row>
    <row r="214" spans="1:19" x14ac:dyDescent="0.35">
      <c r="A214" s="46"/>
      <c r="B214" s="52"/>
      <c r="C214" s="34"/>
      <c r="D214" s="34"/>
      <c r="E214" s="137" t="s">
        <v>968</v>
      </c>
      <c r="F214" s="303"/>
      <c r="G214" s="304">
        <v>1</v>
      </c>
      <c r="H214" s="361">
        <v>1.8</v>
      </c>
      <c r="I214" s="304">
        <v>3.53</v>
      </c>
      <c r="J214" s="305"/>
      <c r="K214" s="306">
        <f t="shared" si="42"/>
        <v>6.3540000000000001</v>
      </c>
      <c r="L214" s="307"/>
      <c r="M214" s="235"/>
      <c r="N214" s="308"/>
      <c r="O214" s="309"/>
      <c r="P214" s="315"/>
      <c r="Q214" s="312"/>
      <c r="R214" s="313"/>
      <c r="S214" s="314"/>
    </row>
    <row r="215" spans="1:19" x14ac:dyDescent="0.35">
      <c r="A215" s="46"/>
      <c r="B215" s="52"/>
      <c r="C215" s="34"/>
      <c r="D215" s="34"/>
      <c r="E215" s="137" t="s">
        <v>1066</v>
      </c>
      <c r="F215" s="303"/>
      <c r="G215" s="304">
        <v>1</v>
      </c>
      <c r="H215" s="361">
        <v>1.83</v>
      </c>
      <c r="I215" s="304">
        <v>0.75</v>
      </c>
      <c r="J215" s="305"/>
      <c r="K215" s="306">
        <f t="shared" si="42"/>
        <v>1.3725000000000001</v>
      </c>
      <c r="L215" s="307"/>
      <c r="M215" s="235"/>
      <c r="N215" s="308"/>
      <c r="O215" s="309"/>
      <c r="P215" s="315"/>
      <c r="Q215" s="312"/>
      <c r="R215" s="313"/>
      <c r="S215" s="314"/>
    </row>
    <row r="216" spans="1:19" x14ac:dyDescent="0.35">
      <c r="A216" s="46"/>
      <c r="B216" s="52"/>
      <c r="C216" s="34"/>
      <c r="D216" s="34"/>
      <c r="E216" s="137" t="s">
        <v>1067</v>
      </c>
      <c r="F216" s="303"/>
      <c r="G216" s="304">
        <v>1</v>
      </c>
      <c r="H216" s="361">
        <v>1.83</v>
      </c>
      <c r="I216" s="304">
        <v>0.6</v>
      </c>
      <c r="J216" s="305"/>
      <c r="K216" s="306">
        <f t="shared" si="42"/>
        <v>1.0980000000000001</v>
      </c>
      <c r="L216" s="307"/>
      <c r="M216" s="235"/>
      <c r="N216" s="308"/>
      <c r="O216" s="309"/>
      <c r="P216" s="315"/>
      <c r="Q216" s="312"/>
      <c r="R216" s="313"/>
      <c r="S216" s="314"/>
    </row>
    <row r="217" spans="1:19" x14ac:dyDescent="0.35">
      <c r="A217" s="46"/>
      <c r="B217" s="52"/>
      <c r="C217" s="34"/>
      <c r="D217" s="34"/>
      <c r="E217" s="137" t="s">
        <v>1068</v>
      </c>
      <c r="F217" s="303"/>
      <c r="G217" s="304">
        <v>1</v>
      </c>
      <c r="H217" s="361">
        <v>1.83</v>
      </c>
      <c r="I217" s="304">
        <v>0.6</v>
      </c>
      <c r="J217" s="305"/>
      <c r="K217" s="306">
        <f t="shared" si="42"/>
        <v>1.0980000000000001</v>
      </c>
      <c r="L217" s="307"/>
      <c r="M217" s="235"/>
      <c r="N217" s="308"/>
      <c r="O217" s="309"/>
      <c r="P217" s="315"/>
      <c r="Q217" s="312"/>
      <c r="R217" s="313"/>
      <c r="S217" s="314"/>
    </row>
    <row r="218" spans="1:19" x14ac:dyDescent="0.35">
      <c r="A218" s="46"/>
      <c r="B218" s="52"/>
      <c r="C218" s="34"/>
      <c r="D218" s="34"/>
      <c r="E218" s="137" t="s">
        <v>969</v>
      </c>
      <c r="F218" s="303"/>
      <c r="G218" s="304">
        <v>1</v>
      </c>
      <c r="H218" s="361">
        <v>1.45</v>
      </c>
      <c r="I218" s="304">
        <v>2.67</v>
      </c>
      <c r="J218" s="305"/>
      <c r="K218" s="306">
        <f t="shared" si="42"/>
        <v>3.8714999999999997</v>
      </c>
      <c r="L218" s="307"/>
      <c r="M218" s="235"/>
      <c r="N218" s="308"/>
      <c r="O218" s="309"/>
      <c r="P218" s="315"/>
      <c r="Q218" s="312"/>
      <c r="R218" s="313"/>
      <c r="S218" s="314"/>
    </row>
    <row r="219" spans="1:19" x14ac:dyDescent="0.35">
      <c r="A219" s="46"/>
      <c r="B219" s="52"/>
      <c r="C219" s="34"/>
      <c r="D219" s="34"/>
      <c r="E219" s="137" t="s">
        <v>970</v>
      </c>
      <c r="F219" s="303"/>
      <c r="G219" s="304">
        <v>1</v>
      </c>
      <c r="H219" s="361">
        <v>1.6</v>
      </c>
      <c r="I219" s="304">
        <v>1.23</v>
      </c>
      <c r="J219" s="305"/>
      <c r="K219" s="306">
        <f t="shared" si="42"/>
        <v>1.968</v>
      </c>
      <c r="L219" s="307"/>
      <c r="M219" s="235"/>
      <c r="N219" s="308"/>
      <c r="O219" s="309"/>
      <c r="P219" s="315"/>
      <c r="Q219" s="312"/>
      <c r="R219" s="313"/>
      <c r="S219" s="314"/>
    </row>
    <row r="220" spans="1:19" x14ac:dyDescent="0.35">
      <c r="A220" s="46"/>
      <c r="B220" s="52"/>
      <c r="C220" s="34"/>
      <c r="D220" s="34"/>
      <c r="E220" s="137" t="s">
        <v>971</v>
      </c>
      <c r="F220" s="303"/>
      <c r="G220" s="304">
        <v>1</v>
      </c>
      <c r="H220" s="361">
        <v>1.6</v>
      </c>
      <c r="I220" s="304">
        <v>1.23</v>
      </c>
      <c r="J220" s="305"/>
      <c r="K220" s="306">
        <f t="shared" si="42"/>
        <v>1.968</v>
      </c>
      <c r="L220" s="307"/>
      <c r="M220" s="235"/>
      <c r="N220" s="308"/>
      <c r="O220" s="309"/>
      <c r="P220" s="315"/>
      <c r="Q220" s="312"/>
      <c r="R220" s="313"/>
      <c r="S220" s="314"/>
    </row>
    <row r="221" spans="1:19" x14ac:dyDescent="0.35">
      <c r="A221" s="46"/>
      <c r="B221" s="52"/>
      <c r="C221" s="34"/>
      <c r="D221" s="34"/>
      <c r="E221" s="137" t="s">
        <v>1057</v>
      </c>
      <c r="F221" s="303"/>
      <c r="G221" s="304">
        <v>1</v>
      </c>
      <c r="H221" s="361">
        <v>1.4</v>
      </c>
      <c r="I221" s="304">
        <v>2.35</v>
      </c>
      <c r="J221" s="305"/>
      <c r="K221" s="306">
        <f t="shared" si="42"/>
        <v>3.29</v>
      </c>
      <c r="L221" s="307"/>
      <c r="M221" s="235"/>
      <c r="N221" s="308"/>
      <c r="O221" s="309"/>
      <c r="P221" s="315"/>
      <c r="Q221" s="312"/>
      <c r="R221" s="313"/>
      <c r="S221" s="314"/>
    </row>
    <row r="222" spans="1:19" x14ac:dyDescent="0.35">
      <c r="A222" s="46"/>
      <c r="B222" s="52"/>
      <c r="C222" s="34"/>
      <c r="D222" s="34"/>
      <c r="E222" s="137" t="s">
        <v>1058</v>
      </c>
      <c r="F222" s="303"/>
      <c r="G222" s="304">
        <v>1</v>
      </c>
      <c r="H222" s="361">
        <v>1.4</v>
      </c>
      <c r="I222" s="304">
        <v>1.23</v>
      </c>
      <c r="J222" s="305"/>
      <c r="K222" s="306">
        <f t="shared" si="42"/>
        <v>1.722</v>
      </c>
      <c r="L222" s="307"/>
      <c r="M222" s="235"/>
      <c r="N222" s="308"/>
      <c r="O222" s="309"/>
      <c r="P222" s="315"/>
      <c r="Q222" s="312"/>
      <c r="R222" s="313"/>
      <c r="S222" s="314"/>
    </row>
    <row r="223" spans="1:19" x14ac:dyDescent="0.35">
      <c r="A223" s="46"/>
      <c r="B223" s="52"/>
      <c r="C223" s="34"/>
      <c r="D223" s="34"/>
      <c r="E223" s="137" t="s">
        <v>1059</v>
      </c>
      <c r="F223" s="303"/>
      <c r="G223" s="304">
        <v>1</v>
      </c>
      <c r="H223" s="361">
        <v>2.2400000000000002</v>
      </c>
      <c r="I223" s="304">
        <v>1.8</v>
      </c>
      <c r="J223" s="305"/>
      <c r="K223" s="306">
        <f t="shared" si="42"/>
        <v>4.0320000000000009</v>
      </c>
      <c r="L223" s="307"/>
      <c r="M223" s="235"/>
      <c r="N223" s="308"/>
      <c r="O223" s="309"/>
      <c r="P223" s="315"/>
      <c r="Q223" s="312"/>
      <c r="R223" s="313"/>
      <c r="S223" s="314"/>
    </row>
    <row r="224" spans="1:19" x14ac:dyDescent="0.35">
      <c r="A224" s="46"/>
      <c r="B224" s="52"/>
      <c r="C224" s="34"/>
      <c r="D224" s="34"/>
      <c r="E224" s="137" t="s">
        <v>1060</v>
      </c>
      <c r="F224" s="303"/>
      <c r="G224" s="304">
        <v>1</v>
      </c>
      <c r="H224" s="361">
        <v>1.3</v>
      </c>
      <c r="I224" s="304">
        <v>0.94</v>
      </c>
      <c r="J224" s="305"/>
      <c r="K224" s="306">
        <f t="shared" si="42"/>
        <v>1.222</v>
      </c>
      <c r="L224" s="307"/>
      <c r="M224" s="235"/>
      <c r="N224" s="308"/>
      <c r="O224" s="309"/>
      <c r="P224" s="315"/>
      <c r="Q224" s="312"/>
      <c r="R224" s="313"/>
      <c r="S224" s="314"/>
    </row>
    <row r="225" spans="1:19" x14ac:dyDescent="0.35">
      <c r="A225" s="46"/>
      <c r="B225" s="52"/>
      <c r="C225" s="34"/>
      <c r="D225" s="34"/>
      <c r="E225" s="137" t="s">
        <v>1069</v>
      </c>
      <c r="F225" s="303"/>
      <c r="G225" s="304">
        <v>1</v>
      </c>
      <c r="H225" s="361">
        <v>1.83</v>
      </c>
      <c r="I225" s="304">
        <v>0.75</v>
      </c>
      <c r="J225" s="305"/>
      <c r="K225" s="306">
        <f t="shared" si="42"/>
        <v>1.3725000000000001</v>
      </c>
      <c r="L225" s="307"/>
      <c r="M225" s="235"/>
      <c r="N225" s="308"/>
      <c r="O225" s="309"/>
      <c r="P225" s="315"/>
      <c r="Q225" s="312"/>
      <c r="R225" s="313"/>
      <c r="S225" s="314"/>
    </row>
    <row r="226" spans="1:19" x14ac:dyDescent="0.35">
      <c r="A226" s="46"/>
      <c r="B226" s="52"/>
      <c r="C226" s="34"/>
      <c r="D226" s="34"/>
      <c r="E226" s="137"/>
      <c r="F226" s="303"/>
      <c r="G226" s="304"/>
      <c r="H226" s="361"/>
      <c r="I226" s="304"/>
      <c r="J226" s="305"/>
      <c r="K226" s="306"/>
      <c r="L226" s="307"/>
      <c r="M226" s="235"/>
      <c r="N226" s="308"/>
      <c r="O226" s="309"/>
      <c r="P226" s="315"/>
      <c r="Q226" s="312"/>
      <c r="R226" s="313"/>
      <c r="S226" s="314"/>
    </row>
    <row r="227" spans="1:19" x14ac:dyDescent="0.35">
      <c r="A227" s="46"/>
      <c r="B227" s="52"/>
      <c r="C227" s="34"/>
      <c r="D227" s="34"/>
      <c r="E227" s="161" t="s">
        <v>972</v>
      </c>
      <c r="F227" s="303"/>
      <c r="G227" s="304"/>
      <c r="H227" s="304"/>
      <c r="I227" s="304"/>
      <c r="J227" s="305"/>
      <c r="K227" s="306">
        <f t="shared" ref="K227:K238" si="45">I227*H227*G227</f>
        <v>0</v>
      </c>
      <c r="L227" s="307"/>
      <c r="M227" s="235"/>
      <c r="N227" s="308"/>
      <c r="O227" s="309"/>
      <c r="P227" s="315"/>
      <c r="Q227" s="312"/>
      <c r="R227" s="313"/>
      <c r="S227" s="314"/>
    </row>
    <row r="228" spans="1:19" x14ac:dyDescent="0.35">
      <c r="A228" s="46"/>
      <c r="B228" s="52"/>
      <c r="C228" s="34"/>
      <c r="D228" s="34"/>
      <c r="E228" s="137" t="s">
        <v>1070</v>
      </c>
      <c r="F228" s="303"/>
      <c r="G228" s="304">
        <v>1</v>
      </c>
      <c r="H228" s="304">
        <v>1.88</v>
      </c>
      <c r="I228" s="304">
        <f>0.45*2+0.35*2</f>
        <v>1.6</v>
      </c>
      <c r="J228" s="305"/>
      <c r="K228" s="306">
        <f t="shared" si="45"/>
        <v>3.008</v>
      </c>
      <c r="L228" s="307"/>
      <c r="M228" s="235"/>
      <c r="N228" s="308"/>
      <c r="O228" s="309"/>
      <c r="P228" s="315"/>
      <c r="Q228" s="312"/>
      <c r="R228" s="313"/>
      <c r="S228" s="314"/>
    </row>
    <row r="229" spans="1:19" x14ac:dyDescent="0.35">
      <c r="A229" s="46"/>
      <c r="B229" s="52"/>
      <c r="C229" s="34"/>
      <c r="D229" s="34"/>
      <c r="E229" s="137" t="s">
        <v>974</v>
      </c>
      <c r="F229" s="303"/>
      <c r="G229" s="304">
        <v>1</v>
      </c>
      <c r="H229" s="304">
        <v>1.3</v>
      </c>
      <c r="I229" s="304">
        <v>1.2</v>
      </c>
      <c r="J229" s="305"/>
      <c r="K229" s="306">
        <f t="shared" si="45"/>
        <v>1.56</v>
      </c>
      <c r="L229" s="307"/>
      <c r="M229" s="235"/>
      <c r="N229" s="308"/>
      <c r="O229" s="309"/>
      <c r="P229" s="315"/>
      <c r="Q229" s="312"/>
      <c r="R229" s="313"/>
      <c r="S229" s="314"/>
    </row>
    <row r="230" spans="1:19" x14ac:dyDescent="0.35">
      <c r="A230" s="46"/>
      <c r="B230" s="52"/>
      <c r="C230" s="34"/>
      <c r="D230" s="34"/>
      <c r="E230" s="137" t="s">
        <v>975</v>
      </c>
      <c r="F230" s="303"/>
      <c r="G230" s="304">
        <v>1</v>
      </c>
      <c r="H230" s="304">
        <v>2.2400000000000002</v>
      </c>
      <c r="I230" s="304">
        <f t="shared" ref="I230:I236" si="46">0.45*2+0.35*2</f>
        <v>1.6</v>
      </c>
      <c r="J230" s="305"/>
      <c r="K230" s="306">
        <f t="shared" si="45"/>
        <v>3.5840000000000005</v>
      </c>
      <c r="L230" s="307"/>
      <c r="M230" s="235"/>
      <c r="N230" s="308"/>
      <c r="O230" s="309"/>
      <c r="P230" s="315"/>
      <c r="Q230" s="312"/>
      <c r="R230" s="313"/>
      <c r="S230" s="314"/>
    </row>
    <row r="231" spans="1:19" x14ac:dyDescent="0.35">
      <c r="A231" s="46"/>
      <c r="B231" s="52"/>
      <c r="C231" s="34"/>
      <c r="D231" s="34"/>
      <c r="E231" s="137" t="s">
        <v>976</v>
      </c>
      <c r="F231" s="303"/>
      <c r="G231" s="304">
        <v>1</v>
      </c>
      <c r="H231" s="304">
        <v>1.85</v>
      </c>
      <c r="I231" s="304">
        <v>1.6</v>
      </c>
      <c r="J231" s="305"/>
      <c r="K231" s="306">
        <f t="shared" si="45"/>
        <v>2.9600000000000004</v>
      </c>
      <c r="L231" s="307"/>
      <c r="M231" s="235"/>
      <c r="N231" s="308"/>
      <c r="O231" s="309"/>
      <c r="P231" s="315"/>
      <c r="Q231" s="312"/>
      <c r="R231" s="313"/>
      <c r="S231" s="314"/>
    </row>
    <row r="232" spans="1:19" x14ac:dyDescent="0.35">
      <c r="A232" s="46"/>
      <c r="B232" s="52"/>
      <c r="C232" s="34"/>
      <c r="D232" s="34"/>
      <c r="E232" s="137" t="s">
        <v>977</v>
      </c>
      <c r="F232" s="303"/>
      <c r="G232" s="304">
        <v>1</v>
      </c>
      <c r="H232" s="304">
        <v>1.6</v>
      </c>
      <c r="I232" s="304">
        <v>1.22</v>
      </c>
      <c r="J232" s="305"/>
      <c r="K232" s="306">
        <f t="shared" si="45"/>
        <v>1.952</v>
      </c>
      <c r="L232" s="307"/>
      <c r="M232" s="235"/>
      <c r="N232" s="308"/>
      <c r="O232" s="309"/>
      <c r="P232" s="315"/>
      <c r="Q232" s="312"/>
      <c r="R232" s="313"/>
      <c r="S232" s="314"/>
    </row>
    <row r="233" spans="1:19" x14ac:dyDescent="0.35">
      <c r="A233" s="46"/>
      <c r="B233" s="52"/>
      <c r="C233" s="34"/>
      <c r="D233" s="34"/>
      <c r="E233" s="137" t="s">
        <v>1071</v>
      </c>
      <c r="F233" s="303"/>
      <c r="G233" s="304">
        <v>1</v>
      </c>
      <c r="H233" s="304">
        <v>1.88</v>
      </c>
      <c r="I233" s="304">
        <f t="shared" si="46"/>
        <v>1.6</v>
      </c>
      <c r="J233" s="305"/>
      <c r="K233" s="306">
        <f t="shared" si="45"/>
        <v>3.008</v>
      </c>
      <c r="L233" s="307"/>
      <c r="M233" s="235"/>
      <c r="N233" s="308"/>
      <c r="O233" s="309"/>
      <c r="P233" s="315"/>
      <c r="Q233" s="312"/>
      <c r="R233" s="313"/>
      <c r="S233" s="314"/>
    </row>
    <row r="234" spans="1:19" x14ac:dyDescent="0.35">
      <c r="A234" s="46"/>
      <c r="B234" s="52"/>
      <c r="C234" s="34"/>
      <c r="D234" s="34"/>
      <c r="E234" s="137" t="s">
        <v>978</v>
      </c>
      <c r="F234" s="303"/>
      <c r="G234" s="304">
        <v>1</v>
      </c>
      <c r="H234" s="304">
        <v>1.3</v>
      </c>
      <c r="I234" s="304">
        <v>1.2</v>
      </c>
      <c r="J234" s="305"/>
      <c r="K234" s="306">
        <f t="shared" si="45"/>
        <v>1.56</v>
      </c>
      <c r="L234" s="307"/>
      <c r="M234" s="235"/>
      <c r="N234" s="308"/>
      <c r="O234" s="309"/>
      <c r="P234" s="315"/>
      <c r="Q234" s="312"/>
      <c r="R234" s="313"/>
      <c r="S234" s="314"/>
    </row>
    <row r="235" spans="1:19" x14ac:dyDescent="0.35">
      <c r="A235" s="46"/>
      <c r="B235" s="52"/>
      <c r="C235" s="34"/>
      <c r="D235" s="34"/>
      <c r="E235" s="137" t="s">
        <v>1072</v>
      </c>
      <c r="F235" s="303"/>
      <c r="G235" s="304">
        <v>1</v>
      </c>
      <c r="H235" s="304">
        <v>2.21</v>
      </c>
      <c r="I235" s="304">
        <f t="shared" si="46"/>
        <v>1.6</v>
      </c>
      <c r="J235" s="305"/>
      <c r="K235" s="306">
        <f t="shared" si="45"/>
        <v>3.536</v>
      </c>
      <c r="L235" s="307"/>
      <c r="M235" s="235"/>
      <c r="N235" s="308"/>
      <c r="O235" s="309"/>
      <c r="P235" s="315"/>
      <c r="Q235" s="312"/>
      <c r="R235" s="313"/>
      <c r="S235" s="314"/>
    </row>
    <row r="236" spans="1:19" x14ac:dyDescent="0.35">
      <c r="A236" s="46"/>
      <c r="B236" s="52"/>
      <c r="C236" s="34"/>
      <c r="D236" s="34"/>
      <c r="E236" s="137" t="s">
        <v>979</v>
      </c>
      <c r="F236" s="303"/>
      <c r="G236" s="304">
        <v>1</v>
      </c>
      <c r="H236" s="304">
        <v>2.2400000000000002</v>
      </c>
      <c r="I236" s="304">
        <f t="shared" si="46"/>
        <v>1.6</v>
      </c>
      <c r="J236" s="305"/>
      <c r="K236" s="306">
        <f t="shared" si="45"/>
        <v>3.5840000000000005</v>
      </c>
      <c r="L236" s="307"/>
      <c r="M236" s="235"/>
      <c r="N236" s="308"/>
      <c r="O236" s="309"/>
      <c r="P236" s="315"/>
      <c r="Q236" s="312"/>
      <c r="R236" s="313"/>
      <c r="S236" s="314"/>
    </row>
    <row r="237" spans="1:19" x14ac:dyDescent="0.35">
      <c r="A237" s="46"/>
      <c r="B237" s="52"/>
      <c r="C237" s="34"/>
      <c r="D237" s="34"/>
      <c r="E237" s="137" t="s">
        <v>980</v>
      </c>
      <c r="F237" s="303"/>
      <c r="G237" s="304">
        <v>1</v>
      </c>
      <c r="H237" s="304">
        <v>2.2400000000000002</v>
      </c>
      <c r="I237" s="304">
        <v>1.6</v>
      </c>
      <c r="J237" s="305"/>
      <c r="K237" s="306">
        <f t="shared" si="45"/>
        <v>3.5840000000000005</v>
      </c>
      <c r="L237" s="307"/>
      <c r="M237" s="235"/>
      <c r="N237" s="308"/>
      <c r="O237" s="309"/>
      <c r="P237" s="315"/>
      <c r="Q237" s="312"/>
      <c r="R237" s="313"/>
      <c r="S237" s="314"/>
    </row>
    <row r="238" spans="1:19" x14ac:dyDescent="0.35">
      <c r="A238" s="46"/>
      <c r="B238" s="52"/>
      <c r="C238" s="34"/>
      <c r="D238" s="34"/>
      <c r="E238" s="137" t="s">
        <v>981</v>
      </c>
      <c r="F238" s="303"/>
      <c r="G238" s="304">
        <v>1</v>
      </c>
      <c r="H238" s="304">
        <v>1.6</v>
      </c>
      <c r="I238" s="304">
        <v>7.78</v>
      </c>
      <c r="J238" s="305"/>
      <c r="K238" s="306">
        <f t="shared" si="45"/>
        <v>12.448</v>
      </c>
      <c r="L238" s="307"/>
      <c r="M238" s="235"/>
      <c r="N238" s="308"/>
      <c r="O238" s="309"/>
      <c r="P238" s="315"/>
      <c r="Q238" s="312"/>
      <c r="R238" s="313"/>
      <c r="S238" s="314"/>
    </row>
    <row r="239" spans="1:19" x14ac:dyDescent="0.35">
      <c r="A239" s="46"/>
      <c r="B239" s="52"/>
      <c r="C239" s="34"/>
      <c r="D239" s="34"/>
      <c r="E239" s="137"/>
      <c r="F239" s="303"/>
      <c r="G239" s="304"/>
      <c r="H239" s="304"/>
      <c r="I239" s="304"/>
      <c r="J239" s="305"/>
      <c r="K239" s="306"/>
      <c r="L239" s="307"/>
      <c r="M239" s="235"/>
      <c r="N239" s="308"/>
      <c r="O239" s="309"/>
      <c r="P239" s="315"/>
      <c r="Q239" s="312"/>
      <c r="R239" s="313"/>
      <c r="S239" s="314"/>
    </row>
    <row r="240" spans="1:19" x14ac:dyDescent="0.35">
      <c r="A240" s="46"/>
      <c r="B240" s="52"/>
      <c r="C240" s="34"/>
      <c r="D240" s="34"/>
      <c r="E240" s="161" t="s">
        <v>985</v>
      </c>
      <c r="F240" s="303"/>
      <c r="G240" s="304"/>
      <c r="H240" s="304"/>
      <c r="I240" s="304"/>
      <c r="J240" s="305"/>
      <c r="K240" s="306">
        <f t="shared" ref="K240:K248" si="47">I240*H240*G240</f>
        <v>0</v>
      </c>
      <c r="L240" s="307"/>
      <c r="M240" s="235"/>
      <c r="N240" s="308"/>
      <c r="O240" s="309"/>
      <c r="P240" s="315"/>
      <c r="Q240" s="312"/>
      <c r="R240" s="313"/>
      <c r="S240" s="314"/>
    </row>
    <row r="241" spans="1:19" x14ac:dyDescent="0.35">
      <c r="A241" s="46"/>
      <c r="B241" s="52"/>
      <c r="C241" s="34"/>
      <c r="D241" s="34"/>
      <c r="E241" s="137" t="s">
        <v>1076</v>
      </c>
      <c r="F241" s="303"/>
      <c r="G241" s="304">
        <v>1</v>
      </c>
      <c r="H241" s="304">
        <v>2.14</v>
      </c>
      <c r="I241" s="304">
        <v>0.75</v>
      </c>
      <c r="J241" s="305"/>
      <c r="K241" s="306">
        <f t="shared" si="47"/>
        <v>1.605</v>
      </c>
      <c r="L241" s="307"/>
      <c r="M241" s="235"/>
      <c r="N241" s="308"/>
      <c r="O241" s="309"/>
      <c r="P241" s="315"/>
      <c r="Q241" s="312"/>
      <c r="R241" s="313"/>
      <c r="S241" s="314"/>
    </row>
    <row r="242" spans="1:19" x14ac:dyDescent="0.35">
      <c r="A242" s="46"/>
      <c r="B242" s="52"/>
      <c r="C242" s="34"/>
      <c r="D242" s="34"/>
      <c r="E242" s="137" t="s">
        <v>1077</v>
      </c>
      <c r="F242" s="303"/>
      <c r="G242" s="304">
        <v>1</v>
      </c>
      <c r="H242" s="304">
        <v>2.4500000000000002</v>
      </c>
      <c r="I242" s="304">
        <v>1.2</v>
      </c>
      <c r="J242" s="305"/>
      <c r="K242" s="306">
        <f t="shared" si="47"/>
        <v>2.94</v>
      </c>
      <c r="L242" s="307"/>
      <c r="M242" s="235"/>
      <c r="N242" s="308"/>
      <c r="O242" s="309"/>
      <c r="P242" s="315"/>
      <c r="Q242" s="312"/>
      <c r="R242" s="313"/>
      <c r="S242" s="314"/>
    </row>
    <row r="243" spans="1:19" x14ac:dyDescent="0.35">
      <c r="A243" s="46"/>
      <c r="B243" s="52"/>
      <c r="C243" s="34"/>
      <c r="D243" s="34"/>
      <c r="E243" s="137" t="s">
        <v>1078</v>
      </c>
      <c r="F243" s="303"/>
      <c r="G243" s="304">
        <v>1</v>
      </c>
      <c r="H243" s="304">
        <v>2.14</v>
      </c>
      <c r="I243" s="304">
        <v>0.75</v>
      </c>
      <c r="J243" s="305"/>
      <c r="K243" s="306">
        <f t="shared" si="47"/>
        <v>1.605</v>
      </c>
      <c r="L243" s="307"/>
      <c r="M243" s="235"/>
      <c r="N243" s="308"/>
      <c r="O243" s="309"/>
      <c r="P243" s="315"/>
      <c r="Q243" s="312"/>
      <c r="R243" s="313"/>
      <c r="S243" s="314"/>
    </row>
    <row r="244" spans="1:19" x14ac:dyDescent="0.35">
      <c r="A244" s="46"/>
      <c r="B244" s="52"/>
      <c r="C244" s="34"/>
      <c r="D244" s="34"/>
      <c r="E244" s="137" t="s">
        <v>1079</v>
      </c>
      <c r="F244" s="303"/>
      <c r="G244" s="304">
        <v>1</v>
      </c>
      <c r="H244" s="304">
        <v>2.4500000000000002</v>
      </c>
      <c r="I244" s="304">
        <v>1.2</v>
      </c>
      <c r="J244" s="305"/>
      <c r="K244" s="306">
        <f t="shared" si="47"/>
        <v>2.94</v>
      </c>
      <c r="L244" s="307"/>
      <c r="M244" s="235"/>
      <c r="N244" s="308"/>
      <c r="O244" s="309"/>
      <c r="P244" s="315"/>
      <c r="Q244" s="312"/>
      <c r="R244" s="313"/>
      <c r="S244" s="314"/>
    </row>
    <row r="245" spans="1:19" x14ac:dyDescent="0.35">
      <c r="A245" s="46"/>
      <c r="B245" s="52"/>
      <c r="C245" s="34"/>
      <c r="D245" s="34"/>
      <c r="E245" s="137" t="s">
        <v>986</v>
      </c>
      <c r="F245" s="303"/>
      <c r="G245" s="304">
        <v>1</v>
      </c>
      <c r="H245" s="304">
        <v>1.8</v>
      </c>
      <c r="I245" s="304">
        <v>1.1000000000000001</v>
      </c>
      <c r="J245" s="305"/>
      <c r="K245" s="306">
        <f t="shared" si="47"/>
        <v>1.9800000000000002</v>
      </c>
      <c r="L245" s="307"/>
      <c r="M245" s="235"/>
      <c r="N245" s="308"/>
      <c r="O245" s="309"/>
      <c r="P245" s="315"/>
      <c r="Q245" s="312"/>
      <c r="R245" s="313"/>
      <c r="S245" s="314"/>
    </row>
    <row r="246" spans="1:19" x14ac:dyDescent="0.35">
      <c r="A246" s="46"/>
      <c r="B246" s="52"/>
      <c r="C246" s="34"/>
      <c r="D246" s="34"/>
      <c r="E246" s="137" t="s">
        <v>1080</v>
      </c>
      <c r="F246" s="303"/>
      <c r="G246" s="304">
        <v>1</v>
      </c>
      <c r="H246" s="304">
        <v>2.2400000000000002</v>
      </c>
      <c r="I246" s="304">
        <v>1.6</v>
      </c>
      <c r="J246" s="305"/>
      <c r="K246" s="306">
        <f t="shared" si="47"/>
        <v>3.5840000000000005</v>
      </c>
      <c r="L246" s="307"/>
      <c r="M246" s="235"/>
      <c r="N246" s="308"/>
      <c r="O246" s="309"/>
      <c r="P246" s="315"/>
      <c r="Q246" s="312"/>
      <c r="R246" s="313"/>
      <c r="S246" s="314"/>
    </row>
    <row r="247" spans="1:19" x14ac:dyDescent="0.35">
      <c r="A247" s="46"/>
      <c r="B247" s="52"/>
      <c r="C247" s="34"/>
      <c r="D247" s="34"/>
      <c r="E247" s="137" t="s">
        <v>987</v>
      </c>
      <c r="F247" s="303"/>
      <c r="G247" s="304">
        <v>1</v>
      </c>
      <c r="H247" s="304">
        <v>1.8</v>
      </c>
      <c r="I247" s="309">
        <v>0.75</v>
      </c>
      <c r="J247" s="315"/>
      <c r="K247" s="308">
        <f t="shared" si="47"/>
        <v>1.35</v>
      </c>
      <c r="L247" s="307"/>
      <c r="M247" s="235"/>
      <c r="N247" s="308"/>
      <c r="O247" s="309"/>
      <c r="P247" s="315"/>
      <c r="Q247" s="312"/>
      <c r="R247" s="313"/>
      <c r="S247" s="314"/>
    </row>
    <row r="248" spans="1:19" x14ac:dyDescent="0.35">
      <c r="A248" s="46"/>
      <c r="B248" s="52"/>
      <c r="C248" s="34"/>
      <c r="D248" s="34"/>
      <c r="E248" s="137" t="s">
        <v>1081</v>
      </c>
      <c r="F248" s="303"/>
      <c r="G248" s="304">
        <v>1</v>
      </c>
      <c r="H248" s="309">
        <v>2.2400000000000002</v>
      </c>
      <c r="I248" s="352">
        <v>1.6</v>
      </c>
      <c r="J248" s="315"/>
      <c r="K248" s="362">
        <f t="shared" si="47"/>
        <v>3.5840000000000005</v>
      </c>
      <c r="L248" s="307"/>
      <c r="M248" s="235"/>
      <c r="N248" s="308"/>
      <c r="O248" s="309"/>
      <c r="P248" s="315"/>
      <c r="Q248" s="312"/>
      <c r="R248" s="313"/>
      <c r="S248" s="314"/>
    </row>
    <row r="249" spans="1:19" x14ac:dyDescent="0.35">
      <c r="A249" s="46" t="s">
        <v>621</v>
      </c>
      <c r="B249" s="52"/>
      <c r="C249" s="34"/>
      <c r="D249" s="34"/>
      <c r="E249" s="46"/>
      <c r="F249" s="316"/>
      <c r="G249" s="317"/>
      <c r="H249" s="317"/>
      <c r="I249" s="317"/>
      <c r="J249" s="318"/>
      <c r="K249" s="322"/>
      <c r="L249" s="323"/>
      <c r="M249" s="210"/>
      <c r="N249" s="308"/>
      <c r="O249" s="309"/>
      <c r="P249" s="315"/>
      <c r="Q249" s="319"/>
      <c r="R249" s="320"/>
      <c r="S249" s="321"/>
    </row>
    <row r="250" spans="1:19" x14ac:dyDescent="0.35">
      <c r="A250" s="46" t="s">
        <v>624</v>
      </c>
      <c r="B250" s="52"/>
      <c r="C250" s="34"/>
      <c r="D250" s="34"/>
      <c r="E250" s="46"/>
      <c r="F250" s="316"/>
      <c r="G250" s="317"/>
      <c r="H250" s="317"/>
      <c r="I250" s="317"/>
      <c r="J250" s="318"/>
      <c r="K250" s="322"/>
      <c r="L250" s="323"/>
      <c r="M250" s="210"/>
      <c r="N250" s="308"/>
      <c r="O250" s="309"/>
      <c r="P250" s="203"/>
      <c r="Q250" s="312"/>
      <c r="R250" s="313"/>
      <c r="S250" s="314"/>
    </row>
    <row r="251" spans="1:19" x14ac:dyDescent="0.35">
      <c r="A251" s="89"/>
      <c r="B251" s="92" t="s">
        <v>475</v>
      </c>
      <c r="C251" s="34"/>
      <c r="D251" s="34"/>
      <c r="E251" s="89" t="s">
        <v>476</v>
      </c>
      <c r="F251" s="356"/>
      <c r="G251" s="357"/>
      <c r="H251" s="357"/>
      <c r="I251" s="357"/>
      <c r="J251" s="358"/>
      <c r="K251" s="359"/>
      <c r="L251" s="360"/>
      <c r="M251" s="210"/>
      <c r="N251" s="308"/>
      <c r="O251" s="309"/>
      <c r="P251" s="315"/>
      <c r="Q251" s="312">
        <f t="shared" ref="Q251:Q254" si="48">K251-N251</f>
        <v>0</v>
      </c>
      <c r="R251" s="313"/>
      <c r="S251" s="314"/>
    </row>
    <row r="252" spans="1:19" ht="25.25" customHeight="1" x14ac:dyDescent="0.35">
      <c r="A252" s="152"/>
      <c r="B252" s="97"/>
      <c r="C252" s="36" t="s">
        <v>100</v>
      </c>
      <c r="D252" s="36"/>
      <c r="E252" s="42" t="s">
        <v>489</v>
      </c>
      <c r="F252" s="345" t="s">
        <v>193</v>
      </c>
      <c r="G252" s="346"/>
      <c r="H252" s="346"/>
      <c r="I252" s="346"/>
      <c r="J252" s="347"/>
      <c r="K252" s="306">
        <v>7</v>
      </c>
      <c r="L252" s="307">
        <v>3672</v>
      </c>
      <c r="M252" s="235">
        <f t="shared" ref="M252:M254" si="49">L252*$K252</f>
        <v>25704</v>
      </c>
      <c r="N252" s="308">
        <v>2</v>
      </c>
      <c r="O252" s="309">
        <v>3672</v>
      </c>
      <c r="P252" s="315">
        <f t="shared" ref="P252:P254" si="50">O252*N252</f>
        <v>7344</v>
      </c>
      <c r="Q252" s="312">
        <f t="shared" si="48"/>
        <v>5</v>
      </c>
      <c r="R252" s="313">
        <v>3672</v>
      </c>
      <c r="S252" s="314">
        <f>R252*Q252</f>
        <v>18360</v>
      </c>
    </row>
    <row r="253" spans="1:19" ht="28.25" customHeight="1" x14ac:dyDescent="0.35">
      <c r="A253" s="152"/>
      <c r="B253" s="97"/>
      <c r="C253" s="36" t="s">
        <v>101</v>
      </c>
      <c r="D253" s="36"/>
      <c r="E253" s="42" t="s">
        <v>490</v>
      </c>
      <c r="F253" s="345" t="s">
        <v>193</v>
      </c>
      <c r="G253" s="346"/>
      <c r="H253" s="346"/>
      <c r="I253" s="346"/>
      <c r="J253" s="347"/>
      <c r="K253" s="306">
        <v>28</v>
      </c>
      <c r="L253" s="307">
        <v>2537.7600000000002</v>
      </c>
      <c r="M253" s="235">
        <f t="shared" si="49"/>
        <v>71057.279999999999</v>
      </c>
      <c r="N253" s="308">
        <v>2</v>
      </c>
      <c r="O253" s="309">
        <v>2537.7600000000002</v>
      </c>
      <c r="P253" s="315">
        <f t="shared" si="50"/>
        <v>5075.5200000000004</v>
      </c>
      <c r="Q253" s="312">
        <f t="shared" si="48"/>
        <v>26</v>
      </c>
      <c r="R253" s="313">
        <v>2537.7600000000002</v>
      </c>
      <c r="S253" s="314">
        <f>R253*Q253</f>
        <v>65981.760000000009</v>
      </c>
    </row>
    <row r="254" spans="1:19" x14ac:dyDescent="0.35">
      <c r="A254" s="152"/>
      <c r="B254" s="97"/>
      <c r="C254" s="36" t="s">
        <v>103</v>
      </c>
      <c r="D254" s="36"/>
      <c r="E254" s="42" t="s">
        <v>492</v>
      </c>
      <c r="F254" s="345" t="s">
        <v>266</v>
      </c>
      <c r="G254" s="346"/>
      <c r="H254" s="346"/>
      <c r="I254" s="346"/>
      <c r="J254" s="347"/>
      <c r="K254" s="306">
        <v>3</v>
      </c>
      <c r="L254" s="307">
        <v>1285.2</v>
      </c>
      <c r="M254" s="235">
        <f t="shared" si="49"/>
        <v>3855.6000000000004</v>
      </c>
      <c r="N254" s="308">
        <v>1</v>
      </c>
      <c r="O254" s="309">
        <v>1285.2</v>
      </c>
      <c r="P254" s="315">
        <f t="shared" si="50"/>
        <v>1285.2</v>
      </c>
      <c r="Q254" s="312">
        <f t="shared" si="48"/>
        <v>2</v>
      </c>
      <c r="R254" s="313">
        <f>O254</f>
        <v>1285.2</v>
      </c>
      <c r="S254" s="314">
        <f>R254*Q254</f>
        <v>2570.4</v>
      </c>
    </row>
    <row r="255" spans="1:19" ht="12" thickBot="1" x14ac:dyDescent="0.4">
      <c r="A255" s="46" t="s">
        <v>499</v>
      </c>
      <c r="B255" s="52"/>
      <c r="C255" s="34"/>
      <c r="D255" s="367"/>
      <c r="E255" s="368"/>
      <c r="F255" s="369"/>
      <c r="G255" s="370"/>
      <c r="H255" s="370"/>
      <c r="I255" s="370"/>
      <c r="J255" s="371"/>
      <c r="K255" s="372"/>
      <c r="L255" s="373"/>
      <c r="M255" s="374"/>
      <c r="N255" s="375"/>
      <c r="O255" s="376"/>
      <c r="P255" s="377"/>
      <c r="Q255" s="378"/>
      <c r="R255" s="379"/>
      <c r="S255" s="380"/>
    </row>
    <row r="256" spans="1:19" ht="25.25" customHeight="1" x14ac:dyDescent="0.35">
      <c r="A256" s="46"/>
      <c r="B256" s="52"/>
      <c r="C256" s="366"/>
      <c r="D256" s="381"/>
      <c r="E256" s="382"/>
      <c r="F256" s="383"/>
      <c r="G256" s="384"/>
      <c r="H256" s="384"/>
      <c r="I256" s="409" t="s">
        <v>961</v>
      </c>
      <c r="J256" s="409"/>
      <c r="K256" s="386"/>
      <c r="L256" s="387" t="s">
        <v>860</v>
      </c>
      <c r="M256" s="387"/>
      <c r="N256" s="388"/>
      <c r="O256" s="389"/>
      <c r="P256" s="392">
        <f>SUM(P5:P255)</f>
        <v>357939.3309</v>
      </c>
      <c r="Q256" s="390"/>
      <c r="R256" s="391"/>
      <c r="S256" s="392">
        <f>SUM(S5:S255)</f>
        <v>634144.93204666686</v>
      </c>
    </row>
    <row r="257" spans="1:19" ht="28.25" customHeight="1" x14ac:dyDescent="0.35">
      <c r="A257" s="46"/>
      <c r="B257" s="52"/>
      <c r="C257" s="366"/>
      <c r="D257" s="385"/>
      <c r="E257" s="365"/>
      <c r="F257" s="316"/>
      <c r="G257" s="317"/>
      <c r="H257" s="317"/>
      <c r="I257" s="317"/>
      <c r="J257" s="317"/>
      <c r="K257" s="344"/>
      <c r="L257" s="57"/>
      <c r="M257" s="57"/>
      <c r="N257" s="309"/>
      <c r="O257" s="309"/>
      <c r="P257" s="57"/>
      <c r="Q257" s="309"/>
      <c r="R257" s="309"/>
      <c r="S257" s="311"/>
    </row>
  </sheetData>
  <autoFilter ref="A4:M4"/>
  <mergeCells count="5">
    <mergeCell ref="I256:J256"/>
    <mergeCell ref="A1:E1"/>
    <mergeCell ref="K3:M3"/>
    <mergeCell ref="N3:P3"/>
    <mergeCell ref="Q3:S3"/>
  </mergeCells>
  <pageMargins left="0.31496062992125984" right="0.31496062992125984" top="0.59055118110236227" bottom="0.35433070866141736" header="0.31496062992125984" footer="0.31496062992125984"/>
  <pageSetup scale="6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2"/>
  <sheetViews>
    <sheetView view="pageBreakPreview" topLeftCell="A58" zoomScaleSheetLayoutView="100" workbookViewId="0">
      <selection activeCell="B76" sqref="B76"/>
    </sheetView>
  </sheetViews>
  <sheetFormatPr defaultRowHeight="14.5" x14ac:dyDescent="0.35"/>
  <cols>
    <col min="1" max="1" width="9.08984375" customWidth="1"/>
    <col min="2" max="2" width="47" customWidth="1"/>
    <col min="3" max="3" width="11" customWidth="1"/>
    <col min="4" max="7" width="5.6328125" bestFit="1" customWidth="1"/>
    <col min="8" max="11" width="7.36328125" customWidth="1"/>
  </cols>
  <sheetData>
    <row r="1" spans="1:12" x14ac:dyDescent="0.35">
      <c r="A1" s="422" t="s">
        <v>957</v>
      </c>
      <c r="B1" s="422"/>
      <c r="C1" s="422"/>
      <c r="D1" s="422"/>
      <c r="E1" s="422"/>
      <c r="F1" s="422"/>
      <c r="G1" s="422"/>
      <c r="H1" s="422"/>
      <c r="I1" s="422"/>
      <c r="J1" s="422"/>
      <c r="K1" s="422"/>
    </row>
    <row r="2" spans="1:12" ht="18.5" x14ac:dyDescent="0.45">
      <c r="A2" s="423"/>
      <c r="B2" s="423"/>
      <c r="C2" s="423"/>
      <c r="D2" s="423"/>
      <c r="E2" s="423"/>
      <c r="F2" s="423"/>
      <c r="G2" s="423"/>
      <c r="H2" s="424" t="s">
        <v>806</v>
      </c>
      <c r="I2" s="425"/>
      <c r="J2" s="424" t="s">
        <v>807</v>
      </c>
      <c r="K2" s="426"/>
    </row>
    <row r="3" spans="1:12" ht="37" x14ac:dyDescent="0.45">
      <c r="A3" s="3"/>
      <c r="B3" s="18"/>
      <c r="C3" s="4" t="s">
        <v>806</v>
      </c>
      <c r="D3" s="420" t="s">
        <v>807</v>
      </c>
      <c r="E3" s="421"/>
      <c r="F3" s="421"/>
      <c r="G3" s="421"/>
      <c r="H3" s="5" t="s">
        <v>808</v>
      </c>
      <c r="I3" s="5" t="s">
        <v>809</v>
      </c>
      <c r="J3" s="5" t="s">
        <v>808</v>
      </c>
      <c r="K3" s="3" t="s">
        <v>809</v>
      </c>
    </row>
    <row r="4" spans="1:12" ht="18.5" x14ac:dyDescent="0.45">
      <c r="A4" s="3"/>
      <c r="B4" s="18"/>
      <c r="C4" s="3"/>
      <c r="D4" s="420" t="s">
        <v>810</v>
      </c>
      <c r="E4" s="421"/>
      <c r="F4" s="421"/>
      <c r="G4" s="421"/>
      <c r="H4" s="5"/>
      <c r="I4" s="5"/>
      <c r="J4" s="5"/>
      <c r="K4" s="3"/>
    </row>
    <row r="5" spans="1:12" ht="26" x14ac:dyDescent="0.35">
      <c r="A5" s="6"/>
      <c r="B5" s="6" t="s">
        <v>811</v>
      </c>
      <c r="C5" s="7" t="s">
        <v>812</v>
      </c>
      <c r="D5" s="7">
        <v>1</v>
      </c>
      <c r="E5" s="7">
        <v>2</v>
      </c>
      <c r="F5" s="7">
        <v>3</v>
      </c>
      <c r="G5" s="7">
        <v>4</v>
      </c>
      <c r="H5" s="7" t="s">
        <v>193</v>
      </c>
      <c r="I5" s="7" t="s">
        <v>813</v>
      </c>
      <c r="J5" s="7" t="s">
        <v>193</v>
      </c>
      <c r="K5" s="7" t="s">
        <v>813</v>
      </c>
    </row>
    <row r="6" spans="1:12" ht="19.5" x14ac:dyDescent="0.35">
      <c r="A6" s="427" t="s">
        <v>814</v>
      </c>
      <c r="B6" s="428"/>
      <c r="C6" s="428"/>
      <c r="D6" s="428"/>
      <c r="E6" s="428"/>
      <c r="F6" s="428"/>
      <c r="G6" s="428"/>
      <c r="H6" s="428"/>
      <c r="I6" s="428"/>
      <c r="J6" s="428"/>
      <c r="K6" s="429"/>
    </row>
    <row r="7" spans="1:12" x14ac:dyDescent="0.35">
      <c r="A7" s="430" t="s">
        <v>335</v>
      </c>
      <c r="B7" s="431"/>
      <c r="C7" s="431"/>
      <c r="D7" s="431"/>
      <c r="E7" s="431"/>
      <c r="F7" s="431"/>
      <c r="G7" s="431"/>
      <c r="H7" s="431"/>
      <c r="I7" s="431"/>
      <c r="J7" s="431"/>
      <c r="K7" s="432"/>
    </row>
    <row r="8" spans="1:12" x14ac:dyDescent="0.35">
      <c r="A8" s="2" t="s">
        <v>815</v>
      </c>
      <c r="B8" s="17" t="s">
        <v>887</v>
      </c>
      <c r="C8" s="2">
        <v>13</v>
      </c>
      <c r="D8" s="2">
        <v>4</v>
      </c>
      <c r="E8" s="2">
        <v>5</v>
      </c>
      <c r="F8" s="2">
        <v>6</v>
      </c>
      <c r="G8" s="2"/>
      <c r="H8" s="2">
        <f t="shared" ref="H8:H14" si="0">COUNT(C8)</f>
        <v>1</v>
      </c>
      <c r="I8" s="2">
        <f t="shared" ref="I8:I14" si="1">C8-10</f>
        <v>3</v>
      </c>
      <c r="J8" s="2">
        <f t="shared" ref="J8:J14" si="2">COUNT(D8:G8)</f>
        <v>3</v>
      </c>
      <c r="K8" s="2">
        <v>0</v>
      </c>
      <c r="L8" s="19"/>
    </row>
    <row r="9" spans="1:12" x14ac:dyDescent="0.35">
      <c r="A9" s="2" t="s">
        <v>816</v>
      </c>
      <c r="B9" s="17" t="s">
        <v>888</v>
      </c>
      <c r="C9" s="2">
        <v>19</v>
      </c>
      <c r="D9" s="2">
        <v>4.5</v>
      </c>
      <c r="E9" s="2">
        <v>5.5</v>
      </c>
      <c r="F9" s="2">
        <v>6.5</v>
      </c>
      <c r="G9" s="2"/>
      <c r="H9" s="2">
        <f t="shared" si="0"/>
        <v>1</v>
      </c>
      <c r="I9" s="2">
        <f t="shared" si="1"/>
        <v>9</v>
      </c>
      <c r="J9" s="2">
        <f t="shared" si="2"/>
        <v>3</v>
      </c>
      <c r="K9" s="2">
        <v>0</v>
      </c>
      <c r="L9" s="19"/>
    </row>
    <row r="10" spans="1:12" x14ac:dyDescent="0.35">
      <c r="A10" s="2" t="s">
        <v>817</v>
      </c>
      <c r="B10" s="17" t="s">
        <v>889</v>
      </c>
      <c r="C10" s="2">
        <v>21</v>
      </c>
      <c r="D10" s="2">
        <v>2</v>
      </c>
      <c r="E10" s="2">
        <v>1.5</v>
      </c>
      <c r="F10" s="2"/>
      <c r="G10" s="2"/>
      <c r="H10" s="2">
        <f t="shared" si="0"/>
        <v>1</v>
      </c>
      <c r="I10" s="2">
        <f t="shared" si="1"/>
        <v>11</v>
      </c>
      <c r="J10" s="2">
        <f t="shared" si="2"/>
        <v>2</v>
      </c>
      <c r="K10" s="2">
        <v>0</v>
      </c>
      <c r="L10" s="19"/>
    </row>
    <row r="11" spans="1:12" x14ac:dyDescent="0.35">
      <c r="A11" s="2" t="s">
        <v>818</v>
      </c>
      <c r="B11" s="17" t="s">
        <v>890</v>
      </c>
      <c r="C11" s="2">
        <v>12</v>
      </c>
      <c r="D11" s="2">
        <v>3</v>
      </c>
      <c r="E11" s="20">
        <v>10</v>
      </c>
      <c r="F11" s="8">
        <v>2.5</v>
      </c>
      <c r="G11" s="8"/>
      <c r="H11" s="2">
        <f t="shared" si="0"/>
        <v>1</v>
      </c>
      <c r="I11" s="2">
        <f t="shared" si="1"/>
        <v>2</v>
      </c>
      <c r="J11" s="2">
        <f t="shared" si="2"/>
        <v>3</v>
      </c>
      <c r="K11" s="2">
        <v>0</v>
      </c>
      <c r="L11" s="19"/>
    </row>
    <row r="12" spans="1:12" x14ac:dyDescent="0.35">
      <c r="A12" s="2" t="s">
        <v>831</v>
      </c>
      <c r="B12" s="17" t="s">
        <v>891</v>
      </c>
      <c r="C12" s="2">
        <v>10</v>
      </c>
      <c r="D12" s="2">
        <v>6</v>
      </c>
      <c r="E12" s="2">
        <v>4</v>
      </c>
      <c r="F12" s="2"/>
      <c r="G12" s="2"/>
      <c r="H12" s="2">
        <f t="shared" si="0"/>
        <v>1</v>
      </c>
      <c r="I12" s="2">
        <f t="shared" si="1"/>
        <v>0</v>
      </c>
      <c r="J12" s="2">
        <f t="shared" si="2"/>
        <v>2</v>
      </c>
      <c r="K12" s="2">
        <v>0</v>
      </c>
      <c r="L12" s="19"/>
    </row>
    <row r="13" spans="1:12" x14ac:dyDescent="0.35">
      <c r="A13" s="2" t="s">
        <v>832</v>
      </c>
      <c r="B13" s="17" t="s">
        <v>892</v>
      </c>
      <c r="C13" s="2">
        <v>15</v>
      </c>
      <c r="D13" s="2">
        <v>2</v>
      </c>
      <c r="E13" s="2">
        <v>3</v>
      </c>
      <c r="F13" s="2"/>
      <c r="G13" s="2"/>
      <c r="H13" s="2">
        <f t="shared" si="0"/>
        <v>1</v>
      </c>
      <c r="I13" s="2">
        <f t="shared" si="1"/>
        <v>5</v>
      </c>
      <c r="J13" s="2">
        <f t="shared" si="2"/>
        <v>2</v>
      </c>
      <c r="K13" s="2">
        <v>0</v>
      </c>
      <c r="L13" s="19"/>
    </row>
    <row r="14" spans="1:12" x14ac:dyDescent="0.35">
      <c r="A14" s="2" t="s">
        <v>833</v>
      </c>
      <c r="B14" s="17" t="s">
        <v>893</v>
      </c>
      <c r="C14" s="2">
        <v>14</v>
      </c>
      <c r="D14" s="2">
        <v>3</v>
      </c>
      <c r="E14" s="2">
        <v>6</v>
      </c>
      <c r="F14" s="2"/>
      <c r="G14" s="2"/>
      <c r="H14" s="2">
        <f t="shared" si="0"/>
        <v>1</v>
      </c>
      <c r="I14" s="2">
        <f t="shared" si="1"/>
        <v>4</v>
      </c>
      <c r="J14" s="2">
        <f t="shared" si="2"/>
        <v>2</v>
      </c>
      <c r="K14" s="2">
        <v>0</v>
      </c>
      <c r="L14" s="19"/>
    </row>
    <row r="15" spans="1:12" ht="17" x14ac:dyDescent="0.35">
      <c r="A15" s="433" t="s">
        <v>825</v>
      </c>
      <c r="B15" s="434"/>
      <c r="C15" s="9"/>
      <c r="D15" s="9"/>
      <c r="E15" s="9"/>
      <c r="F15" s="9"/>
      <c r="G15" s="9"/>
      <c r="H15" s="21">
        <f>SUM(H8:H14)</f>
        <v>7</v>
      </c>
      <c r="I15" s="21">
        <f>SUM(I8:I14)</f>
        <v>34</v>
      </c>
      <c r="J15" s="21">
        <f>SUM(J8:J14)</f>
        <v>17</v>
      </c>
      <c r="K15" s="9">
        <f>SUM(K8:K14)</f>
        <v>0</v>
      </c>
    </row>
    <row r="16" spans="1:12" x14ac:dyDescent="0.35">
      <c r="A16" s="430" t="s">
        <v>596</v>
      </c>
      <c r="B16" s="431"/>
      <c r="C16" s="431"/>
      <c r="D16" s="431"/>
      <c r="E16" s="431"/>
      <c r="F16" s="431"/>
      <c r="G16" s="431"/>
      <c r="H16" s="431"/>
      <c r="I16" s="431"/>
      <c r="J16" s="431"/>
      <c r="K16" s="432"/>
      <c r="L16" s="19"/>
    </row>
    <row r="17" spans="1:14" x14ac:dyDescent="0.35">
      <c r="A17" s="2" t="s">
        <v>826</v>
      </c>
      <c r="B17" s="17"/>
      <c r="C17" s="2"/>
      <c r="D17" s="2"/>
      <c r="E17" s="2"/>
      <c r="F17" s="2"/>
      <c r="G17" s="2"/>
      <c r="H17" s="2">
        <f>COUNT(C17)</f>
        <v>0</v>
      </c>
      <c r="I17" s="2">
        <v>0</v>
      </c>
      <c r="J17" s="2">
        <f>COUNT(D17:G17)</f>
        <v>0</v>
      </c>
      <c r="K17" s="2">
        <v>0</v>
      </c>
      <c r="L17" s="19"/>
    </row>
    <row r="18" spans="1:14" x14ac:dyDescent="0.35">
      <c r="A18" s="2" t="s">
        <v>827</v>
      </c>
      <c r="B18" s="17"/>
      <c r="C18" s="2"/>
      <c r="D18" s="2"/>
      <c r="E18" s="2"/>
      <c r="F18" s="2"/>
      <c r="G18" s="2"/>
      <c r="H18" s="2">
        <f>COUNT(C18)</f>
        <v>0</v>
      </c>
      <c r="I18" s="2">
        <v>0</v>
      </c>
      <c r="J18" s="2">
        <f>COUNT(D18:G18)</f>
        <v>0</v>
      </c>
      <c r="K18" s="2">
        <v>1</v>
      </c>
    </row>
    <row r="19" spans="1:14" ht="17" x14ac:dyDescent="0.35">
      <c r="A19" s="433" t="s">
        <v>825</v>
      </c>
      <c r="B19" s="434"/>
      <c r="C19" s="9"/>
      <c r="D19" s="9"/>
      <c r="E19" s="9"/>
      <c r="F19" s="9"/>
      <c r="G19" s="9"/>
      <c r="H19" s="21">
        <f>SUM(H17:H18)</f>
        <v>0</v>
      </c>
      <c r="I19" s="9">
        <f>SUM(I17:I18)</f>
        <v>0</v>
      </c>
      <c r="J19" s="9">
        <f>SUM(J17:J18)</f>
        <v>0</v>
      </c>
      <c r="K19" s="9">
        <f>SUM(K17:K18)</f>
        <v>1</v>
      </c>
    </row>
    <row r="20" spans="1:14" ht="19.5" x14ac:dyDescent="0.35">
      <c r="A20" s="427" t="s">
        <v>830</v>
      </c>
      <c r="B20" s="428"/>
      <c r="C20" s="428"/>
      <c r="D20" s="428"/>
      <c r="E20" s="428"/>
      <c r="F20" s="428"/>
      <c r="G20" s="428"/>
      <c r="H20" s="428"/>
      <c r="I20" s="428"/>
      <c r="J20" s="428"/>
      <c r="K20" s="429"/>
    </row>
    <row r="21" spans="1:14" x14ac:dyDescent="0.35">
      <c r="A21" s="430" t="s">
        <v>873</v>
      </c>
      <c r="B21" s="431"/>
      <c r="C21" s="431"/>
      <c r="D21" s="431"/>
      <c r="E21" s="431"/>
      <c r="F21" s="431"/>
      <c r="G21" s="431"/>
      <c r="H21" s="431"/>
      <c r="I21" s="431"/>
      <c r="J21" s="431"/>
      <c r="K21" s="432"/>
    </row>
    <row r="22" spans="1:14" s="22" customFormat="1" x14ac:dyDescent="0.35">
      <c r="A22" s="1" t="s">
        <v>815</v>
      </c>
      <c r="B22" s="17" t="s">
        <v>1022</v>
      </c>
      <c r="C22" s="1">
        <v>19</v>
      </c>
      <c r="D22" s="1"/>
      <c r="E22" s="1"/>
      <c r="F22" s="1"/>
      <c r="G22" s="1"/>
      <c r="H22" s="2">
        <f t="shared" ref="H22:H38" si="3">COUNT(C22)</f>
        <v>1</v>
      </c>
      <c r="I22" s="2">
        <f t="shared" ref="I22:I38" si="4">C22-10</f>
        <v>9</v>
      </c>
      <c r="J22" s="2">
        <f t="shared" ref="J22:J38" si="5">COUNT(D22:G22)</f>
        <v>0</v>
      </c>
      <c r="K22" s="2"/>
    </row>
    <row r="23" spans="1:14" x14ac:dyDescent="0.35">
      <c r="A23" s="1" t="s">
        <v>816</v>
      </c>
      <c r="B23" s="17" t="s">
        <v>1023</v>
      </c>
      <c r="C23" s="1">
        <v>19</v>
      </c>
      <c r="D23" s="1"/>
      <c r="E23" s="1"/>
      <c r="F23" s="1"/>
      <c r="G23" s="1"/>
      <c r="H23" s="2">
        <f t="shared" si="3"/>
        <v>1</v>
      </c>
      <c r="I23" s="2">
        <f t="shared" si="4"/>
        <v>9</v>
      </c>
      <c r="J23" s="2">
        <f t="shared" si="5"/>
        <v>0</v>
      </c>
      <c r="K23" s="2"/>
    </row>
    <row r="24" spans="1:14" x14ac:dyDescent="0.35">
      <c r="A24" s="1" t="s">
        <v>817</v>
      </c>
      <c r="B24" s="17" t="s">
        <v>1024</v>
      </c>
      <c r="C24" s="1">
        <v>17</v>
      </c>
      <c r="D24" s="1"/>
      <c r="E24" s="1"/>
      <c r="F24" s="1"/>
      <c r="G24" s="1"/>
      <c r="H24" s="2">
        <f t="shared" si="3"/>
        <v>1</v>
      </c>
      <c r="I24" s="2">
        <f t="shared" si="4"/>
        <v>7</v>
      </c>
      <c r="J24" s="2">
        <f t="shared" si="5"/>
        <v>0</v>
      </c>
      <c r="K24" s="2"/>
    </row>
    <row r="25" spans="1:14" x14ac:dyDescent="0.35">
      <c r="A25" s="1" t="s">
        <v>818</v>
      </c>
      <c r="B25" s="17" t="s">
        <v>1025</v>
      </c>
      <c r="C25" s="1">
        <v>20</v>
      </c>
      <c r="D25" s="1"/>
      <c r="E25" s="1"/>
      <c r="F25" s="1"/>
      <c r="G25" s="1"/>
      <c r="H25" s="2">
        <f t="shared" si="3"/>
        <v>1</v>
      </c>
      <c r="I25" s="2">
        <f t="shared" si="4"/>
        <v>10</v>
      </c>
      <c r="J25" s="2">
        <f t="shared" si="5"/>
        <v>0</v>
      </c>
      <c r="K25" s="2"/>
    </row>
    <row r="26" spans="1:14" s="29" customFormat="1" x14ac:dyDescent="0.35">
      <c r="A26" s="26" t="s">
        <v>831</v>
      </c>
      <c r="B26" s="27" t="s">
        <v>1026</v>
      </c>
      <c r="C26" s="26">
        <v>17</v>
      </c>
      <c r="D26" s="26"/>
      <c r="E26" s="26"/>
      <c r="F26" s="26"/>
      <c r="G26" s="26"/>
      <c r="H26" s="28">
        <f t="shared" si="3"/>
        <v>1</v>
      </c>
      <c r="I26" s="28">
        <f t="shared" si="4"/>
        <v>7</v>
      </c>
      <c r="J26" s="28">
        <f t="shared" si="5"/>
        <v>0</v>
      </c>
      <c r="K26" s="28"/>
      <c r="L26" s="19"/>
      <c r="M26" s="19"/>
      <c r="N26" s="19"/>
    </row>
    <row r="27" spans="1:14" s="29" customFormat="1" x14ac:dyDescent="0.35">
      <c r="A27" s="26" t="s">
        <v>823</v>
      </c>
      <c r="B27" s="27" t="s">
        <v>1027</v>
      </c>
      <c r="C27" s="26">
        <v>17</v>
      </c>
      <c r="D27" s="26"/>
      <c r="E27" s="26"/>
      <c r="F27" s="26"/>
      <c r="G27" s="26"/>
      <c r="H27" s="28">
        <f t="shared" si="3"/>
        <v>1</v>
      </c>
      <c r="I27" s="28">
        <f t="shared" si="4"/>
        <v>7</v>
      </c>
      <c r="J27" s="28">
        <f t="shared" si="5"/>
        <v>0</v>
      </c>
      <c r="K27" s="28"/>
      <c r="L27" s="19"/>
      <c r="M27" s="19"/>
      <c r="N27" s="19"/>
    </row>
    <row r="28" spans="1:14" s="22" customFormat="1" x14ac:dyDescent="0.35">
      <c r="A28" s="1" t="s">
        <v>824</v>
      </c>
      <c r="B28" s="17" t="s">
        <v>1028</v>
      </c>
      <c r="C28" s="1">
        <v>20</v>
      </c>
      <c r="D28" s="1"/>
      <c r="E28" s="1"/>
      <c r="F28" s="1"/>
      <c r="G28" s="1"/>
      <c r="H28" s="2">
        <f t="shared" si="3"/>
        <v>1</v>
      </c>
      <c r="I28" s="2">
        <f t="shared" si="4"/>
        <v>10</v>
      </c>
      <c r="J28" s="2">
        <f t="shared" si="5"/>
        <v>0</v>
      </c>
      <c r="K28" s="2"/>
      <c r="L28"/>
      <c r="M28"/>
      <c r="N28"/>
    </row>
    <row r="29" spans="1:14" s="29" customFormat="1" x14ac:dyDescent="0.35">
      <c r="A29" s="26" t="s">
        <v>872</v>
      </c>
      <c r="B29" s="27" t="s">
        <v>1029</v>
      </c>
      <c r="C29" s="26">
        <v>12</v>
      </c>
      <c r="D29" s="26"/>
      <c r="E29" s="26"/>
      <c r="F29" s="26"/>
      <c r="G29" s="26"/>
      <c r="H29" s="28">
        <f t="shared" si="3"/>
        <v>1</v>
      </c>
      <c r="I29" s="28">
        <f t="shared" si="4"/>
        <v>2</v>
      </c>
      <c r="J29" s="28">
        <f t="shared" si="5"/>
        <v>0</v>
      </c>
      <c r="K29" s="28"/>
      <c r="L29" s="19"/>
      <c r="M29" s="19"/>
      <c r="N29" s="19"/>
    </row>
    <row r="30" spans="1:14" s="29" customFormat="1" x14ac:dyDescent="0.35">
      <c r="A30" s="26" t="s">
        <v>838</v>
      </c>
      <c r="B30" s="27" t="s">
        <v>1030</v>
      </c>
      <c r="C30" s="26">
        <v>12</v>
      </c>
      <c r="D30" s="26"/>
      <c r="E30" s="26"/>
      <c r="F30" s="26"/>
      <c r="G30" s="26"/>
      <c r="H30" s="28">
        <f t="shared" si="3"/>
        <v>1</v>
      </c>
      <c r="I30" s="28">
        <f t="shared" si="4"/>
        <v>2</v>
      </c>
      <c r="J30" s="28">
        <f t="shared" si="5"/>
        <v>0</v>
      </c>
      <c r="K30" s="28"/>
      <c r="L30" s="19"/>
      <c r="M30" s="19"/>
      <c r="N30" s="19"/>
    </row>
    <row r="31" spans="1:14" x14ac:dyDescent="0.35">
      <c r="A31" s="1" t="s">
        <v>839</v>
      </c>
      <c r="B31" s="17" t="s">
        <v>1031</v>
      </c>
      <c r="C31" s="1">
        <v>20</v>
      </c>
      <c r="D31" s="1"/>
      <c r="E31" s="1"/>
      <c r="F31" s="1"/>
      <c r="G31" s="1"/>
      <c r="H31" s="2">
        <f t="shared" si="3"/>
        <v>1</v>
      </c>
      <c r="I31" s="2">
        <f t="shared" si="4"/>
        <v>10</v>
      </c>
      <c r="J31" s="2">
        <f t="shared" si="5"/>
        <v>0</v>
      </c>
      <c r="K31" s="2"/>
    </row>
    <row r="32" spans="1:14" s="19" customFormat="1" x14ac:dyDescent="0.35">
      <c r="A32" s="26" t="s">
        <v>840</v>
      </c>
      <c r="B32" s="27" t="s">
        <v>1032</v>
      </c>
      <c r="C32" s="26">
        <v>14</v>
      </c>
      <c r="D32" s="26"/>
      <c r="E32" s="26"/>
      <c r="F32" s="30"/>
      <c r="G32" s="30"/>
      <c r="H32" s="28">
        <f t="shared" si="3"/>
        <v>1</v>
      </c>
      <c r="I32" s="28">
        <f t="shared" si="4"/>
        <v>4</v>
      </c>
      <c r="J32" s="28">
        <f t="shared" si="5"/>
        <v>0</v>
      </c>
      <c r="K32" s="28"/>
    </row>
    <row r="33" spans="1:13" x14ac:dyDescent="0.35">
      <c r="A33" s="1" t="s">
        <v>841</v>
      </c>
      <c r="B33" s="17" t="s">
        <v>1033</v>
      </c>
      <c r="C33" s="1">
        <v>14</v>
      </c>
      <c r="D33" s="23"/>
      <c r="E33" s="23"/>
      <c r="F33" s="23"/>
      <c r="G33" s="23"/>
      <c r="H33" s="2">
        <f t="shared" si="3"/>
        <v>1</v>
      </c>
      <c r="I33" s="2">
        <f t="shared" si="4"/>
        <v>4</v>
      </c>
      <c r="J33" s="2">
        <f t="shared" si="5"/>
        <v>0</v>
      </c>
      <c r="K33" s="2"/>
    </row>
    <row r="34" spans="1:13" s="19" customFormat="1" x14ac:dyDescent="0.35">
      <c r="A34" s="31" t="s">
        <v>819</v>
      </c>
      <c r="B34" s="27" t="s">
        <v>1034</v>
      </c>
      <c r="C34" s="26">
        <v>14</v>
      </c>
      <c r="D34" s="26"/>
      <c r="E34" s="26"/>
      <c r="F34" s="26"/>
      <c r="G34" s="26"/>
      <c r="H34" s="28">
        <f t="shared" si="3"/>
        <v>1</v>
      </c>
      <c r="I34" s="28">
        <f t="shared" si="4"/>
        <v>4</v>
      </c>
      <c r="J34" s="28">
        <f t="shared" si="5"/>
        <v>0</v>
      </c>
      <c r="K34" s="28"/>
    </row>
    <row r="35" spans="1:13" s="19" customFormat="1" x14ac:dyDescent="0.35">
      <c r="A35" s="31" t="s">
        <v>820</v>
      </c>
      <c r="B35" s="27" t="s">
        <v>1035</v>
      </c>
      <c r="C35" s="26">
        <v>13</v>
      </c>
      <c r="D35" s="26"/>
      <c r="E35" s="26"/>
      <c r="F35" s="26"/>
      <c r="G35" s="26"/>
      <c r="H35" s="28">
        <f t="shared" si="3"/>
        <v>1</v>
      </c>
      <c r="I35" s="28">
        <f t="shared" si="4"/>
        <v>3</v>
      </c>
      <c r="J35" s="28">
        <f t="shared" si="5"/>
        <v>0</v>
      </c>
      <c r="K35" s="28"/>
    </row>
    <row r="36" spans="1:13" x14ac:dyDescent="0.35">
      <c r="A36" s="25" t="s">
        <v>821</v>
      </c>
      <c r="B36" s="17" t="s">
        <v>1036</v>
      </c>
      <c r="C36" s="1">
        <v>13</v>
      </c>
      <c r="D36" s="23"/>
      <c r="E36" s="23"/>
      <c r="F36" s="23"/>
      <c r="G36" s="23"/>
      <c r="H36" s="2">
        <f t="shared" si="3"/>
        <v>1</v>
      </c>
      <c r="I36" s="2">
        <f t="shared" si="4"/>
        <v>3</v>
      </c>
      <c r="J36" s="2">
        <f t="shared" si="5"/>
        <v>0</v>
      </c>
      <c r="K36" s="2"/>
    </row>
    <row r="37" spans="1:13" x14ac:dyDescent="0.35">
      <c r="A37" s="25" t="s">
        <v>822</v>
      </c>
      <c r="B37" s="17" t="s">
        <v>1037</v>
      </c>
      <c r="C37" s="1">
        <v>11</v>
      </c>
      <c r="D37" s="23"/>
      <c r="E37" s="23"/>
      <c r="F37" s="23"/>
      <c r="G37" s="23"/>
      <c r="H37" s="2">
        <f t="shared" si="3"/>
        <v>1</v>
      </c>
      <c r="I37" s="2">
        <f t="shared" si="4"/>
        <v>1</v>
      </c>
      <c r="J37" s="2">
        <f t="shared" si="5"/>
        <v>0</v>
      </c>
      <c r="K37" s="2"/>
    </row>
    <row r="38" spans="1:13" x14ac:dyDescent="0.35">
      <c r="A38" s="25" t="s">
        <v>882</v>
      </c>
      <c r="B38" s="17" t="s">
        <v>1038</v>
      </c>
      <c r="C38" s="1">
        <v>10</v>
      </c>
      <c r="D38" s="23"/>
      <c r="E38" s="23"/>
      <c r="F38" s="23"/>
      <c r="G38" s="23"/>
      <c r="H38" s="2">
        <f t="shared" si="3"/>
        <v>1</v>
      </c>
      <c r="I38" s="2">
        <f t="shared" si="4"/>
        <v>0</v>
      </c>
      <c r="J38" s="2">
        <f t="shared" si="5"/>
        <v>0</v>
      </c>
      <c r="K38" s="2"/>
    </row>
    <row r="39" spans="1:13" ht="17" x14ac:dyDescent="0.35">
      <c r="A39" s="433" t="s">
        <v>825</v>
      </c>
      <c r="B39" s="434"/>
      <c r="C39" s="9"/>
      <c r="D39" s="9"/>
      <c r="E39" s="9"/>
      <c r="F39" s="9"/>
      <c r="G39" s="9"/>
      <c r="H39" s="21">
        <f>SUM(H22:H38)</f>
        <v>17</v>
      </c>
      <c r="I39" s="21">
        <f>SUM(I22:I38)</f>
        <v>92</v>
      </c>
      <c r="J39" s="21">
        <f>SUM(J22:J33)</f>
        <v>0</v>
      </c>
      <c r="K39" s="9"/>
    </row>
    <row r="40" spans="1:13" ht="19.5" x14ac:dyDescent="0.35">
      <c r="A40" s="427" t="s">
        <v>830</v>
      </c>
      <c r="B40" s="428"/>
      <c r="C40" s="428"/>
      <c r="D40" s="428"/>
      <c r="E40" s="428"/>
      <c r="F40" s="428"/>
      <c r="G40" s="428"/>
      <c r="H40" s="428"/>
      <c r="I40" s="428"/>
      <c r="J40" s="428"/>
      <c r="K40" s="429"/>
    </row>
    <row r="41" spans="1:13" s="24" customFormat="1" x14ac:dyDescent="0.35">
      <c r="A41" s="430" t="s">
        <v>877</v>
      </c>
      <c r="B41" s="431"/>
      <c r="C41" s="431"/>
      <c r="D41" s="431"/>
      <c r="E41" s="431"/>
      <c r="F41" s="431"/>
      <c r="G41" s="431"/>
      <c r="H41" s="431"/>
      <c r="I41" s="431"/>
      <c r="J41" s="431"/>
      <c r="K41" s="432"/>
    </row>
    <row r="42" spans="1:13" s="22" customFormat="1" x14ac:dyDescent="0.35">
      <c r="A42" s="1" t="s">
        <v>834</v>
      </c>
      <c r="B42" s="17"/>
      <c r="C42" s="1"/>
      <c r="D42" s="1"/>
      <c r="E42" s="1"/>
      <c r="F42" s="1"/>
      <c r="G42" s="1"/>
      <c r="H42" s="2"/>
      <c r="I42" s="2"/>
      <c r="J42" s="2"/>
      <c r="K42" s="2"/>
      <c r="L42"/>
      <c r="M42"/>
    </row>
    <row r="43" spans="1:13" x14ac:dyDescent="0.35">
      <c r="A43" s="1" t="s">
        <v>826</v>
      </c>
      <c r="B43" s="17" t="s">
        <v>1039</v>
      </c>
      <c r="C43" s="1">
        <v>16</v>
      </c>
      <c r="D43" s="1"/>
      <c r="E43" s="1"/>
      <c r="F43" s="1"/>
      <c r="G43" s="1"/>
      <c r="H43" s="2">
        <f t="shared" ref="H43:H48" si="6">COUNT(C43)</f>
        <v>1</v>
      </c>
      <c r="I43" s="2">
        <f t="shared" ref="I43:I48" si="7">C43-10</f>
        <v>6</v>
      </c>
      <c r="J43" s="2">
        <f>COUNT(D43:G43)</f>
        <v>0</v>
      </c>
      <c r="K43" s="2"/>
    </row>
    <row r="44" spans="1:13" x14ac:dyDescent="0.35">
      <c r="A44" s="1" t="s">
        <v>827</v>
      </c>
      <c r="B44" s="17" t="s">
        <v>1040</v>
      </c>
      <c r="C44" s="1">
        <v>14</v>
      </c>
      <c r="D44" s="1"/>
      <c r="E44" s="1"/>
      <c r="F44" s="1"/>
      <c r="G44" s="1"/>
      <c r="H44" s="2">
        <f t="shared" si="6"/>
        <v>1</v>
      </c>
      <c r="I44" s="2">
        <f t="shared" si="7"/>
        <v>4</v>
      </c>
      <c r="J44" s="2">
        <f>COUNT(D44:G44)</f>
        <v>0</v>
      </c>
      <c r="K44" s="2"/>
      <c r="L44" s="19"/>
    </row>
    <row r="45" spans="1:13" x14ac:dyDescent="0.35">
      <c r="A45" s="1" t="s">
        <v>828</v>
      </c>
      <c r="B45" s="17" t="s">
        <v>1041</v>
      </c>
      <c r="C45" s="1">
        <v>20</v>
      </c>
      <c r="D45" s="1"/>
      <c r="E45" s="1"/>
      <c r="F45" s="1"/>
      <c r="G45" s="1"/>
      <c r="H45" s="2">
        <f t="shared" si="6"/>
        <v>1</v>
      </c>
      <c r="I45" s="2">
        <f t="shared" si="7"/>
        <v>10</v>
      </c>
      <c r="J45" s="2">
        <f>COUNT(D45:G45)</f>
        <v>0</v>
      </c>
      <c r="K45" s="2"/>
    </row>
    <row r="46" spans="1:13" x14ac:dyDescent="0.35">
      <c r="A46" s="1" t="s">
        <v>829</v>
      </c>
      <c r="B46" s="17" t="s">
        <v>1043</v>
      </c>
      <c r="C46" s="1">
        <v>20</v>
      </c>
      <c r="D46" s="1"/>
      <c r="E46" s="1"/>
      <c r="F46" s="1"/>
      <c r="G46" s="1"/>
      <c r="H46" s="2">
        <f t="shared" si="6"/>
        <v>1</v>
      </c>
      <c r="I46" s="2">
        <f t="shared" si="7"/>
        <v>10</v>
      </c>
      <c r="J46" s="2">
        <f>COUNT(D46:G46)</f>
        <v>0</v>
      </c>
      <c r="K46" s="2"/>
    </row>
    <row r="47" spans="1:13" x14ac:dyDescent="0.35">
      <c r="A47" s="1" t="s">
        <v>835</v>
      </c>
      <c r="B47" s="17" t="s">
        <v>1044</v>
      </c>
      <c r="C47" s="1">
        <v>20</v>
      </c>
      <c r="D47" s="1"/>
      <c r="E47" s="1"/>
      <c r="F47" s="1"/>
      <c r="G47" s="1"/>
      <c r="H47" s="2">
        <f t="shared" si="6"/>
        <v>1</v>
      </c>
      <c r="I47" s="2">
        <f t="shared" si="7"/>
        <v>10</v>
      </c>
      <c r="J47" s="2">
        <f>COUNT(D47:G47)</f>
        <v>0</v>
      </c>
      <c r="K47" s="2"/>
    </row>
    <row r="48" spans="1:13" x14ac:dyDescent="0.35">
      <c r="A48" s="1" t="s">
        <v>836</v>
      </c>
      <c r="B48" s="17" t="s">
        <v>1042</v>
      </c>
      <c r="C48" s="1">
        <v>16</v>
      </c>
      <c r="D48" s="1"/>
      <c r="E48" s="1"/>
      <c r="F48" s="1"/>
      <c r="G48" s="1"/>
      <c r="H48" s="2">
        <f t="shared" si="6"/>
        <v>1</v>
      </c>
      <c r="I48" s="2">
        <f t="shared" si="7"/>
        <v>6</v>
      </c>
      <c r="J48" s="2"/>
      <c r="K48" s="2"/>
    </row>
    <row r="49" spans="1:14" x14ac:dyDescent="0.35">
      <c r="A49" s="1" t="s">
        <v>837</v>
      </c>
      <c r="B49" s="17"/>
      <c r="C49" s="1"/>
      <c r="D49" s="1"/>
      <c r="E49" s="1"/>
      <c r="F49" s="1"/>
      <c r="G49" s="1"/>
      <c r="H49" s="2"/>
      <c r="I49" s="2"/>
      <c r="J49" s="2"/>
      <c r="K49" s="2"/>
    </row>
    <row r="50" spans="1:14" x14ac:dyDescent="0.35">
      <c r="A50" s="1" t="s">
        <v>826</v>
      </c>
      <c r="B50" s="17" t="s">
        <v>879</v>
      </c>
      <c r="C50" s="1">
        <v>15</v>
      </c>
      <c r="D50" s="1"/>
      <c r="E50" s="1"/>
      <c r="F50" s="1"/>
      <c r="G50" s="1"/>
      <c r="H50" s="2">
        <f>COUNT(C50)</f>
        <v>1</v>
      </c>
      <c r="I50" s="2">
        <f>C50-10</f>
        <v>5</v>
      </c>
      <c r="J50" s="2">
        <f>COUNT(D50:G50)</f>
        <v>0</v>
      </c>
      <c r="K50" s="2"/>
    </row>
    <row r="51" spans="1:14" x14ac:dyDescent="0.35">
      <c r="A51" s="1" t="s">
        <v>827</v>
      </c>
      <c r="B51" s="17" t="s">
        <v>1045</v>
      </c>
      <c r="C51" s="1">
        <v>18</v>
      </c>
      <c r="D51" s="1"/>
      <c r="E51" s="1"/>
      <c r="F51" s="1"/>
      <c r="G51" s="1"/>
      <c r="H51" s="2">
        <f>COUNT(C51)</f>
        <v>1</v>
      </c>
      <c r="I51" s="2">
        <f>C51-10</f>
        <v>8</v>
      </c>
      <c r="J51" s="2">
        <f>COUNT(D51:G51)</f>
        <v>0</v>
      </c>
      <c r="K51" s="2"/>
    </row>
    <row r="52" spans="1:14" x14ac:dyDescent="0.35">
      <c r="A52" s="1" t="s">
        <v>828</v>
      </c>
      <c r="B52" s="17" t="s">
        <v>878</v>
      </c>
      <c r="C52" s="1">
        <v>22</v>
      </c>
      <c r="D52" s="1"/>
      <c r="E52" s="1"/>
      <c r="F52" s="1"/>
      <c r="G52" s="1"/>
      <c r="H52" s="2">
        <f>COUNT(C52)</f>
        <v>1</v>
      </c>
      <c r="I52" s="2">
        <f>C52-10</f>
        <v>12</v>
      </c>
      <c r="J52" s="2">
        <f>COUNT(D52:G52)</f>
        <v>0</v>
      </c>
      <c r="K52" s="2"/>
    </row>
    <row r="53" spans="1:14" x14ac:dyDescent="0.35">
      <c r="A53" s="1" t="s">
        <v>829</v>
      </c>
      <c r="B53" s="17" t="s">
        <v>1046</v>
      </c>
      <c r="C53" s="1">
        <v>15</v>
      </c>
      <c r="D53" s="1"/>
      <c r="E53" s="1"/>
      <c r="F53" s="1"/>
      <c r="G53" s="1"/>
      <c r="H53" s="2">
        <f>COUNT(C53)</f>
        <v>1</v>
      </c>
      <c r="I53" s="2">
        <f>C53-10</f>
        <v>5</v>
      </c>
      <c r="J53" s="2">
        <f>COUNT(D53:G53)</f>
        <v>0</v>
      </c>
      <c r="K53" s="2"/>
    </row>
    <row r="54" spans="1:14" x14ac:dyDescent="0.35">
      <c r="A54" s="1" t="s">
        <v>835</v>
      </c>
      <c r="B54" s="17" t="s">
        <v>879</v>
      </c>
      <c r="C54" s="1">
        <v>14</v>
      </c>
      <c r="D54" s="1"/>
      <c r="E54" s="1"/>
      <c r="F54" s="1"/>
      <c r="G54" s="1"/>
      <c r="H54" s="2">
        <f>COUNT(C54)</f>
        <v>1</v>
      </c>
      <c r="I54" s="2">
        <f>C54-10</f>
        <v>4</v>
      </c>
      <c r="J54" s="2">
        <f>COUNT(D54:G54)</f>
        <v>0</v>
      </c>
      <c r="K54" s="2"/>
    </row>
    <row r="55" spans="1:14" ht="17" x14ac:dyDescent="0.35">
      <c r="A55" s="433" t="s">
        <v>825</v>
      </c>
      <c r="B55" s="434"/>
      <c r="C55" s="9"/>
      <c r="D55" s="9"/>
      <c r="E55" s="9"/>
      <c r="F55" s="9"/>
      <c r="G55" s="9"/>
      <c r="H55" s="21">
        <f>SUM(H42:H54)</f>
        <v>11</v>
      </c>
      <c r="I55" s="21">
        <f>SUM(I42:I54)</f>
        <v>80</v>
      </c>
      <c r="J55" s="21">
        <f>SUM(J42:J54)</f>
        <v>0</v>
      </c>
      <c r="K55" s="9"/>
    </row>
    <row r="56" spans="1:14" ht="21.65" customHeight="1" x14ac:dyDescent="0.35"/>
    <row r="57" spans="1:14" ht="21.65" customHeight="1" x14ac:dyDescent="0.35">
      <c r="A57" s="427" t="s">
        <v>880</v>
      </c>
      <c r="B57" s="428"/>
      <c r="C57" s="428"/>
      <c r="D57" s="428"/>
      <c r="E57" s="428"/>
      <c r="F57" s="428"/>
      <c r="G57" s="428"/>
      <c r="H57" s="428"/>
      <c r="I57" s="428"/>
      <c r="J57" s="428"/>
      <c r="K57" s="429"/>
    </row>
    <row r="58" spans="1:14" x14ac:dyDescent="0.35">
      <c r="A58" s="435" t="s">
        <v>881</v>
      </c>
      <c r="B58" s="436"/>
      <c r="C58" s="436"/>
      <c r="D58" s="436"/>
      <c r="E58" s="436"/>
      <c r="F58" s="436"/>
      <c r="G58" s="436"/>
      <c r="H58" s="436"/>
      <c r="I58" s="436"/>
      <c r="J58" s="436"/>
      <c r="K58" s="437"/>
    </row>
    <row r="59" spans="1:14" s="29" customFormat="1" x14ac:dyDescent="0.35">
      <c r="A59" s="26" t="s">
        <v>831</v>
      </c>
      <c r="B59" s="27" t="s">
        <v>1047</v>
      </c>
      <c r="C59" s="26">
        <v>16</v>
      </c>
      <c r="D59" s="26"/>
      <c r="E59" s="26"/>
      <c r="F59" s="26"/>
      <c r="G59" s="26"/>
      <c r="H59" s="28">
        <v>1</v>
      </c>
      <c r="I59" s="28">
        <v>6</v>
      </c>
      <c r="J59" s="28">
        <v>0</v>
      </c>
      <c r="K59" s="28"/>
      <c r="L59" s="19"/>
      <c r="M59" s="19"/>
      <c r="N59" s="19"/>
    </row>
    <row r="60" spans="1:14" s="29" customFormat="1" x14ac:dyDescent="0.35">
      <c r="A60" s="26" t="s">
        <v>823</v>
      </c>
      <c r="B60" s="27" t="s">
        <v>1049</v>
      </c>
      <c r="C60" s="26">
        <v>13</v>
      </c>
      <c r="D60" s="26"/>
      <c r="E60" s="26"/>
      <c r="F60" s="26"/>
      <c r="G60" s="26"/>
      <c r="H60" s="28">
        <v>1</v>
      </c>
      <c r="I60" s="28">
        <v>2</v>
      </c>
      <c r="J60" s="28">
        <v>0</v>
      </c>
      <c r="K60" s="28"/>
      <c r="L60" s="19"/>
      <c r="M60" s="19"/>
      <c r="N60" s="19"/>
    </row>
    <row r="61" spans="1:14" s="29" customFormat="1" x14ac:dyDescent="0.35">
      <c r="A61" s="26" t="s">
        <v>872</v>
      </c>
      <c r="B61" s="27" t="s">
        <v>1050</v>
      </c>
      <c r="C61" s="26">
        <v>11</v>
      </c>
      <c r="D61" s="26"/>
      <c r="E61" s="26"/>
      <c r="F61" s="26"/>
      <c r="G61" s="26"/>
      <c r="H61" s="28">
        <v>1</v>
      </c>
      <c r="I61" s="28">
        <v>1</v>
      </c>
      <c r="J61" s="28">
        <v>0</v>
      </c>
      <c r="K61" s="28"/>
      <c r="L61" s="19"/>
      <c r="M61" s="19"/>
      <c r="N61" s="19"/>
    </row>
    <row r="62" spans="1:14" s="29" customFormat="1" x14ac:dyDescent="0.35">
      <c r="A62" s="26" t="s">
        <v>838</v>
      </c>
      <c r="B62" s="27" t="s">
        <v>1051</v>
      </c>
      <c r="C62" s="26">
        <v>11</v>
      </c>
      <c r="D62" s="26"/>
      <c r="E62" s="26"/>
      <c r="F62" s="26"/>
      <c r="G62" s="26"/>
      <c r="H62" s="28">
        <v>1</v>
      </c>
      <c r="I62" s="28">
        <v>1</v>
      </c>
      <c r="J62" s="28">
        <v>0</v>
      </c>
      <c r="K62" s="28"/>
      <c r="L62" s="19"/>
      <c r="M62" s="19"/>
      <c r="N62" s="19"/>
    </row>
    <row r="63" spans="1:14" s="19" customFormat="1" x14ac:dyDescent="0.35">
      <c r="A63" s="26" t="s">
        <v>840</v>
      </c>
      <c r="B63" s="27" t="s">
        <v>1048</v>
      </c>
      <c r="C63" s="26">
        <v>14</v>
      </c>
      <c r="D63" s="26"/>
      <c r="E63" s="26"/>
      <c r="F63" s="30"/>
      <c r="G63" s="30"/>
      <c r="H63" s="28">
        <v>1</v>
      </c>
      <c r="I63" s="28">
        <v>4</v>
      </c>
      <c r="J63" s="28">
        <v>0</v>
      </c>
      <c r="K63" s="28"/>
    </row>
    <row r="64" spans="1:14" s="19" customFormat="1" x14ac:dyDescent="0.35">
      <c r="A64" s="31" t="s">
        <v>819</v>
      </c>
      <c r="B64" s="27" t="s">
        <v>1053</v>
      </c>
      <c r="C64" s="26">
        <v>11</v>
      </c>
      <c r="D64" s="26"/>
      <c r="E64" s="26"/>
      <c r="F64" s="26"/>
      <c r="G64" s="26"/>
      <c r="H64" s="28">
        <v>1</v>
      </c>
      <c r="I64" s="28">
        <v>4</v>
      </c>
      <c r="J64" s="28">
        <v>0</v>
      </c>
      <c r="K64" s="28"/>
    </row>
    <row r="65" spans="1:11" s="19" customFormat="1" x14ac:dyDescent="0.35">
      <c r="A65" s="31" t="s">
        <v>820</v>
      </c>
      <c r="B65" s="27" t="s">
        <v>1052</v>
      </c>
      <c r="C65" s="26">
        <v>13</v>
      </c>
      <c r="D65" s="26"/>
      <c r="E65" s="26"/>
      <c r="F65" s="26"/>
      <c r="G65" s="26"/>
      <c r="H65" s="28">
        <v>1</v>
      </c>
      <c r="I65" s="28">
        <v>3</v>
      </c>
      <c r="J65" s="28">
        <v>0</v>
      </c>
      <c r="K65" s="28"/>
    </row>
    <row r="66" spans="1:11" ht="21.65" customHeight="1" x14ac:dyDescent="0.35">
      <c r="A66" s="433" t="s">
        <v>825</v>
      </c>
      <c r="B66" s="434"/>
      <c r="C66" s="9"/>
      <c r="D66" s="9"/>
      <c r="E66" s="9"/>
      <c r="F66" s="9"/>
      <c r="G66" s="9"/>
      <c r="H66" s="21">
        <f>SUM(H59:H65)</f>
        <v>7</v>
      </c>
      <c r="I66" s="21">
        <f>SUM(I59:I65)</f>
        <v>21</v>
      </c>
      <c r="J66" s="21">
        <f>SUM(J59:J65)</f>
        <v>0</v>
      </c>
      <c r="K66" s="9"/>
    </row>
    <row r="67" spans="1:11" ht="21.65" customHeight="1" x14ac:dyDescent="0.35">
      <c r="A67" s="427" t="s">
        <v>883</v>
      </c>
      <c r="B67" s="428"/>
      <c r="C67" s="428"/>
      <c r="D67" s="428"/>
      <c r="E67" s="428"/>
      <c r="F67" s="428"/>
      <c r="G67" s="428"/>
      <c r="H67" s="428"/>
      <c r="I67" s="428"/>
      <c r="J67" s="428"/>
      <c r="K67" s="429"/>
    </row>
    <row r="68" spans="1:11" x14ac:dyDescent="0.35">
      <c r="A68" s="435" t="s">
        <v>881</v>
      </c>
      <c r="B68" s="436"/>
      <c r="C68" s="436"/>
      <c r="D68" s="436"/>
      <c r="E68" s="436"/>
      <c r="F68" s="436"/>
      <c r="G68" s="436"/>
      <c r="H68" s="436"/>
      <c r="I68" s="436"/>
      <c r="J68" s="436"/>
      <c r="K68" s="437"/>
    </row>
    <row r="69" spans="1:11" x14ac:dyDescent="0.35">
      <c r="A69" s="1" t="s">
        <v>874</v>
      </c>
      <c r="B69" s="17" t="s">
        <v>884</v>
      </c>
      <c r="C69" s="1">
        <v>14</v>
      </c>
      <c r="D69" s="2"/>
      <c r="E69" s="2"/>
      <c r="F69" s="2"/>
      <c r="G69" s="2"/>
      <c r="H69" s="2">
        <f>COUNT(C69)</f>
        <v>1</v>
      </c>
      <c r="I69" s="2">
        <f>C69</f>
        <v>14</v>
      </c>
      <c r="J69" s="2">
        <f>COUNT(D69:G69)</f>
        <v>0</v>
      </c>
      <c r="K69" s="2"/>
    </row>
    <row r="70" spans="1:11" x14ac:dyDescent="0.35">
      <c r="A70" s="1" t="s">
        <v>875</v>
      </c>
      <c r="B70" s="17" t="s">
        <v>885</v>
      </c>
      <c r="C70" s="1">
        <v>18</v>
      </c>
      <c r="D70" s="1"/>
      <c r="E70" s="1"/>
      <c r="F70" s="1"/>
      <c r="G70" s="1"/>
      <c r="H70" s="2">
        <f>COUNT(C70)</f>
        <v>1</v>
      </c>
      <c r="I70" s="2">
        <f t="shared" ref="I70:I71" si="8">C70</f>
        <v>18</v>
      </c>
      <c r="J70" s="2">
        <f>COUNT(D70:G70)</f>
        <v>0</v>
      </c>
      <c r="K70" s="2"/>
    </row>
    <row r="71" spans="1:11" ht="21.65" customHeight="1" x14ac:dyDescent="0.35">
      <c r="A71" s="1" t="s">
        <v>876</v>
      </c>
      <c r="B71" s="17" t="s">
        <v>886</v>
      </c>
      <c r="C71" s="1">
        <v>20</v>
      </c>
      <c r="D71" s="1"/>
      <c r="E71" s="1"/>
      <c r="F71" s="1"/>
      <c r="G71" s="1"/>
      <c r="H71" s="2">
        <f>COUNT(C71)</f>
        <v>1</v>
      </c>
      <c r="I71" s="2">
        <f t="shared" si="8"/>
        <v>20</v>
      </c>
      <c r="J71" s="2">
        <f>COUNT(D71:G71)</f>
        <v>0</v>
      </c>
      <c r="K71" s="2"/>
    </row>
    <row r="72" spans="1:11" ht="17" x14ac:dyDescent="0.35">
      <c r="A72" s="433" t="s">
        <v>825</v>
      </c>
      <c r="B72" s="434"/>
      <c r="C72" s="9"/>
      <c r="D72" s="9"/>
      <c r="E72" s="9"/>
      <c r="F72" s="9"/>
      <c r="G72" s="9"/>
      <c r="H72" s="21">
        <f>SUM(H69:H71)</f>
        <v>3</v>
      </c>
      <c r="I72" s="21">
        <f>SUM(I69:I71)</f>
        <v>52</v>
      </c>
      <c r="J72" s="21">
        <f>SUM(J69:J71)</f>
        <v>0</v>
      </c>
      <c r="K72" s="9"/>
    </row>
  </sheetData>
  <mergeCells count="23">
    <mergeCell ref="A58:K58"/>
    <mergeCell ref="A66:B66"/>
    <mergeCell ref="A67:K67"/>
    <mergeCell ref="A68:K68"/>
    <mergeCell ref="A72:B72"/>
    <mergeCell ref="A57:K57"/>
    <mergeCell ref="A6:K6"/>
    <mergeCell ref="A7:K7"/>
    <mergeCell ref="A15:B15"/>
    <mergeCell ref="A16:K16"/>
    <mergeCell ref="A19:B19"/>
    <mergeCell ref="A20:K20"/>
    <mergeCell ref="A21:K21"/>
    <mergeCell ref="A39:B39"/>
    <mergeCell ref="A40:K40"/>
    <mergeCell ref="A41:K41"/>
    <mergeCell ref="A55:B55"/>
    <mergeCell ref="D4:G4"/>
    <mergeCell ref="A1:K1"/>
    <mergeCell ref="A2:G2"/>
    <mergeCell ref="H2:I2"/>
    <mergeCell ref="J2:K2"/>
    <mergeCell ref="D3:G3"/>
  </mergeCells>
  <phoneticPr fontId="12" type="noConversion"/>
  <pageMargins left="0.70866141732283472" right="0.70866141732283472" top="0.74803149606299213" bottom="0.74803149606299213" header="0.31496062992125984" footer="0.31496062992125984"/>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879"/>
  <sheetViews>
    <sheetView zoomScale="55" zoomScaleNormal="55" zoomScaleSheetLayoutView="85" workbookViewId="0">
      <pane ySplit="4" topLeftCell="A5" activePane="bottomLeft" state="frozen"/>
      <selection activeCell="D1" sqref="D1"/>
      <selection pane="bottomLeft" activeCell="K51" sqref="K51"/>
    </sheetView>
  </sheetViews>
  <sheetFormatPr defaultColWidth="9.08984375" defaultRowHeight="11.5" x14ac:dyDescent="0.35"/>
  <cols>
    <col min="1" max="1" width="11.6328125" style="153" hidden="1" customWidth="1"/>
    <col min="2" max="2" width="9.08984375" style="32" hidden="1" customWidth="1"/>
    <col min="3" max="3" width="13" style="143" hidden="1" customWidth="1"/>
    <col min="4" max="4" width="11.90625" style="143" customWidth="1"/>
    <col min="5" max="5" width="64" style="32" customWidth="1"/>
    <col min="6" max="6" width="7" style="32" bestFit="1" customWidth="1"/>
    <col min="7" max="7" width="6.6328125" style="144" customWidth="1"/>
    <col min="8" max="8" width="8.08984375" style="144" customWidth="1"/>
    <col min="9" max="9" width="6.36328125" style="144" customWidth="1"/>
    <col min="10" max="10" width="10.54296875" style="144" bestFit="1" customWidth="1"/>
    <col min="11" max="11" width="11.54296875" style="145" customWidth="1"/>
    <col min="12" max="12" width="27" style="146" customWidth="1"/>
    <col min="13" max="13" width="15.90625" style="146" customWidth="1"/>
    <col min="14" max="14" width="10.08984375" style="32" bestFit="1" customWidth="1"/>
    <col min="15" max="15" width="9.08984375" style="32"/>
    <col min="16" max="16" width="14.08984375" style="32" bestFit="1" customWidth="1"/>
    <col min="17" max="17" width="10" style="32" bestFit="1" customWidth="1"/>
    <col min="18" max="18" width="11.453125" style="32" customWidth="1"/>
    <col min="19" max="19" width="14.36328125" style="32" customWidth="1"/>
    <col min="20" max="20" width="42.54296875" style="32" customWidth="1"/>
    <col min="21" max="16384" width="9.08984375" style="32"/>
  </cols>
  <sheetData>
    <row r="1" spans="1:19" ht="12" thickBot="1" x14ac:dyDescent="0.4">
      <c r="A1" s="410" t="s">
        <v>858</v>
      </c>
      <c r="B1" s="411"/>
      <c r="C1" s="411"/>
      <c r="D1" s="411"/>
      <c r="E1" s="411"/>
      <c r="F1" s="185" t="s">
        <v>785</v>
      </c>
      <c r="G1" s="186"/>
      <c r="H1" s="186"/>
      <c r="I1" s="186"/>
      <c r="J1" s="186"/>
      <c r="K1" s="187">
        <v>594</v>
      </c>
      <c r="L1" s="188" t="s">
        <v>859</v>
      </c>
      <c r="M1" s="189"/>
    </row>
    <row r="2" spans="1:19" ht="12" thickBot="1" x14ac:dyDescent="0.4">
      <c r="A2" s="194" t="s">
        <v>507</v>
      </c>
      <c r="B2" s="195"/>
      <c r="C2" s="195" t="s">
        <v>508</v>
      </c>
      <c r="D2" s="195" t="s">
        <v>0</v>
      </c>
      <c r="E2" s="196" t="s">
        <v>1</v>
      </c>
      <c r="F2" s="195" t="s">
        <v>3</v>
      </c>
      <c r="G2" s="197"/>
      <c r="H2" s="197"/>
      <c r="I2" s="197"/>
      <c r="J2" s="202"/>
      <c r="K2" s="201" t="s">
        <v>2</v>
      </c>
      <c r="L2" s="198" t="s">
        <v>784</v>
      </c>
      <c r="M2" s="199" t="s">
        <v>716</v>
      </c>
      <c r="N2" s="201" t="s">
        <v>2</v>
      </c>
      <c r="O2" s="198" t="s">
        <v>784</v>
      </c>
      <c r="P2" s="200" t="s">
        <v>716</v>
      </c>
      <c r="Q2" s="285" t="s">
        <v>2</v>
      </c>
      <c r="R2" s="287" t="s">
        <v>784</v>
      </c>
      <c r="S2" s="286" t="s">
        <v>716</v>
      </c>
    </row>
    <row r="3" spans="1:19" ht="12" thickBot="1" x14ac:dyDescent="0.4">
      <c r="A3" s="147" t="s">
        <v>4</v>
      </c>
      <c r="B3" s="33"/>
      <c r="C3" s="33"/>
      <c r="D3" s="33"/>
      <c r="E3" s="190" t="s">
        <v>5</v>
      </c>
      <c r="F3" s="191"/>
      <c r="G3" s="192"/>
      <c r="H3" s="192"/>
      <c r="I3" s="192"/>
      <c r="J3" s="193"/>
      <c r="K3" s="412" t="s">
        <v>1089</v>
      </c>
      <c r="L3" s="413"/>
      <c r="M3" s="414"/>
      <c r="N3" s="415" t="s">
        <v>1088</v>
      </c>
      <c r="O3" s="416"/>
      <c r="P3" s="416"/>
      <c r="Q3" s="417" t="s">
        <v>1090</v>
      </c>
      <c r="R3" s="418"/>
      <c r="S3" s="419"/>
    </row>
    <row r="4" spans="1:19" x14ac:dyDescent="0.35">
      <c r="A4" s="148"/>
      <c r="B4" s="34" t="s">
        <v>6</v>
      </c>
      <c r="C4" s="34"/>
      <c r="D4" s="34"/>
      <c r="E4" s="35" t="s">
        <v>7</v>
      </c>
      <c r="F4" s="36"/>
      <c r="G4" s="37" t="s">
        <v>464</v>
      </c>
      <c r="H4" s="37" t="s">
        <v>786</v>
      </c>
      <c r="I4" s="37" t="s">
        <v>118</v>
      </c>
      <c r="J4" s="110" t="s">
        <v>438</v>
      </c>
      <c r="K4" s="232"/>
      <c r="L4" s="183"/>
      <c r="M4" s="233"/>
      <c r="N4" s="205"/>
      <c r="O4" s="184"/>
      <c r="P4" s="268"/>
      <c r="Q4" s="205"/>
      <c r="R4" s="184"/>
      <c r="S4" s="206"/>
    </row>
    <row r="5" spans="1:19" ht="34.5" x14ac:dyDescent="0.35">
      <c r="A5" s="149"/>
      <c r="B5" s="36"/>
      <c r="C5" s="34" t="s">
        <v>8</v>
      </c>
      <c r="D5" s="36" t="s">
        <v>9</v>
      </c>
      <c r="E5" s="42" t="s">
        <v>10</v>
      </c>
      <c r="F5" s="36"/>
      <c r="G5" s="37"/>
      <c r="H5" s="37"/>
      <c r="I5" s="37"/>
      <c r="J5" s="110"/>
      <c r="K5" s="234"/>
      <c r="L5" s="43"/>
      <c r="M5" s="235"/>
      <c r="N5" s="207"/>
      <c r="O5" s="39"/>
      <c r="P5" s="269"/>
      <c r="Q5" s="207"/>
      <c r="R5" s="39"/>
      <c r="S5" s="209"/>
    </row>
    <row r="6" spans="1:19" ht="23" x14ac:dyDescent="0.35">
      <c r="A6" s="149"/>
      <c r="B6" s="36"/>
      <c r="C6" s="36" t="s">
        <v>11</v>
      </c>
      <c r="D6" s="36"/>
      <c r="E6" s="44" t="s">
        <v>12</v>
      </c>
      <c r="F6" s="36" t="s">
        <v>13</v>
      </c>
      <c r="G6" s="37"/>
      <c r="H6" s="37"/>
      <c r="I6" s="37"/>
      <c r="J6" s="110"/>
      <c r="K6" s="234">
        <f>SUM(K7:K20)</f>
        <v>1356.6426000000001</v>
      </c>
      <c r="L6" s="43">
        <v>15.45</v>
      </c>
      <c r="M6" s="235">
        <f>L6*$K6</f>
        <v>20960.12817</v>
      </c>
      <c r="N6" s="207">
        <v>336</v>
      </c>
      <c r="O6" s="39">
        <v>15.45</v>
      </c>
      <c r="P6" s="269">
        <f>O6*N6</f>
        <v>5191.2</v>
      </c>
      <c r="Q6" s="275">
        <f>K6-N6</f>
        <v>1020.6426000000001</v>
      </c>
      <c r="R6" s="176">
        <f>L6-O6</f>
        <v>0</v>
      </c>
      <c r="S6" s="276">
        <f>M6-P6</f>
        <v>15768.928169999999</v>
      </c>
    </row>
    <row r="7" spans="1:19" x14ac:dyDescent="0.35">
      <c r="A7" s="149"/>
      <c r="B7" s="36"/>
      <c r="C7" s="36"/>
      <c r="D7" s="36"/>
      <c r="E7" s="44" t="s">
        <v>788</v>
      </c>
      <c r="F7" s="36"/>
      <c r="G7" s="37">
        <v>1</v>
      </c>
      <c r="H7" s="37">
        <v>30.04</v>
      </c>
      <c r="I7" s="37">
        <v>12.36</v>
      </c>
      <c r="J7" s="110"/>
      <c r="K7" s="234">
        <f>I7*H7*G7</f>
        <v>371.2944</v>
      </c>
      <c r="L7" s="43"/>
      <c r="M7" s="235"/>
      <c r="N7" s="207"/>
      <c r="O7" s="39"/>
      <c r="P7" s="269"/>
      <c r="Q7" s="275"/>
      <c r="R7" s="176"/>
      <c r="S7" s="276"/>
    </row>
    <row r="8" spans="1:19" x14ac:dyDescent="0.35">
      <c r="A8" s="149"/>
      <c r="B8" s="36"/>
      <c r="C8" s="36"/>
      <c r="D8" s="36"/>
      <c r="E8" s="44" t="s">
        <v>787</v>
      </c>
      <c r="F8" s="36"/>
      <c r="G8" s="37">
        <v>1</v>
      </c>
      <c r="H8" s="37">
        <v>13.91</v>
      </c>
      <c r="I8" s="37">
        <v>8.24</v>
      </c>
      <c r="J8" s="110"/>
      <c r="K8" s="234">
        <f t="shared" ref="K8:K16" si="0">I8*H8*G8</f>
        <v>114.61840000000001</v>
      </c>
      <c r="L8" s="43"/>
      <c r="M8" s="235"/>
      <c r="N8" s="207"/>
      <c r="O8" s="39"/>
      <c r="P8" s="269"/>
      <c r="Q8" s="275"/>
      <c r="R8" s="176"/>
      <c r="S8" s="276"/>
    </row>
    <row r="9" spans="1:19" x14ac:dyDescent="0.35">
      <c r="A9" s="149"/>
      <c r="B9" s="36"/>
      <c r="C9" s="36"/>
      <c r="D9" s="36"/>
      <c r="E9" s="44" t="s">
        <v>789</v>
      </c>
      <c r="F9" s="36"/>
      <c r="G9" s="37">
        <v>1</v>
      </c>
      <c r="H9" s="37">
        <v>24.92</v>
      </c>
      <c r="I9" s="37">
        <v>7.04</v>
      </c>
      <c r="J9" s="110"/>
      <c r="K9" s="234">
        <f t="shared" si="0"/>
        <v>175.43680000000001</v>
      </c>
      <c r="L9" s="43"/>
      <c r="M9" s="235"/>
      <c r="N9" s="207"/>
      <c r="O9" s="39"/>
      <c r="P9" s="269"/>
      <c r="Q9" s="275"/>
      <c r="R9" s="176"/>
      <c r="S9" s="276"/>
    </row>
    <row r="10" spans="1:19" x14ac:dyDescent="0.35">
      <c r="A10" s="149"/>
      <c r="B10" s="36"/>
      <c r="C10" s="36"/>
      <c r="D10" s="36"/>
      <c r="E10" s="44" t="s">
        <v>790</v>
      </c>
      <c r="F10" s="36"/>
      <c r="G10" s="37">
        <v>1</v>
      </c>
      <c r="H10" s="37">
        <v>24.93</v>
      </c>
      <c r="I10" s="37">
        <v>8</v>
      </c>
      <c r="J10" s="110"/>
      <c r="K10" s="234">
        <f t="shared" si="0"/>
        <v>199.44</v>
      </c>
      <c r="L10" s="43"/>
      <c r="M10" s="235"/>
      <c r="N10" s="207"/>
      <c r="O10" s="39"/>
      <c r="P10" s="269"/>
      <c r="Q10" s="275"/>
      <c r="R10" s="176"/>
      <c r="S10" s="276"/>
    </row>
    <row r="11" spans="1:19" x14ac:dyDescent="0.35">
      <c r="A11" s="149"/>
      <c r="B11" s="36"/>
      <c r="C11" s="36"/>
      <c r="D11" s="36"/>
      <c r="E11" s="44" t="s">
        <v>791</v>
      </c>
      <c r="F11" s="36"/>
      <c r="G11" s="37">
        <v>-1</v>
      </c>
      <c r="H11" s="37">
        <v>3</v>
      </c>
      <c r="I11" s="37">
        <v>7</v>
      </c>
      <c r="J11" s="110"/>
      <c r="K11" s="234">
        <f t="shared" si="0"/>
        <v>-21</v>
      </c>
      <c r="L11" s="43"/>
      <c r="M11" s="235"/>
      <c r="N11" s="207"/>
      <c r="O11" s="39"/>
      <c r="P11" s="269"/>
      <c r="Q11" s="275"/>
      <c r="R11" s="176"/>
      <c r="S11" s="276"/>
    </row>
    <row r="12" spans="1:19" x14ac:dyDescent="0.35">
      <c r="A12" s="149"/>
      <c r="B12" s="36"/>
      <c r="C12" s="36"/>
      <c r="D12" s="36"/>
      <c r="E12" s="44" t="s">
        <v>792</v>
      </c>
      <c r="F12" s="36"/>
      <c r="G12" s="37">
        <v>1</v>
      </c>
      <c r="H12" s="37">
        <v>12.59</v>
      </c>
      <c r="I12" s="37">
        <v>7</v>
      </c>
      <c r="J12" s="110"/>
      <c r="K12" s="234">
        <f t="shared" si="0"/>
        <v>88.13</v>
      </c>
      <c r="L12" s="43"/>
      <c r="M12" s="235"/>
      <c r="N12" s="207"/>
      <c r="O12" s="39"/>
      <c r="P12" s="269"/>
      <c r="Q12" s="275"/>
      <c r="R12" s="176"/>
      <c r="S12" s="276"/>
    </row>
    <row r="13" spans="1:19" x14ac:dyDescent="0.35">
      <c r="A13" s="149"/>
      <c r="B13" s="36"/>
      <c r="C13" s="36"/>
      <c r="D13" s="36"/>
      <c r="E13" s="44" t="s">
        <v>791</v>
      </c>
      <c r="F13" s="36"/>
      <c r="G13" s="37">
        <v>-1</v>
      </c>
      <c r="H13" s="37">
        <v>3</v>
      </c>
      <c r="I13" s="37">
        <v>7</v>
      </c>
      <c r="J13" s="110"/>
      <c r="K13" s="234">
        <f t="shared" si="0"/>
        <v>-21</v>
      </c>
      <c r="L13" s="43"/>
      <c r="M13" s="235"/>
      <c r="N13" s="207"/>
      <c r="O13" s="39"/>
      <c r="P13" s="269"/>
      <c r="Q13" s="275"/>
      <c r="R13" s="176"/>
      <c r="S13" s="276"/>
    </row>
    <row r="14" spans="1:19" x14ac:dyDescent="0.35">
      <c r="A14" s="149"/>
      <c r="B14" s="36"/>
      <c r="C14" s="36"/>
      <c r="D14" s="36"/>
      <c r="E14" s="44" t="s">
        <v>793</v>
      </c>
      <c r="F14" s="36"/>
      <c r="G14" s="37">
        <v>1</v>
      </c>
      <c r="H14" s="37">
        <v>12.8</v>
      </c>
      <c r="I14" s="37">
        <v>8</v>
      </c>
      <c r="J14" s="110"/>
      <c r="K14" s="234">
        <f t="shared" si="0"/>
        <v>102.4</v>
      </c>
      <c r="L14" s="43"/>
      <c r="M14" s="235"/>
      <c r="N14" s="207"/>
      <c r="O14" s="39"/>
      <c r="P14" s="269"/>
      <c r="Q14" s="275"/>
      <c r="R14" s="176"/>
      <c r="S14" s="276"/>
    </row>
    <row r="15" spans="1:19" x14ac:dyDescent="0.35">
      <c r="A15" s="149"/>
      <c r="B15" s="36"/>
      <c r="C15" s="36"/>
      <c r="D15" s="36"/>
      <c r="E15" s="44" t="s">
        <v>794</v>
      </c>
      <c r="F15" s="36"/>
      <c r="G15" s="37">
        <v>1</v>
      </c>
      <c r="H15" s="37">
        <v>24.95</v>
      </c>
      <c r="I15" s="37">
        <v>11.94</v>
      </c>
      <c r="J15" s="110"/>
      <c r="K15" s="234">
        <f t="shared" si="0"/>
        <v>297.90299999999996</v>
      </c>
      <c r="L15" s="43"/>
      <c r="M15" s="235"/>
      <c r="N15" s="207"/>
      <c r="O15" s="39"/>
      <c r="P15" s="269"/>
      <c r="Q15" s="275"/>
      <c r="R15" s="176"/>
      <c r="S15" s="276"/>
    </row>
    <row r="16" spans="1:19" x14ac:dyDescent="0.35">
      <c r="A16" s="149"/>
      <c r="B16" s="36"/>
      <c r="C16" s="36"/>
      <c r="D16" s="36"/>
      <c r="E16" s="44" t="s">
        <v>795</v>
      </c>
      <c r="F16" s="36"/>
      <c r="G16" s="37">
        <v>1</v>
      </c>
      <c r="H16" s="37">
        <v>7.06</v>
      </c>
      <c r="I16" s="37">
        <v>7</v>
      </c>
      <c r="J16" s="110"/>
      <c r="K16" s="234">
        <f t="shared" si="0"/>
        <v>49.419999999999995</v>
      </c>
      <c r="L16" s="43"/>
      <c r="M16" s="235"/>
      <c r="N16" s="207"/>
      <c r="O16" s="39"/>
      <c r="P16" s="269"/>
      <c r="Q16" s="275"/>
      <c r="R16" s="176"/>
      <c r="S16" s="276"/>
    </row>
    <row r="17" spans="1:19" x14ac:dyDescent="0.35">
      <c r="A17" s="149"/>
      <c r="B17" s="36"/>
      <c r="C17" s="36"/>
      <c r="D17" s="36"/>
      <c r="E17" s="44"/>
      <c r="F17" s="36"/>
      <c r="G17" s="37"/>
      <c r="H17" s="37"/>
      <c r="I17" s="37"/>
      <c r="J17" s="110"/>
      <c r="K17" s="234"/>
      <c r="L17" s="43"/>
      <c r="M17" s="235"/>
      <c r="N17" s="207"/>
      <c r="O17" s="39"/>
      <c r="P17" s="269"/>
      <c r="Q17" s="275"/>
      <c r="R17" s="176"/>
      <c r="S17" s="276"/>
    </row>
    <row r="18" spans="1:19" x14ac:dyDescent="0.35">
      <c r="A18" s="149"/>
      <c r="B18" s="36"/>
      <c r="C18" s="36"/>
      <c r="D18" s="36"/>
      <c r="E18" s="44"/>
      <c r="F18" s="36"/>
      <c r="G18" s="37"/>
      <c r="H18" s="37"/>
      <c r="I18" s="37"/>
      <c r="J18" s="110"/>
      <c r="K18" s="234"/>
      <c r="L18" s="43"/>
      <c r="M18" s="235"/>
      <c r="N18" s="207"/>
      <c r="O18" s="39"/>
      <c r="P18" s="269"/>
      <c r="Q18" s="275"/>
      <c r="R18" s="176"/>
      <c r="S18" s="276"/>
    </row>
    <row r="19" spans="1:19" x14ac:dyDescent="0.35">
      <c r="A19" s="149"/>
      <c r="B19" s="36"/>
      <c r="C19" s="36"/>
      <c r="D19" s="36"/>
      <c r="E19" s="44"/>
      <c r="F19" s="36"/>
      <c r="G19" s="37"/>
      <c r="H19" s="37"/>
      <c r="I19" s="37"/>
      <c r="J19" s="110"/>
      <c r="K19" s="234"/>
      <c r="L19" s="43"/>
      <c r="M19" s="235"/>
      <c r="N19" s="207"/>
      <c r="O19" s="39"/>
      <c r="P19" s="269"/>
      <c r="Q19" s="275"/>
      <c r="R19" s="176"/>
      <c r="S19" s="276"/>
    </row>
    <row r="20" spans="1:19" x14ac:dyDescent="0.35">
      <c r="A20" s="149"/>
      <c r="B20" s="36"/>
      <c r="C20" s="36"/>
      <c r="D20" s="36"/>
      <c r="E20" s="44"/>
      <c r="F20" s="36"/>
      <c r="G20" s="37"/>
      <c r="H20" s="37"/>
      <c r="I20" s="37"/>
      <c r="J20" s="110"/>
      <c r="K20" s="234"/>
      <c r="L20" s="43"/>
      <c r="M20" s="235"/>
      <c r="N20" s="207"/>
      <c r="O20" s="39"/>
      <c r="P20" s="269"/>
      <c r="Q20" s="275"/>
      <c r="R20" s="176"/>
      <c r="S20" s="276"/>
    </row>
    <row r="21" spans="1:19" x14ac:dyDescent="0.35">
      <c r="A21" s="149"/>
      <c r="B21" s="36"/>
      <c r="C21" s="36" t="s">
        <v>14</v>
      </c>
      <c r="D21" s="36"/>
      <c r="E21" s="157" t="s">
        <v>15</v>
      </c>
      <c r="F21" s="36" t="s">
        <v>13</v>
      </c>
      <c r="G21" s="37"/>
      <c r="H21" s="37"/>
      <c r="I21" s="37"/>
      <c r="J21" s="110"/>
      <c r="K21" s="234"/>
      <c r="L21" s="43">
        <v>12.36</v>
      </c>
      <c r="M21" s="235">
        <f>L21*$K21</f>
        <v>0</v>
      </c>
      <c r="N21" s="207">
        <v>15</v>
      </c>
      <c r="O21" s="39">
        <v>12.36</v>
      </c>
      <c r="P21" s="269">
        <f t="shared" ref="P21:P70" si="1">O21*N21</f>
        <v>185.39999999999998</v>
      </c>
      <c r="Q21" s="275">
        <f t="shared" ref="Q21:Q70" si="2">K21-N21</f>
        <v>-15</v>
      </c>
      <c r="R21" s="176">
        <f t="shared" ref="R21:R70" si="3">L21-O21</f>
        <v>0</v>
      </c>
      <c r="S21" s="276">
        <f t="shared" ref="S21:S70" si="4">M21-P21</f>
        <v>-185.39999999999998</v>
      </c>
    </row>
    <row r="22" spans="1:19" x14ac:dyDescent="0.35">
      <c r="A22" s="149"/>
      <c r="B22" s="36"/>
      <c r="C22" s="36" t="s">
        <v>16</v>
      </c>
      <c r="D22" s="36"/>
      <c r="E22" s="167" t="s">
        <v>17</v>
      </c>
      <c r="F22" s="36" t="s">
        <v>13</v>
      </c>
      <c r="G22" s="37"/>
      <c r="H22" s="37"/>
      <c r="I22" s="37"/>
      <c r="J22" s="110"/>
      <c r="K22" s="234">
        <f>SUM(K23:K26)</f>
        <v>226.24</v>
      </c>
      <c r="L22" s="43">
        <v>24.72</v>
      </c>
      <c r="M22" s="235">
        <f>L22*$K22</f>
        <v>5592.6527999999998</v>
      </c>
      <c r="N22" s="207">
        <v>0</v>
      </c>
      <c r="O22" s="39">
        <v>24.72</v>
      </c>
      <c r="P22" s="269">
        <f t="shared" si="1"/>
        <v>0</v>
      </c>
      <c r="Q22" s="275">
        <f t="shared" si="2"/>
        <v>226.24</v>
      </c>
      <c r="R22" s="176">
        <f t="shared" si="3"/>
        <v>0</v>
      </c>
      <c r="S22" s="276">
        <f t="shared" si="4"/>
        <v>5592.6527999999998</v>
      </c>
    </row>
    <row r="23" spans="1:19" x14ac:dyDescent="0.35">
      <c r="A23" s="149"/>
      <c r="B23" s="36"/>
      <c r="C23" s="36"/>
      <c r="D23" s="36"/>
      <c r="E23" s="44" t="s">
        <v>788</v>
      </c>
      <c r="F23" s="36"/>
      <c r="G23" s="37">
        <v>1</v>
      </c>
      <c r="H23" s="37">
        <v>8</v>
      </c>
      <c r="I23" s="37">
        <v>12</v>
      </c>
      <c r="J23" s="110"/>
      <c r="K23" s="234">
        <f>I23*H23*G23</f>
        <v>96</v>
      </c>
      <c r="L23" s="43"/>
      <c r="M23" s="235"/>
      <c r="N23" s="207"/>
      <c r="O23" s="39"/>
      <c r="P23" s="269"/>
      <c r="Q23" s="275"/>
      <c r="R23" s="176"/>
      <c r="S23" s="276"/>
    </row>
    <row r="24" spans="1:19" x14ac:dyDescent="0.35">
      <c r="A24" s="149"/>
      <c r="B24" s="36"/>
      <c r="C24" s="36"/>
      <c r="D24" s="36"/>
      <c r="E24" s="44" t="s">
        <v>787</v>
      </c>
      <c r="F24" s="36"/>
      <c r="G24" s="37">
        <v>0</v>
      </c>
      <c r="H24" s="37">
        <v>13.91</v>
      </c>
      <c r="I24" s="37">
        <v>8.24</v>
      </c>
      <c r="J24" s="110"/>
      <c r="K24" s="234">
        <f t="shared" ref="K24:K25" si="5">I24*H24*G24</f>
        <v>0</v>
      </c>
      <c r="L24" s="43"/>
      <c r="M24" s="235"/>
      <c r="N24" s="207"/>
      <c r="O24" s="39"/>
      <c r="P24" s="269"/>
      <c r="Q24" s="275"/>
      <c r="R24" s="176"/>
      <c r="S24" s="276"/>
    </row>
    <row r="25" spans="1:19" x14ac:dyDescent="0.35">
      <c r="A25" s="149"/>
      <c r="B25" s="36"/>
      <c r="C25" s="36"/>
      <c r="D25" s="36"/>
      <c r="E25" s="44" t="s">
        <v>789</v>
      </c>
      <c r="F25" s="36"/>
      <c r="G25" s="37">
        <v>1</v>
      </c>
      <c r="H25" s="37">
        <f>25-6.5</f>
        <v>18.5</v>
      </c>
      <c r="I25" s="37">
        <v>7.04</v>
      </c>
      <c r="J25" s="110"/>
      <c r="K25" s="234">
        <f t="shared" si="5"/>
        <v>130.24</v>
      </c>
      <c r="L25" s="43"/>
      <c r="M25" s="235"/>
      <c r="N25" s="207"/>
      <c r="O25" s="39"/>
      <c r="P25" s="269"/>
      <c r="Q25" s="275"/>
      <c r="R25" s="176"/>
      <c r="S25" s="276"/>
    </row>
    <row r="26" spans="1:19" x14ac:dyDescent="0.35">
      <c r="A26" s="149"/>
      <c r="B26" s="36"/>
      <c r="C26" s="36"/>
      <c r="D26" s="36"/>
      <c r="E26" s="44"/>
      <c r="F26" s="36"/>
      <c r="G26" s="37"/>
      <c r="H26" s="37"/>
      <c r="I26" s="37"/>
      <c r="J26" s="110"/>
      <c r="K26" s="234"/>
      <c r="L26" s="43"/>
      <c r="M26" s="235"/>
      <c r="N26" s="207"/>
      <c r="O26" s="39"/>
      <c r="P26" s="269"/>
      <c r="Q26" s="275"/>
      <c r="R26" s="176"/>
      <c r="S26" s="276"/>
    </row>
    <row r="27" spans="1:19" x14ac:dyDescent="0.35">
      <c r="A27" s="149"/>
      <c r="B27" s="36"/>
      <c r="C27" s="36" t="s">
        <v>18</v>
      </c>
      <c r="D27" s="36"/>
      <c r="E27" s="168" t="s">
        <v>19</v>
      </c>
      <c r="F27" s="36" t="s">
        <v>13</v>
      </c>
      <c r="G27" s="37"/>
      <c r="H27" s="37"/>
      <c r="I27" s="37"/>
      <c r="J27" s="110"/>
      <c r="K27" s="234">
        <f>SUM(K28:K31)</f>
        <v>628.67439999999999</v>
      </c>
      <c r="L27" s="43">
        <v>12.36</v>
      </c>
      <c r="M27" s="235">
        <f>L27*$K27</f>
        <v>7770.4155839999994</v>
      </c>
      <c r="N27" s="207">
        <v>0</v>
      </c>
      <c r="O27" s="39">
        <v>12.36</v>
      </c>
      <c r="P27" s="269">
        <f t="shared" si="1"/>
        <v>0</v>
      </c>
      <c r="Q27" s="275">
        <f t="shared" si="2"/>
        <v>628.67439999999999</v>
      </c>
      <c r="R27" s="176">
        <f t="shared" si="3"/>
        <v>0</v>
      </c>
      <c r="S27" s="276">
        <f t="shared" si="4"/>
        <v>7770.4155839999994</v>
      </c>
    </row>
    <row r="28" spans="1:19" ht="12" x14ac:dyDescent="0.35">
      <c r="A28" s="149"/>
      <c r="B28" s="36"/>
      <c r="C28" s="36"/>
      <c r="D28" s="36"/>
      <c r="E28" s="45" t="s">
        <v>796</v>
      </c>
      <c r="F28" s="36"/>
      <c r="G28" s="37">
        <v>1</v>
      </c>
      <c r="H28" s="37">
        <v>24</v>
      </c>
      <c r="I28" s="37">
        <v>12.36</v>
      </c>
      <c r="J28" s="110"/>
      <c r="K28" s="234">
        <f>I28*H28*G28</f>
        <v>296.64</v>
      </c>
      <c r="L28" s="43"/>
      <c r="M28" s="235"/>
      <c r="N28" s="207"/>
      <c r="O28" s="39"/>
      <c r="P28" s="269"/>
      <c r="Q28" s="275"/>
      <c r="R28" s="176"/>
      <c r="S28" s="276"/>
    </row>
    <row r="29" spans="1:19" ht="12" x14ac:dyDescent="0.35">
      <c r="A29" s="149"/>
      <c r="B29" s="36"/>
      <c r="C29" s="36"/>
      <c r="D29" s="36"/>
      <c r="E29" s="45" t="s">
        <v>797</v>
      </c>
      <c r="F29" s="36"/>
      <c r="G29" s="37">
        <v>1</v>
      </c>
      <c r="H29" s="37">
        <v>13.91</v>
      </c>
      <c r="I29" s="37">
        <v>8.24</v>
      </c>
      <c r="J29" s="110"/>
      <c r="K29" s="234">
        <f>I29*H29*G29</f>
        <v>114.61840000000001</v>
      </c>
      <c r="L29" s="43"/>
      <c r="M29" s="235"/>
      <c r="N29" s="207"/>
      <c r="O29" s="39"/>
      <c r="P29" s="269"/>
      <c r="Q29" s="275"/>
      <c r="R29" s="176"/>
      <c r="S29" s="276"/>
    </row>
    <row r="30" spans="1:19" x14ac:dyDescent="0.35">
      <c r="A30" s="149"/>
      <c r="B30" s="36"/>
      <c r="C30" s="36"/>
      <c r="D30" s="36"/>
      <c r="E30" s="44" t="s">
        <v>798</v>
      </c>
      <c r="F30" s="36"/>
      <c r="G30" s="37">
        <v>1</v>
      </c>
      <c r="H30" s="37">
        <v>24.92</v>
      </c>
      <c r="I30" s="37">
        <v>7.05</v>
      </c>
      <c r="J30" s="110"/>
      <c r="K30" s="234">
        <f>I30*H30*G30</f>
        <v>175.68600000000001</v>
      </c>
      <c r="L30" s="43"/>
      <c r="M30" s="235"/>
      <c r="N30" s="207"/>
      <c r="O30" s="39"/>
      <c r="P30" s="269"/>
      <c r="Q30" s="275"/>
      <c r="R30" s="176"/>
      <c r="S30" s="276"/>
    </row>
    <row r="31" spans="1:19" x14ac:dyDescent="0.35">
      <c r="A31" s="149"/>
      <c r="B31" s="36"/>
      <c r="C31" s="36"/>
      <c r="D31" s="36"/>
      <c r="E31" s="44" t="s">
        <v>1003</v>
      </c>
      <c r="F31" s="36"/>
      <c r="G31" s="37">
        <v>1</v>
      </c>
      <c r="H31" s="37">
        <v>13.91</v>
      </c>
      <c r="I31" s="37">
        <v>3</v>
      </c>
      <c r="J31" s="110"/>
      <c r="K31" s="234">
        <f>I31*H31*G31</f>
        <v>41.730000000000004</v>
      </c>
      <c r="L31" s="43"/>
      <c r="M31" s="235"/>
      <c r="N31" s="207"/>
      <c r="O31" s="39"/>
      <c r="P31" s="269"/>
      <c r="Q31" s="275"/>
      <c r="R31" s="176"/>
      <c r="S31" s="276"/>
    </row>
    <row r="32" spans="1:19" x14ac:dyDescent="0.35">
      <c r="A32" s="149"/>
      <c r="B32" s="36"/>
      <c r="C32" s="36"/>
      <c r="D32" s="36"/>
      <c r="E32" s="44"/>
      <c r="F32" s="36"/>
      <c r="G32" s="37"/>
      <c r="H32" s="37"/>
      <c r="I32" s="37"/>
      <c r="J32" s="110"/>
      <c r="K32" s="234"/>
      <c r="L32" s="43"/>
      <c r="M32" s="235"/>
      <c r="N32" s="207"/>
      <c r="O32" s="39"/>
      <c r="P32" s="269"/>
      <c r="Q32" s="275"/>
      <c r="R32" s="176"/>
      <c r="S32" s="276"/>
    </row>
    <row r="33" spans="1:19" x14ac:dyDescent="0.35">
      <c r="A33" s="149"/>
      <c r="B33" s="36"/>
      <c r="C33" s="36" t="s">
        <v>20</v>
      </c>
      <c r="D33" s="36"/>
      <c r="E33" s="44" t="s">
        <v>21</v>
      </c>
      <c r="F33" s="36" t="s">
        <v>13</v>
      </c>
      <c r="G33" s="37"/>
      <c r="H33" s="37"/>
      <c r="I33" s="37"/>
      <c r="J33" s="110"/>
      <c r="K33" s="234">
        <v>0</v>
      </c>
      <c r="L33" s="43">
        <v>20.6</v>
      </c>
      <c r="M33" s="235">
        <f>L33*$K33</f>
        <v>0</v>
      </c>
      <c r="N33" s="207">
        <v>0</v>
      </c>
      <c r="O33" s="39">
        <v>20.6</v>
      </c>
      <c r="P33" s="269">
        <f t="shared" si="1"/>
        <v>0</v>
      </c>
      <c r="Q33" s="275">
        <f t="shared" si="2"/>
        <v>0</v>
      </c>
      <c r="R33" s="176">
        <f t="shared" si="3"/>
        <v>0</v>
      </c>
      <c r="S33" s="276">
        <f t="shared" si="4"/>
        <v>0</v>
      </c>
    </row>
    <row r="34" spans="1:19" x14ac:dyDescent="0.35">
      <c r="A34" s="149"/>
      <c r="B34" s="36"/>
      <c r="C34" s="36" t="s">
        <v>22</v>
      </c>
      <c r="D34" s="36"/>
      <c r="E34" s="44" t="s">
        <v>23</v>
      </c>
      <c r="F34" s="36" t="s">
        <v>13</v>
      </c>
      <c r="G34" s="37"/>
      <c r="H34" s="37"/>
      <c r="I34" s="37"/>
      <c r="J34" s="110"/>
      <c r="K34" s="234">
        <v>0</v>
      </c>
      <c r="L34" s="43">
        <v>25.75</v>
      </c>
      <c r="M34" s="235">
        <f>L34*$K34</f>
        <v>0</v>
      </c>
      <c r="N34" s="207">
        <v>0</v>
      </c>
      <c r="O34" s="39">
        <v>25.75</v>
      </c>
      <c r="P34" s="269">
        <f t="shared" si="1"/>
        <v>0</v>
      </c>
      <c r="Q34" s="275">
        <f t="shared" si="2"/>
        <v>0</v>
      </c>
      <c r="R34" s="176">
        <f t="shared" si="3"/>
        <v>0</v>
      </c>
      <c r="S34" s="276">
        <f t="shared" si="4"/>
        <v>0</v>
      </c>
    </row>
    <row r="35" spans="1:19" x14ac:dyDescent="0.35">
      <c r="A35" s="149"/>
      <c r="B35" s="36"/>
      <c r="C35" s="36" t="s">
        <v>24</v>
      </c>
      <c r="D35" s="36"/>
      <c r="E35" s="157" t="s">
        <v>25</v>
      </c>
      <c r="F35" s="36" t="s">
        <v>13</v>
      </c>
      <c r="G35" s="37"/>
      <c r="H35" s="37"/>
      <c r="I35" s="37"/>
      <c r="J35" s="110"/>
      <c r="K35" s="234">
        <f>SUM(K36:K65)</f>
        <v>1601.1666666666665</v>
      </c>
      <c r="L35" s="43">
        <v>14.42</v>
      </c>
      <c r="M35" s="235">
        <f>L35*$K35</f>
        <v>23088.82333333333</v>
      </c>
      <c r="N35" s="208">
        <v>0</v>
      </c>
      <c r="O35" s="39">
        <v>14.42</v>
      </c>
      <c r="P35" s="269">
        <f t="shared" si="1"/>
        <v>0</v>
      </c>
      <c r="Q35" s="275">
        <f t="shared" si="2"/>
        <v>1601.1666666666665</v>
      </c>
      <c r="R35" s="176">
        <f t="shared" si="3"/>
        <v>0</v>
      </c>
      <c r="S35" s="276">
        <f t="shared" si="4"/>
        <v>23088.82333333333</v>
      </c>
    </row>
    <row r="36" spans="1:19" x14ac:dyDescent="0.35">
      <c r="A36" s="149"/>
      <c r="B36" s="36"/>
      <c r="C36" s="36"/>
      <c r="D36" s="36">
        <v>1</v>
      </c>
      <c r="E36" s="44" t="s">
        <v>805</v>
      </c>
      <c r="F36" s="36"/>
      <c r="G36" s="37">
        <v>1</v>
      </c>
      <c r="H36" s="37">
        <f>42/12</f>
        <v>3.5</v>
      </c>
      <c r="I36" s="37">
        <f>(40+16+40+16)/12</f>
        <v>9.3333333333333339</v>
      </c>
      <c r="J36" s="110"/>
      <c r="K36" s="234">
        <f>I36*H36*G36</f>
        <v>32.666666666666671</v>
      </c>
      <c r="L36" s="43"/>
      <c r="M36" s="235"/>
      <c r="N36" s="207"/>
      <c r="O36" s="39"/>
      <c r="P36" s="269"/>
      <c r="Q36" s="275"/>
      <c r="R36" s="176"/>
      <c r="S36" s="276"/>
    </row>
    <row r="37" spans="1:19" x14ac:dyDescent="0.35">
      <c r="A37" s="149"/>
      <c r="B37" s="36"/>
      <c r="C37" s="36"/>
      <c r="D37" s="36">
        <v>2</v>
      </c>
      <c r="E37" s="44"/>
      <c r="F37" s="36"/>
      <c r="G37" s="37">
        <v>1</v>
      </c>
      <c r="H37" s="37">
        <f>(40+16+40+16)/12</f>
        <v>9.3333333333333339</v>
      </c>
      <c r="I37" s="37">
        <f>76/12</f>
        <v>6.333333333333333</v>
      </c>
      <c r="J37" s="110"/>
      <c r="K37" s="234">
        <f>I37*H37*G37</f>
        <v>59.111111111111114</v>
      </c>
      <c r="L37" s="43"/>
      <c r="M37" s="235"/>
      <c r="N37" s="207"/>
      <c r="O37" s="39"/>
      <c r="P37" s="269"/>
      <c r="Q37" s="275"/>
      <c r="R37" s="176"/>
      <c r="S37" s="276"/>
    </row>
    <row r="38" spans="1:19" x14ac:dyDescent="0.35">
      <c r="A38" s="149"/>
      <c r="B38" s="36"/>
      <c r="C38" s="36"/>
      <c r="D38" s="36">
        <v>3</v>
      </c>
      <c r="E38" s="44"/>
      <c r="F38" s="36"/>
      <c r="G38" s="37">
        <v>1</v>
      </c>
      <c r="H38" s="37">
        <f>(40+16+40+16)/12</f>
        <v>9.3333333333333339</v>
      </c>
      <c r="I38" s="37">
        <f>80/12</f>
        <v>6.666666666666667</v>
      </c>
      <c r="J38" s="110"/>
      <c r="K38" s="234">
        <f>I38*H38*G38</f>
        <v>62.222222222222229</v>
      </c>
      <c r="L38" s="43"/>
      <c r="M38" s="235"/>
      <c r="N38" s="207"/>
      <c r="O38" s="39"/>
      <c r="P38" s="269"/>
      <c r="Q38" s="275"/>
      <c r="R38" s="176"/>
      <c r="S38" s="276"/>
    </row>
    <row r="39" spans="1:19" x14ac:dyDescent="0.35">
      <c r="A39" s="149"/>
      <c r="B39" s="36"/>
      <c r="C39" s="36"/>
      <c r="D39" s="36">
        <v>4</v>
      </c>
      <c r="E39" s="44"/>
      <c r="F39" s="36"/>
      <c r="G39" s="37">
        <v>1</v>
      </c>
      <c r="H39" s="37">
        <f>(40+16+40+16)/12</f>
        <v>9.3333333333333339</v>
      </c>
      <c r="I39" s="37">
        <f>98/12</f>
        <v>8.1666666666666661</v>
      </c>
      <c r="J39" s="110"/>
      <c r="K39" s="234">
        <f>I39*H39*G39</f>
        <v>76.222222222222229</v>
      </c>
      <c r="L39" s="43"/>
      <c r="M39" s="235"/>
      <c r="N39" s="207"/>
      <c r="O39" s="39"/>
      <c r="P39" s="269"/>
      <c r="Q39" s="275"/>
      <c r="R39" s="176"/>
      <c r="S39" s="276"/>
    </row>
    <row r="40" spans="1:19" x14ac:dyDescent="0.35">
      <c r="A40" s="149"/>
      <c r="B40" s="36"/>
      <c r="C40" s="36"/>
      <c r="D40" s="36">
        <v>5</v>
      </c>
      <c r="E40" s="44"/>
      <c r="F40" s="36"/>
      <c r="G40" s="37">
        <v>2</v>
      </c>
      <c r="H40" s="37">
        <f>(40+16+40+16)/12</f>
        <v>9.3333333333333339</v>
      </c>
      <c r="I40" s="37">
        <f>52/12</f>
        <v>4.333333333333333</v>
      </c>
      <c r="J40" s="110"/>
      <c r="K40" s="234">
        <f t="shared" ref="K40:K65" si="6">I40*H40*G40</f>
        <v>80.888888888888886</v>
      </c>
      <c r="L40" s="43"/>
      <c r="M40" s="235"/>
      <c r="N40" s="207"/>
      <c r="O40" s="39"/>
      <c r="P40" s="269"/>
      <c r="Q40" s="275"/>
      <c r="R40" s="176"/>
      <c r="S40" s="276"/>
    </row>
    <row r="41" spans="1:19" x14ac:dyDescent="0.35">
      <c r="A41" s="149"/>
      <c r="B41" s="36"/>
      <c r="C41" s="36"/>
      <c r="D41" s="36">
        <v>6</v>
      </c>
      <c r="E41" s="44"/>
      <c r="F41" s="36"/>
      <c r="G41" s="37">
        <v>1</v>
      </c>
      <c r="H41" s="37">
        <f>(20+16+16+20)/12</f>
        <v>6</v>
      </c>
      <c r="I41" s="37">
        <f>36/12</f>
        <v>3</v>
      </c>
      <c r="J41" s="110"/>
      <c r="K41" s="234">
        <f t="shared" si="6"/>
        <v>18</v>
      </c>
      <c r="L41" s="43"/>
      <c r="M41" s="235"/>
      <c r="N41" s="207"/>
      <c r="O41" s="39"/>
      <c r="P41" s="269"/>
      <c r="Q41" s="275"/>
      <c r="R41" s="176"/>
      <c r="S41" s="276"/>
    </row>
    <row r="42" spans="1:19" x14ac:dyDescent="0.35">
      <c r="A42" s="149"/>
      <c r="B42" s="36"/>
      <c r="C42" s="36"/>
      <c r="D42" s="36">
        <v>7</v>
      </c>
      <c r="E42" s="44"/>
      <c r="F42" s="36"/>
      <c r="G42" s="37">
        <v>1</v>
      </c>
      <c r="H42" s="37">
        <f>(20+16+20+16)/12</f>
        <v>6</v>
      </c>
      <c r="I42" s="37">
        <f>98/12</f>
        <v>8.1666666666666661</v>
      </c>
      <c r="J42" s="110"/>
      <c r="K42" s="234">
        <f t="shared" si="6"/>
        <v>49</v>
      </c>
      <c r="L42" s="43"/>
      <c r="M42" s="235"/>
      <c r="N42" s="207"/>
      <c r="O42" s="39"/>
      <c r="P42" s="269"/>
      <c r="Q42" s="275"/>
      <c r="R42" s="176"/>
      <c r="S42" s="276"/>
    </row>
    <row r="43" spans="1:19" x14ac:dyDescent="0.35">
      <c r="A43" s="149"/>
      <c r="B43" s="36"/>
      <c r="C43" s="36"/>
      <c r="D43" s="36">
        <v>8</v>
      </c>
      <c r="E43" s="44"/>
      <c r="F43" s="36"/>
      <c r="G43" s="37">
        <v>1</v>
      </c>
      <c r="H43" s="37">
        <f>(20+16+20+16)/12</f>
        <v>6</v>
      </c>
      <c r="I43" s="37">
        <f>42/12</f>
        <v>3.5</v>
      </c>
      <c r="J43" s="110"/>
      <c r="K43" s="234">
        <f t="shared" si="6"/>
        <v>21</v>
      </c>
      <c r="L43" s="43"/>
      <c r="M43" s="235"/>
      <c r="N43" s="207"/>
      <c r="O43" s="39"/>
      <c r="P43" s="269"/>
      <c r="Q43" s="275"/>
      <c r="R43" s="176"/>
      <c r="S43" s="276"/>
    </row>
    <row r="44" spans="1:19" x14ac:dyDescent="0.35">
      <c r="A44" s="149"/>
      <c r="B44" s="36"/>
      <c r="C44" s="36"/>
      <c r="D44" s="36">
        <v>9</v>
      </c>
      <c r="E44" s="44"/>
      <c r="F44" s="36"/>
      <c r="G44" s="37">
        <v>1</v>
      </c>
      <c r="H44" s="37">
        <f>(22+16+22+16)/12</f>
        <v>6.333333333333333</v>
      </c>
      <c r="I44" s="37">
        <f>50/12</f>
        <v>4.166666666666667</v>
      </c>
      <c r="J44" s="110"/>
      <c r="K44" s="234">
        <f t="shared" si="6"/>
        <v>26.388888888888889</v>
      </c>
      <c r="L44" s="43"/>
      <c r="M44" s="235"/>
      <c r="N44" s="207"/>
      <c r="O44" s="39"/>
      <c r="P44" s="269"/>
      <c r="Q44" s="275"/>
      <c r="R44" s="176"/>
      <c r="S44" s="276"/>
    </row>
    <row r="45" spans="1:19" x14ac:dyDescent="0.35">
      <c r="A45" s="149"/>
      <c r="B45" s="36"/>
      <c r="C45" s="36"/>
      <c r="D45" s="36">
        <v>10</v>
      </c>
      <c r="E45" s="44"/>
      <c r="F45" s="36"/>
      <c r="G45" s="37">
        <v>2</v>
      </c>
      <c r="H45" s="37">
        <f>(22+16+22+16)/12</f>
        <v>6.333333333333333</v>
      </c>
      <c r="I45" s="37">
        <f>98/12</f>
        <v>8.1666666666666661</v>
      </c>
      <c r="J45" s="110"/>
      <c r="K45" s="234">
        <f t="shared" si="6"/>
        <v>103.44444444444443</v>
      </c>
      <c r="L45" s="43"/>
      <c r="M45" s="235"/>
      <c r="N45" s="207"/>
      <c r="O45" s="39"/>
      <c r="P45" s="269"/>
      <c r="Q45" s="275"/>
      <c r="R45" s="176"/>
      <c r="S45" s="276"/>
    </row>
    <row r="46" spans="1:19" x14ac:dyDescent="0.35">
      <c r="A46" s="149"/>
      <c r="B46" s="36"/>
      <c r="C46" s="36"/>
      <c r="D46" s="36">
        <v>11</v>
      </c>
      <c r="E46" s="44"/>
      <c r="F46" s="36"/>
      <c r="G46" s="37">
        <v>1</v>
      </c>
      <c r="H46" s="37">
        <f>(20+14+20+14)/12</f>
        <v>5.666666666666667</v>
      </c>
      <c r="I46" s="37">
        <f>40/12</f>
        <v>3.3333333333333335</v>
      </c>
      <c r="J46" s="110"/>
      <c r="K46" s="234">
        <f t="shared" si="6"/>
        <v>18.888888888888889</v>
      </c>
      <c r="L46" s="43"/>
      <c r="M46" s="235"/>
      <c r="N46" s="207"/>
      <c r="O46" s="39"/>
      <c r="P46" s="269"/>
      <c r="Q46" s="275"/>
      <c r="R46" s="176"/>
      <c r="S46" s="276"/>
    </row>
    <row r="47" spans="1:19" x14ac:dyDescent="0.35">
      <c r="A47" s="149"/>
      <c r="B47" s="36"/>
      <c r="C47" s="36"/>
      <c r="D47" s="36">
        <v>12</v>
      </c>
      <c r="E47" s="44"/>
      <c r="F47" s="36"/>
      <c r="G47" s="37">
        <v>1</v>
      </c>
      <c r="H47" s="37">
        <f t="shared" ref="H47:H49" si="7">(20+14+20+14)/12</f>
        <v>5.666666666666667</v>
      </c>
      <c r="I47" s="37">
        <f>32/12</f>
        <v>2.6666666666666665</v>
      </c>
      <c r="J47" s="110"/>
      <c r="K47" s="234">
        <f t="shared" si="6"/>
        <v>15.111111111111111</v>
      </c>
      <c r="L47" s="43"/>
      <c r="M47" s="235"/>
      <c r="N47" s="207"/>
      <c r="O47" s="39"/>
      <c r="P47" s="269"/>
      <c r="Q47" s="275"/>
      <c r="R47" s="176"/>
      <c r="S47" s="276"/>
    </row>
    <row r="48" spans="1:19" x14ac:dyDescent="0.35">
      <c r="A48" s="149"/>
      <c r="B48" s="36"/>
      <c r="C48" s="36"/>
      <c r="D48" s="36">
        <v>13</v>
      </c>
      <c r="E48" s="44"/>
      <c r="F48" s="36"/>
      <c r="G48" s="37">
        <v>1</v>
      </c>
      <c r="H48" s="37">
        <f t="shared" si="7"/>
        <v>5.666666666666667</v>
      </c>
      <c r="I48" s="37">
        <f>38/12</f>
        <v>3.1666666666666665</v>
      </c>
      <c r="J48" s="110"/>
      <c r="K48" s="234">
        <f t="shared" si="6"/>
        <v>17.944444444444443</v>
      </c>
      <c r="L48" s="43"/>
      <c r="M48" s="235"/>
      <c r="N48" s="207"/>
      <c r="O48" s="39"/>
      <c r="P48" s="269"/>
      <c r="Q48" s="275"/>
      <c r="R48" s="176"/>
      <c r="S48" s="276"/>
    </row>
    <row r="49" spans="1:19" x14ac:dyDescent="0.35">
      <c r="A49" s="149"/>
      <c r="B49" s="36"/>
      <c r="C49" s="36"/>
      <c r="D49" s="36">
        <v>14</v>
      </c>
      <c r="E49" s="44"/>
      <c r="F49" s="36"/>
      <c r="G49" s="37">
        <v>1</v>
      </c>
      <c r="H49" s="37">
        <f t="shared" si="7"/>
        <v>5.666666666666667</v>
      </c>
      <c r="I49" s="37">
        <f>30/12</f>
        <v>2.5</v>
      </c>
      <c r="J49" s="110"/>
      <c r="K49" s="234">
        <f t="shared" si="6"/>
        <v>14.166666666666668</v>
      </c>
      <c r="L49" s="43"/>
      <c r="M49" s="235"/>
      <c r="N49" s="207"/>
      <c r="O49" s="39"/>
      <c r="P49" s="269"/>
      <c r="Q49" s="275"/>
      <c r="R49" s="176"/>
      <c r="S49" s="276"/>
    </row>
    <row r="50" spans="1:19" x14ac:dyDescent="0.35">
      <c r="A50" s="149"/>
      <c r="B50" s="36"/>
      <c r="C50" s="36"/>
      <c r="D50" s="36">
        <v>15</v>
      </c>
      <c r="E50" s="44"/>
      <c r="F50" s="36"/>
      <c r="G50" s="37">
        <v>1</v>
      </c>
      <c r="H50" s="37">
        <f>(28+20+28+20)/12</f>
        <v>8</v>
      </c>
      <c r="I50" s="37">
        <f>50/12</f>
        <v>4.166666666666667</v>
      </c>
      <c r="J50" s="110"/>
      <c r="K50" s="234">
        <f t="shared" si="6"/>
        <v>33.333333333333336</v>
      </c>
      <c r="L50" s="43"/>
      <c r="M50" s="235"/>
      <c r="N50" s="207"/>
      <c r="O50" s="39"/>
      <c r="P50" s="269"/>
      <c r="Q50" s="275"/>
      <c r="R50" s="176"/>
      <c r="S50" s="276"/>
    </row>
    <row r="51" spans="1:19" x14ac:dyDescent="0.35">
      <c r="A51" s="149"/>
      <c r="B51" s="36"/>
      <c r="C51" s="36"/>
      <c r="D51" s="36">
        <v>16</v>
      </c>
      <c r="E51" s="44"/>
      <c r="F51" s="36"/>
      <c r="G51" s="37">
        <v>3</v>
      </c>
      <c r="H51" s="37">
        <f>(20+16+20+16)/12</f>
        <v>6</v>
      </c>
      <c r="I51" s="37">
        <f>98/12</f>
        <v>8.1666666666666661</v>
      </c>
      <c r="J51" s="110"/>
      <c r="K51" s="234">
        <f t="shared" si="6"/>
        <v>147</v>
      </c>
      <c r="L51" s="43"/>
      <c r="M51" s="235"/>
      <c r="N51" s="207"/>
      <c r="O51" s="39"/>
      <c r="P51" s="269"/>
      <c r="Q51" s="275"/>
      <c r="R51" s="176"/>
      <c r="S51" s="276"/>
    </row>
    <row r="52" spans="1:19" x14ac:dyDescent="0.35">
      <c r="A52" s="149"/>
      <c r="B52" s="36"/>
      <c r="C52" s="36"/>
      <c r="D52" s="36">
        <v>17</v>
      </c>
      <c r="E52" s="44"/>
      <c r="F52" s="36"/>
      <c r="G52" s="37">
        <v>2</v>
      </c>
      <c r="H52" s="37">
        <f>(20+16+20+16)/12</f>
        <v>6</v>
      </c>
      <c r="I52" s="37">
        <f>36/12</f>
        <v>3</v>
      </c>
      <c r="J52" s="110"/>
      <c r="K52" s="234">
        <f t="shared" si="6"/>
        <v>36</v>
      </c>
      <c r="L52" s="43"/>
      <c r="M52" s="235"/>
      <c r="N52" s="207"/>
      <c r="O52" s="39"/>
      <c r="P52" s="269"/>
      <c r="Q52" s="275"/>
      <c r="R52" s="176"/>
      <c r="S52" s="276"/>
    </row>
    <row r="53" spans="1:19" x14ac:dyDescent="0.35">
      <c r="A53" s="149"/>
      <c r="B53" s="36"/>
      <c r="C53" s="36"/>
      <c r="D53" s="36">
        <v>18</v>
      </c>
      <c r="E53" s="44"/>
      <c r="F53" s="36"/>
      <c r="G53" s="37">
        <v>1</v>
      </c>
      <c r="H53" s="37">
        <f>(20+16+20+16)/12</f>
        <v>6</v>
      </c>
      <c r="I53" s="37">
        <f>98/12</f>
        <v>8.1666666666666661</v>
      </c>
      <c r="J53" s="110"/>
      <c r="K53" s="234">
        <f t="shared" si="6"/>
        <v>49</v>
      </c>
      <c r="L53" s="43"/>
      <c r="M53" s="235"/>
      <c r="N53" s="207"/>
      <c r="O53" s="39"/>
      <c r="P53" s="269"/>
      <c r="Q53" s="275"/>
      <c r="R53" s="176"/>
      <c r="S53" s="276"/>
    </row>
    <row r="54" spans="1:19" x14ac:dyDescent="0.35">
      <c r="A54" s="149"/>
      <c r="B54" s="36"/>
      <c r="C54" s="36"/>
      <c r="D54" s="36">
        <v>19</v>
      </c>
      <c r="E54" s="44"/>
      <c r="F54" s="36"/>
      <c r="G54" s="37">
        <v>1</v>
      </c>
      <c r="H54" s="37">
        <f>(16+16+16+16)/12</f>
        <v>5.333333333333333</v>
      </c>
      <c r="I54" s="37">
        <f>48/12</f>
        <v>4</v>
      </c>
      <c r="J54" s="110"/>
      <c r="K54" s="234">
        <f t="shared" si="6"/>
        <v>21.333333333333332</v>
      </c>
      <c r="L54" s="43"/>
      <c r="M54" s="235"/>
      <c r="N54" s="207"/>
      <c r="O54" s="39"/>
      <c r="P54" s="269"/>
      <c r="Q54" s="275"/>
      <c r="R54" s="176"/>
      <c r="S54" s="276"/>
    </row>
    <row r="55" spans="1:19" x14ac:dyDescent="0.35">
      <c r="A55" s="149"/>
      <c r="B55" s="36"/>
      <c r="C55" s="36"/>
      <c r="D55" s="36">
        <v>20</v>
      </c>
      <c r="E55" s="44"/>
      <c r="F55" s="36"/>
      <c r="G55" s="37">
        <v>1</v>
      </c>
      <c r="H55" s="37">
        <f>(22+16+22+16)/12</f>
        <v>6.333333333333333</v>
      </c>
      <c r="I55" s="37">
        <f>36/12</f>
        <v>3</v>
      </c>
      <c r="J55" s="110"/>
      <c r="K55" s="234">
        <f t="shared" si="6"/>
        <v>19</v>
      </c>
      <c r="L55" s="43"/>
      <c r="M55" s="235"/>
      <c r="N55" s="207"/>
      <c r="O55" s="39"/>
      <c r="P55" s="269"/>
      <c r="Q55" s="275"/>
      <c r="R55" s="176"/>
      <c r="S55" s="276"/>
    </row>
    <row r="56" spans="1:19" x14ac:dyDescent="0.35">
      <c r="A56" s="149"/>
      <c r="B56" s="36"/>
      <c r="C56" s="36"/>
      <c r="D56" s="36">
        <v>21</v>
      </c>
      <c r="E56" s="44"/>
      <c r="F56" s="36"/>
      <c r="G56" s="37">
        <v>3</v>
      </c>
      <c r="H56" s="37">
        <f>(26+16+26+16)/12</f>
        <v>7</v>
      </c>
      <c r="I56" s="37">
        <f>98/12</f>
        <v>8.1666666666666661</v>
      </c>
      <c r="J56" s="110"/>
      <c r="K56" s="234">
        <f t="shared" si="6"/>
        <v>171.5</v>
      </c>
      <c r="L56" s="43"/>
      <c r="M56" s="235"/>
      <c r="N56" s="207"/>
      <c r="O56" s="39"/>
      <c r="P56" s="269"/>
      <c r="Q56" s="275"/>
      <c r="R56" s="176"/>
      <c r="S56" s="276"/>
    </row>
    <row r="57" spans="1:19" x14ac:dyDescent="0.35">
      <c r="A57" s="149"/>
      <c r="B57" s="36"/>
      <c r="C57" s="36"/>
      <c r="D57" s="36">
        <v>22</v>
      </c>
      <c r="E57" s="44"/>
      <c r="F57" s="36"/>
      <c r="G57" s="37">
        <v>1</v>
      </c>
      <c r="H57" s="37">
        <f>(16+16+16+16)/12</f>
        <v>5.333333333333333</v>
      </c>
      <c r="I57" s="37">
        <f>44/12</f>
        <v>3.6666666666666665</v>
      </c>
      <c r="J57" s="110"/>
      <c r="K57" s="234">
        <f t="shared" si="6"/>
        <v>19.555555555555554</v>
      </c>
      <c r="L57" s="43"/>
      <c r="M57" s="235"/>
      <c r="N57" s="207"/>
      <c r="O57" s="39"/>
      <c r="P57" s="269"/>
      <c r="Q57" s="275"/>
      <c r="R57" s="176"/>
      <c r="S57" s="276"/>
    </row>
    <row r="58" spans="1:19" x14ac:dyDescent="0.35">
      <c r="A58" s="149"/>
      <c r="B58" s="36"/>
      <c r="C58" s="36"/>
      <c r="D58" s="36">
        <v>23</v>
      </c>
      <c r="E58" s="44"/>
      <c r="F58" s="36"/>
      <c r="G58" s="37">
        <v>1</v>
      </c>
      <c r="H58" s="37">
        <f>(22+16+22+16)/12</f>
        <v>6.333333333333333</v>
      </c>
      <c r="I58" s="37">
        <f>98/12</f>
        <v>8.1666666666666661</v>
      </c>
      <c r="J58" s="110"/>
      <c r="K58" s="234">
        <f t="shared" si="6"/>
        <v>51.722222222222214</v>
      </c>
      <c r="L58" s="43"/>
      <c r="M58" s="235"/>
      <c r="N58" s="207"/>
      <c r="O58" s="39"/>
      <c r="P58" s="269"/>
      <c r="Q58" s="275"/>
      <c r="R58" s="176"/>
      <c r="S58" s="276"/>
    </row>
    <row r="59" spans="1:19" x14ac:dyDescent="0.35">
      <c r="A59" s="149"/>
      <c r="B59" s="36"/>
      <c r="C59" s="36"/>
      <c r="D59" s="36">
        <v>24</v>
      </c>
      <c r="E59" s="44"/>
      <c r="F59" s="36"/>
      <c r="G59" s="37">
        <v>2</v>
      </c>
      <c r="H59" s="37">
        <f>(22+16+22+16)/12</f>
        <v>6.333333333333333</v>
      </c>
      <c r="I59" s="37">
        <f>98/12</f>
        <v>8.1666666666666661</v>
      </c>
      <c r="J59" s="110"/>
      <c r="K59" s="234">
        <f t="shared" si="6"/>
        <v>103.44444444444443</v>
      </c>
      <c r="L59" s="43"/>
      <c r="M59" s="235"/>
      <c r="N59" s="207"/>
      <c r="O59" s="39"/>
      <c r="P59" s="269"/>
      <c r="Q59" s="275"/>
      <c r="R59" s="176"/>
      <c r="S59" s="276"/>
    </row>
    <row r="60" spans="1:19" x14ac:dyDescent="0.35">
      <c r="A60" s="149"/>
      <c r="B60" s="36"/>
      <c r="C60" s="36"/>
      <c r="D60" s="36">
        <v>25</v>
      </c>
      <c r="E60" s="44"/>
      <c r="F60" s="36"/>
      <c r="G60" s="37">
        <v>1</v>
      </c>
      <c r="H60" s="37">
        <f>(22+16+22+16)/12</f>
        <v>6.333333333333333</v>
      </c>
      <c r="I60" s="37">
        <f>48/12</f>
        <v>4</v>
      </c>
      <c r="J60" s="110"/>
      <c r="K60" s="234">
        <f t="shared" si="6"/>
        <v>25.333333333333332</v>
      </c>
      <c r="L60" s="43"/>
      <c r="M60" s="235"/>
      <c r="N60" s="207"/>
      <c r="O60" s="39"/>
      <c r="P60" s="269"/>
      <c r="Q60" s="275"/>
      <c r="R60" s="176"/>
      <c r="S60" s="276"/>
    </row>
    <row r="61" spans="1:19" x14ac:dyDescent="0.35">
      <c r="A61" s="149"/>
      <c r="B61" s="36"/>
      <c r="C61" s="36"/>
      <c r="D61" s="36">
        <v>26</v>
      </c>
      <c r="E61" s="44"/>
      <c r="F61" s="36"/>
      <c r="G61" s="37">
        <v>1</v>
      </c>
      <c r="H61" s="37">
        <f>(40+16+40+16)/12</f>
        <v>9.3333333333333339</v>
      </c>
      <c r="I61" s="37">
        <f>44/12</f>
        <v>3.6666666666666665</v>
      </c>
      <c r="J61" s="110"/>
      <c r="K61" s="234">
        <f t="shared" si="6"/>
        <v>34.222222222222221</v>
      </c>
      <c r="L61" s="43"/>
      <c r="M61" s="235"/>
      <c r="N61" s="207"/>
      <c r="O61" s="39"/>
      <c r="P61" s="269"/>
      <c r="Q61" s="275"/>
      <c r="R61" s="176"/>
      <c r="S61" s="276"/>
    </row>
    <row r="62" spans="1:19" x14ac:dyDescent="0.35">
      <c r="A62" s="149"/>
      <c r="B62" s="36"/>
      <c r="C62" s="36"/>
      <c r="D62" s="36">
        <v>27</v>
      </c>
      <c r="E62" s="44"/>
      <c r="F62" s="36"/>
      <c r="G62" s="37">
        <v>4</v>
      </c>
      <c r="H62" s="37">
        <f>(22+16+22+16)/12</f>
        <v>6.333333333333333</v>
      </c>
      <c r="I62" s="37">
        <f>98/12</f>
        <v>8.1666666666666661</v>
      </c>
      <c r="J62" s="110"/>
      <c r="K62" s="234">
        <f t="shared" si="6"/>
        <v>206.88888888888886</v>
      </c>
      <c r="L62" s="43"/>
      <c r="M62" s="235"/>
      <c r="N62" s="207"/>
      <c r="O62" s="39"/>
      <c r="P62" s="269"/>
      <c r="Q62" s="275"/>
      <c r="R62" s="176"/>
      <c r="S62" s="276"/>
    </row>
    <row r="63" spans="1:19" x14ac:dyDescent="0.35">
      <c r="A63" s="149"/>
      <c r="B63" s="36"/>
      <c r="C63" s="36"/>
      <c r="D63" s="36">
        <v>28</v>
      </c>
      <c r="E63" s="44"/>
      <c r="F63" s="36"/>
      <c r="G63" s="37">
        <v>2</v>
      </c>
      <c r="H63" s="37">
        <f>(22+16+22+16)/12</f>
        <v>6.333333333333333</v>
      </c>
      <c r="I63" s="37">
        <v>1</v>
      </c>
      <c r="J63" s="110"/>
      <c r="K63" s="234">
        <f t="shared" si="6"/>
        <v>12.666666666666666</v>
      </c>
      <c r="L63" s="43"/>
      <c r="M63" s="235"/>
      <c r="N63" s="207"/>
      <c r="O63" s="39"/>
      <c r="P63" s="269"/>
      <c r="Q63" s="275"/>
      <c r="R63" s="176"/>
      <c r="S63" s="276"/>
    </row>
    <row r="64" spans="1:19" x14ac:dyDescent="0.35">
      <c r="A64" s="149"/>
      <c r="B64" s="36"/>
      <c r="C64" s="36"/>
      <c r="D64" s="36">
        <v>29</v>
      </c>
      <c r="E64" s="44"/>
      <c r="F64" s="36"/>
      <c r="G64" s="37">
        <v>2</v>
      </c>
      <c r="H64" s="37">
        <f>(14+12+14+12)/12</f>
        <v>4.333333333333333</v>
      </c>
      <c r="I64" s="37">
        <f>98/12</f>
        <v>8.1666666666666661</v>
      </c>
      <c r="J64" s="110"/>
      <c r="K64" s="234">
        <f t="shared" si="6"/>
        <v>70.777777777777771</v>
      </c>
      <c r="L64" s="43"/>
      <c r="M64" s="235"/>
      <c r="N64" s="207"/>
      <c r="O64" s="39"/>
      <c r="P64" s="269"/>
      <c r="Q64" s="275"/>
      <c r="R64" s="176"/>
      <c r="S64" s="276"/>
    </row>
    <row r="65" spans="1:19" x14ac:dyDescent="0.35">
      <c r="A65" s="149"/>
      <c r="B65" s="36"/>
      <c r="C65" s="36"/>
      <c r="D65" s="36">
        <v>30</v>
      </c>
      <c r="E65" s="44"/>
      <c r="F65" s="36"/>
      <c r="G65" s="37">
        <v>1</v>
      </c>
      <c r="H65" s="37">
        <f>(14+12+14+12)/12</f>
        <v>4.333333333333333</v>
      </c>
      <c r="I65" s="37">
        <v>1</v>
      </c>
      <c r="J65" s="110"/>
      <c r="K65" s="234">
        <f t="shared" si="6"/>
        <v>4.333333333333333</v>
      </c>
      <c r="L65" s="43"/>
      <c r="M65" s="235"/>
      <c r="N65" s="207"/>
      <c r="O65" s="39"/>
      <c r="P65" s="269"/>
      <c r="Q65" s="275"/>
      <c r="R65" s="176"/>
      <c r="S65" s="276"/>
    </row>
    <row r="66" spans="1:19" x14ac:dyDescent="0.35">
      <c r="A66" s="149"/>
      <c r="B66" s="36"/>
      <c r="C66" s="36"/>
      <c r="D66" s="36"/>
      <c r="E66" s="44"/>
      <c r="F66" s="36"/>
      <c r="G66" s="37"/>
      <c r="H66" s="37"/>
      <c r="I66" s="37"/>
      <c r="J66" s="110"/>
      <c r="K66" s="234"/>
      <c r="L66" s="43"/>
      <c r="M66" s="235"/>
      <c r="N66" s="207"/>
      <c r="O66" s="39"/>
      <c r="P66" s="269"/>
      <c r="Q66" s="275"/>
      <c r="R66" s="176"/>
      <c r="S66" s="276"/>
    </row>
    <row r="67" spans="1:19" x14ac:dyDescent="0.35">
      <c r="A67" s="149"/>
      <c r="B67" s="36"/>
      <c r="C67" s="36"/>
      <c r="D67" s="36"/>
      <c r="E67" s="44"/>
      <c r="F67" s="36"/>
      <c r="G67" s="37"/>
      <c r="H67" s="37"/>
      <c r="I67" s="37"/>
      <c r="J67" s="110"/>
      <c r="K67" s="234"/>
      <c r="L67" s="43"/>
      <c r="M67" s="235"/>
      <c r="N67" s="207"/>
      <c r="O67" s="39"/>
      <c r="P67" s="269"/>
      <c r="Q67" s="275"/>
      <c r="R67" s="176"/>
      <c r="S67" s="276"/>
    </row>
    <row r="68" spans="1:19" ht="23" x14ac:dyDescent="0.35">
      <c r="A68" s="149"/>
      <c r="B68" s="36"/>
      <c r="C68" s="34" t="s">
        <v>26</v>
      </c>
      <c r="D68" s="36" t="s">
        <v>27</v>
      </c>
      <c r="E68" s="44" t="s">
        <v>28</v>
      </c>
      <c r="F68" s="36"/>
      <c r="G68" s="37"/>
      <c r="H68" s="37"/>
      <c r="I68" s="37"/>
      <c r="J68" s="110"/>
      <c r="K68" s="234"/>
      <c r="L68" s="43"/>
      <c r="M68" s="235"/>
      <c r="N68" s="207"/>
      <c r="O68" s="39"/>
      <c r="P68" s="269"/>
      <c r="Q68" s="275"/>
      <c r="R68" s="176"/>
      <c r="S68" s="276"/>
    </row>
    <row r="69" spans="1:19" x14ac:dyDescent="0.35">
      <c r="A69" s="149"/>
      <c r="B69" s="36"/>
      <c r="C69" s="36" t="s">
        <v>29</v>
      </c>
      <c r="D69" s="36"/>
      <c r="E69" s="44" t="s">
        <v>30</v>
      </c>
      <c r="F69" s="36" t="s">
        <v>32</v>
      </c>
      <c r="G69" s="37"/>
      <c r="H69" s="37"/>
      <c r="I69" s="37"/>
      <c r="J69" s="110"/>
      <c r="K69" s="234"/>
      <c r="L69" s="43">
        <v>1261.75</v>
      </c>
      <c r="M69" s="235">
        <f>L69*$K69</f>
        <v>0</v>
      </c>
      <c r="N69" s="207">
        <v>1.43</v>
      </c>
      <c r="O69" s="39">
        <v>1261.75</v>
      </c>
      <c r="P69" s="269">
        <f t="shared" si="1"/>
        <v>1804.3025</v>
      </c>
      <c r="Q69" s="275">
        <f t="shared" si="2"/>
        <v>-1.43</v>
      </c>
      <c r="R69" s="176">
        <f t="shared" si="3"/>
        <v>0</v>
      </c>
      <c r="S69" s="276">
        <f t="shared" si="4"/>
        <v>-1804.3025</v>
      </c>
    </row>
    <row r="70" spans="1:19" x14ac:dyDescent="0.35">
      <c r="A70" s="149"/>
      <c r="B70" s="36"/>
      <c r="C70" s="36" t="s">
        <v>33</v>
      </c>
      <c r="D70" s="36"/>
      <c r="E70" s="44" t="s">
        <v>34</v>
      </c>
      <c r="F70" s="36" t="s">
        <v>32</v>
      </c>
      <c r="G70" s="37"/>
      <c r="H70" s="37"/>
      <c r="I70" s="37"/>
      <c r="J70" s="110"/>
      <c r="K70" s="234">
        <v>0</v>
      </c>
      <c r="L70" s="43">
        <v>1467.75</v>
      </c>
      <c r="M70" s="235">
        <f>L70*$K70</f>
        <v>0</v>
      </c>
      <c r="N70" s="207">
        <v>0</v>
      </c>
      <c r="O70" s="39">
        <v>1468</v>
      </c>
      <c r="P70" s="269">
        <f t="shared" si="1"/>
        <v>0</v>
      </c>
      <c r="Q70" s="275">
        <f t="shared" si="2"/>
        <v>0</v>
      </c>
      <c r="R70" s="176">
        <f t="shared" si="3"/>
        <v>-0.25</v>
      </c>
      <c r="S70" s="276">
        <f t="shared" si="4"/>
        <v>0</v>
      </c>
    </row>
    <row r="71" spans="1:19" x14ac:dyDescent="0.35">
      <c r="A71" s="149"/>
      <c r="B71" s="36"/>
      <c r="C71" s="36" t="s">
        <v>36</v>
      </c>
      <c r="D71" s="36"/>
      <c r="E71" s="44" t="s">
        <v>31</v>
      </c>
      <c r="F71" s="36" t="s">
        <v>32</v>
      </c>
      <c r="G71" s="37"/>
      <c r="H71" s="37"/>
      <c r="I71" s="37"/>
      <c r="J71" s="110"/>
      <c r="K71" s="234">
        <v>0</v>
      </c>
      <c r="L71" s="43">
        <v>1650.06</v>
      </c>
      <c r="M71" s="235">
        <f>L71*$K71</f>
        <v>0</v>
      </c>
      <c r="N71" s="207">
        <v>0.48</v>
      </c>
      <c r="O71" s="39">
        <v>1650.06</v>
      </c>
      <c r="P71" s="269">
        <f t="shared" ref="P71:P73" si="8">O71*N71</f>
        <v>792.02879999999993</v>
      </c>
      <c r="Q71" s="275">
        <f t="shared" ref="Q71:Q126" si="9">K71-N71</f>
        <v>-0.48</v>
      </c>
      <c r="R71" s="176">
        <f t="shared" ref="R71:R126" si="10">L71-O71</f>
        <v>0</v>
      </c>
      <c r="S71" s="276">
        <f t="shared" ref="S71:S126" si="11">M71-P71</f>
        <v>-792.02879999999993</v>
      </c>
    </row>
    <row r="72" spans="1:19" x14ac:dyDescent="0.35">
      <c r="A72" s="149"/>
      <c r="B72" s="36"/>
      <c r="C72" s="36" t="s">
        <v>37</v>
      </c>
      <c r="D72" s="36"/>
      <c r="E72" s="44" t="s">
        <v>35</v>
      </c>
      <c r="F72" s="36" t="s">
        <v>32</v>
      </c>
      <c r="G72" s="37"/>
      <c r="H72" s="37"/>
      <c r="I72" s="37"/>
      <c r="J72" s="110"/>
      <c r="K72" s="234">
        <v>0</v>
      </c>
      <c r="L72" s="43">
        <v>1931.25</v>
      </c>
      <c r="M72" s="235">
        <f>L72*$K72</f>
        <v>0</v>
      </c>
      <c r="N72" s="207">
        <v>0</v>
      </c>
      <c r="O72" s="39">
        <v>1931.25</v>
      </c>
      <c r="P72" s="269">
        <f t="shared" si="8"/>
        <v>0</v>
      </c>
      <c r="Q72" s="275">
        <f t="shared" si="9"/>
        <v>0</v>
      </c>
      <c r="R72" s="176">
        <f t="shared" si="10"/>
        <v>0</v>
      </c>
      <c r="S72" s="276">
        <f t="shared" si="11"/>
        <v>0</v>
      </c>
    </row>
    <row r="73" spans="1:19" ht="34.5" x14ac:dyDescent="0.35">
      <c r="A73" s="149"/>
      <c r="B73" s="36"/>
      <c r="C73" s="34" t="s">
        <v>38</v>
      </c>
      <c r="D73" s="36" t="s">
        <v>39</v>
      </c>
      <c r="E73" s="44" t="s">
        <v>40</v>
      </c>
      <c r="F73" s="36" t="s">
        <v>32</v>
      </c>
      <c r="G73" s="37"/>
      <c r="H73" s="37"/>
      <c r="I73" s="37"/>
      <c r="J73" s="110"/>
      <c r="K73" s="234">
        <v>1.43</v>
      </c>
      <c r="L73" s="43">
        <v>1161.8399999999999</v>
      </c>
      <c r="M73" s="235">
        <f>L73*$K73</f>
        <v>1661.4311999999998</v>
      </c>
      <c r="N73" s="207">
        <v>1.43</v>
      </c>
      <c r="O73" s="39">
        <v>1161.8399999999999</v>
      </c>
      <c r="P73" s="269">
        <f t="shared" si="8"/>
        <v>1661.4311999999998</v>
      </c>
      <c r="Q73" s="275">
        <f t="shared" si="9"/>
        <v>0</v>
      </c>
      <c r="R73" s="176">
        <f t="shared" si="10"/>
        <v>0</v>
      </c>
      <c r="S73" s="276">
        <f t="shared" si="11"/>
        <v>0</v>
      </c>
    </row>
    <row r="74" spans="1:19" x14ac:dyDescent="0.35">
      <c r="A74" s="46" t="s">
        <v>41</v>
      </c>
      <c r="B74" s="36"/>
      <c r="C74" s="34"/>
      <c r="D74" s="34"/>
      <c r="E74" s="47"/>
      <c r="F74" s="36"/>
      <c r="G74" s="37"/>
      <c r="H74" s="37"/>
      <c r="I74" s="37"/>
      <c r="J74" s="110"/>
      <c r="K74" s="234"/>
      <c r="L74" s="43"/>
      <c r="M74" s="210">
        <f>SUM(M6:M73)</f>
        <v>59073.451087333327</v>
      </c>
      <c r="N74" s="207"/>
      <c r="O74" s="39"/>
      <c r="P74" s="270">
        <f>SUM(P6:P73)</f>
        <v>9634.3624999999993</v>
      </c>
      <c r="Q74" s="277">
        <f t="shared" si="9"/>
        <v>0</v>
      </c>
      <c r="R74" s="266">
        <f t="shared" si="10"/>
        <v>0</v>
      </c>
      <c r="S74" s="278">
        <f t="shared" si="11"/>
        <v>49439.088587333332</v>
      </c>
    </row>
    <row r="75" spans="1:19" x14ac:dyDescent="0.35">
      <c r="A75" s="148"/>
      <c r="B75" s="34" t="s">
        <v>42</v>
      </c>
      <c r="C75" s="34"/>
      <c r="D75" s="34"/>
      <c r="E75" s="35" t="s">
        <v>43</v>
      </c>
      <c r="F75" s="36"/>
      <c r="G75" s="37"/>
      <c r="H75" s="37"/>
      <c r="I75" s="37"/>
      <c r="J75" s="110"/>
      <c r="K75" s="234"/>
      <c r="L75" s="43"/>
      <c r="M75" s="235"/>
      <c r="N75" s="207"/>
      <c r="O75" s="39"/>
      <c r="P75" s="230"/>
      <c r="Q75" s="275"/>
      <c r="R75" s="176"/>
      <c r="S75" s="276"/>
    </row>
    <row r="76" spans="1:19" ht="34.5" x14ac:dyDescent="0.35">
      <c r="A76" s="148"/>
      <c r="B76" s="39"/>
      <c r="C76" s="34" t="s">
        <v>8</v>
      </c>
      <c r="D76" s="36" t="s">
        <v>44</v>
      </c>
      <c r="E76" s="48" t="s">
        <v>45</v>
      </c>
      <c r="F76" s="36" t="s">
        <v>46</v>
      </c>
      <c r="G76" s="37"/>
      <c r="H76" s="37"/>
      <c r="I76" s="37"/>
      <c r="J76" s="110"/>
      <c r="K76" s="234">
        <f>SUM(K77:K79)</f>
        <v>201.87029999999999</v>
      </c>
      <c r="L76" s="43">
        <v>221.61</v>
      </c>
      <c r="M76" s="235">
        <f>L76*$K76</f>
        <v>44736.477183000003</v>
      </c>
      <c r="N76" s="207">
        <v>294.62</v>
      </c>
      <c r="O76" s="39">
        <v>221.61</v>
      </c>
      <c r="P76" s="230">
        <f>O76*N76</f>
        <v>65290.738200000007</v>
      </c>
      <c r="Q76" s="275">
        <f t="shared" si="9"/>
        <v>-92.749700000000018</v>
      </c>
      <c r="R76" s="176">
        <f t="shared" si="10"/>
        <v>0</v>
      </c>
      <c r="S76" s="276">
        <f t="shared" si="11"/>
        <v>-20554.261017000004</v>
      </c>
    </row>
    <row r="77" spans="1:19" x14ac:dyDescent="0.35">
      <c r="A77" s="149"/>
      <c r="B77" s="36"/>
      <c r="C77" s="36"/>
      <c r="D77" s="36"/>
      <c r="E77" s="44" t="s">
        <v>788</v>
      </c>
      <c r="F77" s="36"/>
      <c r="G77" s="37">
        <v>1</v>
      </c>
      <c r="H77" s="37">
        <v>24.22</v>
      </c>
      <c r="I77" s="37">
        <v>11.35</v>
      </c>
      <c r="J77" s="110">
        <v>0.5</v>
      </c>
      <c r="K77" s="234">
        <f>I77*H77*G77*J77</f>
        <v>137.4485</v>
      </c>
      <c r="L77" s="43"/>
      <c r="M77" s="235"/>
      <c r="N77" s="207"/>
      <c r="O77" s="39"/>
      <c r="P77" s="230"/>
      <c r="Q77" s="275"/>
      <c r="R77" s="176"/>
      <c r="S77" s="276"/>
    </row>
    <row r="78" spans="1:19" x14ac:dyDescent="0.35">
      <c r="A78" s="149"/>
      <c r="B78" s="36"/>
      <c r="C78" s="36"/>
      <c r="D78" s="36"/>
      <c r="E78" s="44" t="s">
        <v>1085</v>
      </c>
      <c r="F78" s="36"/>
      <c r="G78" s="37">
        <v>1</v>
      </c>
      <c r="H78" s="37">
        <v>3.72</v>
      </c>
      <c r="I78" s="37">
        <v>13.13</v>
      </c>
      <c r="J78" s="110">
        <v>0.5</v>
      </c>
      <c r="K78" s="234">
        <f t="shared" ref="K78:K79" si="12">I78*H78*G78*J78</f>
        <v>24.421800000000001</v>
      </c>
      <c r="L78" s="43"/>
      <c r="M78" s="235"/>
      <c r="N78" s="207"/>
      <c r="O78" s="39"/>
      <c r="P78" s="230"/>
      <c r="Q78" s="275"/>
      <c r="R78" s="176"/>
      <c r="S78" s="276"/>
    </row>
    <row r="79" spans="1:19" x14ac:dyDescent="0.35">
      <c r="A79" s="148"/>
      <c r="B79" s="39"/>
      <c r="C79" s="34"/>
      <c r="D79" s="36"/>
      <c r="E79" s="48" t="s">
        <v>1086</v>
      </c>
      <c r="F79" s="36"/>
      <c r="G79" s="37">
        <v>1</v>
      </c>
      <c r="H79" s="37">
        <v>8</v>
      </c>
      <c r="I79" s="37">
        <v>10</v>
      </c>
      <c r="J79" s="110">
        <v>0.5</v>
      </c>
      <c r="K79" s="234">
        <f t="shared" si="12"/>
        <v>40</v>
      </c>
      <c r="L79" s="43"/>
      <c r="M79" s="235"/>
      <c r="N79" s="207"/>
      <c r="O79" s="39"/>
      <c r="P79" s="230"/>
      <c r="Q79" s="275"/>
      <c r="R79" s="176"/>
      <c r="S79" s="276"/>
    </row>
    <row r="80" spans="1:19" ht="34.5" x14ac:dyDescent="0.35">
      <c r="A80" s="148"/>
      <c r="B80" s="39"/>
      <c r="C80" s="34" t="s">
        <v>26</v>
      </c>
      <c r="D80" s="36" t="s">
        <v>47</v>
      </c>
      <c r="E80" s="48" t="s">
        <v>48</v>
      </c>
      <c r="F80" s="36"/>
      <c r="G80" s="37"/>
      <c r="H80" s="37"/>
      <c r="I80" s="37"/>
      <c r="J80" s="110"/>
      <c r="K80" s="234"/>
      <c r="L80" s="43"/>
      <c r="M80" s="235"/>
      <c r="N80" s="207"/>
      <c r="O80" s="39"/>
      <c r="P80" s="230"/>
      <c r="Q80" s="275"/>
      <c r="R80" s="176"/>
      <c r="S80" s="276"/>
    </row>
    <row r="81" spans="1:19" ht="23" x14ac:dyDescent="0.35">
      <c r="A81" s="148"/>
      <c r="B81" s="39"/>
      <c r="C81" s="36" t="s">
        <v>29</v>
      </c>
      <c r="D81" s="36"/>
      <c r="E81" s="48" t="s">
        <v>49</v>
      </c>
      <c r="F81" s="36" t="s">
        <v>46</v>
      </c>
      <c r="G81" s="37">
        <v>0</v>
      </c>
      <c r="H81" s="37">
        <v>4.5</v>
      </c>
      <c r="I81" s="37">
        <v>0.35</v>
      </c>
      <c r="J81" s="110">
        <v>0.28000000000000003</v>
      </c>
      <c r="K81" s="234">
        <f>J81*I81*H81*G81</f>
        <v>0</v>
      </c>
      <c r="L81" s="43">
        <v>487.13</v>
      </c>
      <c r="M81" s="235">
        <f>L81*$K81</f>
        <v>0</v>
      </c>
      <c r="N81" s="207">
        <v>24.95</v>
      </c>
      <c r="O81" s="39">
        <v>487.13</v>
      </c>
      <c r="P81" s="230">
        <f>O81*N81</f>
        <v>12153.8935</v>
      </c>
      <c r="Q81" s="275">
        <f t="shared" si="9"/>
        <v>-24.95</v>
      </c>
      <c r="R81" s="176">
        <f t="shared" si="10"/>
        <v>0</v>
      </c>
      <c r="S81" s="276">
        <f t="shared" si="11"/>
        <v>-12153.8935</v>
      </c>
    </row>
    <row r="82" spans="1:19" x14ac:dyDescent="0.35">
      <c r="A82" s="46" t="s">
        <v>509</v>
      </c>
      <c r="B82" s="36"/>
      <c r="C82" s="34"/>
      <c r="D82" s="34"/>
      <c r="E82" s="47"/>
      <c r="F82" s="36"/>
      <c r="G82" s="37"/>
      <c r="H82" s="37"/>
      <c r="I82" s="37"/>
      <c r="J82" s="110"/>
      <c r="K82" s="234"/>
      <c r="L82" s="43"/>
      <c r="M82" s="210">
        <f>SUM(M76:M81)</f>
        <v>44736.477183000003</v>
      </c>
      <c r="N82" s="207"/>
      <c r="O82" s="39"/>
      <c r="P82" s="203">
        <f>SUM(P76:P81)</f>
        <v>77444.631700000013</v>
      </c>
      <c r="Q82" s="277">
        <f t="shared" si="9"/>
        <v>0</v>
      </c>
      <c r="R82" s="266">
        <f t="shared" si="10"/>
        <v>0</v>
      </c>
      <c r="S82" s="278">
        <f t="shared" si="11"/>
        <v>-32708.15451700001</v>
      </c>
    </row>
    <row r="83" spans="1:19" x14ac:dyDescent="0.35">
      <c r="A83" s="131"/>
      <c r="B83" s="34" t="s">
        <v>50</v>
      </c>
      <c r="C83" s="36"/>
      <c r="D83" s="34"/>
      <c r="E83" s="35" t="s">
        <v>51</v>
      </c>
      <c r="F83" s="36"/>
      <c r="G83" s="37"/>
      <c r="H83" s="37"/>
      <c r="I83" s="37"/>
      <c r="J83" s="110"/>
      <c r="K83" s="234"/>
      <c r="L83" s="43"/>
      <c r="M83" s="235"/>
      <c r="N83" s="207"/>
      <c r="O83" s="39"/>
      <c r="P83" s="230"/>
      <c r="Q83" s="275"/>
      <c r="R83" s="176"/>
      <c r="S83" s="276"/>
    </row>
    <row r="84" spans="1:19" x14ac:dyDescent="0.35">
      <c r="A84" s="131"/>
      <c r="B84" s="34"/>
      <c r="C84" s="36" t="s">
        <v>8</v>
      </c>
      <c r="D84" s="34"/>
      <c r="E84" s="49" t="s">
        <v>510</v>
      </c>
      <c r="F84" s="36"/>
      <c r="G84" s="37"/>
      <c r="H84" s="37"/>
      <c r="I84" s="37"/>
      <c r="J84" s="110"/>
      <c r="K84" s="234"/>
      <c r="L84" s="43"/>
      <c r="M84" s="235"/>
      <c r="N84" s="207"/>
      <c r="O84" s="39"/>
      <c r="P84" s="230"/>
      <c r="Q84" s="275"/>
      <c r="R84" s="176"/>
      <c r="S84" s="276"/>
    </row>
    <row r="85" spans="1:19" ht="46" x14ac:dyDescent="0.35">
      <c r="A85" s="148"/>
      <c r="B85" s="39"/>
      <c r="C85" s="36" t="s">
        <v>11</v>
      </c>
      <c r="D85" s="36" t="s">
        <v>52</v>
      </c>
      <c r="E85" s="48" t="s">
        <v>53</v>
      </c>
      <c r="F85" s="36" t="s">
        <v>54</v>
      </c>
      <c r="G85" s="37"/>
      <c r="H85" s="37"/>
      <c r="I85" s="37"/>
      <c r="J85" s="110"/>
      <c r="K85" s="234">
        <v>0</v>
      </c>
      <c r="L85" s="43">
        <v>95.55</v>
      </c>
      <c r="M85" s="235">
        <f>L85*$K85</f>
        <v>0</v>
      </c>
      <c r="N85" s="207">
        <v>0</v>
      </c>
      <c r="O85" s="39">
        <v>96</v>
      </c>
      <c r="P85" s="230">
        <f>N85*O85</f>
        <v>0</v>
      </c>
      <c r="Q85" s="275">
        <f t="shared" si="9"/>
        <v>0</v>
      </c>
      <c r="R85" s="176">
        <f t="shared" si="10"/>
        <v>-0.45000000000000284</v>
      </c>
      <c r="S85" s="276">
        <f t="shared" si="11"/>
        <v>0</v>
      </c>
    </row>
    <row r="86" spans="1:19" ht="46" x14ac:dyDescent="0.35">
      <c r="A86" s="148"/>
      <c r="B86" s="39"/>
      <c r="C86" s="36" t="s">
        <v>14</v>
      </c>
      <c r="D86" s="36" t="s">
        <v>55</v>
      </c>
      <c r="E86" s="48" t="s">
        <v>56</v>
      </c>
      <c r="F86" s="36" t="s">
        <v>54</v>
      </c>
      <c r="G86" s="37"/>
      <c r="H86" s="37"/>
      <c r="I86" s="37"/>
      <c r="J86" s="110"/>
      <c r="K86" s="234">
        <v>0</v>
      </c>
      <c r="L86" s="43">
        <v>119.74</v>
      </c>
      <c r="M86" s="235">
        <f>L86*$K86</f>
        <v>0</v>
      </c>
      <c r="N86" s="207">
        <v>0</v>
      </c>
      <c r="O86" s="39">
        <v>120</v>
      </c>
      <c r="P86" s="230">
        <f>N86*O86</f>
        <v>0</v>
      </c>
      <c r="Q86" s="275">
        <f t="shared" si="9"/>
        <v>0</v>
      </c>
      <c r="R86" s="176">
        <f t="shared" si="10"/>
        <v>-0.26000000000000512</v>
      </c>
      <c r="S86" s="276">
        <f t="shared" si="11"/>
        <v>0</v>
      </c>
    </row>
    <row r="87" spans="1:19" x14ac:dyDescent="0.35">
      <c r="A87" s="148"/>
      <c r="B87" s="39"/>
      <c r="C87" s="36" t="s">
        <v>26</v>
      </c>
      <c r="D87" s="36"/>
      <c r="E87" s="50" t="s">
        <v>511</v>
      </c>
      <c r="F87" s="36"/>
      <c r="G87" s="37"/>
      <c r="H87" s="37"/>
      <c r="I87" s="37"/>
      <c r="J87" s="110"/>
      <c r="K87" s="234"/>
      <c r="L87" s="43"/>
      <c r="M87" s="235"/>
      <c r="N87" s="207"/>
      <c r="O87" s="39"/>
      <c r="P87" s="230"/>
      <c r="Q87" s="275"/>
      <c r="R87" s="176"/>
      <c r="S87" s="276"/>
    </row>
    <row r="88" spans="1:19" x14ac:dyDescent="0.35">
      <c r="A88" s="148"/>
      <c r="B88" s="39"/>
      <c r="C88" s="36"/>
      <c r="D88" s="36"/>
      <c r="E88" s="50" t="s">
        <v>511</v>
      </c>
      <c r="F88" s="36"/>
      <c r="G88" s="37"/>
      <c r="H88" s="37"/>
      <c r="I88" s="37"/>
      <c r="J88" s="110"/>
      <c r="K88" s="234"/>
      <c r="L88" s="43"/>
      <c r="M88" s="235"/>
      <c r="N88" s="207"/>
      <c r="O88" s="39"/>
      <c r="P88" s="230"/>
      <c r="Q88" s="275"/>
      <c r="R88" s="176"/>
      <c r="S88" s="276"/>
    </row>
    <row r="89" spans="1:19" ht="57.5" x14ac:dyDescent="0.35">
      <c r="A89" s="148"/>
      <c r="B89" s="39"/>
      <c r="C89" s="36" t="s">
        <v>29</v>
      </c>
      <c r="D89" s="36" t="s">
        <v>58</v>
      </c>
      <c r="E89" s="48" t="s">
        <v>684</v>
      </c>
      <c r="F89" s="36" t="s">
        <v>54</v>
      </c>
      <c r="G89" s="37"/>
      <c r="H89" s="37"/>
      <c r="I89" s="37"/>
      <c r="J89" s="110"/>
      <c r="K89" s="234">
        <f>SUM(K90:K97)</f>
        <v>455.14689999999996</v>
      </c>
      <c r="L89" s="43">
        <v>110</v>
      </c>
      <c r="M89" s="235">
        <f>L89*$K89</f>
        <v>50066.158999999992</v>
      </c>
      <c r="N89" s="207">
        <v>295</v>
      </c>
      <c r="O89" s="39">
        <v>110</v>
      </c>
      <c r="P89" s="230">
        <f t="shared" ref="P89:P100" si="13">N89*O89</f>
        <v>32450</v>
      </c>
      <c r="Q89" s="275">
        <f t="shared" si="9"/>
        <v>160.14689999999996</v>
      </c>
      <c r="R89" s="176">
        <f t="shared" si="10"/>
        <v>0</v>
      </c>
      <c r="S89" s="276">
        <f t="shared" si="11"/>
        <v>17616.158999999992</v>
      </c>
    </row>
    <row r="90" spans="1:19" x14ac:dyDescent="0.35">
      <c r="A90" s="148"/>
      <c r="B90" s="39"/>
      <c r="C90" s="36"/>
      <c r="D90" s="36"/>
      <c r="E90" s="48" t="s">
        <v>1005</v>
      </c>
      <c r="F90" s="36"/>
      <c r="G90" s="37">
        <v>1</v>
      </c>
      <c r="H90" s="37">
        <v>24.91</v>
      </c>
      <c r="I90" s="37"/>
      <c r="J90" s="110">
        <v>11.94</v>
      </c>
      <c r="K90" s="234">
        <f t="shared" ref="K90:K95" si="14">J90*H90*G90</f>
        <v>297.42539999999997</v>
      </c>
      <c r="L90" s="43"/>
      <c r="M90" s="235"/>
      <c r="N90" s="207"/>
      <c r="O90" s="39"/>
      <c r="P90" s="230"/>
      <c r="Q90" s="275"/>
      <c r="R90" s="176"/>
      <c r="S90" s="276"/>
    </row>
    <row r="91" spans="1:19" x14ac:dyDescent="0.35">
      <c r="A91" s="148"/>
      <c r="B91" s="39"/>
      <c r="C91" s="36"/>
      <c r="D91" s="36"/>
      <c r="E91" s="48" t="s">
        <v>791</v>
      </c>
      <c r="F91" s="36"/>
      <c r="G91" s="37">
        <v>-1</v>
      </c>
      <c r="H91" s="37">
        <v>3</v>
      </c>
      <c r="I91" s="37"/>
      <c r="J91" s="110">
        <v>7</v>
      </c>
      <c r="K91" s="234">
        <f t="shared" ref="K91" si="15">J91*H91*G91</f>
        <v>-21</v>
      </c>
      <c r="L91" s="43"/>
      <c r="M91" s="235"/>
      <c r="N91" s="207"/>
      <c r="O91" s="39"/>
      <c r="P91" s="230"/>
      <c r="Q91" s="275"/>
      <c r="R91" s="176"/>
      <c r="S91" s="276"/>
    </row>
    <row r="92" spans="1:19" x14ac:dyDescent="0.35">
      <c r="A92" s="148"/>
      <c r="B92" s="39"/>
      <c r="C92" s="36"/>
      <c r="D92" s="36"/>
      <c r="E92" s="48" t="s">
        <v>1006</v>
      </c>
      <c r="F92" s="36"/>
      <c r="G92" s="37">
        <v>1</v>
      </c>
      <c r="H92" s="37">
        <v>4</v>
      </c>
      <c r="I92" s="37"/>
      <c r="J92" s="110">
        <v>11.94</v>
      </c>
      <c r="K92" s="234">
        <f t="shared" si="14"/>
        <v>47.76</v>
      </c>
      <c r="L92" s="43"/>
      <c r="M92" s="235"/>
      <c r="N92" s="207"/>
      <c r="O92" s="39"/>
      <c r="P92" s="230"/>
      <c r="Q92" s="275"/>
      <c r="R92" s="176"/>
      <c r="S92" s="276"/>
    </row>
    <row r="93" spans="1:19" x14ac:dyDescent="0.35">
      <c r="A93" s="148"/>
      <c r="B93" s="39"/>
      <c r="C93" s="36"/>
      <c r="D93" s="36"/>
      <c r="E93" s="48" t="s">
        <v>1004</v>
      </c>
      <c r="F93" s="36"/>
      <c r="G93" s="37">
        <v>1</v>
      </c>
      <c r="H93" s="37">
        <v>14</v>
      </c>
      <c r="I93" s="37"/>
      <c r="J93" s="110">
        <v>7</v>
      </c>
      <c r="K93" s="234">
        <f t="shared" si="14"/>
        <v>98</v>
      </c>
      <c r="L93" s="43"/>
      <c r="M93" s="235"/>
      <c r="N93" s="207"/>
      <c r="O93" s="39"/>
      <c r="P93" s="230"/>
      <c r="Q93" s="275"/>
      <c r="R93" s="176"/>
      <c r="S93" s="276"/>
    </row>
    <row r="94" spans="1:19" x14ac:dyDescent="0.35">
      <c r="A94" s="148"/>
      <c r="B94" s="39"/>
      <c r="C94" s="36"/>
      <c r="D94" s="36"/>
      <c r="E94" s="48" t="s">
        <v>799</v>
      </c>
      <c r="F94" s="36"/>
      <c r="G94" s="37">
        <v>1</v>
      </c>
      <c r="H94" s="37">
        <v>11.38</v>
      </c>
      <c r="I94" s="37"/>
      <c r="J94" s="110">
        <v>3.5</v>
      </c>
      <c r="K94" s="234">
        <f t="shared" si="14"/>
        <v>39.830000000000005</v>
      </c>
      <c r="L94" s="43"/>
      <c r="M94" s="235"/>
      <c r="N94" s="207"/>
      <c r="O94" s="39"/>
      <c r="P94" s="230"/>
      <c r="Q94" s="275"/>
      <c r="R94" s="176"/>
      <c r="S94" s="276"/>
    </row>
    <row r="95" spans="1:19" x14ac:dyDescent="0.35">
      <c r="A95" s="148"/>
      <c r="B95" s="39"/>
      <c r="C95" s="36"/>
      <c r="D95" s="36"/>
      <c r="E95" s="48" t="s">
        <v>791</v>
      </c>
      <c r="F95" s="36"/>
      <c r="G95" s="37">
        <v>-1</v>
      </c>
      <c r="H95" s="37">
        <v>2.41</v>
      </c>
      <c r="I95" s="37"/>
      <c r="J95" s="110">
        <v>2.85</v>
      </c>
      <c r="K95" s="234">
        <f t="shared" si="14"/>
        <v>-6.8685000000000009</v>
      </c>
      <c r="L95" s="43"/>
      <c r="M95" s="235"/>
      <c r="N95" s="207"/>
      <c r="O95" s="39"/>
      <c r="P95" s="230"/>
      <c r="Q95" s="275"/>
      <c r="R95" s="176"/>
      <c r="S95" s="276"/>
    </row>
    <row r="96" spans="1:19" x14ac:dyDescent="0.35">
      <c r="A96" s="148"/>
      <c r="B96" s="39"/>
      <c r="C96" s="36"/>
      <c r="D96" s="36"/>
      <c r="E96" s="48"/>
      <c r="F96" s="36"/>
      <c r="G96" s="37"/>
      <c r="H96" s="37"/>
      <c r="I96" s="37"/>
      <c r="J96" s="110"/>
      <c r="K96" s="234"/>
      <c r="L96" s="43"/>
      <c r="M96" s="235"/>
      <c r="N96" s="207"/>
      <c r="O96" s="39"/>
      <c r="P96" s="230"/>
      <c r="Q96" s="275"/>
      <c r="R96" s="176"/>
      <c r="S96" s="276"/>
    </row>
    <row r="97" spans="1:19" x14ac:dyDescent="0.35">
      <c r="A97" s="148"/>
      <c r="B97" s="39"/>
      <c r="C97" s="36"/>
      <c r="D97" s="36"/>
      <c r="E97" s="48"/>
      <c r="F97" s="36"/>
      <c r="G97" s="37"/>
      <c r="H97" s="37"/>
      <c r="I97" s="37"/>
      <c r="J97" s="110"/>
      <c r="K97" s="234"/>
      <c r="L97" s="43"/>
      <c r="M97" s="235"/>
      <c r="N97" s="207"/>
      <c r="O97" s="39"/>
      <c r="P97" s="230"/>
      <c r="Q97" s="275"/>
      <c r="R97" s="176"/>
      <c r="S97" s="276"/>
    </row>
    <row r="98" spans="1:19" ht="69" x14ac:dyDescent="0.35">
      <c r="A98" s="148"/>
      <c r="B98" s="39"/>
      <c r="C98" s="36" t="s">
        <v>33</v>
      </c>
      <c r="D98" s="36" t="s">
        <v>60</v>
      </c>
      <c r="E98" s="48" t="s">
        <v>61</v>
      </c>
      <c r="F98" s="36" t="s">
        <v>46</v>
      </c>
      <c r="G98" s="37"/>
      <c r="H98" s="37"/>
      <c r="I98" s="37"/>
      <c r="J98" s="110"/>
      <c r="K98" s="234"/>
      <c r="L98" s="43">
        <v>192.76</v>
      </c>
      <c r="M98" s="235">
        <f>L98*$K98</f>
        <v>0</v>
      </c>
      <c r="N98" s="207">
        <v>30</v>
      </c>
      <c r="O98" s="39">
        <v>192.76</v>
      </c>
      <c r="P98" s="230">
        <f t="shared" si="13"/>
        <v>5782.7999999999993</v>
      </c>
      <c r="Q98" s="275">
        <f t="shared" si="9"/>
        <v>-30</v>
      </c>
      <c r="R98" s="176">
        <f t="shared" si="10"/>
        <v>0</v>
      </c>
      <c r="S98" s="276">
        <f t="shared" si="11"/>
        <v>-5782.7999999999993</v>
      </c>
    </row>
    <row r="99" spans="1:19" x14ac:dyDescent="0.35">
      <c r="A99" s="148"/>
      <c r="B99" s="39"/>
      <c r="C99" s="34" t="s">
        <v>38</v>
      </c>
      <c r="D99" s="34"/>
      <c r="E99" s="48" t="s">
        <v>512</v>
      </c>
      <c r="F99" s="36"/>
      <c r="G99" s="37"/>
      <c r="H99" s="37"/>
      <c r="I99" s="37"/>
      <c r="J99" s="110"/>
      <c r="K99" s="234"/>
      <c r="L99" s="43"/>
      <c r="M99" s="235"/>
      <c r="N99" s="207"/>
      <c r="O99" s="39"/>
      <c r="P99" s="230"/>
      <c r="Q99" s="275"/>
      <c r="R99" s="176"/>
      <c r="S99" s="276"/>
    </row>
    <row r="100" spans="1:19" ht="34.5" x14ac:dyDescent="0.35">
      <c r="A100" s="148"/>
      <c r="B100" s="39"/>
      <c r="C100" s="36" t="s">
        <v>68</v>
      </c>
      <c r="D100" s="36" t="s">
        <v>513</v>
      </c>
      <c r="E100" s="48" t="s">
        <v>685</v>
      </c>
      <c r="F100" s="36" t="s">
        <v>54</v>
      </c>
      <c r="G100" s="37"/>
      <c r="H100" s="37"/>
      <c r="I100" s="37"/>
      <c r="J100" s="110"/>
      <c r="K100" s="234">
        <f>SUM(K101:K111)</f>
        <v>1217.0874999999999</v>
      </c>
      <c r="L100" s="43">
        <v>36</v>
      </c>
      <c r="M100" s="235">
        <f>L100*$K100</f>
        <v>43815.149999999994</v>
      </c>
      <c r="N100" s="207">
        <v>650</v>
      </c>
      <c r="O100" s="39">
        <v>36</v>
      </c>
      <c r="P100" s="230">
        <f t="shared" si="13"/>
        <v>23400</v>
      </c>
      <c r="Q100" s="275">
        <f t="shared" si="9"/>
        <v>567.08749999999986</v>
      </c>
      <c r="R100" s="176">
        <f t="shared" si="10"/>
        <v>0</v>
      </c>
      <c r="S100" s="276">
        <f t="shared" si="11"/>
        <v>20415.149999999994</v>
      </c>
    </row>
    <row r="101" spans="1:19" x14ac:dyDescent="0.35">
      <c r="A101" s="148"/>
      <c r="B101" s="39"/>
      <c r="C101" s="36"/>
      <c r="D101" s="36"/>
      <c r="E101" s="48" t="s">
        <v>1005</v>
      </c>
      <c r="F101" s="36"/>
      <c r="G101" s="37">
        <v>2</v>
      </c>
      <c r="H101" s="37">
        <v>24.91</v>
      </c>
      <c r="I101" s="37"/>
      <c r="J101" s="110">
        <v>11.94</v>
      </c>
      <c r="K101" s="234">
        <f t="shared" ref="K101:K106" si="16">J101*H101*G101</f>
        <v>594.85079999999994</v>
      </c>
      <c r="L101" s="43"/>
      <c r="M101" s="235"/>
      <c r="N101" s="207"/>
      <c r="O101" s="39"/>
      <c r="P101" s="230"/>
      <c r="Q101" s="275"/>
      <c r="R101" s="176"/>
      <c r="S101" s="276"/>
    </row>
    <row r="102" spans="1:19" x14ac:dyDescent="0.35">
      <c r="A102" s="148"/>
      <c r="B102" s="39"/>
      <c r="C102" s="36"/>
      <c r="D102" s="36"/>
      <c r="E102" s="48" t="s">
        <v>791</v>
      </c>
      <c r="F102" s="36"/>
      <c r="G102" s="37">
        <v>-2</v>
      </c>
      <c r="H102" s="37">
        <v>3</v>
      </c>
      <c r="I102" s="37"/>
      <c r="J102" s="110">
        <v>7</v>
      </c>
      <c r="K102" s="234">
        <f t="shared" si="16"/>
        <v>-42</v>
      </c>
      <c r="L102" s="43"/>
      <c r="M102" s="235"/>
      <c r="N102" s="207"/>
      <c r="O102" s="39"/>
      <c r="P102" s="230"/>
      <c r="Q102" s="275"/>
      <c r="R102" s="176"/>
      <c r="S102" s="276"/>
    </row>
    <row r="103" spans="1:19" x14ac:dyDescent="0.35">
      <c r="A103" s="148"/>
      <c r="B103" s="39"/>
      <c r="C103" s="36"/>
      <c r="D103" s="36"/>
      <c r="E103" s="48" t="s">
        <v>1006</v>
      </c>
      <c r="F103" s="36"/>
      <c r="G103" s="37">
        <v>2</v>
      </c>
      <c r="H103" s="37">
        <v>4</v>
      </c>
      <c r="I103" s="37"/>
      <c r="J103" s="110">
        <v>11.94</v>
      </c>
      <c r="K103" s="234">
        <f t="shared" si="16"/>
        <v>95.52</v>
      </c>
      <c r="L103" s="43"/>
      <c r="M103" s="235"/>
      <c r="N103" s="207"/>
      <c r="O103" s="39"/>
      <c r="P103" s="230"/>
      <c r="Q103" s="275"/>
      <c r="R103" s="176"/>
      <c r="S103" s="276"/>
    </row>
    <row r="104" spans="1:19" x14ac:dyDescent="0.35">
      <c r="A104" s="148"/>
      <c r="B104" s="39"/>
      <c r="C104" s="36"/>
      <c r="D104" s="36"/>
      <c r="E104" s="48" t="s">
        <v>1004</v>
      </c>
      <c r="F104" s="36"/>
      <c r="G104" s="37">
        <v>2</v>
      </c>
      <c r="H104" s="37">
        <v>14</v>
      </c>
      <c r="I104" s="37"/>
      <c r="J104" s="110">
        <v>7</v>
      </c>
      <c r="K104" s="234">
        <f t="shared" si="16"/>
        <v>196</v>
      </c>
      <c r="L104" s="43"/>
      <c r="M104" s="235"/>
      <c r="N104" s="207"/>
      <c r="O104" s="39"/>
      <c r="P104" s="230"/>
      <c r="Q104" s="275"/>
      <c r="R104" s="176"/>
      <c r="S104" s="276"/>
    </row>
    <row r="105" spans="1:19" x14ac:dyDescent="0.35">
      <c r="A105" s="148"/>
      <c r="B105" s="39"/>
      <c r="C105" s="36"/>
      <c r="D105" s="36"/>
      <c r="E105" s="48" t="s">
        <v>799</v>
      </c>
      <c r="F105" s="36"/>
      <c r="G105" s="37">
        <v>2</v>
      </c>
      <c r="H105" s="37">
        <v>11.38</v>
      </c>
      <c r="I105" s="37"/>
      <c r="J105" s="110">
        <v>3.5</v>
      </c>
      <c r="K105" s="234">
        <f t="shared" si="16"/>
        <v>79.660000000000011</v>
      </c>
      <c r="L105" s="43"/>
      <c r="M105" s="235"/>
      <c r="N105" s="207"/>
      <c r="O105" s="39"/>
      <c r="P105" s="230"/>
      <c r="Q105" s="275"/>
      <c r="R105" s="176"/>
      <c r="S105" s="276"/>
    </row>
    <row r="106" spans="1:19" x14ac:dyDescent="0.35">
      <c r="A106" s="148"/>
      <c r="B106" s="39"/>
      <c r="C106" s="36"/>
      <c r="D106" s="36"/>
      <c r="E106" s="48" t="s">
        <v>791</v>
      </c>
      <c r="F106" s="36"/>
      <c r="G106" s="37">
        <v>-2</v>
      </c>
      <c r="H106" s="37">
        <v>2.41</v>
      </c>
      <c r="I106" s="37"/>
      <c r="J106" s="110">
        <v>2.85</v>
      </c>
      <c r="K106" s="234">
        <f t="shared" si="16"/>
        <v>-13.737000000000002</v>
      </c>
      <c r="L106" s="43"/>
      <c r="M106" s="235"/>
      <c r="N106" s="207"/>
      <c r="O106" s="39"/>
      <c r="P106" s="230"/>
      <c r="Q106" s="275"/>
      <c r="R106" s="176"/>
      <c r="S106" s="276"/>
    </row>
    <row r="107" spans="1:19" x14ac:dyDescent="0.35">
      <c r="A107" s="148"/>
      <c r="B107" s="39"/>
      <c r="C107" s="36"/>
      <c r="D107" s="36"/>
      <c r="E107" s="51" t="s">
        <v>862</v>
      </c>
      <c r="F107" s="36"/>
      <c r="G107" s="37">
        <v>1</v>
      </c>
      <c r="H107" s="37">
        <v>8.57</v>
      </c>
      <c r="I107" s="37">
        <v>1</v>
      </c>
      <c r="J107" s="110">
        <v>0.41</v>
      </c>
      <c r="K107" s="234">
        <v>3.5137</v>
      </c>
      <c r="L107" s="43"/>
      <c r="M107" s="235"/>
      <c r="N107" s="207"/>
      <c r="O107" s="39"/>
      <c r="P107" s="230"/>
      <c r="Q107" s="275"/>
      <c r="R107" s="176"/>
      <c r="S107" s="276"/>
    </row>
    <row r="108" spans="1:19" x14ac:dyDescent="0.35">
      <c r="A108" s="148"/>
      <c r="B108" s="39"/>
      <c r="C108" s="36"/>
      <c r="D108" s="36"/>
      <c r="E108" s="51" t="s">
        <v>1087</v>
      </c>
      <c r="F108" s="36"/>
      <c r="G108" s="37">
        <v>1</v>
      </c>
      <c r="H108" s="37">
        <v>35.08</v>
      </c>
      <c r="I108" s="37">
        <v>1</v>
      </c>
      <c r="J108" s="110">
        <v>8</v>
      </c>
      <c r="K108" s="234">
        <v>280.64</v>
      </c>
      <c r="L108" s="43"/>
      <c r="M108" s="235"/>
      <c r="N108" s="207"/>
      <c r="O108" s="39"/>
      <c r="P108" s="230"/>
      <c r="Q108" s="275"/>
      <c r="R108" s="176"/>
      <c r="S108" s="276"/>
    </row>
    <row r="109" spans="1:19" x14ac:dyDescent="0.35">
      <c r="A109" s="148"/>
      <c r="B109" s="39"/>
      <c r="C109" s="36"/>
      <c r="D109" s="36"/>
      <c r="E109" s="51" t="s">
        <v>1007</v>
      </c>
      <c r="F109" s="36"/>
      <c r="G109" s="37">
        <v>1</v>
      </c>
      <c r="H109" s="37">
        <v>3</v>
      </c>
      <c r="I109" s="37">
        <v>1</v>
      </c>
      <c r="J109" s="110">
        <v>7</v>
      </c>
      <c r="K109" s="234">
        <v>21</v>
      </c>
      <c r="L109" s="43"/>
      <c r="M109" s="235"/>
      <c r="N109" s="207"/>
      <c r="O109" s="39"/>
      <c r="P109" s="230"/>
      <c r="Q109" s="275"/>
      <c r="R109" s="176"/>
      <c r="S109" s="276"/>
    </row>
    <row r="110" spans="1:19" x14ac:dyDescent="0.35">
      <c r="A110" s="148"/>
      <c r="B110" s="39"/>
      <c r="C110" s="36"/>
      <c r="D110" s="36"/>
      <c r="E110" s="51" t="s">
        <v>1008</v>
      </c>
      <c r="F110" s="36"/>
      <c r="G110" s="37">
        <v>1</v>
      </c>
      <c r="H110" s="37">
        <v>4</v>
      </c>
      <c r="I110" s="37">
        <v>1</v>
      </c>
      <c r="J110" s="110">
        <v>0.41</v>
      </c>
      <c r="K110" s="234">
        <v>1.64</v>
      </c>
      <c r="L110" s="43"/>
      <c r="M110" s="235"/>
      <c r="N110" s="207"/>
      <c r="O110" s="39"/>
      <c r="P110" s="230"/>
      <c r="Q110" s="275"/>
      <c r="R110" s="176"/>
      <c r="S110" s="276"/>
    </row>
    <row r="111" spans="1:19" x14ac:dyDescent="0.35">
      <c r="A111" s="148"/>
      <c r="B111" s="39"/>
      <c r="C111" s="36"/>
      <c r="D111" s="36"/>
      <c r="E111" s="48"/>
      <c r="F111" s="36"/>
      <c r="G111" s="37"/>
      <c r="H111" s="37"/>
      <c r="I111" s="37"/>
      <c r="J111" s="110"/>
      <c r="K111" s="234"/>
      <c r="L111" s="43"/>
      <c r="M111" s="235"/>
      <c r="N111" s="207"/>
      <c r="O111" s="39"/>
      <c r="P111" s="230"/>
      <c r="Q111" s="275"/>
      <c r="R111" s="176"/>
      <c r="S111" s="276"/>
    </row>
    <row r="112" spans="1:19" x14ac:dyDescent="0.35">
      <c r="A112" s="46" t="s">
        <v>62</v>
      </c>
      <c r="B112" s="52"/>
      <c r="C112" s="34"/>
      <c r="D112" s="34"/>
      <c r="E112" s="52"/>
      <c r="F112" s="52"/>
      <c r="G112" s="53"/>
      <c r="H112" s="53"/>
      <c r="I112" s="53"/>
      <c r="J112" s="219"/>
      <c r="K112" s="234"/>
      <c r="L112" s="43"/>
      <c r="M112" s="210">
        <f>SUM(M85:M100)</f>
        <v>93881.308999999979</v>
      </c>
      <c r="N112" s="207"/>
      <c r="O112" s="39"/>
      <c r="P112" s="271">
        <f>SUM(P85:P111)</f>
        <v>61632.800000000003</v>
      </c>
      <c r="Q112" s="277">
        <f t="shared" si="9"/>
        <v>0</v>
      </c>
      <c r="R112" s="266">
        <f t="shared" si="10"/>
        <v>0</v>
      </c>
      <c r="S112" s="278">
        <f t="shared" si="11"/>
        <v>32248.508999999976</v>
      </c>
    </row>
    <row r="113" spans="1:19" x14ac:dyDescent="0.35">
      <c r="A113" s="131"/>
      <c r="B113" s="34" t="s">
        <v>63</v>
      </c>
      <c r="C113" s="36"/>
      <c r="D113" s="34"/>
      <c r="E113" s="35" t="s">
        <v>64</v>
      </c>
      <c r="F113" s="36"/>
      <c r="G113" s="37"/>
      <c r="H113" s="37"/>
      <c r="I113" s="37"/>
      <c r="J113" s="110"/>
      <c r="K113" s="234"/>
      <c r="L113" s="43"/>
      <c r="M113" s="235"/>
      <c r="N113" s="207"/>
      <c r="O113" s="39"/>
      <c r="P113" s="230"/>
      <c r="Q113" s="275"/>
      <c r="R113" s="176"/>
      <c r="S113" s="276"/>
    </row>
    <row r="114" spans="1:19" ht="92" x14ac:dyDescent="0.35">
      <c r="A114" s="149"/>
      <c r="B114" s="36"/>
      <c r="C114" s="34" t="s">
        <v>8</v>
      </c>
      <c r="D114" s="36" t="s">
        <v>65</v>
      </c>
      <c r="E114" s="44" t="s">
        <v>686</v>
      </c>
      <c r="F114" s="36" t="s">
        <v>46</v>
      </c>
      <c r="G114" s="37"/>
      <c r="H114" s="37"/>
      <c r="I114" s="37"/>
      <c r="J114" s="110"/>
      <c r="K114" s="234">
        <v>0</v>
      </c>
      <c r="L114" s="43">
        <v>212.86</v>
      </c>
      <c r="M114" s="235">
        <f>L114*$K114</f>
        <v>0</v>
      </c>
      <c r="N114" s="207">
        <v>0</v>
      </c>
      <c r="O114" s="39">
        <v>213</v>
      </c>
      <c r="P114" s="230">
        <f>N114*O114</f>
        <v>0</v>
      </c>
      <c r="Q114" s="275">
        <f t="shared" si="9"/>
        <v>0</v>
      </c>
      <c r="R114" s="176">
        <f t="shared" si="10"/>
        <v>-0.13999999999998636</v>
      </c>
      <c r="S114" s="276">
        <f t="shared" si="11"/>
        <v>0</v>
      </c>
    </row>
    <row r="115" spans="1:19" ht="103.5" x14ac:dyDescent="0.35">
      <c r="A115" s="149"/>
      <c r="B115" s="36"/>
      <c r="C115" s="34" t="s">
        <v>26</v>
      </c>
      <c r="D115" s="36" t="s">
        <v>66</v>
      </c>
      <c r="E115" s="44" t="s">
        <v>67</v>
      </c>
      <c r="F115" s="36" t="s">
        <v>46</v>
      </c>
      <c r="G115" s="37"/>
      <c r="H115" s="37"/>
      <c r="I115" s="37"/>
      <c r="J115" s="110"/>
      <c r="K115" s="234">
        <v>0</v>
      </c>
      <c r="L115" s="43">
        <v>261.91000000000003</v>
      </c>
      <c r="M115" s="235">
        <f>L115*$K115</f>
        <v>0</v>
      </c>
      <c r="N115" s="207">
        <v>208</v>
      </c>
      <c r="O115" s="39">
        <v>262</v>
      </c>
      <c r="P115" s="230">
        <f t="shared" ref="P115:P121" si="17">N115*O115</f>
        <v>54496</v>
      </c>
      <c r="Q115" s="275">
        <f t="shared" si="9"/>
        <v>-208</v>
      </c>
      <c r="R115" s="176">
        <f t="shared" si="10"/>
        <v>-8.9999999999974989E-2</v>
      </c>
      <c r="S115" s="276">
        <f t="shared" si="11"/>
        <v>-54496</v>
      </c>
    </row>
    <row r="116" spans="1:19" ht="46" x14ac:dyDescent="0.35">
      <c r="A116" s="149"/>
      <c r="B116" s="36"/>
      <c r="C116" s="34" t="s">
        <v>38</v>
      </c>
      <c r="D116" s="36" t="s">
        <v>69</v>
      </c>
      <c r="E116" s="54" t="s">
        <v>70</v>
      </c>
      <c r="F116" s="36" t="s">
        <v>71</v>
      </c>
      <c r="G116" s="37"/>
      <c r="H116" s="37"/>
      <c r="I116" s="37"/>
      <c r="J116" s="110"/>
      <c r="K116" s="234">
        <f>SUM(K117:K119)</f>
        <v>530.57179999999994</v>
      </c>
      <c r="L116" s="43">
        <v>56.93</v>
      </c>
      <c r="M116" s="235">
        <f>L116*$K116</f>
        <v>30205.452573999995</v>
      </c>
      <c r="N116" s="207">
        <v>0</v>
      </c>
      <c r="O116" s="39">
        <v>57</v>
      </c>
      <c r="P116" s="230">
        <f t="shared" si="17"/>
        <v>0</v>
      </c>
      <c r="Q116" s="275">
        <f t="shared" si="9"/>
        <v>530.57179999999994</v>
      </c>
      <c r="R116" s="176">
        <f t="shared" si="10"/>
        <v>-7.0000000000000284E-2</v>
      </c>
      <c r="S116" s="276">
        <f t="shared" si="11"/>
        <v>30205.452573999995</v>
      </c>
    </row>
    <row r="117" spans="1:19" x14ac:dyDescent="0.35">
      <c r="A117" s="149"/>
      <c r="B117" s="36"/>
      <c r="C117" s="36"/>
      <c r="D117" s="36"/>
      <c r="E117" s="44" t="s">
        <v>788</v>
      </c>
      <c r="F117" s="36"/>
      <c r="G117" s="37">
        <v>1</v>
      </c>
      <c r="H117" s="37">
        <v>27</v>
      </c>
      <c r="I117" s="37">
        <v>11.35</v>
      </c>
      <c r="J117" s="110"/>
      <c r="K117" s="234">
        <f>I117*H117*G117</f>
        <v>306.45</v>
      </c>
      <c r="L117" s="43"/>
      <c r="M117" s="235"/>
      <c r="N117" s="207"/>
      <c r="O117" s="39"/>
      <c r="P117" s="230"/>
      <c r="Q117" s="275"/>
      <c r="R117" s="176"/>
      <c r="S117" s="276"/>
    </row>
    <row r="118" spans="1:19" x14ac:dyDescent="0.35">
      <c r="A118" s="149"/>
      <c r="B118" s="36"/>
      <c r="C118" s="36"/>
      <c r="D118" s="36"/>
      <c r="E118" s="44" t="s">
        <v>787</v>
      </c>
      <c r="F118" s="36"/>
      <c r="G118" s="37">
        <v>1</v>
      </c>
      <c r="H118" s="37">
        <v>13.91</v>
      </c>
      <c r="I118" s="37">
        <v>3.5</v>
      </c>
      <c r="J118" s="110"/>
      <c r="K118" s="234">
        <f t="shared" ref="K118:K119" si="18">I118*H118*G118</f>
        <v>48.685000000000002</v>
      </c>
      <c r="L118" s="43"/>
      <c r="M118" s="235"/>
      <c r="N118" s="207"/>
      <c r="O118" s="39"/>
      <c r="P118" s="230"/>
      <c r="Q118" s="275"/>
      <c r="R118" s="176"/>
      <c r="S118" s="276"/>
    </row>
    <row r="119" spans="1:19" x14ac:dyDescent="0.35">
      <c r="A119" s="149"/>
      <c r="B119" s="36"/>
      <c r="C119" s="36"/>
      <c r="D119" s="36"/>
      <c r="E119" s="44" t="s">
        <v>789</v>
      </c>
      <c r="F119" s="36"/>
      <c r="G119" s="37">
        <v>1</v>
      </c>
      <c r="H119" s="37">
        <v>24.92</v>
      </c>
      <c r="I119" s="37">
        <v>7.04</v>
      </c>
      <c r="J119" s="110"/>
      <c r="K119" s="234">
        <f t="shared" si="18"/>
        <v>175.43680000000001</v>
      </c>
      <c r="L119" s="43"/>
      <c r="M119" s="235"/>
      <c r="N119" s="207"/>
      <c r="O119" s="39"/>
      <c r="P119" s="230"/>
      <c r="Q119" s="275"/>
      <c r="R119" s="176"/>
      <c r="S119" s="276"/>
    </row>
    <row r="120" spans="1:19" ht="92" x14ac:dyDescent="0.35">
      <c r="A120" s="149"/>
      <c r="B120" s="36"/>
      <c r="C120" s="34" t="s">
        <v>57</v>
      </c>
      <c r="D120" s="36" t="s">
        <v>73</v>
      </c>
      <c r="E120" s="44" t="s">
        <v>687</v>
      </c>
      <c r="F120" s="36" t="s">
        <v>71</v>
      </c>
      <c r="G120" s="37"/>
      <c r="H120" s="37"/>
      <c r="I120" s="37"/>
      <c r="J120" s="110"/>
      <c r="K120" s="234">
        <v>0</v>
      </c>
      <c r="L120" s="43">
        <v>98</v>
      </c>
      <c r="M120" s="235">
        <f>L120*$K120</f>
        <v>0</v>
      </c>
      <c r="N120" s="207">
        <v>389</v>
      </c>
      <c r="O120" s="39">
        <v>98</v>
      </c>
      <c r="P120" s="230">
        <f t="shared" si="17"/>
        <v>38122</v>
      </c>
      <c r="Q120" s="275">
        <f t="shared" si="9"/>
        <v>-389</v>
      </c>
      <c r="R120" s="176">
        <f t="shared" si="10"/>
        <v>0</v>
      </c>
      <c r="S120" s="276">
        <f t="shared" si="11"/>
        <v>-38122</v>
      </c>
    </row>
    <row r="121" spans="1:19" ht="92" x14ac:dyDescent="0.35">
      <c r="A121" s="149"/>
      <c r="B121" s="36"/>
      <c r="C121" s="34" t="s">
        <v>59</v>
      </c>
      <c r="D121" s="36" t="s">
        <v>73</v>
      </c>
      <c r="E121" s="44" t="s">
        <v>909</v>
      </c>
      <c r="F121" s="36" t="s">
        <v>71</v>
      </c>
      <c r="G121" s="37"/>
      <c r="H121" s="37"/>
      <c r="I121" s="37"/>
      <c r="J121" s="110"/>
      <c r="K121" s="234">
        <v>0</v>
      </c>
      <c r="L121" s="43">
        <v>103.5</v>
      </c>
      <c r="M121" s="235">
        <f>L121*$K121</f>
        <v>0</v>
      </c>
      <c r="N121" s="207">
        <v>0</v>
      </c>
      <c r="O121" s="39">
        <v>104</v>
      </c>
      <c r="P121" s="230">
        <f t="shared" si="17"/>
        <v>0</v>
      </c>
      <c r="Q121" s="275">
        <f t="shared" si="9"/>
        <v>0</v>
      </c>
      <c r="R121" s="176">
        <f t="shared" si="10"/>
        <v>-0.5</v>
      </c>
      <c r="S121" s="276">
        <f t="shared" si="11"/>
        <v>0</v>
      </c>
    </row>
    <row r="122" spans="1:19" x14ac:dyDescent="0.35">
      <c r="A122" s="46" t="s">
        <v>514</v>
      </c>
      <c r="B122" s="52"/>
      <c r="C122" s="34"/>
      <c r="D122" s="34"/>
      <c r="E122" s="52"/>
      <c r="F122" s="52"/>
      <c r="G122" s="53"/>
      <c r="H122" s="53"/>
      <c r="I122" s="53"/>
      <c r="J122" s="219"/>
      <c r="K122" s="234"/>
      <c r="L122" s="43"/>
      <c r="M122" s="210">
        <f>SUM(M114:M121)</f>
        <v>30205.452573999995</v>
      </c>
      <c r="N122" s="207"/>
      <c r="O122" s="39"/>
      <c r="P122" s="271">
        <f>SUM(P114:P121)</f>
        <v>92618</v>
      </c>
      <c r="Q122" s="275">
        <f t="shared" si="9"/>
        <v>0</v>
      </c>
      <c r="R122" s="176">
        <f t="shared" si="10"/>
        <v>0</v>
      </c>
      <c r="S122" s="276">
        <f t="shared" si="11"/>
        <v>-62412.547426000005</v>
      </c>
    </row>
    <row r="123" spans="1:19" x14ac:dyDescent="0.35">
      <c r="A123" s="46"/>
      <c r="B123" s="52" t="s">
        <v>75</v>
      </c>
      <c r="C123" s="34"/>
      <c r="D123" s="34"/>
      <c r="E123" s="46" t="s">
        <v>76</v>
      </c>
      <c r="F123" s="52"/>
      <c r="G123" s="53"/>
      <c r="H123" s="53"/>
      <c r="I123" s="53"/>
      <c r="J123" s="219"/>
      <c r="K123" s="236"/>
      <c r="L123" s="56"/>
      <c r="M123" s="210"/>
      <c r="N123" s="207"/>
      <c r="O123" s="39"/>
      <c r="P123" s="230"/>
      <c r="Q123" s="275"/>
      <c r="R123" s="176"/>
      <c r="S123" s="276"/>
    </row>
    <row r="124" spans="1:19" ht="57.5" x14ac:dyDescent="0.35">
      <c r="A124" s="149"/>
      <c r="B124" s="36"/>
      <c r="C124" s="34" t="s">
        <v>8</v>
      </c>
      <c r="D124" s="36" t="s">
        <v>77</v>
      </c>
      <c r="E124" s="44" t="s">
        <v>901</v>
      </c>
      <c r="F124" s="36" t="s">
        <v>71</v>
      </c>
      <c r="G124" s="37"/>
      <c r="H124" s="37"/>
      <c r="I124" s="37"/>
      <c r="J124" s="110"/>
      <c r="K124" s="234">
        <v>0</v>
      </c>
      <c r="L124" s="43">
        <v>624</v>
      </c>
      <c r="M124" s="235">
        <f t="shared" ref="M124:M167" si="19">L124*$K124</f>
        <v>0</v>
      </c>
      <c r="N124" s="207">
        <v>0</v>
      </c>
      <c r="O124" s="39">
        <v>624</v>
      </c>
      <c r="P124" s="230">
        <f>O124*N124</f>
        <v>0</v>
      </c>
      <c r="Q124" s="275">
        <f t="shared" si="9"/>
        <v>0</v>
      </c>
      <c r="R124" s="176">
        <f t="shared" si="10"/>
        <v>0</v>
      </c>
      <c r="S124" s="276">
        <f t="shared" si="11"/>
        <v>0</v>
      </c>
    </row>
    <row r="125" spans="1:19" ht="57.5" x14ac:dyDescent="0.35">
      <c r="A125" s="149"/>
      <c r="B125" s="36"/>
      <c r="C125" s="34" t="s">
        <v>26</v>
      </c>
      <c r="D125" s="36" t="s">
        <v>78</v>
      </c>
      <c r="E125" s="44" t="s">
        <v>902</v>
      </c>
      <c r="F125" s="36" t="s">
        <v>71</v>
      </c>
      <c r="G125" s="37"/>
      <c r="H125" s="37"/>
      <c r="I125" s="37"/>
      <c r="J125" s="110"/>
      <c r="K125" s="234">
        <v>0</v>
      </c>
      <c r="L125" s="43">
        <v>416</v>
      </c>
      <c r="M125" s="235">
        <f t="shared" si="19"/>
        <v>0</v>
      </c>
      <c r="N125" s="207">
        <v>0</v>
      </c>
      <c r="O125" s="39">
        <v>416</v>
      </c>
      <c r="P125" s="230">
        <f t="shared" ref="P125:P167" si="20">O125*N125</f>
        <v>0</v>
      </c>
      <c r="Q125" s="275">
        <f t="shared" si="9"/>
        <v>0</v>
      </c>
      <c r="R125" s="176">
        <f t="shared" si="10"/>
        <v>0</v>
      </c>
      <c r="S125" s="276">
        <f t="shared" si="11"/>
        <v>0</v>
      </c>
    </row>
    <row r="126" spans="1:19" ht="57.5" x14ac:dyDescent="0.35">
      <c r="A126" s="149"/>
      <c r="B126" s="36"/>
      <c r="C126" s="34" t="s">
        <v>38</v>
      </c>
      <c r="D126" s="36" t="s">
        <v>79</v>
      </c>
      <c r="E126" s="44" t="s">
        <v>80</v>
      </c>
      <c r="F126" s="36" t="s">
        <v>81</v>
      </c>
      <c r="G126" s="37"/>
      <c r="H126" s="37"/>
      <c r="I126" s="37"/>
      <c r="J126" s="110"/>
      <c r="K126" s="234">
        <f>SUM(J127:J164)</f>
        <v>144.85520731707319</v>
      </c>
      <c r="L126" s="43">
        <v>155</v>
      </c>
      <c r="M126" s="235">
        <f t="shared" si="19"/>
        <v>22452.557134146344</v>
      </c>
      <c r="N126" s="207">
        <v>252</v>
      </c>
      <c r="O126" s="39">
        <v>155</v>
      </c>
      <c r="P126" s="230">
        <f t="shared" si="20"/>
        <v>39060</v>
      </c>
      <c r="Q126" s="275">
        <f t="shared" si="9"/>
        <v>-107.14479268292681</v>
      </c>
      <c r="R126" s="176">
        <f t="shared" si="10"/>
        <v>0</v>
      </c>
      <c r="S126" s="276">
        <f t="shared" si="11"/>
        <v>-16607.442865853656</v>
      </c>
    </row>
    <row r="127" spans="1:19" s="66" customFormat="1" ht="12" x14ac:dyDescent="0.3">
      <c r="A127" s="58"/>
      <c r="B127" s="59"/>
      <c r="C127" s="60"/>
      <c r="D127" s="61"/>
      <c r="E127" s="62" t="s">
        <v>868</v>
      </c>
      <c r="F127" s="63"/>
      <c r="G127" s="63"/>
      <c r="H127" s="63"/>
      <c r="I127" s="64"/>
      <c r="J127" s="220"/>
      <c r="K127" s="237"/>
      <c r="L127" s="65"/>
      <c r="M127" s="238"/>
      <c r="N127" s="212"/>
      <c r="O127" s="177"/>
      <c r="P127" s="230"/>
      <c r="Q127" s="275"/>
      <c r="R127" s="176"/>
      <c r="S127" s="276"/>
    </row>
    <row r="128" spans="1:19" s="66" customFormat="1" ht="12" x14ac:dyDescent="0.3">
      <c r="A128" s="58"/>
      <c r="B128" s="59"/>
      <c r="C128" s="60"/>
      <c r="D128" s="61"/>
      <c r="E128" s="67" t="s">
        <v>1091</v>
      </c>
      <c r="F128" s="63"/>
      <c r="G128" s="63"/>
      <c r="H128" s="63"/>
      <c r="I128" s="64"/>
      <c r="J128" s="220"/>
      <c r="K128" s="237"/>
      <c r="L128" s="65"/>
      <c r="M128" s="238"/>
      <c r="N128" s="212"/>
      <c r="O128" s="177"/>
      <c r="P128" s="230"/>
      <c r="Q128" s="275"/>
      <c r="R128" s="176"/>
      <c r="S128" s="276"/>
    </row>
    <row r="129" spans="1:19" s="66" customFormat="1" ht="12" x14ac:dyDescent="0.3">
      <c r="A129" s="58"/>
      <c r="B129" s="59"/>
      <c r="C129" s="60"/>
      <c r="D129" s="61"/>
      <c r="E129" s="68" t="s">
        <v>1093</v>
      </c>
      <c r="F129" s="63">
        <v>2</v>
      </c>
      <c r="G129" s="63">
        <v>3.2</v>
      </c>
      <c r="H129" s="63">
        <f>G129*F129</f>
        <v>6.4</v>
      </c>
      <c r="I129" s="64"/>
      <c r="J129" s="220"/>
      <c r="K129" s="237"/>
      <c r="L129" s="65"/>
      <c r="M129" s="238"/>
      <c r="N129" s="212"/>
      <c r="O129" s="177"/>
      <c r="P129" s="230"/>
      <c r="Q129" s="275"/>
      <c r="R129" s="176"/>
      <c r="S129" s="276"/>
    </row>
    <row r="130" spans="1:19" s="66" customFormat="1" ht="12" x14ac:dyDescent="0.3">
      <c r="A130" s="58"/>
      <c r="B130" s="59"/>
      <c r="C130" s="60"/>
      <c r="D130" s="61"/>
      <c r="E130" s="68" t="s">
        <v>1092</v>
      </c>
      <c r="F130" s="63">
        <v>2</v>
      </c>
      <c r="G130" s="63">
        <v>4</v>
      </c>
      <c r="H130" s="63">
        <f>G130*F130</f>
        <v>8</v>
      </c>
      <c r="I130" s="64"/>
      <c r="J130" s="220"/>
      <c r="K130" s="237"/>
      <c r="L130" s="65"/>
      <c r="M130" s="238"/>
      <c r="N130" s="212"/>
      <c r="O130" s="177"/>
      <c r="P130" s="230"/>
      <c r="Q130" s="275"/>
      <c r="R130" s="176"/>
      <c r="S130" s="276"/>
    </row>
    <row r="131" spans="1:19" s="66" customFormat="1" ht="12" x14ac:dyDescent="0.3">
      <c r="A131" s="58"/>
      <c r="B131" s="59"/>
      <c r="C131" s="60"/>
      <c r="D131" s="61"/>
      <c r="E131" s="68"/>
      <c r="F131" s="63"/>
      <c r="G131" s="63"/>
      <c r="H131" s="63">
        <f>G131*F131</f>
        <v>0</v>
      </c>
      <c r="I131" s="64"/>
      <c r="J131" s="220"/>
      <c r="K131" s="237"/>
      <c r="L131" s="65"/>
      <c r="M131" s="238"/>
      <c r="N131" s="212"/>
      <c r="O131" s="177"/>
      <c r="P131" s="230"/>
      <c r="Q131" s="275"/>
      <c r="R131" s="176"/>
      <c r="S131" s="276"/>
    </row>
    <row r="132" spans="1:19" s="66" customFormat="1" ht="12" x14ac:dyDescent="0.3">
      <c r="A132" s="58"/>
      <c r="B132" s="59"/>
      <c r="C132" s="60"/>
      <c r="D132" s="61"/>
      <c r="E132" s="62" t="s">
        <v>1094</v>
      </c>
      <c r="F132" s="69"/>
      <c r="G132" s="69"/>
      <c r="H132" s="69">
        <v>30</v>
      </c>
      <c r="I132" s="64"/>
      <c r="J132" s="220"/>
      <c r="K132" s="237"/>
      <c r="L132" s="65"/>
      <c r="M132" s="238"/>
      <c r="N132" s="212"/>
      <c r="O132" s="177"/>
      <c r="P132" s="230"/>
      <c r="Q132" s="275"/>
      <c r="R132" s="176"/>
      <c r="S132" s="276"/>
    </row>
    <row r="133" spans="1:19" s="66" customFormat="1" ht="12" x14ac:dyDescent="0.3">
      <c r="A133" s="58"/>
      <c r="B133" s="59"/>
      <c r="C133" s="60"/>
      <c r="D133" s="61"/>
      <c r="E133" s="62" t="s">
        <v>870</v>
      </c>
      <c r="F133" s="69"/>
      <c r="G133" s="69"/>
      <c r="H133" s="69">
        <v>9.23</v>
      </c>
      <c r="I133" s="70">
        <v>1.95</v>
      </c>
      <c r="J133" s="220">
        <f>I133*H133</f>
        <v>17.9985</v>
      </c>
      <c r="K133" s="237"/>
      <c r="L133" s="65"/>
      <c r="M133" s="238"/>
      <c r="N133" s="212"/>
      <c r="O133" s="177"/>
      <c r="P133" s="230"/>
      <c r="Q133" s="275"/>
      <c r="R133" s="176"/>
      <c r="S133" s="276"/>
    </row>
    <row r="134" spans="1:19" s="66" customFormat="1" ht="12" x14ac:dyDescent="0.3">
      <c r="A134" s="58"/>
      <c r="B134" s="59"/>
      <c r="C134" s="60"/>
      <c r="D134" s="61"/>
      <c r="E134" s="68"/>
      <c r="F134" s="63"/>
      <c r="G134" s="63"/>
      <c r="H134" s="63"/>
      <c r="I134" s="64"/>
      <c r="J134" s="220"/>
      <c r="K134" s="237"/>
      <c r="L134" s="65"/>
      <c r="M134" s="238"/>
      <c r="N134" s="212"/>
      <c r="O134" s="177"/>
      <c r="P134" s="230"/>
      <c r="Q134" s="275"/>
      <c r="R134" s="176"/>
      <c r="S134" s="276"/>
    </row>
    <row r="135" spans="1:19" s="66" customFormat="1" ht="12" x14ac:dyDescent="0.3">
      <c r="A135" s="58"/>
      <c r="B135" s="59"/>
      <c r="C135" s="60"/>
      <c r="D135" s="61"/>
      <c r="E135" s="67" t="s">
        <v>1095</v>
      </c>
      <c r="F135" s="63"/>
      <c r="G135" s="63"/>
      <c r="H135" s="63"/>
      <c r="I135" s="64"/>
      <c r="J135" s="220"/>
      <c r="K135" s="237"/>
      <c r="L135" s="65"/>
      <c r="M135" s="238"/>
      <c r="N135" s="212"/>
      <c r="O135" s="177"/>
      <c r="P135" s="230"/>
      <c r="Q135" s="275"/>
      <c r="R135" s="176"/>
      <c r="S135" s="276"/>
    </row>
    <row r="136" spans="1:19" s="66" customFormat="1" ht="12" x14ac:dyDescent="0.3">
      <c r="A136" s="58"/>
      <c r="B136" s="59"/>
      <c r="C136" s="60"/>
      <c r="D136" s="61"/>
      <c r="E136" s="68" t="s">
        <v>1096</v>
      </c>
      <c r="F136" s="63">
        <v>10</v>
      </c>
      <c r="G136" s="63">
        <v>3.5</v>
      </c>
      <c r="H136" s="63">
        <f>G136*F136</f>
        <v>35</v>
      </c>
      <c r="I136" s="64"/>
      <c r="J136" s="220"/>
      <c r="K136" s="237"/>
      <c r="L136" s="65"/>
      <c r="M136" s="238"/>
      <c r="N136" s="212"/>
      <c r="O136" s="177"/>
      <c r="P136" s="230"/>
      <c r="Q136" s="275"/>
      <c r="R136" s="176"/>
      <c r="S136" s="276"/>
    </row>
    <row r="137" spans="1:19" s="66" customFormat="1" ht="12" x14ac:dyDescent="0.3">
      <c r="A137" s="58"/>
      <c r="B137" s="59"/>
      <c r="C137" s="60"/>
      <c r="D137" s="61"/>
      <c r="E137" s="62" t="s">
        <v>869</v>
      </c>
      <c r="F137" s="69"/>
      <c r="G137" s="69"/>
      <c r="H137" s="69">
        <f>H136</f>
        <v>35</v>
      </c>
      <c r="I137" s="64"/>
      <c r="J137" s="220"/>
      <c r="K137" s="237"/>
      <c r="L137" s="65"/>
      <c r="M137" s="238"/>
      <c r="N137" s="212"/>
      <c r="O137" s="177"/>
      <c r="P137" s="230"/>
      <c r="Q137" s="275"/>
      <c r="R137" s="176"/>
      <c r="S137" s="276"/>
    </row>
    <row r="138" spans="1:19" s="66" customFormat="1" ht="12" x14ac:dyDescent="0.3">
      <c r="A138" s="58"/>
      <c r="B138" s="59"/>
      <c r="C138" s="60"/>
      <c r="D138" s="61"/>
      <c r="E138" s="62" t="s">
        <v>870</v>
      </c>
      <c r="F138" s="69"/>
      <c r="G138" s="69"/>
      <c r="H138" s="69">
        <f>H137/3.28</f>
        <v>10.670731707317074</v>
      </c>
      <c r="I138" s="70">
        <v>1.18</v>
      </c>
      <c r="J138" s="220">
        <f>I138*H138</f>
        <v>12.591463414634147</v>
      </c>
      <c r="K138" s="237"/>
      <c r="L138" s="65"/>
      <c r="M138" s="238"/>
      <c r="N138" s="212"/>
      <c r="O138" s="177"/>
      <c r="P138" s="230"/>
      <c r="Q138" s="275"/>
      <c r="R138" s="176"/>
      <c r="S138" s="276"/>
    </row>
    <row r="139" spans="1:19" s="66" customFormat="1" ht="12" x14ac:dyDescent="0.3">
      <c r="A139" s="58"/>
      <c r="B139" s="59"/>
      <c r="C139" s="60"/>
      <c r="D139" s="61"/>
      <c r="E139" s="68"/>
      <c r="F139" s="63"/>
      <c r="G139" s="63"/>
      <c r="H139" s="63"/>
      <c r="I139" s="64"/>
      <c r="J139" s="220"/>
      <c r="K139" s="237"/>
      <c r="L139" s="65"/>
      <c r="M139" s="238"/>
      <c r="N139" s="212"/>
      <c r="O139" s="177"/>
      <c r="P139" s="230"/>
      <c r="Q139" s="275"/>
      <c r="R139" s="176"/>
      <c r="S139" s="276"/>
    </row>
    <row r="140" spans="1:19" ht="12" x14ac:dyDescent="0.35">
      <c r="A140" s="149"/>
      <c r="B140" s="36"/>
      <c r="C140" s="34"/>
      <c r="D140" s="36"/>
      <c r="E140" s="62" t="s">
        <v>1097</v>
      </c>
      <c r="F140" s="36"/>
      <c r="G140" s="37"/>
      <c r="H140" s="37"/>
      <c r="I140" s="37"/>
      <c r="J140" s="110"/>
      <c r="K140" s="234"/>
      <c r="L140" s="43"/>
      <c r="M140" s="235"/>
      <c r="N140" s="207"/>
      <c r="O140" s="39"/>
      <c r="P140" s="230"/>
      <c r="Q140" s="275"/>
      <c r="R140" s="176"/>
      <c r="S140" s="276"/>
    </row>
    <row r="141" spans="1:19" s="66" customFormat="1" ht="12" x14ac:dyDescent="0.3">
      <c r="A141" s="71"/>
      <c r="B141" s="72"/>
      <c r="C141" s="73"/>
      <c r="D141" s="74"/>
      <c r="E141" s="75" t="s">
        <v>1098</v>
      </c>
      <c r="F141" s="76"/>
      <c r="G141" s="76"/>
      <c r="H141" s="76"/>
      <c r="I141" s="77"/>
      <c r="J141" s="221"/>
      <c r="K141" s="239"/>
      <c r="L141" s="78"/>
      <c r="M141" s="240"/>
      <c r="N141" s="212"/>
      <c r="O141" s="177"/>
      <c r="P141" s="230"/>
      <c r="Q141" s="275"/>
      <c r="R141" s="176"/>
      <c r="S141" s="276"/>
    </row>
    <row r="142" spans="1:19" s="66" customFormat="1" ht="12" x14ac:dyDescent="0.3">
      <c r="A142" s="71"/>
      <c r="B142" s="72"/>
      <c r="C142" s="73"/>
      <c r="D142" s="74"/>
      <c r="E142" s="79" t="s">
        <v>1099</v>
      </c>
      <c r="F142" s="76"/>
      <c r="G142" s="76"/>
      <c r="H142" s="76"/>
      <c r="I142" s="77"/>
      <c r="J142" s="221"/>
      <c r="K142" s="239"/>
      <c r="L142" s="78"/>
      <c r="M142" s="240"/>
      <c r="N142" s="212"/>
      <c r="O142" s="177"/>
      <c r="P142" s="230"/>
      <c r="Q142" s="275"/>
      <c r="R142" s="176"/>
      <c r="S142" s="276"/>
    </row>
    <row r="143" spans="1:19" s="66" customFormat="1" ht="12" x14ac:dyDescent="0.3">
      <c r="A143" s="71"/>
      <c r="B143" s="72"/>
      <c r="C143" s="73"/>
      <c r="D143" s="74"/>
      <c r="E143" s="79" t="s">
        <v>1100</v>
      </c>
      <c r="F143" s="76">
        <v>1</v>
      </c>
      <c r="G143" s="76">
        <v>46</v>
      </c>
      <c r="H143" s="76">
        <f>G143*F143</f>
        <v>46</v>
      </c>
      <c r="I143" s="77"/>
      <c r="J143" s="221"/>
      <c r="K143" s="239"/>
      <c r="L143" s="78"/>
      <c r="M143" s="240"/>
      <c r="N143" s="212"/>
      <c r="O143" s="177"/>
      <c r="P143" s="230"/>
      <c r="Q143" s="275"/>
      <c r="R143" s="176"/>
      <c r="S143" s="276"/>
    </row>
    <row r="144" spans="1:19" s="66" customFormat="1" ht="12" x14ac:dyDescent="0.3">
      <c r="A144" s="71"/>
      <c r="B144" s="72"/>
      <c r="C144" s="73"/>
      <c r="D144" s="74"/>
      <c r="E144" s="79" t="s">
        <v>1101</v>
      </c>
      <c r="F144" s="76">
        <v>1</v>
      </c>
      <c r="G144" s="76">
        <v>10</v>
      </c>
      <c r="H144" s="76">
        <f>G144*F144</f>
        <v>10</v>
      </c>
      <c r="I144" s="77"/>
      <c r="J144" s="221"/>
      <c r="K144" s="239"/>
      <c r="L144" s="78"/>
      <c r="M144" s="240"/>
      <c r="N144" s="212"/>
      <c r="O144" s="177"/>
      <c r="P144" s="230"/>
      <c r="Q144" s="275"/>
      <c r="R144" s="176"/>
      <c r="S144" s="276"/>
    </row>
    <row r="145" spans="1:19" s="66" customFormat="1" ht="12" x14ac:dyDescent="0.3">
      <c r="A145" s="71"/>
      <c r="B145" s="72"/>
      <c r="C145" s="73"/>
      <c r="D145" s="74"/>
      <c r="E145" s="80" t="s">
        <v>869</v>
      </c>
      <c r="F145" s="81"/>
      <c r="G145" s="81"/>
      <c r="H145" s="81">
        <f>SUM(H143:H144)</f>
        <v>56</v>
      </c>
      <c r="I145" s="77"/>
      <c r="J145" s="221"/>
      <c r="K145" s="239"/>
      <c r="L145" s="78"/>
      <c r="M145" s="240"/>
      <c r="N145" s="212"/>
      <c r="O145" s="177"/>
      <c r="P145" s="230"/>
      <c r="Q145" s="275"/>
      <c r="R145" s="176"/>
      <c r="S145" s="276"/>
    </row>
    <row r="146" spans="1:19" s="66" customFormat="1" ht="12" x14ac:dyDescent="0.3">
      <c r="A146" s="71"/>
      <c r="B146" s="72"/>
      <c r="C146" s="73"/>
      <c r="D146" s="74"/>
      <c r="E146" s="80" t="s">
        <v>870</v>
      </c>
      <c r="F146" s="81"/>
      <c r="G146" s="81"/>
      <c r="H146" s="81">
        <f>H145/3.28</f>
        <v>17.073170731707318</v>
      </c>
      <c r="I146" s="82">
        <v>1.95</v>
      </c>
      <c r="J146" s="221">
        <f>I146*H146</f>
        <v>33.292682926829272</v>
      </c>
      <c r="K146" s="239"/>
      <c r="L146" s="78"/>
      <c r="M146" s="240"/>
      <c r="N146" s="212"/>
      <c r="O146" s="177"/>
      <c r="P146" s="230"/>
      <c r="Q146" s="275"/>
      <c r="R146" s="176"/>
      <c r="S146" s="276"/>
    </row>
    <row r="147" spans="1:19" s="66" customFormat="1" ht="12" x14ac:dyDescent="0.3">
      <c r="A147" s="71"/>
      <c r="B147" s="72"/>
      <c r="C147" s="73"/>
      <c r="D147" s="74"/>
      <c r="E147" s="80"/>
      <c r="F147" s="81"/>
      <c r="G147" s="81"/>
      <c r="H147" s="81"/>
      <c r="I147" s="82"/>
      <c r="J147" s="221"/>
      <c r="K147" s="239"/>
      <c r="L147" s="78"/>
      <c r="M147" s="240"/>
      <c r="N147" s="212"/>
      <c r="O147" s="177"/>
      <c r="P147" s="230"/>
      <c r="Q147" s="275"/>
      <c r="R147" s="176"/>
      <c r="S147" s="276"/>
    </row>
    <row r="148" spans="1:19" s="66" customFormat="1" ht="12" x14ac:dyDescent="0.3">
      <c r="A148" s="71"/>
      <c r="B148" s="72"/>
      <c r="C148" s="73"/>
      <c r="D148" s="74"/>
      <c r="E148" s="80" t="s">
        <v>1102</v>
      </c>
      <c r="F148" s="81"/>
      <c r="G148" s="81"/>
      <c r="H148" s="81"/>
      <c r="I148" s="82"/>
      <c r="J148" s="221"/>
      <c r="K148" s="239"/>
      <c r="L148" s="78"/>
      <c r="M148" s="240"/>
      <c r="N148" s="212"/>
      <c r="O148" s="177"/>
      <c r="P148" s="230"/>
      <c r="Q148" s="275"/>
      <c r="R148" s="176"/>
      <c r="S148" s="276"/>
    </row>
    <row r="149" spans="1:19" s="66" customFormat="1" ht="12" x14ac:dyDescent="0.3">
      <c r="A149" s="71"/>
      <c r="B149" s="72"/>
      <c r="C149" s="73"/>
      <c r="D149" s="74"/>
      <c r="E149" s="75" t="s">
        <v>1098</v>
      </c>
      <c r="F149" s="76"/>
      <c r="G149" s="76"/>
      <c r="H149" s="76"/>
      <c r="I149" s="77"/>
      <c r="J149" s="221"/>
      <c r="K149" s="239"/>
      <c r="L149" s="78"/>
      <c r="M149" s="240"/>
      <c r="N149" s="212"/>
      <c r="O149" s="177"/>
      <c r="P149" s="230"/>
      <c r="Q149" s="275"/>
      <c r="R149" s="176"/>
      <c r="S149" s="276"/>
    </row>
    <row r="150" spans="1:19" s="66" customFormat="1" ht="12" x14ac:dyDescent="0.3">
      <c r="A150" s="71"/>
      <c r="B150" s="72"/>
      <c r="C150" s="73"/>
      <c r="D150" s="74"/>
      <c r="E150" s="79" t="s">
        <v>1103</v>
      </c>
      <c r="F150" s="76"/>
      <c r="G150" s="76"/>
      <c r="H150" s="76"/>
      <c r="I150" s="77"/>
      <c r="J150" s="221"/>
      <c r="K150" s="239"/>
      <c r="L150" s="78"/>
      <c r="M150" s="240"/>
      <c r="N150" s="212"/>
      <c r="O150" s="177"/>
      <c r="P150" s="230"/>
      <c r="Q150" s="275"/>
      <c r="R150" s="176"/>
      <c r="S150" s="276"/>
    </row>
    <row r="151" spans="1:19" s="66" customFormat="1" ht="12" x14ac:dyDescent="0.3">
      <c r="A151" s="71"/>
      <c r="B151" s="72"/>
      <c r="C151" s="73"/>
      <c r="D151" s="74"/>
      <c r="E151" s="79" t="s">
        <v>1104</v>
      </c>
      <c r="F151" s="76">
        <v>1</v>
      </c>
      <c r="G151" s="76">
        <v>47</v>
      </c>
      <c r="H151" s="76">
        <f>G151*F151</f>
        <v>47</v>
      </c>
      <c r="I151" s="77"/>
      <c r="J151" s="221"/>
      <c r="K151" s="239"/>
      <c r="L151" s="78"/>
      <c r="M151" s="240"/>
      <c r="N151" s="212"/>
      <c r="O151" s="177"/>
      <c r="P151" s="230"/>
      <c r="Q151" s="275"/>
      <c r="R151" s="176"/>
      <c r="S151" s="276"/>
    </row>
    <row r="152" spans="1:19" s="66" customFormat="1" ht="12" x14ac:dyDescent="0.3">
      <c r="A152" s="71"/>
      <c r="B152" s="72"/>
      <c r="C152" s="73"/>
      <c r="D152" s="74"/>
      <c r="E152" s="79" t="s">
        <v>1101</v>
      </c>
      <c r="F152" s="76">
        <v>1</v>
      </c>
      <c r="G152" s="76">
        <v>10</v>
      </c>
      <c r="H152" s="76">
        <f>G152*F152</f>
        <v>10</v>
      </c>
      <c r="I152" s="77"/>
      <c r="J152" s="221"/>
      <c r="K152" s="239"/>
      <c r="L152" s="78"/>
      <c r="M152" s="240"/>
      <c r="N152" s="212"/>
      <c r="O152" s="177"/>
      <c r="P152" s="230"/>
      <c r="Q152" s="275"/>
      <c r="R152" s="176"/>
      <c r="S152" s="276"/>
    </row>
    <row r="153" spans="1:19" s="66" customFormat="1" ht="12" x14ac:dyDescent="0.3">
      <c r="A153" s="71"/>
      <c r="B153" s="72"/>
      <c r="C153" s="73"/>
      <c r="D153" s="74"/>
      <c r="E153" s="80" t="s">
        <v>869</v>
      </c>
      <c r="F153" s="81"/>
      <c r="G153" s="81"/>
      <c r="H153" s="81">
        <f>SUM(H151:H152)</f>
        <v>57</v>
      </c>
      <c r="I153" s="77"/>
      <c r="J153" s="221"/>
      <c r="K153" s="239"/>
      <c r="L153" s="78"/>
      <c r="M153" s="240"/>
      <c r="N153" s="212"/>
      <c r="O153" s="177"/>
      <c r="P153" s="230"/>
      <c r="Q153" s="275"/>
      <c r="R153" s="176"/>
      <c r="S153" s="276"/>
    </row>
    <row r="154" spans="1:19" s="66" customFormat="1" ht="12" x14ac:dyDescent="0.3">
      <c r="A154" s="71"/>
      <c r="B154" s="72"/>
      <c r="C154" s="73"/>
      <c r="D154" s="74"/>
      <c r="E154" s="80" t="s">
        <v>870</v>
      </c>
      <c r="F154" s="81"/>
      <c r="G154" s="81"/>
      <c r="H154" s="81">
        <f>H153/3.28</f>
        <v>17.378048780487806</v>
      </c>
      <c r="I154" s="82">
        <v>1.95</v>
      </c>
      <c r="J154" s="221">
        <f>I154*H154</f>
        <v>33.887195121951223</v>
      </c>
      <c r="K154" s="239"/>
      <c r="L154" s="78"/>
      <c r="M154" s="240"/>
      <c r="N154" s="212"/>
      <c r="O154" s="177"/>
      <c r="P154" s="230"/>
      <c r="Q154" s="275"/>
      <c r="R154" s="176"/>
      <c r="S154" s="276"/>
    </row>
    <row r="155" spans="1:19" s="66" customFormat="1" ht="12" x14ac:dyDescent="0.3">
      <c r="A155" s="71"/>
      <c r="B155" s="72"/>
      <c r="C155" s="73"/>
      <c r="D155" s="74"/>
      <c r="E155" s="80"/>
      <c r="F155" s="81"/>
      <c r="G155" s="81"/>
      <c r="H155" s="81"/>
      <c r="I155" s="82"/>
      <c r="J155" s="221"/>
      <c r="K155" s="239"/>
      <c r="L155" s="78"/>
      <c r="M155" s="240"/>
      <c r="N155" s="212"/>
      <c r="O155" s="177"/>
      <c r="P155" s="230"/>
      <c r="Q155" s="275"/>
      <c r="R155" s="176"/>
      <c r="S155" s="276"/>
    </row>
    <row r="156" spans="1:19" s="66" customFormat="1" ht="12" x14ac:dyDescent="0.3">
      <c r="A156" s="71"/>
      <c r="B156" s="72"/>
      <c r="C156" s="73"/>
      <c r="D156" s="74"/>
      <c r="E156" s="80" t="s">
        <v>1105</v>
      </c>
      <c r="F156" s="81"/>
      <c r="G156" s="81"/>
      <c r="H156" s="81"/>
      <c r="I156" s="82"/>
      <c r="J156" s="221"/>
      <c r="K156" s="239"/>
      <c r="L156" s="78"/>
      <c r="M156" s="240"/>
      <c r="N156" s="212"/>
      <c r="O156" s="177"/>
      <c r="P156" s="230"/>
      <c r="Q156" s="275"/>
      <c r="R156" s="176"/>
      <c r="S156" s="276"/>
    </row>
    <row r="157" spans="1:19" s="66" customFormat="1" ht="12" x14ac:dyDescent="0.3">
      <c r="A157" s="71"/>
      <c r="B157" s="72"/>
      <c r="C157" s="73"/>
      <c r="D157" s="74"/>
      <c r="E157" s="75" t="s">
        <v>1106</v>
      </c>
      <c r="F157" s="76"/>
      <c r="G157" s="76"/>
      <c r="H157" s="76"/>
      <c r="I157" s="77"/>
      <c r="J157" s="221"/>
      <c r="K157" s="239"/>
      <c r="L157" s="78"/>
      <c r="M157" s="240"/>
      <c r="N157" s="212"/>
      <c r="O157" s="177"/>
      <c r="P157" s="230"/>
      <c r="Q157" s="275"/>
      <c r="R157" s="176"/>
      <c r="S157" s="276"/>
    </row>
    <row r="158" spans="1:19" s="66" customFormat="1" ht="12" x14ac:dyDescent="0.3">
      <c r="A158" s="71"/>
      <c r="B158" s="72"/>
      <c r="C158" s="73"/>
      <c r="D158" s="74"/>
      <c r="E158" s="79" t="s">
        <v>1107</v>
      </c>
      <c r="F158" s="76"/>
      <c r="G158" s="76"/>
      <c r="H158" s="76"/>
      <c r="I158" s="77"/>
      <c r="J158" s="221"/>
      <c r="K158" s="239"/>
      <c r="L158" s="78"/>
      <c r="M158" s="240"/>
      <c r="N158" s="212"/>
      <c r="O158" s="177"/>
      <c r="P158" s="230"/>
      <c r="Q158" s="275"/>
      <c r="R158" s="176"/>
      <c r="S158" s="276"/>
    </row>
    <row r="159" spans="1:19" s="66" customFormat="1" ht="12" x14ac:dyDescent="0.3">
      <c r="A159" s="71"/>
      <c r="B159" s="72"/>
      <c r="C159" s="73"/>
      <c r="D159" s="74"/>
      <c r="E159" s="79" t="s">
        <v>1108</v>
      </c>
      <c r="F159" s="76">
        <v>1</v>
      </c>
      <c r="G159" s="76">
        <v>23.2</v>
      </c>
      <c r="H159" s="76">
        <f>G159*F159</f>
        <v>23.2</v>
      </c>
      <c r="I159" s="77"/>
      <c r="J159" s="221"/>
      <c r="K159" s="239"/>
      <c r="L159" s="78"/>
      <c r="M159" s="240"/>
      <c r="N159" s="212"/>
      <c r="O159" s="177"/>
      <c r="P159" s="230"/>
      <c r="Q159" s="275"/>
      <c r="R159" s="176"/>
      <c r="S159" s="276"/>
    </row>
    <row r="160" spans="1:19" ht="12" x14ac:dyDescent="0.35">
      <c r="A160" s="149"/>
      <c r="B160" s="36"/>
      <c r="C160" s="34"/>
      <c r="D160" s="36"/>
      <c r="E160" s="79" t="s">
        <v>1109</v>
      </c>
      <c r="F160" s="76">
        <v>1</v>
      </c>
      <c r="G160" s="76">
        <v>8</v>
      </c>
      <c r="H160" s="76">
        <f>G160*F160</f>
        <v>8</v>
      </c>
      <c r="I160" s="77"/>
      <c r="J160" s="221"/>
      <c r="K160" s="234"/>
      <c r="L160" s="43"/>
      <c r="M160" s="235"/>
      <c r="N160" s="207"/>
      <c r="O160" s="39"/>
      <c r="P160" s="230"/>
      <c r="Q160" s="275"/>
      <c r="R160" s="176"/>
      <c r="S160" s="276"/>
    </row>
    <row r="161" spans="1:19" s="66" customFormat="1" ht="12" x14ac:dyDescent="0.3">
      <c r="A161" s="71"/>
      <c r="B161" s="72"/>
      <c r="C161" s="73"/>
      <c r="D161" s="74"/>
      <c r="E161" s="80" t="s">
        <v>869</v>
      </c>
      <c r="F161" s="81"/>
      <c r="G161" s="81"/>
      <c r="H161" s="81">
        <f>SUM(H159:H160)</f>
        <v>31.2</v>
      </c>
      <c r="I161" s="77"/>
      <c r="J161" s="221"/>
      <c r="K161" s="239"/>
      <c r="L161" s="78"/>
      <c r="M161" s="240"/>
      <c r="N161" s="212"/>
      <c r="O161" s="177"/>
      <c r="P161" s="230"/>
      <c r="Q161" s="275"/>
      <c r="R161" s="176"/>
      <c r="S161" s="276"/>
    </row>
    <row r="162" spans="1:19" s="66" customFormat="1" ht="12" x14ac:dyDescent="0.3">
      <c r="A162" s="71"/>
      <c r="B162" s="72"/>
      <c r="C162" s="73"/>
      <c r="D162" s="74"/>
      <c r="E162" s="80" t="s">
        <v>870</v>
      </c>
      <c r="F162" s="81"/>
      <c r="G162" s="81"/>
      <c r="H162" s="81">
        <f>H161/3.28</f>
        <v>9.5121951219512191</v>
      </c>
      <c r="I162" s="82">
        <v>4.95</v>
      </c>
      <c r="J162" s="221">
        <f>(I162*H162)</f>
        <v>47.085365853658537</v>
      </c>
      <c r="K162" s="239"/>
      <c r="L162" s="78"/>
      <c r="M162" s="240"/>
      <c r="N162" s="212"/>
      <c r="O162" s="177"/>
      <c r="P162" s="230"/>
      <c r="Q162" s="275"/>
      <c r="R162" s="176"/>
      <c r="S162" s="276"/>
    </row>
    <row r="163" spans="1:19" s="66" customFormat="1" ht="12" x14ac:dyDescent="0.3">
      <c r="A163" s="71"/>
      <c r="B163" s="72"/>
      <c r="C163" s="73"/>
      <c r="D163" s="74"/>
      <c r="E163" s="80"/>
      <c r="F163" s="81"/>
      <c r="G163" s="81"/>
      <c r="H163" s="81"/>
      <c r="I163" s="77"/>
      <c r="J163" s="221"/>
      <c r="K163" s="239"/>
      <c r="L163" s="78"/>
      <c r="M163" s="240"/>
      <c r="N163" s="212"/>
      <c r="O163" s="177"/>
      <c r="P163" s="230"/>
      <c r="Q163" s="275"/>
      <c r="R163" s="176"/>
      <c r="S163" s="276"/>
    </row>
    <row r="164" spans="1:19" x14ac:dyDescent="0.35">
      <c r="A164" s="149"/>
      <c r="B164" s="36"/>
      <c r="C164" s="34"/>
      <c r="D164" s="36"/>
      <c r="E164" s="44"/>
      <c r="F164" s="36"/>
      <c r="G164" s="37"/>
      <c r="H164" s="37"/>
      <c r="I164" s="37"/>
      <c r="J164" s="110"/>
      <c r="K164" s="234"/>
      <c r="L164" s="43"/>
      <c r="M164" s="235"/>
      <c r="N164" s="207"/>
      <c r="O164" s="39"/>
      <c r="P164" s="230"/>
      <c r="Q164" s="275"/>
      <c r="R164" s="176"/>
      <c r="S164" s="276"/>
    </row>
    <row r="165" spans="1:19" ht="23" x14ac:dyDescent="0.35">
      <c r="A165" s="149"/>
      <c r="B165" s="36"/>
      <c r="C165" s="34" t="s">
        <v>57</v>
      </c>
      <c r="D165" s="36" t="s">
        <v>82</v>
      </c>
      <c r="E165" s="44" t="s">
        <v>83</v>
      </c>
      <c r="F165" s="36" t="s">
        <v>81</v>
      </c>
      <c r="G165" s="37"/>
      <c r="H165" s="37"/>
      <c r="I165" s="37"/>
      <c r="J165" s="110"/>
      <c r="K165" s="234">
        <v>0</v>
      </c>
      <c r="L165" s="43">
        <v>130</v>
      </c>
      <c r="M165" s="235">
        <f t="shared" si="19"/>
        <v>0</v>
      </c>
      <c r="N165" s="207">
        <v>0</v>
      </c>
      <c r="O165" s="39">
        <v>130</v>
      </c>
      <c r="P165" s="230">
        <f t="shared" si="20"/>
        <v>0</v>
      </c>
      <c r="Q165" s="275">
        <f t="shared" ref="Q165:Q210" si="21">K165-N165</f>
        <v>0</v>
      </c>
      <c r="R165" s="176">
        <f t="shared" ref="R165:R210" si="22">L165-O165</f>
        <v>0</v>
      </c>
      <c r="S165" s="276">
        <f t="shared" ref="S165:S210" si="23">M165-P165</f>
        <v>0</v>
      </c>
    </row>
    <row r="166" spans="1:19" ht="34.5" x14ac:dyDescent="0.35">
      <c r="A166" s="149"/>
      <c r="B166" s="36"/>
      <c r="C166" s="34" t="s">
        <v>59</v>
      </c>
      <c r="D166" s="36" t="s">
        <v>84</v>
      </c>
      <c r="E166" s="44" t="s">
        <v>85</v>
      </c>
      <c r="F166" s="36" t="s">
        <v>81</v>
      </c>
      <c r="G166" s="37"/>
      <c r="H166" s="37"/>
      <c r="I166" s="37"/>
      <c r="J166" s="110"/>
      <c r="K166" s="234">
        <v>0</v>
      </c>
      <c r="L166" s="43">
        <v>468</v>
      </c>
      <c r="M166" s="235">
        <f t="shared" si="19"/>
        <v>0</v>
      </c>
      <c r="N166" s="207">
        <v>0</v>
      </c>
      <c r="O166" s="39">
        <v>468</v>
      </c>
      <c r="P166" s="230">
        <f t="shared" si="20"/>
        <v>0</v>
      </c>
      <c r="Q166" s="275">
        <f t="shared" si="21"/>
        <v>0</v>
      </c>
      <c r="R166" s="176">
        <f t="shared" si="22"/>
        <v>0</v>
      </c>
      <c r="S166" s="276">
        <f t="shared" si="23"/>
        <v>0</v>
      </c>
    </row>
    <row r="167" spans="1:19" ht="46" x14ac:dyDescent="0.35">
      <c r="A167" s="131"/>
      <c r="B167" s="34"/>
      <c r="C167" s="34" t="s">
        <v>92</v>
      </c>
      <c r="D167" s="36" t="s">
        <v>87</v>
      </c>
      <c r="E167" s="44" t="s">
        <v>88</v>
      </c>
      <c r="F167" s="36" t="s">
        <v>71</v>
      </c>
      <c r="G167" s="37"/>
      <c r="H167" s="37"/>
      <c r="I167" s="37"/>
      <c r="J167" s="110"/>
      <c r="K167" s="234">
        <v>0</v>
      </c>
      <c r="L167" s="43">
        <v>811.2</v>
      </c>
      <c r="M167" s="235">
        <f t="shared" si="19"/>
        <v>0</v>
      </c>
      <c r="N167" s="207">
        <v>0</v>
      </c>
      <c r="O167" s="39">
        <v>811.2</v>
      </c>
      <c r="P167" s="230">
        <f t="shared" si="20"/>
        <v>0</v>
      </c>
      <c r="Q167" s="275">
        <f t="shared" si="21"/>
        <v>0</v>
      </c>
      <c r="R167" s="176">
        <f t="shared" si="22"/>
        <v>0</v>
      </c>
      <c r="S167" s="276">
        <f t="shared" si="23"/>
        <v>0</v>
      </c>
    </row>
    <row r="168" spans="1:19" x14ac:dyDescent="0.35">
      <c r="A168" s="46" t="s">
        <v>89</v>
      </c>
      <c r="B168" s="52"/>
      <c r="C168" s="34"/>
      <c r="D168" s="34"/>
      <c r="E168" s="46"/>
      <c r="F168" s="52"/>
      <c r="G168" s="53"/>
      <c r="H168" s="53"/>
      <c r="I168" s="53"/>
      <c r="J168" s="219"/>
      <c r="K168" s="236"/>
      <c r="L168" s="56"/>
      <c r="M168" s="210">
        <f>SUM(M124:M167)</f>
        <v>22452.557134146344</v>
      </c>
      <c r="N168" s="207"/>
      <c r="O168" s="39"/>
      <c r="P168" s="271">
        <f>SUM(P124:P167)</f>
        <v>39060</v>
      </c>
      <c r="Q168" s="277">
        <f t="shared" si="21"/>
        <v>0</v>
      </c>
      <c r="R168" s="266">
        <f t="shared" si="22"/>
        <v>0</v>
      </c>
      <c r="S168" s="278">
        <f t="shared" si="23"/>
        <v>-16607.442865853656</v>
      </c>
    </row>
    <row r="169" spans="1:19" x14ac:dyDescent="0.35">
      <c r="A169" s="46"/>
      <c r="B169" s="52" t="s">
        <v>90</v>
      </c>
      <c r="C169" s="34"/>
      <c r="D169" s="34"/>
      <c r="E169" s="46" t="s">
        <v>91</v>
      </c>
      <c r="F169" s="52"/>
      <c r="G169" s="53"/>
      <c r="H169" s="53"/>
      <c r="I169" s="53"/>
      <c r="J169" s="219"/>
      <c r="K169" s="236"/>
      <c r="L169" s="56"/>
      <c r="M169" s="210"/>
      <c r="N169" s="207"/>
      <c r="O169" s="39"/>
      <c r="P169" s="230"/>
      <c r="Q169" s="275"/>
      <c r="R169" s="176"/>
      <c r="S169" s="276"/>
    </row>
    <row r="170" spans="1:19" ht="149.5" x14ac:dyDescent="0.35">
      <c r="A170" s="149"/>
      <c r="B170" s="36"/>
      <c r="C170" s="34" t="s">
        <v>8</v>
      </c>
      <c r="D170" s="36" t="s">
        <v>910</v>
      </c>
      <c r="E170" s="44" t="s">
        <v>695</v>
      </c>
      <c r="F170" s="36" t="s">
        <v>71</v>
      </c>
      <c r="G170" s="37"/>
      <c r="H170" s="37"/>
      <c r="I170" s="37"/>
      <c r="J170" s="110"/>
      <c r="K170" s="234">
        <v>0</v>
      </c>
      <c r="L170" s="43">
        <v>131.81</v>
      </c>
      <c r="M170" s="235">
        <f>L170*$K170</f>
        <v>0</v>
      </c>
      <c r="N170" s="207">
        <v>0</v>
      </c>
      <c r="O170" s="39">
        <v>132</v>
      </c>
      <c r="P170" s="230">
        <f>O170*N170</f>
        <v>0</v>
      </c>
      <c r="Q170" s="275">
        <f t="shared" si="21"/>
        <v>0</v>
      </c>
      <c r="R170" s="176">
        <f t="shared" si="22"/>
        <v>-0.18999999999999773</v>
      </c>
      <c r="S170" s="276">
        <f t="shared" si="23"/>
        <v>0</v>
      </c>
    </row>
    <row r="171" spans="1:19" ht="149.5" x14ac:dyDescent="0.35">
      <c r="A171" s="149"/>
      <c r="B171" s="36"/>
      <c r="C171" s="34" t="s">
        <v>26</v>
      </c>
      <c r="D171" s="36" t="s">
        <v>911</v>
      </c>
      <c r="E171" s="44" t="s">
        <v>696</v>
      </c>
      <c r="F171" s="36" t="s">
        <v>71</v>
      </c>
      <c r="G171" s="37"/>
      <c r="H171" s="37"/>
      <c r="I171" s="37"/>
      <c r="J171" s="110"/>
      <c r="K171" s="234">
        <v>0</v>
      </c>
      <c r="L171" s="43">
        <v>142.4</v>
      </c>
      <c r="M171" s="235">
        <f>L171*$K171</f>
        <v>0</v>
      </c>
      <c r="N171" s="207">
        <v>0</v>
      </c>
      <c r="O171" s="39">
        <v>142.4</v>
      </c>
      <c r="P171" s="230">
        <f>O171*N171</f>
        <v>0</v>
      </c>
      <c r="Q171" s="275">
        <f t="shared" si="21"/>
        <v>0</v>
      </c>
      <c r="R171" s="176">
        <f t="shared" si="22"/>
        <v>0</v>
      </c>
      <c r="S171" s="276">
        <f t="shared" si="23"/>
        <v>0</v>
      </c>
    </row>
    <row r="172" spans="1:19" ht="126.5" x14ac:dyDescent="0.35">
      <c r="A172" s="149"/>
      <c r="B172" s="36"/>
      <c r="C172" s="34" t="s">
        <v>38</v>
      </c>
      <c r="D172" s="36" t="s">
        <v>912</v>
      </c>
      <c r="E172" s="44" t="s">
        <v>697</v>
      </c>
      <c r="F172" s="36" t="s">
        <v>71</v>
      </c>
      <c r="G172" s="37"/>
      <c r="H172" s="37"/>
      <c r="I172" s="37"/>
      <c r="J172" s="110"/>
      <c r="K172" s="234">
        <v>0</v>
      </c>
      <c r="L172" s="43">
        <v>142.4</v>
      </c>
      <c r="M172" s="235">
        <f>L172*$K172</f>
        <v>0</v>
      </c>
      <c r="N172" s="207">
        <v>0</v>
      </c>
      <c r="O172" s="39">
        <v>142.4</v>
      </c>
      <c r="P172" s="230">
        <f t="shared" ref="P172:P221" si="24">O172*N172</f>
        <v>0</v>
      </c>
      <c r="Q172" s="275">
        <f t="shared" si="21"/>
        <v>0</v>
      </c>
      <c r="R172" s="176">
        <f t="shared" si="22"/>
        <v>0</v>
      </c>
      <c r="S172" s="276">
        <f t="shared" si="23"/>
        <v>0</v>
      </c>
    </row>
    <row r="173" spans="1:19" ht="138" x14ac:dyDescent="0.35">
      <c r="A173" s="131"/>
      <c r="B173" s="34"/>
      <c r="C173" s="34" t="s">
        <v>57</v>
      </c>
      <c r="D173" s="36" t="s">
        <v>913</v>
      </c>
      <c r="E173" s="44" t="s">
        <v>698</v>
      </c>
      <c r="F173" s="36" t="s">
        <v>71</v>
      </c>
      <c r="G173" s="37"/>
      <c r="H173" s="37"/>
      <c r="I173" s="37"/>
      <c r="J173" s="110"/>
      <c r="K173" s="234">
        <f>SUM(K174:K182)</f>
        <v>670.11656666666681</v>
      </c>
      <c r="L173" s="43">
        <v>160</v>
      </c>
      <c r="M173" s="235">
        <f>L173*$K173</f>
        <v>107218.65066666668</v>
      </c>
      <c r="N173" s="207">
        <v>654</v>
      </c>
      <c r="O173" s="39">
        <v>160</v>
      </c>
      <c r="P173" s="230">
        <f t="shared" si="24"/>
        <v>104640</v>
      </c>
      <c r="Q173" s="275">
        <f t="shared" si="21"/>
        <v>16.116566666666813</v>
      </c>
      <c r="R173" s="176">
        <f t="shared" si="22"/>
        <v>0</v>
      </c>
      <c r="S173" s="276">
        <f t="shared" si="23"/>
        <v>2578.6506666666828</v>
      </c>
    </row>
    <row r="174" spans="1:19" x14ac:dyDescent="0.35">
      <c r="A174" s="131"/>
      <c r="B174" s="34"/>
      <c r="C174" s="34"/>
      <c r="D174" s="36"/>
      <c r="E174" s="44" t="s">
        <v>788</v>
      </c>
      <c r="F174" s="36"/>
      <c r="G174" s="37">
        <v>1</v>
      </c>
      <c r="H174" s="37">
        <v>27.5</v>
      </c>
      <c r="I174" s="37">
        <v>11.35</v>
      </c>
      <c r="J174" s="110"/>
      <c r="K174" s="234">
        <f>I174*H174*G174</f>
        <v>312.125</v>
      </c>
      <c r="L174" s="43"/>
      <c r="M174" s="235"/>
      <c r="N174" s="207"/>
      <c r="O174" s="39"/>
      <c r="P174" s="230"/>
      <c r="Q174" s="275"/>
      <c r="R174" s="176"/>
      <c r="S174" s="276"/>
    </row>
    <row r="175" spans="1:19" x14ac:dyDescent="0.35">
      <c r="A175" s="131"/>
      <c r="B175" s="34"/>
      <c r="C175" s="34"/>
      <c r="D175" s="36"/>
      <c r="E175" s="44" t="s">
        <v>1009</v>
      </c>
      <c r="F175" s="36"/>
      <c r="G175" s="37">
        <v>1</v>
      </c>
      <c r="H175" s="37">
        <v>13.26</v>
      </c>
      <c r="I175" s="37">
        <v>8.24</v>
      </c>
      <c r="J175" s="110"/>
      <c r="K175" s="234">
        <f t="shared" ref="K175:K181" si="25">I175*H175*G175</f>
        <v>109.2624</v>
      </c>
      <c r="L175" s="43"/>
      <c r="M175" s="235"/>
      <c r="N175" s="207"/>
      <c r="O175" s="39"/>
      <c r="P175" s="230"/>
      <c r="Q175" s="275"/>
      <c r="R175" s="176"/>
      <c r="S175" s="276"/>
    </row>
    <row r="176" spans="1:19" x14ac:dyDescent="0.35">
      <c r="A176" s="131"/>
      <c r="B176" s="34"/>
      <c r="C176" s="34"/>
      <c r="D176" s="36"/>
      <c r="E176" s="44" t="s">
        <v>789</v>
      </c>
      <c r="F176" s="36"/>
      <c r="G176" s="37">
        <v>1</v>
      </c>
      <c r="H176" s="37">
        <v>7</v>
      </c>
      <c r="I176" s="37">
        <v>25</v>
      </c>
      <c r="J176" s="110"/>
      <c r="K176" s="234">
        <f t="shared" si="25"/>
        <v>175</v>
      </c>
      <c r="L176" s="43"/>
      <c r="M176" s="235"/>
      <c r="N176" s="207"/>
      <c r="O176" s="39"/>
      <c r="P176" s="230"/>
      <c r="Q176" s="275"/>
      <c r="R176" s="176"/>
      <c r="S176" s="276"/>
    </row>
    <row r="177" spans="1:19" x14ac:dyDescent="0.35">
      <c r="A177" s="131"/>
      <c r="B177" s="34"/>
      <c r="C177" s="34"/>
      <c r="D177" s="36"/>
      <c r="E177" s="51" t="s">
        <v>863</v>
      </c>
      <c r="F177" s="36"/>
      <c r="G177" s="37">
        <v>-1</v>
      </c>
      <c r="H177" s="37">
        <v>3</v>
      </c>
      <c r="I177" s="37">
        <f>5/12</f>
        <v>0.41666666666666669</v>
      </c>
      <c r="J177" s="110"/>
      <c r="K177" s="234">
        <f t="shared" si="25"/>
        <v>-1.25</v>
      </c>
      <c r="L177" s="43"/>
      <c r="M177" s="235"/>
      <c r="N177" s="207"/>
      <c r="O177" s="39"/>
      <c r="P177" s="230"/>
      <c r="Q177" s="275"/>
      <c r="R177" s="176"/>
      <c r="S177" s="276"/>
    </row>
    <row r="178" spans="1:19" x14ac:dyDescent="0.35">
      <c r="A178" s="131"/>
      <c r="B178" s="34"/>
      <c r="C178" s="34"/>
      <c r="D178" s="36"/>
      <c r="E178" s="51" t="s">
        <v>863</v>
      </c>
      <c r="F178" s="36"/>
      <c r="G178" s="37">
        <v>-1</v>
      </c>
      <c r="H178" s="37">
        <v>4</v>
      </c>
      <c r="I178" s="37">
        <f>5/12</f>
        <v>0.41666666666666669</v>
      </c>
      <c r="J178" s="110"/>
      <c r="K178" s="234">
        <f t="shared" si="25"/>
        <v>-1.6666666666666667</v>
      </c>
      <c r="L178" s="43"/>
      <c r="M178" s="235"/>
      <c r="N178" s="207"/>
      <c r="O178" s="39"/>
      <c r="P178" s="230"/>
      <c r="Q178" s="275"/>
      <c r="R178" s="176"/>
      <c r="S178" s="276"/>
    </row>
    <row r="179" spans="1:19" x14ac:dyDescent="0.35">
      <c r="A179" s="131"/>
      <c r="B179" s="34"/>
      <c r="C179" s="34"/>
      <c r="D179" s="36"/>
      <c r="E179" s="51" t="s">
        <v>863</v>
      </c>
      <c r="F179" s="36"/>
      <c r="G179" s="37">
        <v>-1</v>
      </c>
      <c r="H179" s="37">
        <v>2.25</v>
      </c>
      <c r="I179" s="37">
        <f>7/12</f>
        <v>0.58333333333333337</v>
      </c>
      <c r="J179" s="110"/>
      <c r="K179" s="234">
        <f t="shared" si="25"/>
        <v>-1.3125</v>
      </c>
      <c r="L179" s="43"/>
      <c r="M179" s="235"/>
      <c r="N179" s="207"/>
      <c r="O179" s="39"/>
      <c r="P179" s="230"/>
      <c r="Q179" s="275"/>
      <c r="R179" s="176"/>
      <c r="S179" s="276"/>
    </row>
    <row r="180" spans="1:19" x14ac:dyDescent="0.35">
      <c r="A180" s="131"/>
      <c r="B180" s="34"/>
      <c r="C180" s="34"/>
      <c r="D180" s="36"/>
      <c r="E180" s="51" t="s">
        <v>863</v>
      </c>
      <c r="F180" s="36"/>
      <c r="G180" s="37">
        <v>-1</v>
      </c>
      <c r="H180" s="37">
        <v>3.5</v>
      </c>
      <c r="I180" s="37">
        <f>7/12</f>
        <v>0.58333333333333337</v>
      </c>
      <c r="J180" s="110"/>
      <c r="K180" s="234">
        <f t="shared" si="25"/>
        <v>-2.041666666666667</v>
      </c>
      <c r="L180" s="43"/>
      <c r="M180" s="235"/>
      <c r="N180" s="207"/>
      <c r="O180" s="39"/>
      <c r="P180" s="230"/>
      <c r="Q180" s="275"/>
      <c r="R180" s="176"/>
      <c r="S180" s="276"/>
    </row>
    <row r="181" spans="1:19" x14ac:dyDescent="0.35">
      <c r="A181" s="131"/>
      <c r="B181" s="34"/>
      <c r="C181" s="34"/>
      <c r="D181" s="36"/>
      <c r="E181" s="44" t="s">
        <v>1010</v>
      </c>
      <c r="F181" s="36"/>
      <c r="G181" s="37">
        <v>1</v>
      </c>
      <c r="H181" s="37">
        <v>10</v>
      </c>
      <c r="I181" s="37">
        <v>8</v>
      </c>
      <c r="J181" s="110"/>
      <c r="K181" s="234">
        <f t="shared" si="25"/>
        <v>80</v>
      </c>
      <c r="L181" s="43"/>
      <c r="M181" s="235"/>
      <c r="N181" s="207"/>
      <c r="O181" s="39"/>
      <c r="P181" s="230"/>
      <c r="Q181" s="275"/>
      <c r="R181" s="176"/>
      <c r="S181" s="276"/>
    </row>
    <row r="182" spans="1:19" x14ac:dyDescent="0.35">
      <c r="A182" s="131"/>
      <c r="B182" s="34"/>
      <c r="C182" s="34"/>
      <c r="D182" s="36"/>
      <c r="E182" s="44"/>
      <c r="F182" s="36"/>
      <c r="G182" s="37"/>
      <c r="H182" s="37"/>
      <c r="I182" s="37"/>
      <c r="J182" s="110"/>
      <c r="K182" s="234"/>
      <c r="L182" s="43"/>
      <c r="M182" s="235"/>
      <c r="N182" s="207"/>
      <c r="O182" s="39"/>
      <c r="P182" s="230"/>
      <c r="Q182" s="275"/>
      <c r="R182" s="176"/>
      <c r="S182" s="276"/>
    </row>
    <row r="183" spans="1:19" ht="92" x14ac:dyDescent="0.35">
      <c r="A183" s="131"/>
      <c r="B183" s="34"/>
      <c r="C183" s="34" t="s">
        <v>515</v>
      </c>
      <c r="D183" s="36" t="s">
        <v>914</v>
      </c>
      <c r="E183" s="44" t="s">
        <v>733</v>
      </c>
      <c r="F183" s="36" t="s">
        <v>71</v>
      </c>
      <c r="G183" s="37"/>
      <c r="H183" s="37"/>
      <c r="I183" s="37"/>
      <c r="J183" s="110"/>
      <c r="K183" s="234">
        <v>0</v>
      </c>
      <c r="L183" s="43">
        <v>139.78</v>
      </c>
      <c r="M183" s="235">
        <f t="shared" ref="M183:M189" si="26">L183*$K183</f>
        <v>0</v>
      </c>
      <c r="N183" s="207">
        <v>0</v>
      </c>
      <c r="O183" s="39">
        <v>140</v>
      </c>
      <c r="P183" s="230">
        <f t="shared" si="24"/>
        <v>0</v>
      </c>
      <c r="Q183" s="275">
        <f t="shared" si="21"/>
        <v>0</v>
      </c>
      <c r="R183" s="176">
        <f t="shared" si="22"/>
        <v>-0.21999999999999886</v>
      </c>
      <c r="S183" s="276">
        <f t="shared" si="23"/>
        <v>0</v>
      </c>
    </row>
    <row r="184" spans="1:19" ht="103.5" x14ac:dyDescent="0.35">
      <c r="A184" s="131"/>
      <c r="B184" s="34"/>
      <c r="C184" s="34" t="s">
        <v>59</v>
      </c>
      <c r="D184" s="36" t="s">
        <v>915</v>
      </c>
      <c r="E184" s="44" t="s">
        <v>718</v>
      </c>
      <c r="F184" s="36" t="s">
        <v>71</v>
      </c>
      <c r="G184" s="37"/>
      <c r="H184" s="37"/>
      <c r="I184" s="37"/>
      <c r="J184" s="110"/>
      <c r="K184" s="234">
        <v>0</v>
      </c>
      <c r="L184" s="43">
        <v>127.56</v>
      </c>
      <c r="M184" s="235">
        <f t="shared" si="26"/>
        <v>0</v>
      </c>
      <c r="N184" s="207">
        <v>0</v>
      </c>
      <c r="O184" s="39">
        <v>127.56</v>
      </c>
      <c r="P184" s="230">
        <f t="shared" si="24"/>
        <v>0</v>
      </c>
      <c r="Q184" s="275">
        <f t="shared" si="21"/>
        <v>0</v>
      </c>
      <c r="R184" s="176">
        <f t="shared" si="22"/>
        <v>0</v>
      </c>
      <c r="S184" s="276">
        <f t="shared" si="23"/>
        <v>0</v>
      </c>
    </row>
    <row r="185" spans="1:19" ht="138" x14ac:dyDescent="0.35">
      <c r="A185" s="149"/>
      <c r="B185" s="36"/>
      <c r="C185" s="34" t="s">
        <v>92</v>
      </c>
      <c r="D185" s="36" t="s">
        <v>916</v>
      </c>
      <c r="E185" s="83" t="s">
        <v>719</v>
      </c>
      <c r="F185" s="36" t="s">
        <v>71</v>
      </c>
      <c r="G185" s="37"/>
      <c r="H185" s="37"/>
      <c r="I185" s="37"/>
      <c r="J185" s="110"/>
      <c r="K185" s="234">
        <v>0</v>
      </c>
      <c r="L185" s="43">
        <v>237.57</v>
      </c>
      <c r="M185" s="235">
        <f t="shared" si="26"/>
        <v>0</v>
      </c>
      <c r="N185" s="207">
        <v>0</v>
      </c>
      <c r="O185" s="39">
        <v>238</v>
      </c>
      <c r="P185" s="230">
        <f t="shared" si="24"/>
        <v>0</v>
      </c>
      <c r="Q185" s="275">
        <f t="shared" si="21"/>
        <v>0</v>
      </c>
      <c r="R185" s="176">
        <f t="shared" si="22"/>
        <v>-0.43000000000000682</v>
      </c>
      <c r="S185" s="276">
        <f t="shared" si="23"/>
        <v>0</v>
      </c>
    </row>
    <row r="186" spans="1:19" ht="80.5" x14ac:dyDescent="0.35">
      <c r="A186" s="149"/>
      <c r="B186" s="36"/>
      <c r="C186" s="34" t="s">
        <v>86</v>
      </c>
      <c r="D186" s="36" t="s">
        <v>93</v>
      </c>
      <c r="E186" s="44" t="s">
        <v>731</v>
      </c>
      <c r="F186" s="36" t="s">
        <v>71</v>
      </c>
      <c r="G186" s="37"/>
      <c r="H186" s="37"/>
      <c r="I186" s="37"/>
      <c r="J186" s="110"/>
      <c r="K186" s="234">
        <v>0</v>
      </c>
      <c r="L186" s="43">
        <v>237.57</v>
      </c>
      <c r="M186" s="235">
        <f t="shared" si="26"/>
        <v>0</v>
      </c>
      <c r="N186" s="207">
        <v>11</v>
      </c>
      <c r="O186" s="39">
        <v>238</v>
      </c>
      <c r="P186" s="230">
        <f t="shared" si="24"/>
        <v>2618</v>
      </c>
      <c r="Q186" s="275">
        <f t="shared" si="21"/>
        <v>-11</v>
      </c>
      <c r="R186" s="176">
        <f t="shared" si="22"/>
        <v>-0.43000000000000682</v>
      </c>
      <c r="S186" s="276">
        <f t="shared" si="23"/>
        <v>-2618</v>
      </c>
    </row>
    <row r="187" spans="1:19" ht="80.5" x14ac:dyDescent="0.35">
      <c r="A187" s="149"/>
      <c r="B187" s="36"/>
      <c r="C187" s="34" t="s">
        <v>94</v>
      </c>
      <c r="D187" s="36" t="s">
        <v>95</v>
      </c>
      <c r="E187" s="44" t="s">
        <v>732</v>
      </c>
      <c r="F187" s="36" t="s">
        <v>96</v>
      </c>
      <c r="G187" s="37"/>
      <c r="H187" s="37"/>
      <c r="I187" s="37"/>
      <c r="J187" s="110"/>
      <c r="K187" s="234">
        <v>0</v>
      </c>
      <c r="L187" s="43">
        <v>158.38</v>
      </c>
      <c r="M187" s="235">
        <f t="shared" si="26"/>
        <v>0</v>
      </c>
      <c r="N187" s="207">
        <v>0</v>
      </c>
      <c r="O187" s="39">
        <v>158</v>
      </c>
      <c r="P187" s="230">
        <f t="shared" si="24"/>
        <v>0</v>
      </c>
      <c r="Q187" s="275">
        <f t="shared" si="21"/>
        <v>0</v>
      </c>
      <c r="R187" s="176">
        <f t="shared" si="22"/>
        <v>0.37999999999999545</v>
      </c>
      <c r="S187" s="276">
        <f t="shared" si="23"/>
        <v>0</v>
      </c>
    </row>
    <row r="188" spans="1:19" ht="138" x14ac:dyDescent="0.35">
      <c r="A188" s="149"/>
      <c r="B188" s="36"/>
      <c r="C188" s="34" t="s">
        <v>97</v>
      </c>
      <c r="D188" s="36" t="s">
        <v>917</v>
      </c>
      <c r="E188" s="44" t="s">
        <v>667</v>
      </c>
      <c r="F188" s="36" t="s">
        <v>96</v>
      </c>
      <c r="G188" s="37"/>
      <c r="H188" s="37"/>
      <c r="I188" s="37"/>
      <c r="J188" s="110"/>
      <c r="K188" s="234">
        <v>0</v>
      </c>
      <c r="L188" s="43">
        <v>43.23</v>
      </c>
      <c r="M188" s="235">
        <f t="shared" si="26"/>
        <v>0</v>
      </c>
      <c r="N188" s="207">
        <v>0</v>
      </c>
      <c r="O188" s="39">
        <v>43.23</v>
      </c>
      <c r="P188" s="230">
        <f t="shared" si="24"/>
        <v>0</v>
      </c>
      <c r="Q188" s="275">
        <f t="shared" si="21"/>
        <v>0</v>
      </c>
      <c r="R188" s="176">
        <f t="shared" si="22"/>
        <v>0</v>
      </c>
      <c r="S188" s="276">
        <f t="shared" si="23"/>
        <v>0</v>
      </c>
    </row>
    <row r="189" spans="1:19" ht="138" x14ac:dyDescent="0.35">
      <c r="A189" s="149"/>
      <c r="B189" s="36"/>
      <c r="C189" s="34" t="s">
        <v>98</v>
      </c>
      <c r="D189" s="36" t="s">
        <v>918</v>
      </c>
      <c r="E189" s="44" t="s">
        <v>668</v>
      </c>
      <c r="F189" s="36" t="s">
        <v>96</v>
      </c>
      <c r="G189" s="37"/>
      <c r="H189" s="37"/>
      <c r="I189" s="37"/>
      <c r="J189" s="110"/>
      <c r="K189" s="234">
        <f>SUM(K190:K192)</f>
        <v>143.89999999999998</v>
      </c>
      <c r="L189" s="43">
        <v>45.85</v>
      </c>
      <c r="M189" s="235">
        <f t="shared" si="26"/>
        <v>6597.8149999999996</v>
      </c>
      <c r="N189" s="207">
        <v>104</v>
      </c>
      <c r="O189" s="39">
        <v>45.85</v>
      </c>
      <c r="P189" s="230">
        <f t="shared" si="24"/>
        <v>4768.4000000000005</v>
      </c>
      <c r="Q189" s="275">
        <f t="shared" si="21"/>
        <v>39.899999999999977</v>
      </c>
      <c r="R189" s="176">
        <f t="shared" si="22"/>
        <v>0</v>
      </c>
      <c r="S189" s="276">
        <f t="shared" si="23"/>
        <v>1829.4149999999991</v>
      </c>
    </row>
    <row r="190" spans="1:19" s="160" customFormat="1" ht="34.5" x14ac:dyDescent="0.35">
      <c r="A190" s="154"/>
      <c r="B190" s="155"/>
      <c r="C190" s="156"/>
      <c r="D190" s="155"/>
      <c r="E190" s="157" t="s">
        <v>1011</v>
      </c>
      <c r="F190" s="155"/>
      <c r="G190" s="158">
        <v>1</v>
      </c>
      <c r="H190" s="158">
        <f>28.77+1.5+1.01+1.5+1.01+1.5+1.5+1.01+1.5+0.78+3.75+8.16+3.67+4+0.5+23.24</f>
        <v>83.399999999999991</v>
      </c>
      <c r="I190" s="158"/>
      <c r="J190" s="222"/>
      <c r="K190" s="241">
        <f>H190*G190</f>
        <v>83.399999999999991</v>
      </c>
      <c r="L190" s="159"/>
      <c r="M190" s="242"/>
      <c r="N190" s="213"/>
      <c r="O190" s="178"/>
      <c r="P190" s="230"/>
      <c r="Q190" s="275"/>
      <c r="R190" s="176"/>
      <c r="S190" s="276"/>
    </row>
    <row r="191" spans="1:19" s="160" customFormat="1" ht="23" x14ac:dyDescent="0.35">
      <c r="A191" s="154"/>
      <c r="B191" s="155"/>
      <c r="C191" s="156"/>
      <c r="D191" s="155"/>
      <c r="E191" s="157" t="s">
        <v>1012</v>
      </c>
      <c r="F191" s="155"/>
      <c r="G191" s="158">
        <v>1</v>
      </c>
      <c r="H191" s="160">
        <f>2+24+0.5+3.5+3+7+0.5+18+2</f>
        <v>60.5</v>
      </c>
      <c r="I191" s="158"/>
      <c r="J191" s="222"/>
      <c r="K191" s="241">
        <f>H191*G191</f>
        <v>60.5</v>
      </c>
      <c r="L191" s="159"/>
      <c r="M191" s="242"/>
      <c r="N191" s="213"/>
      <c r="O191" s="178"/>
      <c r="P191" s="230"/>
      <c r="Q191" s="275"/>
      <c r="R191" s="176"/>
      <c r="S191" s="276"/>
    </row>
    <row r="192" spans="1:19" x14ac:dyDescent="0.35">
      <c r="A192" s="149"/>
      <c r="B192" s="36"/>
      <c r="C192" s="34"/>
      <c r="D192" s="36"/>
      <c r="E192" s="44"/>
      <c r="F192" s="36"/>
      <c r="G192" s="37"/>
      <c r="H192" s="37"/>
      <c r="I192" s="37"/>
      <c r="J192" s="110"/>
      <c r="K192" s="234"/>
      <c r="L192" s="43"/>
      <c r="M192" s="235"/>
      <c r="N192" s="207"/>
      <c r="O192" s="39"/>
      <c r="P192" s="230"/>
      <c r="Q192" s="275"/>
      <c r="R192" s="176"/>
      <c r="S192" s="276"/>
    </row>
    <row r="193" spans="1:19" ht="80.5" x14ac:dyDescent="0.35">
      <c r="A193" s="149"/>
      <c r="B193" s="36"/>
      <c r="C193" s="34" t="s">
        <v>654</v>
      </c>
      <c r="D193" s="36" t="s">
        <v>919</v>
      </c>
      <c r="E193" s="44" t="s">
        <v>668</v>
      </c>
      <c r="F193" s="36" t="s">
        <v>96</v>
      </c>
      <c r="G193" s="37"/>
      <c r="H193" s="37"/>
      <c r="I193" s="37"/>
      <c r="J193" s="110"/>
      <c r="K193" s="234">
        <v>0</v>
      </c>
      <c r="L193" s="43">
        <v>45.85</v>
      </c>
      <c r="M193" s="235">
        <f>L193*$K193</f>
        <v>0</v>
      </c>
      <c r="N193" s="207">
        <v>0</v>
      </c>
      <c r="O193" s="39">
        <v>46</v>
      </c>
      <c r="P193" s="230">
        <f t="shared" si="24"/>
        <v>0</v>
      </c>
      <c r="Q193" s="275">
        <f t="shared" si="21"/>
        <v>0</v>
      </c>
      <c r="R193" s="176">
        <f t="shared" si="22"/>
        <v>-0.14999999999999858</v>
      </c>
      <c r="S193" s="276">
        <f t="shared" si="23"/>
        <v>0</v>
      </c>
    </row>
    <row r="194" spans="1:19" ht="115" x14ac:dyDescent="0.35">
      <c r="A194" s="149"/>
      <c r="B194" s="36"/>
      <c r="C194" s="34" t="s">
        <v>99</v>
      </c>
      <c r="D194" s="36" t="s">
        <v>920</v>
      </c>
      <c r="E194" s="44" t="s">
        <v>669</v>
      </c>
      <c r="F194" s="36" t="s">
        <v>96</v>
      </c>
      <c r="G194" s="37"/>
      <c r="H194" s="37"/>
      <c r="I194" s="37"/>
      <c r="J194" s="110"/>
      <c r="K194" s="234">
        <v>0</v>
      </c>
      <c r="L194" s="43">
        <v>46.71</v>
      </c>
      <c r="M194" s="235">
        <f>L194*$K194</f>
        <v>0</v>
      </c>
      <c r="N194" s="207">
        <v>0</v>
      </c>
      <c r="O194" s="39">
        <v>47</v>
      </c>
      <c r="P194" s="230">
        <f t="shared" si="24"/>
        <v>0</v>
      </c>
      <c r="Q194" s="275">
        <f t="shared" si="21"/>
        <v>0</v>
      </c>
      <c r="R194" s="176">
        <f t="shared" si="22"/>
        <v>-0.28999999999999915</v>
      </c>
      <c r="S194" s="276">
        <f t="shared" si="23"/>
        <v>0</v>
      </c>
    </row>
    <row r="195" spans="1:19" ht="80.5" x14ac:dyDescent="0.35">
      <c r="A195" s="149"/>
      <c r="B195" s="36"/>
      <c r="C195" s="34" t="s">
        <v>100</v>
      </c>
      <c r="D195" s="36" t="s">
        <v>921</v>
      </c>
      <c r="E195" s="42" t="s">
        <v>720</v>
      </c>
      <c r="F195" s="36" t="s">
        <v>71</v>
      </c>
      <c r="G195" s="37"/>
      <c r="H195" s="37"/>
      <c r="I195" s="37"/>
      <c r="J195" s="110"/>
      <c r="K195" s="234">
        <f>SUM(K196:K204)</f>
        <v>990.25</v>
      </c>
      <c r="L195" s="43">
        <v>150</v>
      </c>
      <c r="M195" s="235">
        <f>L195*$K195</f>
        <v>148537.5</v>
      </c>
      <c r="N195" s="207">
        <v>284</v>
      </c>
      <c r="O195" s="39">
        <v>150</v>
      </c>
      <c r="P195" s="230">
        <f t="shared" si="24"/>
        <v>42600</v>
      </c>
      <c r="Q195" s="275">
        <f t="shared" si="21"/>
        <v>706.25</v>
      </c>
      <c r="R195" s="176">
        <f t="shared" si="22"/>
        <v>0</v>
      </c>
      <c r="S195" s="276">
        <f t="shared" si="23"/>
        <v>105937.5</v>
      </c>
    </row>
    <row r="196" spans="1:19" x14ac:dyDescent="0.35">
      <c r="A196" s="149"/>
      <c r="B196" s="36"/>
      <c r="C196" s="34"/>
      <c r="D196" s="36"/>
      <c r="E196" s="44" t="s">
        <v>1014</v>
      </c>
      <c r="F196" s="36"/>
      <c r="G196" s="37"/>
      <c r="H196" s="37"/>
      <c r="I196" s="37"/>
      <c r="J196" s="110"/>
      <c r="K196" s="234">
        <f t="shared" ref="K196:K201" si="27">H196*G196*J196</f>
        <v>0</v>
      </c>
      <c r="L196" s="43"/>
      <c r="M196" s="235"/>
      <c r="N196" s="207"/>
      <c r="O196" s="39"/>
      <c r="P196" s="230"/>
      <c r="Q196" s="275"/>
      <c r="R196" s="176"/>
      <c r="S196" s="276"/>
    </row>
    <row r="197" spans="1:19" x14ac:dyDescent="0.35">
      <c r="A197" s="149"/>
      <c r="B197" s="36"/>
      <c r="C197" s="34"/>
      <c r="D197" s="36"/>
      <c r="E197" s="44" t="s">
        <v>1019</v>
      </c>
      <c r="F197" s="36"/>
      <c r="G197" s="37">
        <v>1</v>
      </c>
      <c r="H197" s="37">
        <v>3.5</v>
      </c>
      <c r="I197" s="37"/>
      <c r="J197" s="110">
        <v>0.5</v>
      </c>
      <c r="K197" s="234">
        <f t="shared" si="27"/>
        <v>1.75</v>
      </c>
      <c r="L197" s="43"/>
      <c r="M197" s="235"/>
      <c r="N197" s="207"/>
      <c r="O197" s="39"/>
      <c r="P197" s="230"/>
      <c r="Q197" s="275"/>
      <c r="R197" s="176"/>
      <c r="S197" s="276"/>
    </row>
    <row r="198" spans="1:19" x14ac:dyDescent="0.35">
      <c r="A198" s="149"/>
      <c r="B198" s="36"/>
      <c r="C198" s="34"/>
      <c r="D198" s="36"/>
      <c r="E198" s="44" t="s">
        <v>1018</v>
      </c>
      <c r="F198" s="36"/>
      <c r="G198" s="37">
        <v>1</v>
      </c>
      <c r="H198" s="37">
        <f>(24.5+2+7+3.5+18+2)</f>
        <v>57</v>
      </c>
      <c r="I198" s="37"/>
      <c r="J198" s="110">
        <v>7</v>
      </c>
      <c r="K198" s="234">
        <f t="shared" si="27"/>
        <v>399</v>
      </c>
      <c r="L198" s="43"/>
      <c r="M198" s="235"/>
      <c r="N198" s="207"/>
      <c r="O198" s="39"/>
      <c r="P198" s="230"/>
      <c r="Q198" s="275"/>
      <c r="R198" s="176"/>
      <c r="S198" s="276"/>
    </row>
    <row r="199" spans="1:19" x14ac:dyDescent="0.35">
      <c r="A199" s="149"/>
      <c r="B199" s="36"/>
      <c r="C199" s="34"/>
      <c r="D199" s="36"/>
      <c r="E199" s="44" t="s">
        <v>1015</v>
      </c>
      <c r="F199" s="36"/>
      <c r="G199" s="37">
        <v>1</v>
      </c>
      <c r="H199" s="37">
        <f>28+3.5</f>
        <v>31.5</v>
      </c>
      <c r="I199" s="37"/>
      <c r="J199" s="110">
        <v>8</v>
      </c>
      <c r="K199" s="234">
        <f t="shared" si="27"/>
        <v>252</v>
      </c>
      <c r="L199" s="43"/>
      <c r="M199" s="235"/>
      <c r="N199" s="207"/>
      <c r="O199" s="39"/>
      <c r="P199" s="230"/>
      <c r="Q199" s="275"/>
      <c r="R199" s="176"/>
      <c r="S199" s="276"/>
    </row>
    <row r="200" spans="1:19" x14ac:dyDescent="0.35">
      <c r="A200" s="149"/>
      <c r="B200" s="36"/>
      <c r="C200" s="34"/>
      <c r="D200" s="36"/>
      <c r="E200" s="44" t="s">
        <v>1016</v>
      </c>
      <c r="F200" s="36"/>
      <c r="G200" s="37">
        <v>1</v>
      </c>
      <c r="H200" s="37">
        <f>23+3.5+3.5+5.5</f>
        <v>35.5</v>
      </c>
      <c r="I200" s="37"/>
      <c r="J200" s="110">
        <v>8</v>
      </c>
      <c r="K200" s="234">
        <f t="shared" si="27"/>
        <v>284</v>
      </c>
      <c r="L200" s="43"/>
      <c r="M200" s="235"/>
      <c r="N200" s="207"/>
      <c r="O200" s="39"/>
      <c r="P200" s="230"/>
      <c r="Q200" s="275"/>
      <c r="R200" s="176"/>
      <c r="S200" s="276"/>
    </row>
    <row r="201" spans="1:19" x14ac:dyDescent="0.35">
      <c r="A201" s="149"/>
      <c r="B201" s="36"/>
      <c r="C201" s="34"/>
      <c r="D201" s="36"/>
      <c r="E201" s="44" t="s">
        <v>1017</v>
      </c>
      <c r="F201" s="36"/>
      <c r="G201" s="37">
        <v>1</v>
      </c>
      <c r="H201" s="37">
        <v>2</v>
      </c>
      <c r="I201" s="37"/>
      <c r="J201" s="110">
        <v>3</v>
      </c>
      <c r="K201" s="234">
        <f t="shared" si="27"/>
        <v>6</v>
      </c>
      <c r="L201" s="43"/>
      <c r="M201" s="235"/>
      <c r="N201" s="207"/>
      <c r="O201" s="39"/>
      <c r="P201" s="230"/>
      <c r="Q201" s="275"/>
      <c r="R201" s="176"/>
      <c r="S201" s="276"/>
    </row>
    <row r="202" spans="1:19" x14ac:dyDescent="0.35">
      <c r="A202" s="149"/>
      <c r="B202" s="36"/>
      <c r="C202" s="34"/>
      <c r="D202" s="36"/>
      <c r="E202" s="169" t="s">
        <v>1013</v>
      </c>
      <c r="F202" s="170"/>
      <c r="G202" s="171">
        <v>6</v>
      </c>
      <c r="H202" s="171">
        <v>0.75</v>
      </c>
      <c r="I202" s="37"/>
      <c r="J202" s="110">
        <v>8</v>
      </c>
      <c r="K202" s="234">
        <f t="shared" ref="K202:K204" si="28">H202*G202*J202</f>
        <v>36</v>
      </c>
      <c r="L202" s="43"/>
      <c r="M202" s="235"/>
      <c r="N202" s="207"/>
      <c r="O202" s="39"/>
      <c r="P202" s="230"/>
      <c r="Q202" s="275"/>
      <c r="R202" s="176"/>
      <c r="S202" s="276"/>
    </row>
    <row r="203" spans="1:19" x14ac:dyDescent="0.35">
      <c r="A203" s="149"/>
      <c r="B203" s="36"/>
      <c r="C203" s="34"/>
      <c r="D203" s="36"/>
      <c r="E203" s="44" t="s">
        <v>1019</v>
      </c>
      <c r="F203" s="36"/>
      <c r="G203" s="37">
        <v>1</v>
      </c>
      <c r="H203" s="37">
        <v>3.5</v>
      </c>
      <c r="I203" s="37"/>
      <c r="J203" s="110">
        <v>1</v>
      </c>
      <c r="K203" s="234">
        <f t="shared" si="28"/>
        <v>3.5</v>
      </c>
      <c r="L203" s="43"/>
      <c r="M203" s="235"/>
      <c r="N203" s="207"/>
      <c r="O203" s="39"/>
      <c r="P203" s="230"/>
      <c r="Q203" s="275"/>
      <c r="R203" s="176"/>
      <c r="S203" s="276"/>
    </row>
    <row r="204" spans="1:19" x14ac:dyDescent="0.35">
      <c r="A204" s="149"/>
      <c r="B204" s="36"/>
      <c r="C204" s="34"/>
      <c r="D204" s="36"/>
      <c r="E204" s="44" t="s">
        <v>1020</v>
      </c>
      <c r="F204" s="36"/>
      <c r="G204" s="37">
        <v>2</v>
      </c>
      <c r="H204" s="37">
        <v>4</v>
      </c>
      <c r="I204" s="37"/>
      <c r="J204" s="110">
        <v>1</v>
      </c>
      <c r="K204" s="234">
        <f t="shared" si="28"/>
        <v>8</v>
      </c>
      <c r="L204" s="43"/>
      <c r="M204" s="235"/>
      <c r="N204" s="207"/>
      <c r="O204" s="39"/>
      <c r="P204" s="230"/>
      <c r="Q204" s="275"/>
      <c r="R204" s="176"/>
      <c r="S204" s="276"/>
    </row>
    <row r="205" spans="1:19" x14ac:dyDescent="0.35">
      <c r="A205" s="149"/>
      <c r="B205" s="36"/>
      <c r="C205" s="34"/>
      <c r="D205" s="36"/>
      <c r="E205" s="44"/>
      <c r="F205" s="36"/>
      <c r="G205" s="37"/>
      <c r="H205" s="37"/>
      <c r="I205" s="37"/>
      <c r="J205" s="110"/>
      <c r="K205" s="234"/>
      <c r="L205" s="43"/>
      <c r="M205" s="235"/>
      <c r="N205" s="207"/>
      <c r="O205" s="39"/>
      <c r="P205" s="230"/>
      <c r="Q205" s="275"/>
      <c r="R205" s="176"/>
      <c r="S205" s="276"/>
    </row>
    <row r="206" spans="1:19" x14ac:dyDescent="0.35">
      <c r="A206" s="149"/>
      <c r="B206" s="36"/>
      <c r="C206" s="34"/>
      <c r="D206" s="36"/>
      <c r="E206" s="44"/>
      <c r="F206" s="36"/>
      <c r="G206" s="37"/>
      <c r="H206" s="37"/>
      <c r="I206" s="37"/>
      <c r="J206" s="110"/>
      <c r="K206" s="234"/>
      <c r="L206" s="43"/>
      <c r="M206" s="235"/>
      <c r="N206" s="207"/>
      <c r="O206" s="39"/>
      <c r="P206" s="230"/>
      <c r="Q206" s="275"/>
      <c r="R206" s="176"/>
      <c r="S206" s="276"/>
    </row>
    <row r="207" spans="1:19" ht="80.5" x14ac:dyDescent="0.35">
      <c r="A207" s="149"/>
      <c r="B207" s="36"/>
      <c r="C207" s="34" t="s">
        <v>101</v>
      </c>
      <c r="D207" s="36" t="s">
        <v>922</v>
      </c>
      <c r="E207" s="42" t="s">
        <v>721</v>
      </c>
      <c r="F207" s="36" t="s">
        <v>71</v>
      </c>
      <c r="G207" s="37"/>
      <c r="H207" s="37"/>
      <c r="I207" s="37"/>
      <c r="J207" s="110"/>
      <c r="K207" s="234">
        <v>0</v>
      </c>
      <c r="L207" s="43">
        <v>125</v>
      </c>
      <c r="M207" s="235">
        <f t="shared" ref="M207:M213" si="29">L207*$K207</f>
        <v>0</v>
      </c>
      <c r="N207" s="207">
        <v>271</v>
      </c>
      <c r="O207" s="39">
        <v>125</v>
      </c>
      <c r="P207" s="230">
        <f t="shared" si="24"/>
        <v>33875</v>
      </c>
      <c r="Q207" s="275">
        <f t="shared" si="21"/>
        <v>-271</v>
      </c>
      <c r="R207" s="176">
        <f t="shared" si="22"/>
        <v>0</v>
      </c>
      <c r="S207" s="276">
        <f t="shared" si="23"/>
        <v>-33875</v>
      </c>
    </row>
    <row r="208" spans="1:19" ht="80.5" x14ac:dyDescent="0.35">
      <c r="A208" s="149"/>
      <c r="B208" s="36"/>
      <c r="C208" s="34" t="s">
        <v>102</v>
      </c>
      <c r="D208" s="36" t="s">
        <v>104</v>
      </c>
      <c r="E208" s="42" t="s">
        <v>670</v>
      </c>
      <c r="F208" s="36" t="s">
        <v>71</v>
      </c>
      <c r="G208" s="37"/>
      <c r="H208" s="37"/>
      <c r="I208" s="37"/>
      <c r="J208" s="110"/>
      <c r="K208" s="234">
        <v>0</v>
      </c>
      <c r="L208" s="43">
        <v>124.92</v>
      </c>
      <c r="M208" s="235">
        <f t="shared" si="29"/>
        <v>0</v>
      </c>
      <c r="N208" s="207">
        <v>0</v>
      </c>
      <c r="O208" s="39">
        <v>125</v>
      </c>
      <c r="P208" s="230">
        <f t="shared" si="24"/>
        <v>0</v>
      </c>
      <c r="Q208" s="275">
        <f t="shared" si="21"/>
        <v>0</v>
      </c>
      <c r="R208" s="176">
        <f t="shared" si="22"/>
        <v>-7.9999999999998295E-2</v>
      </c>
      <c r="S208" s="276">
        <f t="shared" si="23"/>
        <v>0</v>
      </c>
    </row>
    <row r="209" spans="1:19" ht="92" x14ac:dyDescent="0.35">
      <c r="A209" s="149"/>
      <c r="B209" s="36"/>
      <c r="C209" s="34" t="s">
        <v>103</v>
      </c>
      <c r="D209" s="36" t="s">
        <v>106</v>
      </c>
      <c r="E209" s="44" t="s">
        <v>671</v>
      </c>
      <c r="F209" s="36" t="s">
        <v>71</v>
      </c>
      <c r="G209" s="37"/>
      <c r="H209" s="37"/>
      <c r="I209" s="37"/>
      <c r="J209" s="110"/>
      <c r="K209" s="234">
        <v>0</v>
      </c>
      <c r="L209" s="43">
        <v>220.09</v>
      </c>
      <c r="M209" s="235">
        <f t="shared" si="29"/>
        <v>0</v>
      </c>
      <c r="N209" s="207">
        <v>0</v>
      </c>
      <c r="O209" s="39">
        <v>220</v>
      </c>
      <c r="P209" s="230">
        <f t="shared" si="24"/>
        <v>0</v>
      </c>
      <c r="Q209" s="275">
        <f t="shared" si="21"/>
        <v>0</v>
      </c>
      <c r="R209" s="176">
        <f t="shared" si="22"/>
        <v>9.0000000000003411E-2</v>
      </c>
      <c r="S209" s="276">
        <f t="shared" si="23"/>
        <v>0</v>
      </c>
    </row>
    <row r="210" spans="1:19" ht="103.5" x14ac:dyDescent="0.35">
      <c r="A210" s="149"/>
      <c r="B210" s="36"/>
      <c r="C210" s="34" t="s">
        <v>105</v>
      </c>
      <c r="D210" s="36" t="s">
        <v>923</v>
      </c>
      <c r="E210" s="42" t="s">
        <v>740</v>
      </c>
      <c r="F210" s="36" t="s">
        <v>71</v>
      </c>
      <c r="G210" s="37"/>
      <c r="H210" s="37"/>
      <c r="I210" s="37"/>
      <c r="J210" s="110"/>
      <c r="K210" s="234">
        <v>0</v>
      </c>
      <c r="L210" s="43">
        <v>105.19</v>
      </c>
      <c r="M210" s="235">
        <f t="shared" si="29"/>
        <v>0</v>
      </c>
      <c r="N210" s="207">
        <v>0</v>
      </c>
      <c r="O210" s="39">
        <v>105</v>
      </c>
      <c r="P210" s="230">
        <f t="shared" si="24"/>
        <v>0</v>
      </c>
      <c r="Q210" s="275">
        <f t="shared" si="21"/>
        <v>0</v>
      </c>
      <c r="R210" s="176">
        <f t="shared" si="22"/>
        <v>0.18999999999999773</v>
      </c>
      <c r="S210" s="276">
        <f t="shared" si="23"/>
        <v>0</v>
      </c>
    </row>
    <row r="211" spans="1:19" ht="80.5" x14ac:dyDescent="0.35">
      <c r="A211" s="149"/>
      <c r="B211" s="36"/>
      <c r="C211" s="34" t="s">
        <v>107</v>
      </c>
      <c r="D211" s="36" t="s">
        <v>703</v>
      </c>
      <c r="E211" s="42" t="s">
        <v>702</v>
      </c>
      <c r="F211" s="36" t="s">
        <v>71</v>
      </c>
      <c r="G211" s="37"/>
      <c r="H211" s="37"/>
      <c r="I211" s="37"/>
      <c r="J211" s="110"/>
      <c r="K211" s="234">
        <v>0</v>
      </c>
      <c r="L211" s="43">
        <v>91.74</v>
      </c>
      <c r="M211" s="235">
        <f t="shared" si="29"/>
        <v>0</v>
      </c>
      <c r="N211" s="207">
        <v>30</v>
      </c>
      <c r="O211" s="39">
        <v>91.74</v>
      </c>
      <c r="P211" s="230">
        <f t="shared" si="24"/>
        <v>2752.2</v>
      </c>
      <c r="Q211" s="275">
        <f t="shared" ref="Q211:Q273" si="30">K211-N211</f>
        <v>-30</v>
      </c>
      <c r="R211" s="176">
        <f t="shared" ref="R211:R273" si="31">L211-O211</f>
        <v>0</v>
      </c>
      <c r="S211" s="276">
        <f t="shared" ref="S211:S273" si="32">M211-P211</f>
        <v>-2752.2</v>
      </c>
    </row>
    <row r="212" spans="1:19" ht="46" x14ac:dyDescent="0.35">
      <c r="A212" s="148"/>
      <c r="B212" s="39"/>
      <c r="C212" s="34" t="s">
        <v>108</v>
      </c>
      <c r="D212" s="36" t="s">
        <v>110</v>
      </c>
      <c r="E212" s="44" t="s">
        <v>516</v>
      </c>
      <c r="F212" s="36" t="s">
        <v>111</v>
      </c>
      <c r="G212" s="37"/>
      <c r="H212" s="37"/>
      <c r="I212" s="37"/>
      <c r="J212" s="110"/>
      <c r="K212" s="234">
        <v>0</v>
      </c>
      <c r="L212" s="43">
        <v>219.3</v>
      </c>
      <c r="M212" s="235">
        <f t="shared" si="29"/>
        <v>0</v>
      </c>
      <c r="N212" s="207">
        <v>16</v>
      </c>
      <c r="O212" s="172">
        <v>219.3</v>
      </c>
      <c r="P212" s="230">
        <f t="shared" si="24"/>
        <v>3508.8</v>
      </c>
      <c r="Q212" s="275">
        <f t="shared" si="30"/>
        <v>-16</v>
      </c>
      <c r="R212" s="176">
        <f t="shared" si="31"/>
        <v>0</v>
      </c>
      <c r="S212" s="276">
        <f t="shared" si="32"/>
        <v>-3508.8</v>
      </c>
    </row>
    <row r="213" spans="1:19" ht="34.5" x14ac:dyDescent="0.35">
      <c r="A213" s="148"/>
      <c r="B213" s="39"/>
      <c r="C213" s="34" t="s">
        <v>109</v>
      </c>
      <c r="D213" s="36" t="s">
        <v>705</v>
      </c>
      <c r="E213" s="48" t="s">
        <v>704</v>
      </c>
      <c r="F213" s="36" t="s">
        <v>111</v>
      </c>
      <c r="G213" s="37"/>
      <c r="H213" s="37"/>
      <c r="I213" s="37"/>
      <c r="J213" s="110"/>
      <c r="K213" s="234">
        <f>SUM(K214:K219)</f>
        <v>12.75</v>
      </c>
      <c r="L213" s="43">
        <v>244.8</v>
      </c>
      <c r="M213" s="235">
        <f t="shared" si="29"/>
        <v>3121.2000000000003</v>
      </c>
      <c r="N213" s="207">
        <v>0</v>
      </c>
      <c r="O213" s="39">
        <v>244.8</v>
      </c>
      <c r="P213" s="230">
        <f t="shared" si="24"/>
        <v>0</v>
      </c>
      <c r="Q213" s="275">
        <f t="shared" si="30"/>
        <v>12.75</v>
      </c>
      <c r="R213" s="176">
        <f t="shared" si="31"/>
        <v>0</v>
      </c>
      <c r="S213" s="276">
        <f t="shared" si="32"/>
        <v>3121.2000000000003</v>
      </c>
    </row>
    <row r="214" spans="1:19" x14ac:dyDescent="0.35">
      <c r="A214" s="148"/>
      <c r="B214" s="39"/>
      <c r="C214" s="34"/>
      <c r="D214" s="36"/>
      <c r="E214" s="51" t="s">
        <v>800</v>
      </c>
      <c r="F214" s="36"/>
      <c r="G214" s="37">
        <v>1</v>
      </c>
      <c r="H214" s="37">
        <v>3</v>
      </c>
      <c r="I214" s="37"/>
      <c r="J214" s="110">
        <v>1</v>
      </c>
      <c r="K214" s="234">
        <f>G214*H214*J214</f>
        <v>3</v>
      </c>
      <c r="L214" s="43"/>
      <c r="M214" s="235"/>
      <c r="N214" s="207"/>
      <c r="O214" s="39"/>
      <c r="P214" s="230"/>
      <c r="Q214" s="275"/>
      <c r="R214" s="176"/>
      <c r="S214" s="276"/>
    </row>
    <row r="215" spans="1:19" x14ac:dyDescent="0.35">
      <c r="A215" s="148"/>
      <c r="B215" s="39"/>
      <c r="C215" s="34"/>
      <c r="D215" s="36"/>
      <c r="E215" s="51" t="s">
        <v>800</v>
      </c>
      <c r="F215" s="36"/>
      <c r="G215" s="37">
        <v>1</v>
      </c>
      <c r="H215" s="37">
        <v>4</v>
      </c>
      <c r="I215" s="37"/>
      <c r="J215" s="110">
        <v>1</v>
      </c>
      <c r="K215" s="234">
        <f t="shared" ref="K215:K217" si="33">G215*H215*J215</f>
        <v>4</v>
      </c>
      <c r="L215" s="43"/>
      <c r="M215" s="235"/>
      <c r="N215" s="207"/>
      <c r="O215" s="39"/>
      <c r="P215" s="230"/>
      <c r="Q215" s="275"/>
      <c r="R215" s="176"/>
      <c r="S215" s="276"/>
    </row>
    <row r="216" spans="1:19" x14ac:dyDescent="0.35">
      <c r="A216" s="148"/>
      <c r="B216" s="39"/>
      <c r="C216" s="34"/>
      <c r="D216" s="36"/>
      <c r="E216" s="51" t="s">
        <v>800</v>
      </c>
      <c r="F216" s="36"/>
      <c r="G216" s="37">
        <v>1</v>
      </c>
      <c r="H216" s="37">
        <v>2.25</v>
      </c>
      <c r="I216" s="37"/>
      <c r="J216" s="110">
        <v>1</v>
      </c>
      <c r="K216" s="234">
        <f t="shared" si="33"/>
        <v>2.25</v>
      </c>
      <c r="L216" s="43"/>
      <c r="M216" s="235"/>
      <c r="N216" s="207"/>
      <c r="O216" s="39"/>
      <c r="P216" s="230"/>
      <c r="Q216" s="275"/>
      <c r="R216" s="176"/>
      <c r="S216" s="276"/>
    </row>
    <row r="217" spans="1:19" x14ac:dyDescent="0.35">
      <c r="A217" s="148"/>
      <c r="B217" s="39"/>
      <c r="C217" s="34"/>
      <c r="D217" s="36"/>
      <c r="E217" s="51" t="s">
        <v>800</v>
      </c>
      <c r="F217" s="36"/>
      <c r="G217" s="37">
        <v>1</v>
      </c>
      <c r="H217" s="37">
        <v>3.5</v>
      </c>
      <c r="I217" s="37"/>
      <c r="J217" s="110">
        <v>1</v>
      </c>
      <c r="K217" s="234">
        <f t="shared" si="33"/>
        <v>3.5</v>
      </c>
      <c r="L217" s="43"/>
      <c r="M217" s="235"/>
      <c r="N217" s="207"/>
      <c r="O217" s="39"/>
      <c r="P217" s="230"/>
      <c r="Q217" s="275"/>
      <c r="R217" s="176"/>
      <c r="S217" s="276"/>
    </row>
    <row r="218" spans="1:19" x14ac:dyDescent="0.35">
      <c r="A218" s="148"/>
      <c r="B218" s="39"/>
      <c r="C218" s="34"/>
      <c r="D218" s="36"/>
      <c r="E218" s="48"/>
      <c r="F218" s="36"/>
      <c r="G218" s="37"/>
      <c r="H218" s="37"/>
      <c r="I218" s="37"/>
      <c r="J218" s="110"/>
      <c r="K218" s="234"/>
      <c r="L218" s="43"/>
      <c r="M218" s="235"/>
      <c r="N218" s="207"/>
      <c r="O218" s="39"/>
      <c r="P218" s="230"/>
      <c r="Q218" s="275"/>
      <c r="R218" s="176"/>
      <c r="S218" s="276"/>
    </row>
    <row r="219" spans="1:19" x14ac:dyDescent="0.35">
      <c r="A219" s="148"/>
      <c r="B219" s="39"/>
      <c r="C219" s="34"/>
      <c r="D219" s="36"/>
      <c r="E219" s="48"/>
      <c r="F219" s="36"/>
      <c r="G219" s="37"/>
      <c r="H219" s="37"/>
      <c r="I219" s="37"/>
      <c r="J219" s="110"/>
      <c r="K219" s="234"/>
      <c r="L219" s="43"/>
      <c r="M219" s="235"/>
      <c r="N219" s="207"/>
      <c r="O219" s="39"/>
      <c r="P219" s="230"/>
      <c r="Q219" s="275"/>
      <c r="R219" s="176"/>
      <c r="S219" s="276"/>
    </row>
    <row r="220" spans="1:19" ht="34.5" x14ac:dyDescent="0.35">
      <c r="A220" s="148"/>
      <c r="B220" s="39"/>
      <c r="C220" s="34" t="s">
        <v>112</v>
      </c>
      <c r="D220" s="36" t="s">
        <v>659</v>
      </c>
      <c r="E220" s="48" t="s">
        <v>114</v>
      </c>
      <c r="F220" s="36" t="s">
        <v>115</v>
      </c>
      <c r="G220" s="37"/>
      <c r="H220" s="37"/>
      <c r="I220" s="37"/>
      <c r="J220" s="110"/>
      <c r="K220" s="234">
        <v>0</v>
      </c>
      <c r="L220" s="43">
        <v>367.2</v>
      </c>
      <c r="M220" s="235">
        <f>L220*$K220</f>
        <v>0</v>
      </c>
      <c r="N220" s="207">
        <v>0</v>
      </c>
      <c r="O220" s="39">
        <v>367.2</v>
      </c>
      <c r="P220" s="230">
        <f t="shared" si="24"/>
        <v>0</v>
      </c>
      <c r="Q220" s="275">
        <f t="shared" si="30"/>
        <v>0</v>
      </c>
      <c r="R220" s="176">
        <f t="shared" si="31"/>
        <v>0</v>
      </c>
      <c r="S220" s="276">
        <f t="shared" si="32"/>
        <v>0</v>
      </c>
    </row>
    <row r="221" spans="1:19" ht="161" x14ac:dyDescent="0.35">
      <c r="A221" s="149"/>
      <c r="B221" s="36"/>
      <c r="C221" s="34" t="s">
        <v>113</v>
      </c>
      <c r="D221" s="36" t="s">
        <v>117</v>
      </c>
      <c r="E221" s="44" t="s">
        <v>903</v>
      </c>
      <c r="F221" s="36" t="s">
        <v>71</v>
      </c>
      <c r="G221" s="37"/>
      <c r="H221" s="37"/>
      <c r="I221" s="37"/>
      <c r="J221" s="110"/>
      <c r="K221" s="234">
        <f>K222</f>
        <v>27.625</v>
      </c>
      <c r="L221" s="43">
        <v>142.4</v>
      </c>
      <c r="M221" s="235">
        <f>L221*$K221</f>
        <v>3933.8</v>
      </c>
      <c r="N221" s="207">
        <v>43</v>
      </c>
      <c r="O221" s="39">
        <v>142.4</v>
      </c>
      <c r="P221" s="230">
        <f t="shared" si="24"/>
        <v>6123.2</v>
      </c>
      <c r="Q221" s="275">
        <f t="shared" si="30"/>
        <v>-15.375</v>
      </c>
      <c r="R221" s="176">
        <f t="shared" si="31"/>
        <v>0</v>
      </c>
      <c r="S221" s="276">
        <f t="shared" si="32"/>
        <v>-2189.3999999999996</v>
      </c>
    </row>
    <row r="222" spans="1:19" x14ac:dyDescent="0.35">
      <c r="A222" s="149"/>
      <c r="B222" s="36"/>
      <c r="C222" s="34"/>
      <c r="D222" s="36"/>
      <c r="E222" s="44" t="s">
        <v>801</v>
      </c>
      <c r="F222" s="36"/>
      <c r="G222" s="37">
        <v>1</v>
      </c>
      <c r="H222" s="37">
        <v>8.5</v>
      </c>
      <c r="I222" s="37"/>
      <c r="J222" s="110">
        <v>3.25</v>
      </c>
      <c r="K222" s="234">
        <f>J222*H222*G222</f>
        <v>27.625</v>
      </c>
      <c r="L222" s="43"/>
      <c r="M222" s="235"/>
      <c r="N222" s="207"/>
      <c r="O222" s="39"/>
      <c r="P222" s="230"/>
      <c r="Q222" s="275">
        <f t="shared" si="30"/>
        <v>27.625</v>
      </c>
      <c r="R222" s="176">
        <f t="shared" si="31"/>
        <v>0</v>
      </c>
      <c r="S222" s="276">
        <f t="shared" si="32"/>
        <v>0</v>
      </c>
    </row>
    <row r="223" spans="1:19" x14ac:dyDescent="0.35">
      <c r="A223" s="46" t="s">
        <v>517</v>
      </c>
      <c r="B223" s="52"/>
      <c r="C223" s="34"/>
      <c r="D223" s="34"/>
      <c r="E223" s="46"/>
      <c r="F223" s="52"/>
      <c r="G223" s="53"/>
      <c r="H223" s="53"/>
      <c r="I223" s="53"/>
      <c r="J223" s="219"/>
      <c r="K223" s="236"/>
      <c r="L223" s="84"/>
      <c r="M223" s="210">
        <f>SUM(M170:M221)</f>
        <v>269408.96566666669</v>
      </c>
      <c r="N223" s="207"/>
      <c r="O223" s="39"/>
      <c r="P223" s="271">
        <f>SUM(P170:P222)</f>
        <v>200885.6</v>
      </c>
      <c r="Q223" s="279">
        <f t="shared" si="30"/>
        <v>0</v>
      </c>
      <c r="R223" s="273">
        <f t="shared" si="31"/>
        <v>0</v>
      </c>
      <c r="S223" s="280">
        <f t="shared" si="32"/>
        <v>68523.365666666679</v>
      </c>
    </row>
    <row r="224" spans="1:19" x14ac:dyDescent="0.35">
      <c r="A224" s="150" t="s">
        <v>118</v>
      </c>
      <c r="B224" s="85"/>
      <c r="C224" s="85"/>
      <c r="D224" s="85"/>
      <c r="E224" s="86" t="s">
        <v>119</v>
      </c>
      <c r="F224" s="85"/>
      <c r="G224" s="87"/>
      <c r="H224" s="87"/>
      <c r="I224" s="87"/>
      <c r="J224" s="223"/>
      <c r="K224" s="243"/>
      <c r="L224" s="88"/>
      <c r="M224" s="244"/>
      <c r="N224" s="207"/>
      <c r="O224" s="39"/>
      <c r="P224" s="230"/>
      <c r="Q224" s="275"/>
      <c r="R224" s="176"/>
      <c r="S224" s="276"/>
    </row>
    <row r="225" spans="1:19" x14ac:dyDescent="0.35">
      <c r="A225" s="46"/>
      <c r="B225" s="52" t="s">
        <v>120</v>
      </c>
      <c r="C225" s="34"/>
      <c r="D225" s="34"/>
      <c r="E225" s="46" t="s">
        <v>121</v>
      </c>
      <c r="F225" s="52"/>
      <c r="G225" s="53"/>
      <c r="H225" s="53"/>
      <c r="I225" s="53"/>
      <c r="J225" s="219"/>
      <c r="K225" s="236"/>
      <c r="L225" s="84"/>
      <c r="M225" s="210"/>
      <c r="N225" s="207"/>
      <c r="O225" s="39"/>
      <c r="P225" s="230"/>
      <c r="Q225" s="275"/>
      <c r="R225" s="176"/>
      <c r="S225" s="276"/>
    </row>
    <row r="226" spans="1:19" ht="92" x14ac:dyDescent="0.35">
      <c r="A226" s="149"/>
      <c r="B226" s="36"/>
      <c r="C226" s="34" t="s">
        <v>8</v>
      </c>
      <c r="D226" s="36" t="s">
        <v>122</v>
      </c>
      <c r="E226" s="39" t="s">
        <v>123</v>
      </c>
      <c r="F226" s="36" t="s">
        <v>71</v>
      </c>
      <c r="G226" s="37"/>
      <c r="H226" s="37"/>
      <c r="I226" s="37"/>
      <c r="J226" s="110"/>
      <c r="K226" s="234">
        <f>SUM(K227)</f>
        <v>36.299999999999997</v>
      </c>
      <c r="L226" s="43">
        <v>87.55</v>
      </c>
      <c r="M226" s="235">
        <f>L226*$K226</f>
        <v>3178.0649999999996</v>
      </c>
      <c r="N226" s="207">
        <v>0</v>
      </c>
      <c r="O226" s="39">
        <v>88</v>
      </c>
      <c r="P226" s="230">
        <f>O226*N226</f>
        <v>0</v>
      </c>
      <c r="Q226" s="275">
        <f t="shared" si="30"/>
        <v>36.299999999999997</v>
      </c>
      <c r="R226" s="176">
        <f t="shared" si="31"/>
        <v>-0.45000000000000284</v>
      </c>
      <c r="S226" s="276">
        <f t="shared" si="32"/>
        <v>3178.0649999999996</v>
      </c>
    </row>
    <row r="227" spans="1:19" x14ac:dyDescent="0.35">
      <c r="A227" s="149"/>
      <c r="B227" s="36"/>
      <c r="C227" s="34"/>
      <c r="D227" s="36"/>
      <c r="E227" s="51" t="s">
        <v>864</v>
      </c>
      <c r="F227" s="36"/>
      <c r="G227" s="37">
        <v>1</v>
      </c>
      <c r="H227" s="37">
        <v>3</v>
      </c>
      <c r="I227" s="37">
        <v>1</v>
      </c>
      <c r="J227" s="110">
        <v>12.1</v>
      </c>
      <c r="K227" s="234">
        <f>H227*I227*J227*G227</f>
        <v>36.299999999999997</v>
      </c>
      <c r="L227" s="43"/>
      <c r="M227" s="235"/>
      <c r="N227" s="207"/>
      <c r="O227" s="39"/>
      <c r="P227" s="230"/>
      <c r="Q227" s="275"/>
      <c r="R227" s="176"/>
      <c r="S227" s="276"/>
    </row>
    <row r="228" spans="1:19" ht="80.5" x14ac:dyDescent="0.35">
      <c r="A228" s="149"/>
      <c r="B228" s="36"/>
      <c r="C228" s="34" t="s">
        <v>26</v>
      </c>
      <c r="D228" s="36" t="s">
        <v>124</v>
      </c>
      <c r="E228" s="44" t="s">
        <v>924</v>
      </c>
      <c r="F228" s="36" t="s">
        <v>125</v>
      </c>
      <c r="G228" s="37"/>
      <c r="H228" s="37"/>
      <c r="I228" s="37"/>
      <c r="J228" s="110"/>
      <c r="K228" s="234">
        <v>0</v>
      </c>
      <c r="L228" s="43">
        <v>249</v>
      </c>
      <c r="M228" s="235">
        <f>L228*$K228</f>
        <v>0</v>
      </c>
      <c r="N228" s="207">
        <v>0</v>
      </c>
      <c r="O228" s="39">
        <v>249</v>
      </c>
      <c r="P228" s="230">
        <f t="shared" ref="P228:P230" si="34">O228*N228</f>
        <v>0</v>
      </c>
      <c r="Q228" s="275">
        <f t="shared" si="30"/>
        <v>0</v>
      </c>
      <c r="R228" s="176">
        <f t="shared" si="31"/>
        <v>0</v>
      </c>
      <c r="S228" s="276">
        <f t="shared" si="32"/>
        <v>0</v>
      </c>
    </row>
    <row r="229" spans="1:19" x14ac:dyDescent="0.35">
      <c r="A229" s="149"/>
      <c r="B229" s="36"/>
      <c r="C229" s="34"/>
      <c r="D229" s="36"/>
      <c r="E229" s="44"/>
      <c r="F229" s="36"/>
      <c r="G229" s="37"/>
      <c r="H229" s="37"/>
      <c r="I229" s="37"/>
      <c r="J229" s="110"/>
      <c r="K229" s="234"/>
      <c r="L229" s="43"/>
      <c r="M229" s="235"/>
      <c r="N229" s="207"/>
      <c r="O229" s="39"/>
      <c r="P229" s="230"/>
      <c r="Q229" s="275"/>
      <c r="R229" s="176"/>
      <c r="S229" s="276"/>
    </row>
    <row r="230" spans="1:19" ht="57.5" x14ac:dyDescent="0.35">
      <c r="A230" s="149"/>
      <c r="B230" s="36"/>
      <c r="C230" s="34" t="s">
        <v>38</v>
      </c>
      <c r="D230" s="36" t="s">
        <v>925</v>
      </c>
      <c r="E230" s="44" t="s">
        <v>926</v>
      </c>
      <c r="F230" s="36" t="s">
        <v>125</v>
      </c>
      <c r="G230" s="37"/>
      <c r="H230" s="37"/>
      <c r="I230" s="37"/>
      <c r="J230" s="110"/>
      <c r="K230" s="234">
        <v>0</v>
      </c>
      <c r="L230" s="43">
        <v>257.5</v>
      </c>
      <c r="M230" s="235">
        <f>L230*$K230</f>
        <v>0</v>
      </c>
      <c r="N230" s="207">
        <v>0</v>
      </c>
      <c r="O230" s="39">
        <v>257.5</v>
      </c>
      <c r="P230" s="230">
        <f t="shared" si="34"/>
        <v>0</v>
      </c>
      <c r="Q230" s="275">
        <f t="shared" si="30"/>
        <v>0</v>
      </c>
      <c r="R230" s="176">
        <f t="shared" si="31"/>
        <v>0</v>
      </c>
      <c r="S230" s="276">
        <f t="shared" si="32"/>
        <v>0</v>
      </c>
    </row>
    <row r="231" spans="1:19" x14ac:dyDescent="0.35">
      <c r="A231" s="46" t="s">
        <v>518</v>
      </c>
      <c r="B231" s="52"/>
      <c r="C231" s="34"/>
      <c r="D231" s="34"/>
      <c r="E231" s="46"/>
      <c r="F231" s="52"/>
      <c r="G231" s="53"/>
      <c r="H231" s="53"/>
      <c r="I231" s="53"/>
      <c r="J231" s="219"/>
      <c r="K231" s="236"/>
      <c r="L231" s="56"/>
      <c r="M231" s="210">
        <f>SUM(M226:M230)</f>
        <v>3178.0649999999996</v>
      </c>
      <c r="N231" s="207"/>
      <c r="O231" s="39"/>
      <c r="P231" s="271">
        <f>SUM(P228:P230)</f>
        <v>0</v>
      </c>
      <c r="Q231" s="275">
        <f t="shared" si="30"/>
        <v>0</v>
      </c>
      <c r="R231" s="176">
        <f t="shared" si="31"/>
        <v>0</v>
      </c>
      <c r="S231" s="276">
        <f t="shared" si="32"/>
        <v>3178.0649999999996</v>
      </c>
    </row>
    <row r="232" spans="1:19" x14ac:dyDescent="0.35">
      <c r="A232" s="131"/>
      <c r="B232" s="34" t="s">
        <v>126</v>
      </c>
      <c r="C232" s="34"/>
      <c r="D232" s="34"/>
      <c r="E232" s="89" t="s">
        <v>127</v>
      </c>
      <c r="F232" s="34"/>
      <c r="G232" s="90"/>
      <c r="H232" s="90"/>
      <c r="I232" s="90"/>
      <c r="J232" s="181"/>
      <c r="K232" s="245"/>
      <c r="L232" s="91"/>
      <c r="M232" s="210"/>
      <c r="N232" s="207"/>
      <c r="O232" s="39"/>
      <c r="P232" s="230"/>
      <c r="Q232" s="275"/>
      <c r="R232" s="176"/>
      <c r="S232" s="276"/>
    </row>
    <row r="233" spans="1:19" ht="69" x14ac:dyDescent="0.35">
      <c r="A233" s="149"/>
      <c r="B233" s="36"/>
      <c r="C233" s="34" t="s">
        <v>8</v>
      </c>
      <c r="D233" s="36" t="s">
        <v>128</v>
      </c>
      <c r="E233" s="44" t="s">
        <v>904</v>
      </c>
      <c r="F233" s="36" t="s">
        <v>71</v>
      </c>
      <c r="G233" s="37"/>
      <c r="H233" s="37"/>
      <c r="I233" s="37"/>
      <c r="J233" s="110"/>
      <c r="K233" s="234">
        <v>0</v>
      </c>
      <c r="L233" s="43">
        <v>360.5</v>
      </c>
      <c r="M233" s="235">
        <f>L233*$K233</f>
        <v>0</v>
      </c>
      <c r="N233" s="207">
        <v>0</v>
      </c>
      <c r="O233" s="39">
        <v>360.5</v>
      </c>
      <c r="P233" s="230">
        <f>O233*N233</f>
        <v>0</v>
      </c>
      <c r="Q233" s="275">
        <f t="shared" si="30"/>
        <v>0</v>
      </c>
      <c r="R233" s="176">
        <f t="shared" si="31"/>
        <v>0</v>
      </c>
      <c r="S233" s="276">
        <f t="shared" si="32"/>
        <v>0</v>
      </c>
    </row>
    <row r="234" spans="1:19" ht="57.5" x14ac:dyDescent="0.35">
      <c r="A234" s="149"/>
      <c r="B234" s="36"/>
      <c r="C234" s="34" t="s">
        <v>26</v>
      </c>
      <c r="D234" s="36" t="s">
        <v>129</v>
      </c>
      <c r="E234" s="44" t="s">
        <v>519</v>
      </c>
      <c r="F234" s="36" t="s">
        <v>130</v>
      </c>
      <c r="G234" s="37"/>
      <c r="H234" s="37"/>
      <c r="I234" s="37"/>
      <c r="J234" s="110"/>
      <c r="K234" s="234">
        <v>0</v>
      </c>
      <c r="L234" s="43">
        <v>291.2</v>
      </c>
      <c r="M234" s="235">
        <f>L234*$K234</f>
        <v>0</v>
      </c>
      <c r="N234" s="207">
        <v>0</v>
      </c>
      <c r="O234" s="39">
        <v>291.2</v>
      </c>
      <c r="P234" s="230">
        <f>O234*N234</f>
        <v>0</v>
      </c>
      <c r="Q234" s="275">
        <f t="shared" si="30"/>
        <v>0</v>
      </c>
      <c r="R234" s="176">
        <f t="shared" si="31"/>
        <v>0</v>
      </c>
      <c r="S234" s="276">
        <f t="shared" si="32"/>
        <v>0</v>
      </c>
    </row>
    <row r="235" spans="1:19" x14ac:dyDescent="0.35">
      <c r="A235" s="46" t="s">
        <v>520</v>
      </c>
      <c r="B235" s="52"/>
      <c r="C235" s="34"/>
      <c r="D235" s="34"/>
      <c r="E235" s="46"/>
      <c r="F235" s="52"/>
      <c r="G235" s="53"/>
      <c r="H235" s="53"/>
      <c r="I235" s="53"/>
      <c r="J235" s="219"/>
      <c r="K235" s="236"/>
      <c r="L235" s="56"/>
      <c r="M235" s="210">
        <f>SUM(M233:M234)</f>
        <v>0</v>
      </c>
      <c r="N235" s="207"/>
      <c r="O235" s="39"/>
      <c r="P235" s="271">
        <f>SUM(P233:P234)</f>
        <v>0</v>
      </c>
      <c r="Q235" s="281">
        <f t="shared" si="30"/>
        <v>0</v>
      </c>
      <c r="R235" s="274">
        <f t="shared" si="31"/>
        <v>0</v>
      </c>
      <c r="S235" s="282">
        <f t="shared" si="32"/>
        <v>0</v>
      </c>
    </row>
    <row r="236" spans="1:19" x14ac:dyDescent="0.35">
      <c r="A236" s="131"/>
      <c r="B236" s="92" t="s">
        <v>131</v>
      </c>
      <c r="C236" s="34"/>
      <c r="D236" s="34"/>
      <c r="E236" s="89" t="s">
        <v>132</v>
      </c>
      <c r="F236" s="34"/>
      <c r="G236" s="90"/>
      <c r="H236" s="90"/>
      <c r="I236" s="90"/>
      <c r="J236" s="181"/>
      <c r="K236" s="245"/>
      <c r="L236" s="91"/>
      <c r="M236" s="210"/>
      <c r="N236" s="207"/>
      <c r="O236" s="39"/>
      <c r="P236" s="230"/>
      <c r="Q236" s="275"/>
      <c r="R236" s="176"/>
      <c r="S236" s="276"/>
    </row>
    <row r="237" spans="1:19" ht="69" x14ac:dyDescent="0.35">
      <c r="A237" s="149"/>
      <c r="B237" s="36"/>
      <c r="C237" s="34" t="s">
        <v>8</v>
      </c>
      <c r="D237" s="36" t="s">
        <v>927</v>
      </c>
      <c r="E237" s="44" t="s">
        <v>672</v>
      </c>
      <c r="F237" s="36" t="s">
        <v>71</v>
      </c>
      <c r="G237" s="37"/>
      <c r="H237" s="37"/>
      <c r="I237" s="37"/>
      <c r="J237" s="110"/>
      <c r="K237" s="234">
        <v>0</v>
      </c>
      <c r="L237" s="43">
        <v>297.2</v>
      </c>
      <c r="M237" s="235">
        <f>L237*$K237</f>
        <v>0</v>
      </c>
      <c r="N237" s="207">
        <v>0</v>
      </c>
      <c r="O237" s="39">
        <v>297.2</v>
      </c>
      <c r="P237" s="230">
        <f>O237*N237</f>
        <v>0</v>
      </c>
      <c r="Q237" s="275">
        <f t="shared" si="30"/>
        <v>0</v>
      </c>
      <c r="R237" s="176">
        <f t="shared" si="31"/>
        <v>0</v>
      </c>
      <c r="S237" s="276">
        <f t="shared" si="32"/>
        <v>0</v>
      </c>
    </row>
    <row r="238" spans="1:19" ht="57.5" x14ac:dyDescent="0.35">
      <c r="A238" s="149"/>
      <c r="B238" s="36"/>
      <c r="C238" s="34" t="s">
        <v>523</v>
      </c>
      <c r="D238" s="36"/>
      <c r="E238" s="44" t="s">
        <v>928</v>
      </c>
      <c r="F238" s="36"/>
      <c r="G238" s="37"/>
      <c r="H238" s="37"/>
      <c r="I238" s="37"/>
      <c r="J238" s="110"/>
      <c r="K238" s="234"/>
      <c r="L238" s="43"/>
      <c r="M238" s="235"/>
      <c r="N238" s="207"/>
      <c r="O238" s="39"/>
      <c r="P238" s="230"/>
      <c r="Q238" s="275"/>
      <c r="R238" s="176"/>
      <c r="S238" s="276"/>
    </row>
    <row r="239" spans="1:19" ht="23" x14ac:dyDescent="0.35">
      <c r="A239" s="149"/>
      <c r="B239" s="36"/>
      <c r="C239" s="34" t="s">
        <v>11</v>
      </c>
      <c r="D239" s="34"/>
      <c r="E239" s="44" t="s">
        <v>524</v>
      </c>
      <c r="F239" s="36" t="s">
        <v>71</v>
      </c>
      <c r="G239" s="37"/>
      <c r="H239" s="37"/>
      <c r="I239" s="37"/>
      <c r="J239" s="110"/>
      <c r="K239" s="234">
        <v>0</v>
      </c>
      <c r="L239" s="43">
        <v>259.26</v>
      </c>
      <c r="M239" s="235">
        <f>L239*$K239</f>
        <v>0</v>
      </c>
      <c r="N239" s="207">
        <v>0</v>
      </c>
      <c r="O239" s="39">
        <v>259.26</v>
      </c>
      <c r="P239" s="230">
        <f t="shared" ref="P239:P272" si="35">O239*N239</f>
        <v>0</v>
      </c>
      <c r="Q239" s="275">
        <f t="shared" si="30"/>
        <v>0</v>
      </c>
      <c r="R239" s="176">
        <f t="shared" si="31"/>
        <v>0</v>
      </c>
      <c r="S239" s="276">
        <f t="shared" si="32"/>
        <v>0</v>
      </c>
    </row>
    <row r="240" spans="1:19" ht="23" x14ac:dyDescent="0.35">
      <c r="A240" s="149"/>
      <c r="B240" s="36"/>
      <c r="C240" s="34" t="s">
        <v>14</v>
      </c>
      <c r="D240" s="34"/>
      <c r="E240" s="44" t="s">
        <v>525</v>
      </c>
      <c r="F240" s="36" t="s">
        <v>71</v>
      </c>
      <c r="G240" s="37"/>
      <c r="H240" s="37"/>
      <c r="I240" s="37"/>
      <c r="J240" s="110"/>
      <c r="K240" s="234">
        <v>0</v>
      </c>
      <c r="L240" s="43">
        <v>277.19</v>
      </c>
      <c r="M240" s="235">
        <f>L240*$K240</f>
        <v>0</v>
      </c>
      <c r="N240" s="207">
        <v>0</v>
      </c>
      <c r="O240" s="39">
        <v>277.19</v>
      </c>
      <c r="P240" s="230">
        <f t="shared" si="35"/>
        <v>0</v>
      </c>
      <c r="Q240" s="275">
        <f t="shared" si="30"/>
        <v>0</v>
      </c>
      <c r="R240" s="176">
        <f t="shared" si="31"/>
        <v>0</v>
      </c>
      <c r="S240" s="276">
        <f t="shared" si="32"/>
        <v>0</v>
      </c>
    </row>
    <row r="241" spans="1:19" ht="69" x14ac:dyDescent="0.35">
      <c r="A241" s="149"/>
      <c r="B241" s="36"/>
      <c r="C241" s="34" t="s">
        <v>26</v>
      </c>
      <c r="D241" s="36" t="s">
        <v>522</v>
      </c>
      <c r="E241" s="44" t="s">
        <v>673</v>
      </c>
      <c r="F241" s="36" t="s">
        <v>71</v>
      </c>
      <c r="G241" s="37"/>
      <c r="H241" s="37"/>
      <c r="I241" s="37"/>
      <c r="J241" s="110"/>
      <c r="K241" s="234">
        <f>SUM(K242:K244)</f>
        <v>97.2</v>
      </c>
      <c r="L241" s="43">
        <v>343.67</v>
      </c>
      <c r="M241" s="235">
        <f>L241*$K241</f>
        <v>33404.724000000002</v>
      </c>
      <c r="N241" s="207">
        <v>0</v>
      </c>
      <c r="O241" s="39">
        <v>343.67</v>
      </c>
      <c r="P241" s="230">
        <f t="shared" si="35"/>
        <v>0</v>
      </c>
      <c r="Q241" s="275">
        <f t="shared" si="30"/>
        <v>97.2</v>
      </c>
      <c r="R241" s="176">
        <f t="shared" si="31"/>
        <v>0</v>
      </c>
      <c r="S241" s="276">
        <f t="shared" si="32"/>
        <v>33404.724000000002</v>
      </c>
    </row>
    <row r="242" spans="1:19" x14ac:dyDescent="0.35">
      <c r="A242" s="149"/>
      <c r="B242" s="36"/>
      <c r="C242" s="34"/>
      <c r="D242" s="36"/>
      <c r="E242" s="51" t="s">
        <v>865</v>
      </c>
      <c r="F242" s="36"/>
      <c r="G242" s="37">
        <v>1</v>
      </c>
      <c r="H242" s="37">
        <v>1.3</v>
      </c>
      <c r="I242" s="37">
        <v>1</v>
      </c>
      <c r="J242" s="110">
        <v>8</v>
      </c>
      <c r="K242" s="234">
        <f>J242*I242*H242*G242</f>
        <v>10.4</v>
      </c>
      <c r="L242" s="43"/>
      <c r="M242" s="235"/>
      <c r="N242" s="207"/>
      <c r="O242" s="39"/>
      <c r="P242" s="230"/>
      <c r="Q242" s="275"/>
      <c r="R242" s="176"/>
      <c r="S242" s="276"/>
    </row>
    <row r="243" spans="1:19" x14ac:dyDescent="0.35">
      <c r="A243" s="149"/>
      <c r="B243" s="36"/>
      <c r="C243" s="34"/>
      <c r="D243" s="36"/>
      <c r="E243" s="51" t="s">
        <v>866</v>
      </c>
      <c r="F243" s="36"/>
      <c r="G243" s="37">
        <v>2</v>
      </c>
      <c r="H243" s="37">
        <v>7</v>
      </c>
      <c r="I243" s="37">
        <v>1</v>
      </c>
      <c r="J243" s="110">
        <v>3.2</v>
      </c>
      <c r="K243" s="234">
        <f t="shared" ref="K243:K244" si="36">J243*I243*H243*G243</f>
        <v>44.800000000000004</v>
      </c>
      <c r="L243" s="43"/>
      <c r="M243" s="235"/>
      <c r="N243" s="207"/>
      <c r="O243" s="39"/>
      <c r="P243" s="230"/>
      <c r="Q243" s="275"/>
      <c r="R243" s="176"/>
      <c r="S243" s="276"/>
    </row>
    <row r="244" spans="1:19" x14ac:dyDescent="0.35">
      <c r="A244" s="149"/>
      <c r="B244" s="36"/>
      <c r="C244" s="34"/>
      <c r="D244" s="36"/>
      <c r="E244" s="51" t="s">
        <v>867</v>
      </c>
      <c r="F244" s="36"/>
      <c r="G244" s="37">
        <v>1</v>
      </c>
      <c r="H244" s="37">
        <v>6</v>
      </c>
      <c r="I244" s="37">
        <v>1</v>
      </c>
      <c r="J244" s="110">
        <v>7</v>
      </c>
      <c r="K244" s="234">
        <f t="shared" si="36"/>
        <v>42</v>
      </c>
      <c r="L244" s="43"/>
      <c r="M244" s="235"/>
      <c r="N244" s="207"/>
      <c r="O244" s="39"/>
      <c r="P244" s="230"/>
      <c r="Q244" s="275"/>
      <c r="R244" s="176"/>
      <c r="S244" s="276"/>
    </row>
    <row r="245" spans="1:19" ht="34.5" x14ac:dyDescent="0.35">
      <c r="A245" s="149"/>
      <c r="B245" s="36"/>
      <c r="C245" s="34" t="s">
        <v>38</v>
      </c>
      <c r="D245" s="36" t="s">
        <v>133</v>
      </c>
      <c r="E245" s="44" t="s">
        <v>527</v>
      </c>
      <c r="F245" s="36" t="s">
        <v>71</v>
      </c>
      <c r="G245" s="37"/>
      <c r="H245" s="37"/>
      <c r="I245" s="37"/>
      <c r="J245" s="110"/>
      <c r="K245" s="234">
        <v>0</v>
      </c>
      <c r="L245" s="43">
        <v>190.77</v>
      </c>
      <c r="M245" s="235">
        <f>L245*$K245</f>
        <v>0</v>
      </c>
      <c r="N245" s="207">
        <v>0</v>
      </c>
      <c r="O245" s="39">
        <v>190.77</v>
      </c>
      <c r="P245" s="230">
        <f t="shared" si="35"/>
        <v>0</v>
      </c>
      <c r="Q245" s="275">
        <f t="shared" si="30"/>
        <v>0</v>
      </c>
      <c r="R245" s="176">
        <f t="shared" si="31"/>
        <v>0</v>
      </c>
      <c r="S245" s="276">
        <f t="shared" si="32"/>
        <v>0</v>
      </c>
    </row>
    <row r="246" spans="1:19" ht="57.5" x14ac:dyDescent="0.35">
      <c r="A246" s="149"/>
      <c r="B246" s="36"/>
      <c r="C246" s="34" t="s">
        <v>526</v>
      </c>
      <c r="D246" s="36"/>
      <c r="E246" s="44" t="s">
        <v>521</v>
      </c>
      <c r="F246" s="36"/>
      <c r="G246" s="37"/>
      <c r="H246" s="37"/>
      <c r="I246" s="37"/>
      <c r="J246" s="110"/>
      <c r="K246" s="234"/>
      <c r="L246" s="43"/>
      <c r="M246" s="235"/>
      <c r="N246" s="207"/>
      <c r="O246" s="39"/>
      <c r="P246" s="230"/>
      <c r="Q246" s="275"/>
      <c r="R246" s="176"/>
      <c r="S246" s="276"/>
    </row>
    <row r="247" spans="1:19" ht="23" x14ac:dyDescent="0.35">
      <c r="A247" s="149"/>
      <c r="B247" s="36"/>
      <c r="C247" s="34" t="s">
        <v>57</v>
      </c>
      <c r="D247" s="36" t="s">
        <v>134</v>
      </c>
      <c r="E247" s="44" t="s">
        <v>135</v>
      </c>
      <c r="F247" s="36" t="s">
        <v>136</v>
      </c>
      <c r="G247" s="37"/>
      <c r="H247" s="37"/>
      <c r="I247" s="37"/>
      <c r="J247" s="110"/>
      <c r="K247" s="234">
        <v>0</v>
      </c>
      <c r="L247" s="43">
        <v>126.09</v>
      </c>
      <c r="M247" s="235">
        <f t="shared" ref="M247:M258" si="37">L247*$K247</f>
        <v>0</v>
      </c>
      <c r="N247" s="207">
        <v>0</v>
      </c>
      <c r="O247" s="39">
        <v>126.09</v>
      </c>
      <c r="P247" s="230">
        <f t="shared" si="35"/>
        <v>0</v>
      </c>
      <c r="Q247" s="275">
        <f t="shared" si="30"/>
        <v>0</v>
      </c>
      <c r="R247" s="176">
        <f t="shared" si="31"/>
        <v>0</v>
      </c>
      <c r="S247" s="276">
        <f t="shared" si="32"/>
        <v>0</v>
      </c>
    </row>
    <row r="248" spans="1:19" ht="23" x14ac:dyDescent="0.35">
      <c r="A248" s="149"/>
      <c r="B248" s="36"/>
      <c r="C248" s="34" t="s">
        <v>172</v>
      </c>
      <c r="D248" s="36" t="s">
        <v>134</v>
      </c>
      <c r="E248" s="44" t="s">
        <v>138</v>
      </c>
      <c r="F248" s="36" t="s">
        <v>13</v>
      </c>
      <c r="G248" s="37"/>
      <c r="H248" s="37"/>
      <c r="I248" s="37"/>
      <c r="J248" s="110"/>
      <c r="K248" s="234">
        <v>0</v>
      </c>
      <c r="L248" s="43">
        <v>190</v>
      </c>
      <c r="M248" s="235">
        <f t="shared" si="37"/>
        <v>0</v>
      </c>
      <c r="N248" s="207">
        <v>21</v>
      </c>
      <c r="O248" s="39">
        <v>190</v>
      </c>
      <c r="P248" s="230">
        <f t="shared" si="35"/>
        <v>3990</v>
      </c>
      <c r="Q248" s="275">
        <f t="shared" si="30"/>
        <v>-21</v>
      </c>
      <c r="R248" s="176">
        <f t="shared" si="31"/>
        <v>0</v>
      </c>
      <c r="S248" s="276">
        <f t="shared" si="32"/>
        <v>-3990</v>
      </c>
    </row>
    <row r="249" spans="1:19" ht="23" x14ac:dyDescent="0.35">
      <c r="A249" s="149"/>
      <c r="B249" s="36"/>
      <c r="C249" s="34" t="s">
        <v>337</v>
      </c>
      <c r="D249" s="36" t="s">
        <v>134</v>
      </c>
      <c r="E249" s="44" t="s">
        <v>528</v>
      </c>
      <c r="F249" s="36" t="s">
        <v>136</v>
      </c>
      <c r="G249" s="37"/>
      <c r="H249" s="37"/>
      <c r="I249" s="37"/>
      <c r="J249" s="110"/>
      <c r="K249" s="234">
        <v>0</v>
      </c>
      <c r="L249" s="43">
        <v>197.26</v>
      </c>
      <c r="M249" s="235">
        <f t="shared" si="37"/>
        <v>0</v>
      </c>
      <c r="N249" s="207">
        <v>0</v>
      </c>
      <c r="O249" s="39">
        <v>197.26</v>
      </c>
      <c r="P249" s="230">
        <f t="shared" si="35"/>
        <v>0</v>
      </c>
      <c r="Q249" s="275">
        <f t="shared" si="30"/>
        <v>0</v>
      </c>
      <c r="R249" s="176">
        <f t="shared" si="31"/>
        <v>0</v>
      </c>
      <c r="S249" s="276">
        <f t="shared" si="32"/>
        <v>0</v>
      </c>
    </row>
    <row r="250" spans="1:19" ht="57.5" x14ac:dyDescent="0.35">
      <c r="A250" s="149"/>
      <c r="B250" s="36"/>
      <c r="C250" s="34" t="s">
        <v>59</v>
      </c>
      <c r="D250" s="36" t="s">
        <v>140</v>
      </c>
      <c r="E250" s="44" t="s">
        <v>710</v>
      </c>
      <c r="F250" s="36" t="s">
        <v>71</v>
      </c>
      <c r="G250" s="37"/>
      <c r="H250" s="37"/>
      <c r="I250" s="37"/>
      <c r="J250" s="110"/>
      <c r="K250" s="234">
        <v>0</v>
      </c>
      <c r="L250" s="43">
        <v>169.33</v>
      </c>
      <c r="M250" s="235">
        <f t="shared" si="37"/>
        <v>0</v>
      </c>
      <c r="N250" s="207">
        <v>0</v>
      </c>
      <c r="O250" s="39">
        <v>169.33</v>
      </c>
      <c r="P250" s="230">
        <f t="shared" si="35"/>
        <v>0</v>
      </c>
      <c r="Q250" s="275">
        <f t="shared" si="30"/>
        <v>0</v>
      </c>
      <c r="R250" s="176">
        <f t="shared" si="31"/>
        <v>0</v>
      </c>
      <c r="S250" s="276">
        <f t="shared" si="32"/>
        <v>0</v>
      </c>
    </row>
    <row r="251" spans="1:19" ht="57.5" x14ac:dyDescent="0.35">
      <c r="A251" s="149"/>
      <c r="B251" s="36"/>
      <c r="C251" s="34" t="s">
        <v>92</v>
      </c>
      <c r="D251" s="36" t="s">
        <v>141</v>
      </c>
      <c r="E251" s="44" t="s">
        <v>674</v>
      </c>
      <c r="F251" s="36" t="s">
        <v>71</v>
      </c>
      <c r="G251" s="37"/>
      <c r="H251" s="37"/>
      <c r="I251" s="37"/>
      <c r="J251" s="110"/>
      <c r="K251" s="234">
        <v>0</v>
      </c>
      <c r="L251" s="43">
        <v>180.98</v>
      </c>
      <c r="M251" s="235">
        <f t="shared" si="37"/>
        <v>0</v>
      </c>
      <c r="N251" s="207">
        <v>0</v>
      </c>
      <c r="O251" s="39">
        <v>180.98</v>
      </c>
      <c r="P251" s="230">
        <f t="shared" si="35"/>
        <v>0</v>
      </c>
      <c r="Q251" s="275">
        <f t="shared" si="30"/>
        <v>0</v>
      </c>
      <c r="R251" s="176">
        <f t="shared" si="31"/>
        <v>0</v>
      </c>
      <c r="S251" s="276">
        <f t="shared" si="32"/>
        <v>0</v>
      </c>
    </row>
    <row r="252" spans="1:19" ht="46" x14ac:dyDescent="0.35">
      <c r="A252" s="149"/>
      <c r="B252" s="36"/>
      <c r="C252" s="34" t="s">
        <v>86</v>
      </c>
      <c r="D252" s="36" t="s">
        <v>142</v>
      </c>
      <c r="E252" s="44" t="s">
        <v>675</v>
      </c>
      <c r="F252" s="36" t="s">
        <v>71</v>
      </c>
      <c r="G252" s="37"/>
      <c r="H252" s="37"/>
      <c r="I252" s="37"/>
      <c r="J252" s="110"/>
      <c r="K252" s="234">
        <v>0</v>
      </c>
      <c r="L252" s="43">
        <v>102.99</v>
      </c>
      <c r="M252" s="235">
        <f t="shared" si="37"/>
        <v>0</v>
      </c>
      <c r="N252" s="207">
        <v>0</v>
      </c>
      <c r="O252" s="39">
        <v>102.99</v>
      </c>
      <c r="P252" s="230">
        <f t="shared" si="35"/>
        <v>0</v>
      </c>
      <c r="Q252" s="275">
        <f t="shared" si="30"/>
        <v>0</v>
      </c>
      <c r="R252" s="176">
        <f t="shared" si="31"/>
        <v>0</v>
      </c>
      <c r="S252" s="276">
        <f t="shared" si="32"/>
        <v>0</v>
      </c>
    </row>
    <row r="253" spans="1:19" ht="46" x14ac:dyDescent="0.35">
      <c r="A253" s="149"/>
      <c r="B253" s="36"/>
      <c r="C253" s="34" t="s">
        <v>94</v>
      </c>
      <c r="D253" s="36" t="s">
        <v>143</v>
      </c>
      <c r="E253" s="44" t="s">
        <v>530</v>
      </c>
      <c r="F253" s="36" t="s">
        <v>144</v>
      </c>
      <c r="G253" s="37"/>
      <c r="H253" s="37"/>
      <c r="I253" s="37"/>
      <c r="J253" s="110"/>
      <c r="K253" s="234">
        <v>0</v>
      </c>
      <c r="L253" s="43">
        <v>186.94</v>
      </c>
      <c r="M253" s="235">
        <f t="shared" si="37"/>
        <v>0</v>
      </c>
      <c r="N253" s="207">
        <v>0</v>
      </c>
      <c r="O253" s="39">
        <v>186.94</v>
      </c>
      <c r="P253" s="230">
        <f t="shared" si="35"/>
        <v>0</v>
      </c>
      <c r="Q253" s="275">
        <f t="shared" si="30"/>
        <v>0</v>
      </c>
      <c r="R253" s="176">
        <f t="shared" si="31"/>
        <v>0</v>
      </c>
      <c r="S253" s="276">
        <f t="shared" si="32"/>
        <v>0</v>
      </c>
    </row>
    <row r="254" spans="1:19" ht="34.5" x14ac:dyDescent="0.35">
      <c r="A254" s="149"/>
      <c r="B254" s="36"/>
      <c r="C254" s="34" t="s">
        <v>529</v>
      </c>
      <c r="D254" s="36" t="s">
        <v>145</v>
      </c>
      <c r="E254" s="44" t="s">
        <v>676</v>
      </c>
      <c r="F254" s="36" t="s">
        <v>144</v>
      </c>
      <c r="G254" s="37"/>
      <c r="H254" s="37"/>
      <c r="I254" s="37"/>
      <c r="J254" s="110"/>
      <c r="K254" s="234">
        <v>0</v>
      </c>
      <c r="L254" s="43">
        <v>101.89</v>
      </c>
      <c r="M254" s="235">
        <f t="shared" si="37"/>
        <v>0</v>
      </c>
      <c r="N254" s="207">
        <v>0</v>
      </c>
      <c r="O254" s="39">
        <v>101.89</v>
      </c>
      <c r="P254" s="230">
        <f t="shared" si="35"/>
        <v>0</v>
      </c>
      <c r="Q254" s="275">
        <f t="shared" si="30"/>
        <v>0</v>
      </c>
      <c r="R254" s="176">
        <f t="shared" si="31"/>
        <v>0</v>
      </c>
      <c r="S254" s="276">
        <f t="shared" si="32"/>
        <v>0</v>
      </c>
    </row>
    <row r="255" spans="1:19" ht="57.5" x14ac:dyDescent="0.35">
      <c r="A255" s="149"/>
      <c r="B255" s="36"/>
      <c r="C255" s="34" t="s">
        <v>97</v>
      </c>
      <c r="D255" s="36" t="s">
        <v>929</v>
      </c>
      <c r="E255" s="44" t="s">
        <v>146</v>
      </c>
      <c r="F255" s="36" t="s">
        <v>71</v>
      </c>
      <c r="G255" s="37"/>
      <c r="H255" s="37"/>
      <c r="I255" s="37"/>
      <c r="J255" s="110"/>
      <c r="K255" s="234">
        <v>0</v>
      </c>
      <c r="L255" s="43">
        <v>211.13</v>
      </c>
      <c r="M255" s="235">
        <f t="shared" si="37"/>
        <v>0</v>
      </c>
      <c r="N255" s="207">
        <v>0</v>
      </c>
      <c r="O255" s="39">
        <v>211.13</v>
      </c>
      <c r="P255" s="230">
        <f t="shared" si="35"/>
        <v>0</v>
      </c>
      <c r="Q255" s="275">
        <f t="shared" si="30"/>
        <v>0</v>
      </c>
      <c r="R255" s="176">
        <f t="shared" si="31"/>
        <v>0</v>
      </c>
      <c r="S255" s="276">
        <f t="shared" si="32"/>
        <v>0</v>
      </c>
    </row>
    <row r="256" spans="1:19" ht="57.5" x14ac:dyDescent="0.35">
      <c r="A256" s="149"/>
      <c r="B256" s="36"/>
      <c r="C256" s="34" t="s">
        <v>98</v>
      </c>
      <c r="D256" s="36" t="s">
        <v>734</v>
      </c>
      <c r="E256" s="44" t="s">
        <v>147</v>
      </c>
      <c r="F256" s="36" t="s">
        <v>71</v>
      </c>
      <c r="G256" s="37"/>
      <c r="H256" s="37"/>
      <c r="I256" s="37"/>
      <c r="J256" s="110"/>
      <c r="K256" s="234">
        <v>0</v>
      </c>
      <c r="L256" s="43">
        <v>87.43</v>
      </c>
      <c r="M256" s="235">
        <f t="shared" si="37"/>
        <v>0</v>
      </c>
      <c r="N256" s="207">
        <v>0</v>
      </c>
      <c r="O256" s="39">
        <v>87.43</v>
      </c>
      <c r="P256" s="230">
        <f t="shared" si="35"/>
        <v>0</v>
      </c>
      <c r="Q256" s="275">
        <f t="shared" si="30"/>
        <v>0</v>
      </c>
      <c r="R256" s="176">
        <f t="shared" si="31"/>
        <v>0</v>
      </c>
      <c r="S256" s="276">
        <f t="shared" si="32"/>
        <v>0</v>
      </c>
    </row>
    <row r="257" spans="1:19" ht="34.5" x14ac:dyDescent="0.35">
      <c r="A257" s="149"/>
      <c r="B257" s="36"/>
      <c r="C257" s="34" t="s">
        <v>99</v>
      </c>
      <c r="D257" s="36" t="s">
        <v>148</v>
      </c>
      <c r="E257" s="44" t="s">
        <v>149</v>
      </c>
      <c r="F257" s="36" t="s">
        <v>71</v>
      </c>
      <c r="G257" s="37"/>
      <c r="H257" s="37"/>
      <c r="I257" s="37"/>
      <c r="J257" s="110"/>
      <c r="K257" s="234">
        <v>0</v>
      </c>
      <c r="L257" s="43">
        <v>84.57</v>
      </c>
      <c r="M257" s="235">
        <f t="shared" si="37"/>
        <v>0</v>
      </c>
      <c r="N257" s="207">
        <v>0</v>
      </c>
      <c r="O257" s="39">
        <v>84.57</v>
      </c>
      <c r="P257" s="230">
        <f t="shared" si="35"/>
        <v>0</v>
      </c>
      <c r="Q257" s="275">
        <f t="shared" si="30"/>
        <v>0</v>
      </c>
      <c r="R257" s="176">
        <f t="shared" si="31"/>
        <v>0</v>
      </c>
      <c r="S257" s="276">
        <f t="shared" si="32"/>
        <v>0</v>
      </c>
    </row>
    <row r="258" spans="1:19" ht="23" x14ac:dyDescent="0.35">
      <c r="A258" s="149"/>
      <c r="B258" s="36"/>
      <c r="C258" s="34" t="s">
        <v>100</v>
      </c>
      <c r="D258" s="36" t="s">
        <v>711</v>
      </c>
      <c r="E258" s="44" t="s">
        <v>693</v>
      </c>
      <c r="F258" s="36" t="s">
        <v>150</v>
      </c>
      <c r="G258" s="37"/>
      <c r="H258" s="37"/>
      <c r="I258" s="37"/>
      <c r="J258" s="110"/>
      <c r="K258" s="234">
        <f>SUM(K259:K261)</f>
        <v>83</v>
      </c>
      <c r="L258" s="43">
        <v>160</v>
      </c>
      <c r="M258" s="235">
        <f t="shared" si="37"/>
        <v>13280</v>
      </c>
      <c r="N258" s="207">
        <v>73</v>
      </c>
      <c r="O258" s="39">
        <v>160</v>
      </c>
      <c r="P258" s="230">
        <f t="shared" si="35"/>
        <v>11680</v>
      </c>
      <c r="Q258" s="275">
        <f t="shared" si="30"/>
        <v>10</v>
      </c>
      <c r="R258" s="176">
        <f t="shared" si="31"/>
        <v>0</v>
      </c>
      <c r="S258" s="276">
        <f t="shared" si="32"/>
        <v>1600</v>
      </c>
    </row>
    <row r="259" spans="1:19" x14ac:dyDescent="0.35">
      <c r="A259" s="149"/>
      <c r="B259" s="36"/>
      <c r="C259" s="34"/>
      <c r="D259" s="36"/>
      <c r="E259" s="44" t="s">
        <v>803</v>
      </c>
      <c r="F259" s="36"/>
      <c r="G259" s="37">
        <v>2</v>
      </c>
      <c r="H259" s="37">
        <v>8</v>
      </c>
      <c r="I259" s="37"/>
      <c r="J259" s="110"/>
      <c r="K259" s="234">
        <f>H259*G259</f>
        <v>16</v>
      </c>
      <c r="L259" s="43"/>
      <c r="M259" s="235"/>
      <c r="N259" s="207"/>
      <c r="O259" s="39"/>
      <c r="P259" s="230"/>
      <c r="Q259" s="275"/>
      <c r="R259" s="176"/>
      <c r="S259" s="276"/>
    </row>
    <row r="260" spans="1:19" x14ac:dyDescent="0.35">
      <c r="A260" s="149"/>
      <c r="B260" s="36"/>
      <c r="C260" s="34"/>
      <c r="D260" s="36"/>
      <c r="E260" s="44" t="s">
        <v>804</v>
      </c>
      <c r="F260" s="36"/>
      <c r="G260" s="37">
        <v>2</v>
      </c>
      <c r="H260" s="37">
        <v>3.5</v>
      </c>
      <c r="I260" s="37"/>
      <c r="J260" s="110"/>
      <c r="K260" s="234">
        <f t="shared" ref="K260:K261" si="38">H260*G260</f>
        <v>7</v>
      </c>
      <c r="L260" s="43"/>
      <c r="M260" s="235"/>
      <c r="N260" s="207"/>
      <c r="O260" s="39"/>
      <c r="P260" s="230"/>
      <c r="Q260" s="275"/>
      <c r="R260" s="176"/>
      <c r="S260" s="276"/>
    </row>
    <row r="261" spans="1:19" x14ac:dyDescent="0.35">
      <c r="A261" s="149"/>
      <c r="B261" s="36"/>
      <c r="C261" s="34"/>
      <c r="D261" s="36"/>
      <c r="E261" s="44" t="s">
        <v>802</v>
      </c>
      <c r="F261" s="36"/>
      <c r="G261" s="37">
        <v>6</v>
      </c>
      <c r="H261" s="37">
        <v>10</v>
      </c>
      <c r="I261" s="37"/>
      <c r="J261" s="110"/>
      <c r="K261" s="234">
        <f t="shared" si="38"/>
        <v>60</v>
      </c>
      <c r="L261" s="43"/>
      <c r="M261" s="235"/>
      <c r="N261" s="207"/>
      <c r="O261" s="39"/>
      <c r="P261" s="230"/>
      <c r="Q261" s="275"/>
      <c r="R261" s="176"/>
      <c r="S261" s="276"/>
    </row>
    <row r="262" spans="1:19" ht="34.5" x14ac:dyDescent="0.35">
      <c r="A262" s="149"/>
      <c r="B262" s="36"/>
      <c r="C262" s="34" t="s">
        <v>101</v>
      </c>
      <c r="D262" s="36" t="s">
        <v>713</v>
      </c>
      <c r="E262" s="44" t="s">
        <v>712</v>
      </c>
      <c r="F262" s="36" t="s">
        <v>150</v>
      </c>
      <c r="G262" s="37"/>
      <c r="H262" s="37"/>
      <c r="I262" s="37"/>
      <c r="J262" s="110"/>
      <c r="K262" s="234">
        <v>0</v>
      </c>
      <c r="L262" s="43">
        <v>74.3</v>
      </c>
      <c r="M262" s="235">
        <f t="shared" ref="M262:M272" si="39">L262*$K262</f>
        <v>0</v>
      </c>
      <c r="N262" s="207">
        <v>48</v>
      </c>
      <c r="O262" s="39">
        <v>74</v>
      </c>
      <c r="P262" s="230">
        <f t="shared" si="35"/>
        <v>3552</v>
      </c>
      <c r="Q262" s="275">
        <f t="shared" si="30"/>
        <v>-48</v>
      </c>
      <c r="R262" s="176">
        <f t="shared" si="31"/>
        <v>0.29999999999999716</v>
      </c>
      <c r="S262" s="276">
        <f t="shared" si="32"/>
        <v>-3552</v>
      </c>
    </row>
    <row r="263" spans="1:19" ht="23" x14ac:dyDescent="0.35">
      <c r="A263" s="149"/>
      <c r="B263" s="36"/>
      <c r="C263" s="34" t="s">
        <v>102</v>
      </c>
      <c r="D263" s="36" t="s">
        <v>151</v>
      </c>
      <c r="E263" s="44" t="s">
        <v>694</v>
      </c>
      <c r="F263" s="36" t="s">
        <v>150</v>
      </c>
      <c r="G263" s="37"/>
      <c r="H263" s="37"/>
      <c r="I263" s="37"/>
      <c r="J263" s="110"/>
      <c r="K263" s="234">
        <v>0</v>
      </c>
      <c r="L263" s="43">
        <v>130.81</v>
      </c>
      <c r="M263" s="235">
        <f t="shared" si="39"/>
        <v>0</v>
      </c>
      <c r="N263" s="207">
        <v>24</v>
      </c>
      <c r="O263" s="39">
        <v>130.81</v>
      </c>
      <c r="P263" s="230">
        <f t="shared" si="35"/>
        <v>3139.44</v>
      </c>
      <c r="Q263" s="275">
        <f t="shared" si="30"/>
        <v>-24</v>
      </c>
      <c r="R263" s="176">
        <f t="shared" si="31"/>
        <v>0</v>
      </c>
      <c r="S263" s="276">
        <f t="shared" si="32"/>
        <v>-3139.44</v>
      </c>
    </row>
    <row r="264" spans="1:19" ht="103.5" x14ac:dyDescent="0.35">
      <c r="A264" s="149"/>
      <c r="B264" s="36"/>
      <c r="C264" s="34" t="s">
        <v>735</v>
      </c>
      <c r="D264" s="36" t="s">
        <v>930</v>
      </c>
      <c r="E264" s="44" t="s">
        <v>531</v>
      </c>
      <c r="F264" s="36" t="s">
        <v>71</v>
      </c>
      <c r="G264" s="37"/>
      <c r="H264" s="37"/>
      <c r="I264" s="37"/>
      <c r="J264" s="110"/>
      <c r="K264" s="234">
        <v>0</v>
      </c>
      <c r="L264" s="43">
        <v>305.58999999999997</v>
      </c>
      <c r="M264" s="235">
        <f t="shared" si="39"/>
        <v>0</v>
      </c>
      <c r="N264" s="207">
        <v>42</v>
      </c>
      <c r="O264" s="39">
        <v>305.58999999999997</v>
      </c>
      <c r="P264" s="230">
        <f t="shared" si="35"/>
        <v>12834.779999999999</v>
      </c>
      <c r="Q264" s="275">
        <f t="shared" si="30"/>
        <v>-42</v>
      </c>
      <c r="R264" s="176">
        <f t="shared" si="31"/>
        <v>0</v>
      </c>
      <c r="S264" s="276">
        <f t="shared" si="32"/>
        <v>-12834.779999999999</v>
      </c>
    </row>
    <row r="265" spans="1:19" ht="103.5" x14ac:dyDescent="0.35">
      <c r="A265" s="149"/>
      <c r="B265" s="36"/>
      <c r="C265" s="34" t="s">
        <v>736</v>
      </c>
      <c r="D265" s="36" t="s">
        <v>931</v>
      </c>
      <c r="E265" s="44" t="s">
        <v>741</v>
      </c>
      <c r="F265" s="36" t="s">
        <v>71</v>
      </c>
      <c r="G265" s="37"/>
      <c r="H265" s="37"/>
      <c r="I265" s="37"/>
      <c r="J265" s="110"/>
      <c r="K265" s="234">
        <v>0</v>
      </c>
      <c r="L265" s="43">
        <v>280.43</v>
      </c>
      <c r="M265" s="235">
        <f t="shared" si="39"/>
        <v>0</v>
      </c>
      <c r="N265" s="207">
        <v>0</v>
      </c>
      <c r="O265" s="39">
        <v>2840.43</v>
      </c>
      <c r="P265" s="230">
        <f t="shared" si="35"/>
        <v>0</v>
      </c>
      <c r="Q265" s="275">
        <f t="shared" si="30"/>
        <v>0</v>
      </c>
      <c r="R265" s="176">
        <f t="shared" si="31"/>
        <v>-2560</v>
      </c>
      <c r="S265" s="276">
        <f t="shared" si="32"/>
        <v>0</v>
      </c>
    </row>
    <row r="266" spans="1:19" ht="57.5" x14ac:dyDescent="0.35">
      <c r="A266" s="149"/>
      <c r="B266" s="36"/>
      <c r="C266" s="34" t="s">
        <v>737</v>
      </c>
      <c r="D266" s="36" t="s">
        <v>692</v>
      </c>
      <c r="E266" s="44" t="s">
        <v>742</v>
      </c>
      <c r="F266" s="36" t="s">
        <v>71</v>
      </c>
      <c r="G266" s="37"/>
      <c r="H266" s="37"/>
      <c r="I266" s="37"/>
      <c r="J266" s="110"/>
      <c r="K266" s="234">
        <v>0</v>
      </c>
      <c r="L266" s="43">
        <v>238.75</v>
      </c>
      <c r="M266" s="235">
        <f t="shared" si="39"/>
        <v>0</v>
      </c>
      <c r="N266" s="207">
        <v>0</v>
      </c>
      <c r="O266" s="39">
        <v>238.75</v>
      </c>
      <c r="P266" s="230">
        <f t="shared" si="35"/>
        <v>0</v>
      </c>
      <c r="Q266" s="275">
        <f t="shared" si="30"/>
        <v>0</v>
      </c>
      <c r="R266" s="176">
        <f t="shared" si="31"/>
        <v>0</v>
      </c>
      <c r="S266" s="276">
        <f t="shared" si="32"/>
        <v>0</v>
      </c>
    </row>
    <row r="267" spans="1:19" ht="80.5" x14ac:dyDescent="0.35">
      <c r="A267" s="149"/>
      <c r="B267" s="36"/>
      <c r="C267" s="34" t="s">
        <v>738</v>
      </c>
      <c r="D267" s="36" t="s">
        <v>932</v>
      </c>
      <c r="E267" s="44" t="s">
        <v>677</v>
      </c>
      <c r="F267" s="36" t="s">
        <v>71</v>
      </c>
      <c r="G267" s="37"/>
      <c r="H267" s="37"/>
      <c r="I267" s="37"/>
      <c r="J267" s="110"/>
      <c r="K267" s="234">
        <v>0</v>
      </c>
      <c r="L267" s="43">
        <v>258.25</v>
      </c>
      <c r="M267" s="235">
        <f t="shared" si="39"/>
        <v>0</v>
      </c>
      <c r="N267" s="207">
        <v>0</v>
      </c>
      <c r="O267" s="39">
        <v>258.25</v>
      </c>
      <c r="P267" s="230">
        <f t="shared" si="35"/>
        <v>0</v>
      </c>
      <c r="Q267" s="275">
        <f t="shared" si="30"/>
        <v>0</v>
      </c>
      <c r="R267" s="176">
        <f t="shared" si="31"/>
        <v>0</v>
      </c>
      <c r="S267" s="276">
        <f t="shared" si="32"/>
        <v>0</v>
      </c>
    </row>
    <row r="268" spans="1:19" ht="115" x14ac:dyDescent="0.35">
      <c r="A268" s="149"/>
      <c r="B268" s="36"/>
      <c r="C268" s="34" t="s">
        <v>532</v>
      </c>
      <c r="D268" s="36" t="s">
        <v>933</v>
      </c>
      <c r="E268" s="44" t="s">
        <v>678</v>
      </c>
      <c r="F268" s="36" t="s">
        <v>71</v>
      </c>
      <c r="G268" s="37"/>
      <c r="H268" s="37"/>
      <c r="I268" s="37"/>
      <c r="J268" s="110"/>
      <c r="K268" s="234">
        <v>0</v>
      </c>
      <c r="L268" s="43">
        <v>305.58999999999997</v>
      </c>
      <c r="M268" s="235">
        <f t="shared" si="39"/>
        <v>0</v>
      </c>
      <c r="N268" s="207">
        <v>0</v>
      </c>
      <c r="O268" s="39">
        <v>305.58999999999997</v>
      </c>
      <c r="P268" s="230">
        <f t="shared" si="35"/>
        <v>0</v>
      </c>
      <c r="Q268" s="275">
        <f t="shared" si="30"/>
        <v>0</v>
      </c>
      <c r="R268" s="176">
        <f t="shared" si="31"/>
        <v>0</v>
      </c>
      <c r="S268" s="276">
        <f t="shared" si="32"/>
        <v>0</v>
      </c>
    </row>
    <row r="269" spans="1:19" ht="92" x14ac:dyDescent="0.35">
      <c r="A269" s="149"/>
      <c r="B269" s="36"/>
      <c r="C269" s="34" t="s">
        <v>533</v>
      </c>
      <c r="D269" s="36" t="s">
        <v>934</v>
      </c>
      <c r="E269" s="44" t="s">
        <v>152</v>
      </c>
      <c r="F269" s="36" t="s">
        <v>71</v>
      </c>
      <c r="G269" s="37"/>
      <c r="H269" s="37"/>
      <c r="I269" s="37"/>
      <c r="J269" s="110"/>
      <c r="K269" s="234">
        <v>0</v>
      </c>
      <c r="L269" s="43">
        <v>238.75</v>
      </c>
      <c r="M269" s="235">
        <f t="shared" si="39"/>
        <v>0</v>
      </c>
      <c r="N269" s="207">
        <v>0</v>
      </c>
      <c r="O269" s="39">
        <v>238.75</v>
      </c>
      <c r="P269" s="230">
        <f t="shared" si="35"/>
        <v>0</v>
      </c>
      <c r="Q269" s="275">
        <f t="shared" si="30"/>
        <v>0</v>
      </c>
      <c r="R269" s="176">
        <f t="shared" si="31"/>
        <v>0</v>
      </c>
      <c r="S269" s="276">
        <f t="shared" si="32"/>
        <v>0</v>
      </c>
    </row>
    <row r="270" spans="1:19" ht="69" x14ac:dyDescent="0.35">
      <c r="A270" s="149"/>
      <c r="B270" s="36"/>
      <c r="C270" s="34" t="s">
        <v>534</v>
      </c>
      <c r="D270" s="36" t="s">
        <v>935</v>
      </c>
      <c r="E270" s="44" t="s">
        <v>153</v>
      </c>
      <c r="F270" s="36" t="s">
        <v>71</v>
      </c>
      <c r="G270" s="37"/>
      <c r="H270" s="37"/>
      <c r="I270" s="37"/>
      <c r="J270" s="110"/>
      <c r="K270" s="234">
        <v>0</v>
      </c>
      <c r="L270" s="43">
        <v>258.25</v>
      </c>
      <c r="M270" s="235">
        <f t="shared" si="39"/>
        <v>0</v>
      </c>
      <c r="N270" s="207">
        <v>0</v>
      </c>
      <c r="O270" s="39">
        <v>258.25</v>
      </c>
      <c r="P270" s="230">
        <f t="shared" si="35"/>
        <v>0</v>
      </c>
      <c r="Q270" s="275">
        <f t="shared" si="30"/>
        <v>0</v>
      </c>
      <c r="R270" s="176">
        <f t="shared" si="31"/>
        <v>0</v>
      </c>
      <c r="S270" s="276">
        <f t="shared" si="32"/>
        <v>0</v>
      </c>
    </row>
    <row r="271" spans="1:19" ht="23" x14ac:dyDescent="0.35">
      <c r="A271" s="149"/>
      <c r="B271" s="36"/>
      <c r="C271" s="34" t="s">
        <v>107</v>
      </c>
      <c r="D271" s="36" t="s">
        <v>662</v>
      </c>
      <c r="E271" s="44" t="s">
        <v>154</v>
      </c>
      <c r="F271" s="36" t="s">
        <v>186</v>
      </c>
      <c r="G271" s="37"/>
      <c r="H271" s="37"/>
      <c r="I271" s="37"/>
      <c r="J271" s="110"/>
      <c r="K271" s="234">
        <v>0</v>
      </c>
      <c r="L271" s="43">
        <v>176.22</v>
      </c>
      <c r="M271" s="235">
        <f t="shared" si="39"/>
        <v>0</v>
      </c>
      <c r="N271" s="207">
        <v>0</v>
      </c>
      <c r="O271" s="39">
        <v>176.22</v>
      </c>
      <c r="P271" s="230">
        <f t="shared" si="35"/>
        <v>0</v>
      </c>
      <c r="Q271" s="275">
        <f t="shared" si="30"/>
        <v>0</v>
      </c>
      <c r="R271" s="176">
        <f t="shared" si="31"/>
        <v>0</v>
      </c>
      <c r="S271" s="276">
        <f t="shared" si="32"/>
        <v>0</v>
      </c>
    </row>
    <row r="272" spans="1:19" ht="115" x14ac:dyDescent="0.35">
      <c r="A272" s="149"/>
      <c r="B272" s="36"/>
      <c r="C272" s="34" t="s">
        <v>108</v>
      </c>
      <c r="D272" s="36" t="s">
        <v>936</v>
      </c>
      <c r="E272" s="44" t="s">
        <v>535</v>
      </c>
      <c r="F272" s="36" t="s">
        <v>71</v>
      </c>
      <c r="G272" s="37"/>
      <c r="H272" s="37"/>
      <c r="I272" s="37"/>
      <c r="J272" s="110"/>
      <c r="K272" s="234">
        <v>0</v>
      </c>
      <c r="L272" s="43">
        <v>82.4</v>
      </c>
      <c r="M272" s="235">
        <f t="shared" si="39"/>
        <v>0</v>
      </c>
      <c r="N272" s="207">
        <v>0</v>
      </c>
      <c r="O272" s="39">
        <v>82.4</v>
      </c>
      <c r="P272" s="230">
        <f t="shared" si="35"/>
        <v>0</v>
      </c>
      <c r="Q272" s="275">
        <f t="shared" si="30"/>
        <v>0</v>
      </c>
      <c r="R272" s="176">
        <f t="shared" si="31"/>
        <v>0</v>
      </c>
      <c r="S272" s="276">
        <f t="shared" si="32"/>
        <v>0</v>
      </c>
    </row>
    <row r="273" spans="1:19" x14ac:dyDescent="0.35">
      <c r="A273" s="46" t="s">
        <v>536</v>
      </c>
      <c r="B273" s="52"/>
      <c r="C273" s="34"/>
      <c r="D273" s="34"/>
      <c r="E273" s="46"/>
      <c r="F273" s="52"/>
      <c r="G273" s="53"/>
      <c r="H273" s="53"/>
      <c r="I273" s="53"/>
      <c r="J273" s="219"/>
      <c r="K273" s="236"/>
      <c r="L273" s="56"/>
      <c r="M273" s="210">
        <f>SUM(M237:M272)</f>
        <v>46684.724000000002</v>
      </c>
      <c r="N273" s="207"/>
      <c r="O273" s="39"/>
      <c r="P273" s="271">
        <f>SUM(P237:P272)</f>
        <v>35196.22</v>
      </c>
      <c r="Q273" s="275">
        <f t="shared" si="30"/>
        <v>0</v>
      </c>
      <c r="R273" s="176">
        <f t="shared" si="31"/>
        <v>0</v>
      </c>
      <c r="S273" s="276">
        <f t="shared" si="32"/>
        <v>11488.504000000001</v>
      </c>
    </row>
    <row r="274" spans="1:19" x14ac:dyDescent="0.35">
      <c r="A274" s="131"/>
      <c r="B274" s="34" t="s">
        <v>155</v>
      </c>
      <c r="C274" s="34"/>
      <c r="D274" s="34"/>
      <c r="E274" s="89" t="s">
        <v>156</v>
      </c>
      <c r="F274" s="34"/>
      <c r="G274" s="90"/>
      <c r="H274" s="90"/>
      <c r="I274" s="90"/>
      <c r="J274" s="181"/>
      <c r="K274" s="245"/>
      <c r="L274" s="91"/>
      <c r="M274" s="210"/>
      <c r="N274" s="207"/>
      <c r="O274" s="39"/>
      <c r="P274" s="230"/>
      <c r="Q274" s="275"/>
      <c r="R274" s="176"/>
      <c r="S274" s="276"/>
    </row>
    <row r="275" spans="1:19" ht="80.5" x14ac:dyDescent="0.35">
      <c r="A275" s="149"/>
      <c r="B275" s="36"/>
      <c r="C275" s="34" t="s">
        <v>8</v>
      </c>
      <c r="D275" s="36" t="s">
        <v>679</v>
      </c>
      <c r="E275" s="44" t="s">
        <v>700</v>
      </c>
      <c r="F275" s="36" t="s">
        <v>13</v>
      </c>
      <c r="G275" s="37"/>
      <c r="H275" s="37"/>
      <c r="I275" s="37"/>
      <c r="J275" s="110"/>
      <c r="K275" s="234">
        <v>0</v>
      </c>
      <c r="L275" s="43">
        <v>1456</v>
      </c>
      <c r="M275" s="235">
        <f t="shared" ref="M275:M280" si="40">L275*$K275</f>
        <v>0</v>
      </c>
      <c r="N275" s="207">
        <v>0</v>
      </c>
      <c r="O275" s="39">
        <v>1456</v>
      </c>
      <c r="P275" s="230">
        <f>O275*N275</f>
        <v>0</v>
      </c>
      <c r="Q275" s="275">
        <f t="shared" ref="Q275:Q338" si="41">K275-N275</f>
        <v>0</v>
      </c>
      <c r="R275" s="176">
        <f t="shared" ref="R275:R338" si="42">L275-O275</f>
        <v>0</v>
      </c>
      <c r="S275" s="276">
        <f t="shared" ref="S275:S338" si="43">M275-P275</f>
        <v>0</v>
      </c>
    </row>
    <row r="276" spans="1:19" ht="46" x14ac:dyDescent="0.35">
      <c r="A276" s="149"/>
      <c r="B276" s="36"/>
      <c r="C276" s="34" t="s">
        <v>26</v>
      </c>
      <c r="D276" s="36" t="s">
        <v>655</v>
      </c>
      <c r="E276" s="44" t="s">
        <v>157</v>
      </c>
      <c r="F276" s="36" t="s">
        <v>13</v>
      </c>
      <c r="G276" s="37"/>
      <c r="H276" s="37"/>
      <c r="I276" s="37"/>
      <c r="J276" s="110"/>
      <c r="K276" s="234"/>
      <c r="L276" s="43">
        <v>1201.83</v>
      </c>
      <c r="M276" s="235">
        <f t="shared" si="40"/>
        <v>0</v>
      </c>
      <c r="N276" s="207">
        <v>0</v>
      </c>
      <c r="O276" s="39">
        <v>1202</v>
      </c>
      <c r="P276" s="230">
        <f t="shared" ref="P276:P288" si="44">O276*N276</f>
        <v>0</v>
      </c>
      <c r="Q276" s="275">
        <f t="shared" si="41"/>
        <v>0</v>
      </c>
      <c r="R276" s="176">
        <f t="shared" si="42"/>
        <v>-0.17000000000007276</v>
      </c>
      <c r="S276" s="276">
        <f t="shared" si="43"/>
        <v>0</v>
      </c>
    </row>
    <row r="277" spans="1:19" ht="103.5" x14ac:dyDescent="0.35">
      <c r="A277" s="149"/>
      <c r="B277" s="36"/>
      <c r="C277" s="34" t="s">
        <v>38</v>
      </c>
      <c r="D277" s="36" t="s">
        <v>158</v>
      </c>
      <c r="E277" s="44" t="s">
        <v>159</v>
      </c>
      <c r="F277" s="36" t="s">
        <v>13</v>
      </c>
      <c r="G277" s="37"/>
      <c r="H277" s="37"/>
      <c r="I277" s="37"/>
      <c r="J277" s="110"/>
      <c r="K277" s="234">
        <v>0</v>
      </c>
      <c r="L277" s="43">
        <v>930.8</v>
      </c>
      <c r="M277" s="235">
        <f t="shared" si="40"/>
        <v>0</v>
      </c>
      <c r="N277" s="207">
        <v>0</v>
      </c>
      <c r="O277" s="39">
        <v>930</v>
      </c>
      <c r="P277" s="230">
        <f t="shared" si="44"/>
        <v>0</v>
      </c>
      <c r="Q277" s="275">
        <f t="shared" si="41"/>
        <v>0</v>
      </c>
      <c r="R277" s="176">
        <f t="shared" si="42"/>
        <v>0.79999999999995453</v>
      </c>
      <c r="S277" s="276">
        <f t="shared" si="43"/>
        <v>0</v>
      </c>
    </row>
    <row r="278" spans="1:19" ht="80.5" x14ac:dyDescent="0.35">
      <c r="A278" s="149"/>
      <c r="B278" s="36"/>
      <c r="C278" s="34" t="s">
        <v>68</v>
      </c>
      <c r="D278" s="36" t="s">
        <v>699</v>
      </c>
      <c r="E278" s="44" t="s">
        <v>160</v>
      </c>
      <c r="F278" s="36" t="s">
        <v>13</v>
      </c>
      <c r="G278" s="37"/>
      <c r="H278" s="37"/>
      <c r="I278" s="37"/>
      <c r="J278" s="110"/>
      <c r="K278" s="234">
        <v>0</v>
      </c>
      <c r="L278" s="43">
        <v>919.36</v>
      </c>
      <c r="M278" s="235">
        <f t="shared" si="40"/>
        <v>0</v>
      </c>
      <c r="N278" s="207">
        <v>0</v>
      </c>
      <c r="O278" s="39">
        <v>919</v>
      </c>
      <c r="P278" s="230">
        <f t="shared" si="44"/>
        <v>0</v>
      </c>
      <c r="Q278" s="275">
        <f t="shared" si="41"/>
        <v>0</v>
      </c>
      <c r="R278" s="176">
        <f t="shared" si="42"/>
        <v>0.36000000000001364</v>
      </c>
      <c r="S278" s="276">
        <f t="shared" si="43"/>
        <v>0</v>
      </c>
    </row>
    <row r="279" spans="1:19" ht="80.5" x14ac:dyDescent="0.35">
      <c r="A279" s="149"/>
      <c r="B279" s="36"/>
      <c r="C279" s="34" t="s">
        <v>72</v>
      </c>
      <c r="D279" s="36" t="s">
        <v>161</v>
      </c>
      <c r="E279" s="44" t="s">
        <v>162</v>
      </c>
      <c r="F279" s="36" t="s">
        <v>13</v>
      </c>
      <c r="G279" s="37"/>
      <c r="H279" s="37"/>
      <c r="I279" s="37"/>
      <c r="J279" s="110"/>
      <c r="K279" s="234">
        <v>0</v>
      </c>
      <c r="L279" s="43">
        <v>1079.52</v>
      </c>
      <c r="M279" s="235">
        <f t="shared" si="40"/>
        <v>0</v>
      </c>
      <c r="N279" s="207">
        <v>0</v>
      </c>
      <c r="O279" s="39">
        <v>1079.52</v>
      </c>
      <c r="P279" s="230">
        <f t="shared" si="44"/>
        <v>0</v>
      </c>
      <c r="Q279" s="275">
        <f t="shared" si="41"/>
        <v>0</v>
      </c>
      <c r="R279" s="176">
        <f t="shared" si="42"/>
        <v>0</v>
      </c>
      <c r="S279" s="276">
        <f t="shared" si="43"/>
        <v>0</v>
      </c>
    </row>
    <row r="280" spans="1:19" ht="92" x14ac:dyDescent="0.35">
      <c r="A280" s="149"/>
      <c r="B280" s="36"/>
      <c r="C280" s="34" t="s">
        <v>57</v>
      </c>
      <c r="D280" s="36" t="s">
        <v>163</v>
      </c>
      <c r="E280" s="44" t="s">
        <v>164</v>
      </c>
      <c r="F280" s="36" t="s">
        <v>13</v>
      </c>
      <c r="G280" s="37"/>
      <c r="H280" s="37"/>
      <c r="I280" s="37"/>
      <c r="J280" s="110"/>
      <c r="K280" s="234">
        <f>SUM(K281:K282)</f>
        <v>28</v>
      </c>
      <c r="L280" s="43">
        <v>1200</v>
      </c>
      <c r="M280" s="235">
        <f t="shared" si="40"/>
        <v>33600</v>
      </c>
      <c r="N280" s="207">
        <v>42</v>
      </c>
      <c r="O280" s="39">
        <v>1200</v>
      </c>
      <c r="P280" s="230">
        <f t="shared" si="44"/>
        <v>50400</v>
      </c>
      <c r="Q280" s="275">
        <f t="shared" si="41"/>
        <v>-14</v>
      </c>
      <c r="R280" s="176">
        <f t="shared" si="42"/>
        <v>0</v>
      </c>
      <c r="S280" s="276">
        <f t="shared" si="43"/>
        <v>-16800</v>
      </c>
    </row>
    <row r="281" spans="1:19" x14ac:dyDescent="0.35">
      <c r="A281" s="149"/>
      <c r="B281" s="36"/>
      <c r="C281" s="34"/>
      <c r="D281" s="36"/>
      <c r="E281" s="44" t="s">
        <v>871</v>
      </c>
      <c r="F281" s="36"/>
      <c r="G281" s="37">
        <v>1</v>
      </c>
      <c r="H281" s="37">
        <v>4</v>
      </c>
      <c r="I281" s="37"/>
      <c r="J281" s="110">
        <v>7</v>
      </c>
      <c r="K281" s="234">
        <f>J281*H281*G281</f>
        <v>28</v>
      </c>
      <c r="L281" s="43"/>
      <c r="M281" s="235"/>
      <c r="N281" s="207"/>
      <c r="O281" s="39"/>
      <c r="P281" s="230"/>
      <c r="Q281" s="275"/>
      <c r="R281" s="176"/>
      <c r="S281" s="276"/>
    </row>
    <row r="282" spans="1:19" x14ac:dyDescent="0.35">
      <c r="A282" s="149"/>
      <c r="B282" s="36"/>
      <c r="C282" s="34"/>
      <c r="D282" s="36"/>
      <c r="E282" s="44"/>
      <c r="F282" s="36"/>
      <c r="G282" s="37"/>
      <c r="H282" s="37"/>
      <c r="I282" s="37"/>
      <c r="J282" s="110"/>
      <c r="K282" s="234"/>
      <c r="L282" s="43"/>
      <c r="M282" s="235"/>
      <c r="N282" s="207"/>
      <c r="O282" s="39"/>
      <c r="P282" s="230"/>
      <c r="Q282" s="275"/>
      <c r="R282" s="176"/>
      <c r="S282" s="276"/>
    </row>
    <row r="283" spans="1:19" ht="80.5" x14ac:dyDescent="0.35">
      <c r="A283" s="149"/>
      <c r="B283" s="36"/>
      <c r="C283" s="34" t="s">
        <v>172</v>
      </c>
      <c r="D283" s="36" t="s">
        <v>165</v>
      </c>
      <c r="E283" s="44" t="s">
        <v>166</v>
      </c>
      <c r="F283" s="36" t="s">
        <v>13</v>
      </c>
      <c r="G283" s="37"/>
      <c r="H283" s="37"/>
      <c r="I283" s="37"/>
      <c r="J283" s="110"/>
      <c r="K283" s="234">
        <v>0</v>
      </c>
      <c r="L283" s="43">
        <v>713.44</v>
      </c>
      <c r="M283" s="235">
        <f>L283*$K283</f>
        <v>0</v>
      </c>
      <c r="N283" s="207">
        <v>0</v>
      </c>
      <c r="O283" s="39">
        <v>713.44</v>
      </c>
      <c r="P283" s="230">
        <f t="shared" si="44"/>
        <v>0</v>
      </c>
      <c r="Q283" s="275">
        <f t="shared" si="41"/>
        <v>0</v>
      </c>
      <c r="R283" s="176">
        <f t="shared" si="42"/>
        <v>0</v>
      </c>
      <c r="S283" s="276">
        <f t="shared" si="43"/>
        <v>0</v>
      </c>
    </row>
    <row r="284" spans="1:19" ht="103.5" x14ac:dyDescent="0.35">
      <c r="A284" s="149"/>
      <c r="B284" s="36"/>
      <c r="C284" s="34" t="s">
        <v>59</v>
      </c>
      <c r="D284" s="36" t="s">
        <v>168</v>
      </c>
      <c r="E284" s="44" t="s">
        <v>169</v>
      </c>
      <c r="F284" s="36" t="s">
        <v>13</v>
      </c>
      <c r="G284" s="37"/>
      <c r="H284" s="37"/>
      <c r="I284" s="37"/>
      <c r="J284" s="110"/>
      <c r="K284" s="234">
        <v>0</v>
      </c>
      <c r="L284" s="43">
        <v>930.8</v>
      </c>
      <c r="M284" s="235">
        <f>L284*$K284</f>
        <v>0</v>
      </c>
      <c r="N284" s="207">
        <v>21</v>
      </c>
      <c r="O284" s="39">
        <v>930.8</v>
      </c>
      <c r="P284" s="230">
        <f t="shared" si="44"/>
        <v>19546.8</v>
      </c>
      <c r="Q284" s="275">
        <f t="shared" si="41"/>
        <v>-21</v>
      </c>
      <c r="R284" s="176">
        <f t="shared" si="42"/>
        <v>0</v>
      </c>
      <c r="S284" s="276">
        <f t="shared" si="43"/>
        <v>-19546.8</v>
      </c>
    </row>
    <row r="285" spans="1:19" ht="34.5" x14ac:dyDescent="0.35">
      <c r="A285" s="149"/>
      <c r="B285" s="36"/>
      <c r="C285" s="34" t="s">
        <v>92</v>
      </c>
      <c r="D285" s="36" t="s">
        <v>170</v>
      </c>
      <c r="E285" s="44" t="s">
        <v>171</v>
      </c>
      <c r="F285" s="36" t="s">
        <v>125</v>
      </c>
      <c r="G285" s="37"/>
      <c r="H285" s="37"/>
      <c r="I285" s="37"/>
      <c r="J285" s="110"/>
      <c r="K285" s="234">
        <v>0</v>
      </c>
      <c r="L285" s="43">
        <v>1722.22</v>
      </c>
      <c r="M285" s="235">
        <f>L285*$K285</f>
        <v>0</v>
      </c>
      <c r="N285" s="207">
        <v>0</v>
      </c>
      <c r="O285" s="39">
        <v>1722.22</v>
      </c>
      <c r="P285" s="230">
        <f t="shared" si="44"/>
        <v>0</v>
      </c>
      <c r="Q285" s="275">
        <f t="shared" si="41"/>
        <v>0</v>
      </c>
      <c r="R285" s="176">
        <f t="shared" si="42"/>
        <v>0</v>
      </c>
      <c r="S285" s="276">
        <f t="shared" si="43"/>
        <v>0</v>
      </c>
    </row>
    <row r="286" spans="1:19" ht="80.5" x14ac:dyDescent="0.35">
      <c r="A286" s="149"/>
      <c r="B286" s="36"/>
      <c r="C286" s="34" t="s">
        <v>86</v>
      </c>
      <c r="D286" s="36" t="s">
        <v>173</v>
      </c>
      <c r="E286" s="44" t="s">
        <v>537</v>
      </c>
      <c r="F286" s="36" t="s">
        <v>13</v>
      </c>
      <c r="G286" s="37"/>
      <c r="H286" s="37"/>
      <c r="I286" s="37"/>
      <c r="J286" s="110"/>
      <c r="K286" s="234">
        <f>SUM(K287)</f>
        <v>23.24</v>
      </c>
      <c r="L286" s="43">
        <v>755.04</v>
      </c>
      <c r="M286" s="235">
        <f>L286*$K286</f>
        <v>17547.129599999997</v>
      </c>
      <c r="N286" s="207">
        <v>0</v>
      </c>
      <c r="O286" s="39">
        <v>755.04</v>
      </c>
      <c r="P286" s="230">
        <f t="shared" si="44"/>
        <v>0</v>
      </c>
      <c r="Q286" s="275">
        <f t="shared" si="41"/>
        <v>23.24</v>
      </c>
      <c r="R286" s="176">
        <f t="shared" si="42"/>
        <v>0</v>
      </c>
      <c r="S286" s="276">
        <f t="shared" si="43"/>
        <v>17547.129599999997</v>
      </c>
    </row>
    <row r="287" spans="1:19" x14ac:dyDescent="0.35">
      <c r="A287" s="149"/>
      <c r="B287" s="36"/>
      <c r="C287" s="34"/>
      <c r="D287" s="36"/>
      <c r="E287" s="44"/>
      <c r="F287" s="36"/>
      <c r="G287" s="37">
        <v>1</v>
      </c>
      <c r="H287" s="37">
        <v>3.32</v>
      </c>
      <c r="I287" s="37"/>
      <c r="J287" s="110">
        <v>7</v>
      </c>
      <c r="K287" s="234">
        <f>J287*H287*G287</f>
        <v>23.24</v>
      </c>
      <c r="L287" s="43"/>
      <c r="M287" s="235"/>
      <c r="N287" s="207"/>
      <c r="O287" s="39"/>
      <c r="P287" s="230"/>
      <c r="Q287" s="275"/>
      <c r="R287" s="176"/>
      <c r="S287" s="276"/>
    </row>
    <row r="288" spans="1:19" ht="57.5" x14ac:dyDescent="0.35">
      <c r="A288" s="149"/>
      <c r="B288" s="36"/>
      <c r="C288" s="34" t="s">
        <v>94</v>
      </c>
      <c r="D288" s="36" t="s">
        <v>174</v>
      </c>
      <c r="E288" s="44" t="s">
        <v>538</v>
      </c>
      <c r="F288" s="36" t="s">
        <v>13</v>
      </c>
      <c r="G288" s="37">
        <v>1</v>
      </c>
      <c r="H288" s="37">
        <v>2.5</v>
      </c>
      <c r="I288" s="37"/>
      <c r="J288" s="110">
        <v>3.5</v>
      </c>
      <c r="K288" s="234">
        <f>J288*H288*G288</f>
        <v>8.75</v>
      </c>
      <c r="L288" s="43">
        <v>815.23</v>
      </c>
      <c r="M288" s="235">
        <f>L288*$K288</f>
        <v>7133.2624999999998</v>
      </c>
      <c r="N288" s="207">
        <v>11</v>
      </c>
      <c r="O288" s="39">
        <v>815</v>
      </c>
      <c r="P288" s="230">
        <f t="shared" si="44"/>
        <v>8965</v>
      </c>
      <c r="Q288" s="275">
        <f t="shared" si="41"/>
        <v>-2.25</v>
      </c>
      <c r="R288" s="176">
        <f t="shared" si="42"/>
        <v>0.23000000000001819</v>
      </c>
      <c r="S288" s="276">
        <f t="shared" si="43"/>
        <v>-1831.7375000000002</v>
      </c>
    </row>
    <row r="289" spans="1:19" x14ac:dyDescent="0.35">
      <c r="A289" s="46" t="s">
        <v>539</v>
      </c>
      <c r="B289" s="52"/>
      <c r="C289" s="34"/>
      <c r="D289" s="34"/>
      <c r="E289" s="46"/>
      <c r="F289" s="52"/>
      <c r="G289" s="53"/>
      <c r="H289" s="53"/>
      <c r="I289" s="53"/>
      <c r="J289" s="219"/>
      <c r="K289" s="236"/>
      <c r="L289" s="56"/>
      <c r="M289" s="210">
        <f>SUM(M275:M288)</f>
        <v>58280.392099999997</v>
      </c>
      <c r="N289" s="207"/>
      <c r="O289" s="39"/>
      <c r="P289" s="271">
        <f>SUM(P275:P288)</f>
        <v>78911.8</v>
      </c>
      <c r="Q289" s="283">
        <f t="shared" si="41"/>
        <v>0</v>
      </c>
      <c r="R289" s="182">
        <f t="shared" si="42"/>
        <v>0</v>
      </c>
      <c r="S289" s="211">
        <f t="shared" si="43"/>
        <v>-20631.407900000006</v>
      </c>
    </row>
    <row r="290" spans="1:19" x14ac:dyDescent="0.35">
      <c r="A290" s="131"/>
      <c r="B290" s="34" t="s">
        <v>175</v>
      </c>
      <c r="C290" s="34"/>
      <c r="D290" s="34"/>
      <c r="E290" s="89" t="s">
        <v>176</v>
      </c>
      <c r="F290" s="34"/>
      <c r="G290" s="90"/>
      <c r="H290" s="90"/>
      <c r="I290" s="90"/>
      <c r="J290" s="181"/>
      <c r="K290" s="245"/>
      <c r="L290" s="91"/>
      <c r="M290" s="210"/>
      <c r="N290" s="207"/>
      <c r="O290" s="39"/>
      <c r="P290" s="230"/>
      <c r="Q290" s="275"/>
      <c r="R290" s="176"/>
      <c r="S290" s="276"/>
    </row>
    <row r="291" spans="1:19" ht="92" x14ac:dyDescent="0.35">
      <c r="A291" s="131"/>
      <c r="B291" s="34"/>
      <c r="C291" s="34" t="s">
        <v>8</v>
      </c>
      <c r="D291" s="36" t="s">
        <v>177</v>
      </c>
      <c r="E291" s="54" t="s">
        <v>178</v>
      </c>
      <c r="F291" s="36" t="s">
        <v>71</v>
      </c>
      <c r="G291" s="37"/>
      <c r="H291" s="37"/>
      <c r="I291" s="37"/>
      <c r="J291" s="110"/>
      <c r="K291" s="234">
        <v>0</v>
      </c>
      <c r="L291" s="43">
        <v>30</v>
      </c>
      <c r="M291" s="235">
        <f>L291*$K291</f>
        <v>0</v>
      </c>
      <c r="N291" s="207">
        <v>428</v>
      </c>
      <c r="O291" s="39">
        <v>30</v>
      </c>
      <c r="P291" s="230">
        <f>O291*N291</f>
        <v>12840</v>
      </c>
      <c r="Q291" s="275">
        <f t="shared" si="41"/>
        <v>-428</v>
      </c>
      <c r="R291" s="176">
        <f t="shared" si="42"/>
        <v>0</v>
      </c>
      <c r="S291" s="276">
        <f t="shared" si="43"/>
        <v>-12840</v>
      </c>
    </row>
    <row r="292" spans="1:19" x14ac:dyDescent="0.35">
      <c r="A292" s="131"/>
      <c r="B292" s="34"/>
      <c r="C292" s="34"/>
      <c r="D292" s="36"/>
      <c r="E292" s="54"/>
      <c r="F292" s="36"/>
      <c r="G292" s="37"/>
      <c r="H292" s="37"/>
      <c r="I292" s="37"/>
      <c r="J292" s="110"/>
      <c r="K292" s="234"/>
      <c r="L292" s="43"/>
      <c r="M292" s="235"/>
      <c r="N292" s="207"/>
      <c r="O292" s="39"/>
      <c r="P292" s="230"/>
      <c r="Q292" s="275"/>
      <c r="R292" s="176"/>
      <c r="S292" s="276"/>
    </row>
    <row r="293" spans="1:19" x14ac:dyDescent="0.35">
      <c r="A293" s="131"/>
      <c r="B293" s="34"/>
      <c r="C293" s="34"/>
      <c r="D293" s="36"/>
      <c r="E293" s="54"/>
      <c r="F293" s="36"/>
      <c r="G293" s="37"/>
      <c r="H293" s="37"/>
      <c r="I293" s="37"/>
      <c r="J293" s="110"/>
      <c r="K293" s="234"/>
      <c r="L293" s="43"/>
      <c r="M293" s="235"/>
      <c r="N293" s="207"/>
      <c r="O293" s="39"/>
      <c r="P293" s="230"/>
      <c r="Q293" s="275"/>
      <c r="R293" s="176"/>
      <c r="S293" s="276"/>
    </row>
    <row r="294" spans="1:19" ht="92" x14ac:dyDescent="0.35">
      <c r="A294" s="131"/>
      <c r="B294" s="34"/>
      <c r="C294" s="34" t="s">
        <v>11</v>
      </c>
      <c r="D294" s="36" t="s">
        <v>177</v>
      </c>
      <c r="E294" s="44" t="s">
        <v>179</v>
      </c>
      <c r="F294" s="36" t="s">
        <v>71</v>
      </c>
      <c r="G294" s="37"/>
      <c r="H294" s="37"/>
      <c r="I294" s="37"/>
      <c r="J294" s="110"/>
      <c r="K294" s="234">
        <v>0</v>
      </c>
      <c r="L294" s="43">
        <v>15.38</v>
      </c>
      <c r="M294" s="235">
        <f>L294*$K294</f>
        <v>0</v>
      </c>
      <c r="N294" s="207">
        <v>0</v>
      </c>
      <c r="O294" s="39">
        <v>15</v>
      </c>
      <c r="P294" s="230">
        <f t="shared" ref="P294:P309" si="45">O294*N294</f>
        <v>0</v>
      </c>
      <c r="Q294" s="275">
        <f t="shared" si="41"/>
        <v>0</v>
      </c>
      <c r="R294" s="176">
        <f t="shared" si="42"/>
        <v>0.38000000000000078</v>
      </c>
      <c r="S294" s="276">
        <f t="shared" si="43"/>
        <v>0</v>
      </c>
    </row>
    <row r="295" spans="1:19" x14ac:dyDescent="0.35">
      <c r="A295" s="131"/>
      <c r="B295" s="34"/>
      <c r="C295" s="34"/>
      <c r="D295" s="36"/>
      <c r="E295" s="44"/>
      <c r="F295" s="36"/>
      <c r="G295" s="37"/>
      <c r="H295" s="37"/>
      <c r="I295" s="37"/>
      <c r="J295" s="110"/>
      <c r="K295" s="234"/>
      <c r="L295" s="43"/>
      <c r="M295" s="235"/>
      <c r="N295" s="207"/>
      <c r="O295" s="39"/>
      <c r="P295" s="230"/>
      <c r="Q295" s="275"/>
      <c r="R295" s="176"/>
      <c r="S295" s="276"/>
    </row>
    <row r="296" spans="1:19" x14ac:dyDescent="0.35">
      <c r="A296" s="131"/>
      <c r="B296" s="34"/>
      <c r="C296" s="34"/>
      <c r="D296" s="36"/>
      <c r="E296" s="44"/>
      <c r="F296" s="36"/>
      <c r="G296" s="37"/>
      <c r="H296" s="37"/>
      <c r="I296" s="37"/>
      <c r="J296" s="110"/>
      <c r="K296" s="234"/>
      <c r="L296" s="43"/>
      <c r="M296" s="235"/>
      <c r="N296" s="207"/>
      <c r="O296" s="39"/>
      <c r="P296" s="230"/>
      <c r="Q296" s="275"/>
      <c r="R296" s="176"/>
      <c r="S296" s="276"/>
    </row>
    <row r="297" spans="1:19" x14ac:dyDescent="0.35">
      <c r="A297" s="131"/>
      <c r="B297" s="34"/>
      <c r="C297" s="34"/>
      <c r="D297" s="36"/>
      <c r="E297" s="44"/>
      <c r="F297" s="36"/>
      <c r="G297" s="37"/>
      <c r="H297" s="37"/>
      <c r="I297" s="37"/>
      <c r="J297" s="110"/>
      <c r="K297" s="234"/>
      <c r="L297" s="43"/>
      <c r="M297" s="235"/>
      <c r="N297" s="207"/>
      <c r="O297" s="39"/>
      <c r="P297" s="230"/>
      <c r="Q297" s="275"/>
      <c r="R297" s="176"/>
      <c r="S297" s="276"/>
    </row>
    <row r="298" spans="1:19" ht="69" x14ac:dyDescent="0.35">
      <c r="A298" s="131"/>
      <c r="B298" s="34"/>
      <c r="C298" s="34" t="s">
        <v>26</v>
      </c>
      <c r="D298" s="36" t="s">
        <v>180</v>
      </c>
      <c r="E298" s="44" t="s">
        <v>181</v>
      </c>
      <c r="F298" s="36" t="s">
        <v>71</v>
      </c>
      <c r="G298" s="37"/>
      <c r="H298" s="37"/>
      <c r="I298" s="37"/>
      <c r="J298" s="110"/>
      <c r="K298" s="234">
        <v>0</v>
      </c>
      <c r="L298" s="43">
        <v>24.6</v>
      </c>
      <c r="M298" s="235">
        <f>L298*$K298</f>
        <v>0</v>
      </c>
      <c r="N298" s="207">
        <v>221</v>
      </c>
      <c r="O298" s="39">
        <v>25</v>
      </c>
      <c r="P298" s="230">
        <f t="shared" si="45"/>
        <v>5525</v>
      </c>
      <c r="Q298" s="275">
        <f t="shared" si="41"/>
        <v>-221</v>
      </c>
      <c r="R298" s="176">
        <f t="shared" si="42"/>
        <v>-0.39999999999999858</v>
      </c>
      <c r="S298" s="276">
        <f t="shared" si="43"/>
        <v>-5525</v>
      </c>
    </row>
    <row r="299" spans="1:19" ht="92" x14ac:dyDescent="0.35">
      <c r="A299" s="131"/>
      <c r="B299" s="34"/>
      <c r="C299" s="34" t="s">
        <v>38</v>
      </c>
      <c r="D299" s="36" t="s">
        <v>937</v>
      </c>
      <c r="E299" s="44" t="s">
        <v>182</v>
      </c>
      <c r="F299" s="36" t="s">
        <v>71</v>
      </c>
      <c r="G299" s="37"/>
      <c r="H299" s="37"/>
      <c r="I299" s="37"/>
      <c r="J299" s="110"/>
      <c r="K299" s="234">
        <v>0</v>
      </c>
      <c r="L299" s="43">
        <v>71.75</v>
      </c>
      <c r="M299" s="235">
        <f>L299*$K299</f>
        <v>0</v>
      </c>
      <c r="N299" s="207">
        <v>0</v>
      </c>
      <c r="O299" s="39">
        <v>72</v>
      </c>
      <c r="P299" s="230">
        <f t="shared" si="45"/>
        <v>0</v>
      </c>
      <c r="Q299" s="275">
        <f t="shared" si="41"/>
        <v>0</v>
      </c>
      <c r="R299" s="176">
        <f t="shared" si="42"/>
        <v>-0.25</v>
      </c>
      <c r="S299" s="276">
        <f t="shared" si="43"/>
        <v>0</v>
      </c>
    </row>
    <row r="300" spans="1:19" ht="69" x14ac:dyDescent="0.35">
      <c r="A300" s="131"/>
      <c r="B300" s="34"/>
      <c r="C300" s="34" t="s">
        <v>57</v>
      </c>
      <c r="D300" s="36" t="s">
        <v>183</v>
      </c>
      <c r="E300" s="44" t="s">
        <v>184</v>
      </c>
      <c r="F300" s="36" t="s">
        <v>71</v>
      </c>
      <c r="G300" s="37"/>
      <c r="H300" s="37"/>
      <c r="I300" s="37"/>
      <c r="J300" s="110"/>
      <c r="K300" s="234">
        <f>K301</f>
        <v>36</v>
      </c>
      <c r="L300" s="43">
        <v>30</v>
      </c>
      <c r="M300" s="235">
        <f>L300*$K300</f>
        <v>1080</v>
      </c>
      <c r="N300" s="207">
        <v>594</v>
      </c>
      <c r="O300" s="39">
        <v>30</v>
      </c>
      <c r="P300" s="230">
        <f t="shared" si="45"/>
        <v>17820</v>
      </c>
      <c r="Q300" s="275">
        <f t="shared" si="41"/>
        <v>-558</v>
      </c>
      <c r="R300" s="176">
        <f t="shared" si="42"/>
        <v>0</v>
      </c>
      <c r="S300" s="276">
        <f t="shared" si="43"/>
        <v>-16740</v>
      </c>
    </row>
    <row r="301" spans="1:19" x14ac:dyDescent="0.35">
      <c r="A301" s="131"/>
      <c r="B301" s="34"/>
      <c r="C301" s="34"/>
      <c r="D301" s="36"/>
      <c r="E301" s="44" t="s">
        <v>1021</v>
      </c>
      <c r="F301" s="36"/>
      <c r="G301" s="37">
        <v>1</v>
      </c>
      <c r="H301" s="37">
        <v>12</v>
      </c>
      <c r="I301" s="37">
        <v>3</v>
      </c>
      <c r="J301" s="110"/>
      <c r="K301" s="234">
        <f>I301*H301*G301</f>
        <v>36</v>
      </c>
      <c r="L301" s="43"/>
      <c r="M301" s="235"/>
      <c r="N301" s="207"/>
      <c r="O301" s="39"/>
      <c r="P301" s="230">
        <f t="shared" si="45"/>
        <v>0</v>
      </c>
      <c r="Q301" s="275">
        <f t="shared" si="41"/>
        <v>36</v>
      </c>
      <c r="R301" s="176">
        <f t="shared" si="42"/>
        <v>0</v>
      </c>
      <c r="S301" s="276">
        <f t="shared" si="43"/>
        <v>0</v>
      </c>
    </row>
    <row r="302" spans="1:19" x14ac:dyDescent="0.35">
      <c r="A302" s="131"/>
      <c r="B302" s="34"/>
      <c r="C302" s="34"/>
      <c r="D302" s="36"/>
      <c r="E302" s="44"/>
      <c r="F302" s="36"/>
      <c r="G302" s="37"/>
      <c r="H302" s="37"/>
      <c r="I302" s="37"/>
      <c r="J302" s="110"/>
      <c r="K302" s="234"/>
      <c r="L302" s="43"/>
      <c r="M302" s="235"/>
      <c r="N302" s="207"/>
      <c r="O302" s="39"/>
      <c r="P302" s="230"/>
      <c r="Q302" s="275"/>
      <c r="R302" s="176"/>
      <c r="S302" s="276"/>
    </row>
    <row r="303" spans="1:19" x14ac:dyDescent="0.35">
      <c r="A303" s="131"/>
      <c r="B303" s="34"/>
      <c r="C303" s="34"/>
      <c r="D303" s="36"/>
      <c r="E303" s="44"/>
      <c r="F303" s="36"/>
      <c r="G303" s="37"/>
      <c r="H303" s="37"/>
      <c r="I303" s="37"/>
      <c r="J303" s="110"/>
      <c r="K303" s="234"/>
      <c r="L303" s="43"/>
      <c r="M303" s="235"/>
      <c r="N303" s="207"/>
      <c r="O303" s="39"/>
      <c r="P303" s="230"/>
      <c r="Q303" s="275"/>
      <c r="R303" s="176"/>
      <c r="S303" s="276"/>
    </row>
    <row r="304" spans="1:19" ht="57.5" x14ac:dyDescent="0.35">
      <c r="A304" s="131"/>
      <c r="B304" s="34"/>
      <c r="C304" s="34" t="s">
        <v>59</v>
      </c>
      <c r="D304" s="36" t="s">
        <v>185</v>
      </c>
      <c r="E304" s="93" t="s">
        <v>680</v>
      </c>
      <c r="F304" s="36" t="s">
        <v>186</v>
      </c>
      <c r="G304" s="37"/>
      <c r="H304" s="37"/>
      <c r="I304" s="37"/>
      <c r="J304" s="110"/>
      <c r="K304" s="234">
        <f>SUM(K305:K308)</f>
        <v>22</v>
      </c>
      <c r="L304" s="43">
        <v>18.45</v>
      </c>
      <c r="M304" s="235">
        <f>L304*$K304</f>
        <v>405.9</v>
      </c>
      <c r="N304" s="207">
        <v>251</v>
      </c>
      <c r="O304" s="39">
        <v>18.45</v>
      </c>
      <c r="P304" s="230">
        <f t="shared" si="45"/>
        <v>4630.95</v>
      </c>
      <c r="Q304" s="275">
        <f t="shared" si="41"/>
        <v>-229</v>
      </c>
      <c r="R304" s="176">
        <f t="shared" si="42"/>
        <v>0</v>
      </c>
      <c r="S304" s="276">
        <f t="shared" si="43"/>
        <v>-4225.05</v>
      </c>
    </row>
    <row r="305" spans="1:19" x14ac:dyDescent="0.35">
      <c r="A305" s="131"/>
      <c r="B305" s="34"/>
      <c r="C305" s="34"/>
      <c r="D305" s="36"/>
      <c r="E305" s="51" t="s">
        <v>958</v>
      </c>
      <c r="F305" s="36"/>
      <c r="G305" s="37">
        <v>1</v>
      </c>
      <c r="H305" s="40">
        <v>11</v>
      </c>
      <c r="I305" s="37"/>
      <c r="J305" s="110">
        <v>2</v>
      </c>
      <c r="K305" s="234">
        <f>J305*H305*G305</f>
        <v>22</v>
      </c>
      <c r="L305" s="43"/>
      <c r="M305" s="235"/>
      <c r="N305" s="207"/>
      <c r="O305" s="39"/>
      <c r="P305" s="230"/>
      <c r="Q305" s="275"/>
      <c r="R305" s="176"/>
      <c r="S305" s="276"/>
    </row>
    <row r="306" spans="1:19" x14ac:dyDescent="0.35">
      <c r="A306" s="131"/>
      <c r="B306" s="34"/>
      <c r="C306" s="34"/>
      <c r="D306" s="36"/>
      <c r="E306" s="51"/>
      <c r="F306" s="36"/>
      <c r="G306" s="37"/>
      <c r="H306" s="40"/>
      <c r="I306" s="37"/>
      <c r="J306" s="110">
        <v>1</v>
      </c>
      <c r="K306" s="234">
        <f t="shared" ref="K306:K308" si="46">J306*H306*G306</f>
        <v>0</v>
      </c>
      <c r="L306" s="43"/>
      <c r="M306" s="235"/>
      <c r="N306" s="207"/>
      <c r="O306" s="39"/>
      <c r="P306" s="230"/>
      <c r="Q306" s="275"/>
      <c r="R306" s="176"/>
      <c r="S306" s="276"/>
    </row>
    <row r="307" spans="1:19" x14ac:dyDescent="0.35">
      <c r="A307" s="131"/>
      <c r="B307" s="34"/>
      <c r="C307" s="34"/>
      <c r="D307" s="36"/>
      <c r="E307" s="51"/>
      <c r="F307" s="36"/>
      <c r="G307" s="37"/>
      <c r="H307" s="40"/>
      <c r="I307" s="37"/>
      <c r="J307" s="110">
        <v>1</v>
      </c>
      <c r="K307" s="234">
        <f t="shared" si="46"/>
        <v>0</v>
      </c>
      <c r="L307" s="43"/>
      <c r="M307" s="235"/>
      <c r="N307" s="207"/>
      <c r="O307" s="39"/>
      <c r="P307" s="230"/>
      <c r="Q307" s="275"/>
      <c r="R307" s="176"/>
      <c r="S307" s="276"/>
    </row>
    <row r="308" spans="1:19" x14ac:dyDescent="0.35">
      <c r="A308" s="131"/>
      <c r="B308" s="34"/>
      <c r="C308" s="34"/>
      <c r="D308" s="36"/>
      <c r="E308" s="51"/>
      <c r="F308" s="36"/>
      <c r="G308" s="37"/>
      <c r="H308" s="40"/>
      <c r="I308" s="37"/>
      <c r="J308" s="110">
        <v>1</v>
      </c>
      <c r="K308" s="234">
        <f t="shared" si="46"/>
        <v>0</v>
      </c>
      <c r="L308" s="43"/>
      <c r="M308" s="235"/>
      <c r="N308" s="207"/>
      <c r="O308" s="39"/>
      <c r="P308" s="230"/>
      <c r="Q308" s="275"/>
      <c r="R308" s="176"/>
      <c r="S308" s="276"/>
    </row>
    <row r="309" spans="1:19" ht="46" x14ac:dyDescent="0.35">
      <c r="A309" s="131"/>
      <c r="B309" s="34"/>
      <c r="C309" s="34" t="s">
        <v>92</v>
      </c>
      <c r="D309" s="36" t="s">
        <v>187</v>
      </c>
      <c r="E309" s="93" t="s">
        <v>706</v>
      </c>
      <c r="F309" s="36" t="s">
        <v>186</v>
      </c>
      <c r="G309" s="37"/>
      <c r="H309" s="37"/>
      <c r="I309" s="37"/>
      <c r="J309" s="110"/>
      <c r="K309" s="234">
        <v>0</v>
      </c>
      <c r="L309" s="43">
        <v>123</v>
      </c>
      <c r="M309" s="235">
        <f>L309*$K309</f>
        <v>0</v>
      </c>
      <c r="N309" s="207">
        <v>0</v>
      </c>
      <c r="O309" s="39">
        <v>123</v>
      </c>
      <c r="P309" s="230">
        <f t="shared" si="45"/>
        <v>0</v>
      </c>
      <c r="Q309" s="275">
        <f t="shared" si="41"/>
        <v>0</v>
      </c>
      <c r="R309" s="176">
        <f t="shared" si="42"/>
        <v>0</v>
      </c>
      <c r="S309" s="276">
        <f t="shared" si="43"/>
        <v>0</v>
      </c>
    </row>
    <row r="310" spans="1:19" x14ac:dyDescent="0.35">
      <c r="A310" s="46" t="s">
        <v>540</v>
      </c>
      <c r="B310" s="52"/>
      <c r="C310" s="34"/>
      <c r="D310" s="34"/>
      <c r="E310" s="46"/>
      <c r="F310" s="52"/>
      <c r="G310" s="53"/>
      <c r="H310" s="53"/>
      <c r="I310" s="53"/>
      <c r="J310" s="219"/>
      <c r="K310" s="236"/>
      <c r="L310" s="56"/>
      <c r="M310" s="210">
        <f>SUM(M291:M309)</f>
        <v>1485.9</v>
      </c>
      <c r="N310" s="207"/>
      <c r="O310" s="39"/>
      <c r="P310" s="203">
        <f>SUM(P291:P309)</f>
        <v>40815.949999999997</v>
      </c>
      <c r="Q310" s="277">
        <f t="shared" si="41"/>
        <v>0</v>
      </c>
      <c r="R310" s="266">
        <f t="shared" si="42"/>
        <v>0</v>
      </c>
      <c r="S310" s="278">
        <f t="shared" si="43"/>
        <v>-39330.049999999996</v>
      </c>
    </row>
    <row r="311" spans="1:19" x14ac:dyDescent="0.35">
      <c r="A311" s="150" t="s">
        <v>188</v>
      </c>
      <c r="B311" s="85"/>
      <c r="C311" s="85"/>
      <c r="D311" s="85"/>
      <c r="E311" s="86" t="s">
        <v>541</v>
      </c>
      <c r="F311" s="85"/>
      <c r="G311" s="87"/>
      <c r="H311" s="87"/>
      <c r="I311" s="87"/>
      <c r="J311" s="223"/>
      <c r="K311" s="243"/>
      <c r="L311" s="94"/>
      <c r="M311" s="244"/>
      <c r="N311" s="207"/>
      <c r="O311" s="39"/>
      <c r="P311" s="230"/>
      <c r="Q311" s="275"/>
      <c r="R311" s="176"/>
      <c r="S311" s="276"/>
    </row>
    <row r="312" spans="1:19" x14ac:dyDescent="0.35">
      <c r="A312" s="131"/>
      <c r="B312" s="34" t="s">
        <v>189</v>
      </c>
      <c r="C312" s="34"/>
      <c r="D312" s="34"/>
      <c r="E312" s="89" t="s">
        <v>542</v>
      </c>
      <c r="F312" s="34"/>
      <c r="G312" s="90"/>
      <c r="H312" s="90"/>
      <c r="I312" s="90"/>
      <c r="J312" s="181"/>
      <c r="K312" s="245"/>
      <c r="L312" s="91"/>
      <c r="M312" s="210"/>
      <c r="N312" s="207"/>
      <c r="O312" s="39"/>
      <c r="P312" s="230"/>
      <c r="Q312" s="275"/>
      <c r="R312" s="176"/>
      <c r="S312" s="276"/>
    </row>
    <row r="313" spans="1:19" ht="80.5" x14ac:dyDescent="0.35">
      <c r="A313" s="149"/>
      <c r="B313" s="36"/>
      <c r="C313" s="34" t="s">
        <v>8</v>
      </c>
      <c r="D313" s="36" t="s">
        <v>190</v>
      </c>
      <c r="E313" s="44" t="s">
        <v>782</v>
      </c>
      <c r="F313" s="36" t="s">
        <v>71</v>
      </c>
      <c r="G313" s="37"/>
      <c r="H313" s="37"/>
      <c r="I313" s="37"/>
      <c r="J313" s="110"/>
      <c r="K313" s="234">
        <v>0</v>
      </c>
      <c r="L313" s="43">
        <v>390</v>
      </c>
      <c r="M313" s="235">
        <f t="shared" ref="M313:M320" si="47">L313*$K313</f>
        <v>0</v>
      </c>
      <c r="N313" s="207">
        <v>35</v>
      </c>
      <c r="O313" s="39">
        <v>390</v>
      </c>
      <c r="P313" s="230">
        <f>O313*N313</f>
        <v>13650</v>
      </c>
      <c r="Q313" s="275">
        <f t="shared" si="41"/>
        <v>-35</v>
      </c>
      <c r="R313" s="176">
        <f t="shared" si="42"/>
        <v>0</v>
      </c>
      <c r="S313" s="276">
        <f t="shared" si="43"/>
        <v>-13650</v>
      </c>
    </row>
    <row r="314" spans="1:19" ht="57.5" x14ac:dyDescent="0.35">
      <c r="A314" s="149"/>
      <c r="B314" s="36"/>
      <c r="C314" s="34" t="s">
        <v>26</v>
      </c>
      <c r="D314" s="36" t="s">
        <v>779</v>
      </c>
      <c r="E314" s="44" t="s">
        <v>780</v>
      </c>
      <c r="F314" s="36" t="s">
        <v>71</v>
      </c>
      <c r="G314" s="37"/>
      <c r="H314" s="37"/>
      <c r="I314" s="37"/>
      <c r="J314" s="110"/>
      <c r="K314" s="234">
        <v>0</v>
      </c>
      <c r="L314" s="43">
        <v>177.85</v>
      </c>
      <c r="M314" s="235">
        <f t="shared" si="47"/>
        <v>0</v>
      </c>
      <c r="N314" s="207">
        <v>0</v>
      </c>
      <c r="O314" s="39">
        <v>177.85</v>
      </c>
      <c r="P314" s="230">
        <f t="shared" ref="P314:P320" si="48">O314*N314</f>
        <v>0</v>
      </c>
      <c r="Q314" s="275">
        <f t="shared" si="41"/>
        <v>0</v>
      </c>
      <c r="R314" s="176">
        <f t="shared" si="42"/>
        <v>0</v>
      </c>
      <c r="S314" s="276">
        <f t="shared" si="43"/>
        <v>0</v>
      </c>
    </row>
    <row r="315" spans="1:19" ht="69" x14ac:dyDescent="0.35">
      <c r="A315" s="149"/>
      <c r="B315" s="36"/>
      <c r="C315" s="34" t="s">
        <v>38</v>
      </c>
      <c r="D315" s="36" t="s">
        <v>191</v>
      </c>
      <c r="E315" s="44" t="s">
        <v>192</v>
      </c>
      <c r="F315" s="36" t="s">
        <v>193</v>
      </c>
      <c r="G315" s="37"/>
      <c r="H315" s="37"/>
      <c r="I315" s="37"/>
      <c r="J315" s="110"/>
      <c r="K315" s="234">
        <v>0</v>
      </c>
      <c r="L315" s="43">
        <v>16191.6</v>
      </c>
      <c r="M315" s="235">
        <f t="shared" si="47"/>
        <v>0</v>
      </c>
      <c r="N315" s="207">
        <v>0</v>
      </c>
      <c r="O315" s="39">
        <v>16191.6</v>
      </c>
      <c r="P315" s="230">
        <f t="shared" si="48"/>
        <v>0</v>
      </c>
      <c r="Q315" s="275">
        <f t="shared" si="41"/>
        <v>0</v>
      </c>
      <c r="R315" s="176">
        <f t="shared" si="42"/>
        <v>0</v>
      </c>
      <c r="S315" s="276">
        <f t="shared" si="43"/>
        <v>0</v>
      </c>
    </row>
    <row r="316" spans="1:19" ht="69" x14ac:dyDescent="0.35">
      <c r="A316" s="149"/>
      <c r="B316" s="36"/>
      <c r="C316" s="34" t="s">
        <v>57</v>
      </c>
      <c r="D316" s="36" t="s">
        <v>194</v>
      </c>
      <c r="E316" s="44" t="s">
        <v>663</v>
      </c>
      <c r="F316" s="36" t="s">
        <v>193</v>
      </c>
      <c r="G316" s="37"/>
      <c r="H316" s="37"/>
      <c r="I316" s="37"/>
      <c r="J316" s="110"/>
      <c r="K316" s="234"/>
      <c r="L316" s="43">
        <v>15337.14</v>
      </c>
      <c r="M316" s="235">
        <f t="shared" si="47"/>
        <v>0</v>
      </c>
      <c r="N316" s="207">
        <v>0</v>
      </c>
      <c r="O316" s="39">
        <v>15537</v>
      </c>
      <c r="P316" s="230">
        <f t="shared" si="48"/>
        <v>0</v>
      </c>
      <c r="Q316" s="275">
        <f t="shared" si="41"/>
        <v>0</v>
      </c>
      <c r="R316" s="176">
        <f t="shared" si="42"/>
        <v>-199.86000000000058</v>
      </c>
      <c r="S316" s="276">
        <f t="shared" si="43"/>
        <v>0</v>
      </c>
    </row>
    <row r="317" spans="1:19" ht="57.5" x14ac:dyDescent="0.35">
      <c r="A317" s="149"/>
      <c r="B317" s="36"/>
      <c r="C317" s="34" t="s">
        <v>59</v>
      </c>
      <c r="D317" s="36" t="s">
        <v>195</v>
      </c>
      <c r="E317" s="44" t="s">
        <v>701</v>
      </c>
      <c r="F317" s="36" t="s">
        <v>71</v>
      </c>
      <c r="G317" s="37"/>
      <c r="H317" s="37"/>
      <c r="I317" s="37"/>
      <c r="J317" s="110"/>
      <c r="K317" s="234">
        <v>0</v>
      </c>
      <c r="L317" s="43">
        <v>486.31</v>
      </c>
      <c r="M317" s="235">
        <f t="shared" si="47"/>
        <v>0</v>
      </c>
      <c r="N317" s="207">
        <v>0</v>
      </c>
      <c r="O317" s="39">
        <v>486.31</v>
      </c>
      <c r="P317" s="230">
        <f t="shared" si="48"/>
        <v>0</v>
      </c>
      <c r="Q317" s="275">
        <f t="shared" si="41"/>
        <v>0</v>
      </c>
      <c r="R317" s="176">
        <f t="shared" si="42"/>
        <v>0</v>
      </c>
      <c r="S317" s="276">
        <f t="shared" si="43"/>
        <v>0</v>
      </c>
    </row>
    <row r="318" spans="1:19" ht="57.5" x14ac:dyDescent="0.35">
      <c r="A318" s="149"/>
      <c r="B318" s="36"/>
      <c r="C318" s="34" t="s">
        <v>92</v>
      </c>
      <c r="D318" s="36" t="s">
        <v>196</v>
      </c>
      <c r="E318" s="44" t="s">
        <v>664</v>
      </c>
      <c r="F318" s="36" t="s">
        <v>71</v>
      </c>
      <c r="G318" s="37"/>
      <c r="H318" s="37"/>
      <c r="I318" s="37"/>
      <c r="J318" s="110"/>
      <c r="K318" s="234"/>
      <c r="L318" s="43">
        <v>464.12</v>
      </c>
      <c r="M318" s="235">
        <f t="shared" si="47"/>
        <v>0</v>
      </c>
      <c r="N318" s="207">
        <v>0</v>
      </c>
      <c r="O318" s="39">
        <v>464.12</v>
      </c>
      <c r="P318" s="230">
        <f t="shared" si="48"/>
        <v>0</v>
      </c>
      <c r="Q318" s="275">
        <f t="shared" si="41"/>
        <v>0</v>
      </c>
      <c r="R318" s="176">
        <f t="shared" si="42"/>
        <v>0</v>
      </c>
      <c r="S318" s="276">
        <f t="shared" si="43"/>
        <v>0</v>
      </c>
    </row>
    <row r="319" spans="1:19" ht="23" x14ac:dyDescent="0.35">
      <c r="A319" s="149"/>
      <c r="B319" s="36"/>
      <c r="C319" s="34" t="s">
        <v>86</v>
      </c>
      <c r="D319" s="36" t="s">
        <v>197</v>
      </c>
      <c r="E319" s="44" t="s">
        <v>198</v>
      </c>
      <c r="F319" s="36" t="s">
        <v>150</v>
      </c>
      <c r="G319" s="37"/>
      <c r="H319" s="37"/>
      <c r="I319" s="37"/>
      <c r="J319" s="110"/>
      <c r="K319" s="234">
        <v>0</v>
      </c>
      <c r="L319" s="43">
        <v>83.87</v>
      </c>
      <c r="M319" s="235">
        <f t="shared" si="47"/>
        <v>0</v>
      </c>
      <c r="N319" s="207">
        <v>0</v>
      </c>
      <c r="O319" s="39">
        <v>83.87</v>
      </c>
      <c r="P319" s="230">
        <f t="shared" si="48"/>
        <v>0</v>
      </c>
      <c r="Q319" s="275">
        <f t="shared" si="41"/>
        <v>0</v>
      </c>
      <c r="R319" s="176">
        <f t="shared" si="42"/>
        <v>0</v>
      </c>
      <c r="S319" s="276">
        <f t="shared" si="43"/>
        <v>0</v>
      </c>
    </row>
    <row r="320" spans="1:19" ht="34.5" x14ac:dyDescent="0.35">
      <c r="A320" s="149"/>
      <c r="B320" s="36"/>
      <c r="C320" s="34" t="s">
        <v>94</v>
      </c>
      <c r="D320" s="36" t="s">
        <v>199</v>
      </c>
      <c r="E320" s="44" t="s">
        <v>200</v>
      </c>
      <c r="F320" s="36" t="s">
        <v>71</v>
      </c>
      <c r="G320" s="37"/>
      <c r="H320" s="37"/>
      <c r="I320" s="37"/>
      <c r="J320" s="110"/>
      <c r="K320" s="234">
        <v>0</v>
      </c>
      <c r="L320" s="43">
        <v>268.79000000000002</v>
      </c>
      <c r="M320" s="235">
        <f t="shared" si="47"/>
        <v>0</v>
      </c>
      <c r="N320" s="207">
        <v>0</v>
      </c>
      <c r="O320" s="39">
        <v>268.79000000000002</v>
      </c>
      <c r="P320" s="230">
        <f t="shared" si="48"/>
        <v>0</v>
      </c>
      <c r="Q320" s="275">
        <f t="shared" si="41"/>
        <v>0</v>
      </c>
      <c r="R320" s="176">
        <f t="shared" si="42"/>
        <v>0</v>
      </c>
      <c r="S320" s="276">
        <f t="shared" si="43"/>
        <v>0</v>
      </c>
    </row>
    <row r="321" spans="1:19" x14ac:dyDescent="0.35">
      <c r="A321" s="46" t="s">
        <v>551</v>
      </c>
      <c r="B321" s="52"/>
      <c r="C321" s="34"/>
      <c r="D321" s="34"/>
      <c r="E321" s="46"/>
      <c r="F321" s="52"/>
      <c r="G321" s="53"/>
      <c r="H321" s="53"/>
      <c r="I321" s="53"/>
      <c r="J321" s="219"/>
      <c r="K321" s="236"/>
      <c r="L321" s="56"/>
      <c r="M321" s="210">
        <f>SUM(M291:M320)</f>
        <v>2971.8</v>
      </c>
      <c r="N321" s="207"/>
      <c r="O321" s="39"/>
      <c r="P321" s="230">
        <f>SUM(P313:P320)</f>
        <v>13650</v>
      </c>
      <c r="Q321" s="277">
        <f t="shared" si="41"/>
        <v>0</v>
      </c>
      <c r="R321" s="266">
        <f t="shared" si="42"/>
        <v>0</v>
      </c>
      <c r="S321" s="278">
        <f t="shared" si="43"/>
        <v>-10678.2</v>
      </c>
    </row>
    <row r="322" spans="1:19" x14ac:dyDescent="0.35">
      <c r="A322" s="150" t="s">
        <v>167</v>
      </c>
      <c r="B322" s="85"/>
      <c r="C322" s="85"/>
      <c r="D322" s="85"/>
      <c r="E322" s="86" t="s">
        <v>201</v>
      </c>
      <c r="F322" s="85"/>
      <c r="G322" s="87"/>
      <c r="H322" s="87"/>
      <c r="I322" s="87"/>
      <c r="J322" s="223"/>
      <c r="K322" s="243"/>
      <c r="L322" s="94"/>
      <c r="M322" s="244"/>
      <c r="N322" s="207"/>
      <c r="O322" s="39"/>
      <c r="P322" s="230"/>
      <c r="Q322" s="275"/>
      <c r="R322" s="176"/>
      <c r="S322" s="276"/>
    </row>
    <row r="323" spans="1:19" x14ac:dyDescent="0.35">
      <c r="A323" s="131"/>
      <c r="B323" s="34" t="s">
        <v>202</v>
      </c>
      <c r="C323" s="34"/>
      <c r="D323" s="34"/>
      <c r="E323" s="89" t="s">
        <v>203</v>
      </c>
      <c r="F323" s="34"/>
      <c r="G323" s="90"/>
      <c r="H323" s="90"/>
      <c r="I323" s="90"/>
      <c r="J323" s="181"/>
      <c r="K323" s="245"/>
      <c r="L323" s="91"/>
      <c r="M323" s="210"/>
      <c r="N323" s="207"/>
      <c r="O323" s="39"/>
      <c r="P323" s="230"/>
      <c r="Q323" s="275"/>
      <c r="R323" s="176"/>
      <c r="S323" s="276"/>
    </row>
    <row r="324" spans="1:19" ht="92" x14ac:dyDescent="0.35">
      <c r="A324" s="149"/>
      <c r="B324" s="36"/>
      <c r="C324" s="34" t="s">
        <v>8</v>
      </c>
      <c r="D324" s="36" t="s">
        <v>204</v>
      </c>
      <c r="E324" s="42" t="s">
        <v>681</v>
      </c>
      <c r="F324" s="36" t="s">
        <v>205</v>
      </c>
      <c r="G324" s="37"/>
      <c r="H324" s="37"/>
      <c r="I324" s="37"/>
      <c r="J324" s="110"/>
      <c r="K324" s="246">
        <v>6.5</v>
      </c>
      <c r="L324" s="43">
        <v>9000</v>
      </c>
      <c r="M324" s="235">
        <f t="shared" ref="M324:M338" si="49">L324*$K324</f>
        <v>58500</v>
      </c>
      <c r="N324" s="207">
        <v>6.6</v>
      </c>
      <c r="O324" s="39">
        <v>9000</v>
      </c>
      <c r="P324" s="230">
        <f>O324*N324</f>
        <v>59400</v>
      </c>
      <c r="Q324" s="275">
        <f t="shared" si="41"/>
        <v>-9.9999999999999645E-2</v>
      </c>
      <c r="R324" s="176">
        <f t="shared" si="42"/>
        <v>0</v>
      </c>
      <c r="S324" s="276">
        <f t="shared" si="43"/>
        <v>-900</v>
      </c>
    </row>
    <row r="325" spans="1:19" ht="103.5" x14ac:dyDescent="0.35">
      <c r="A325" s="149"/>
      <c r="B325" s="36"/>
      <c r="C325" s="34" t="s">
        <v>11</v>
      </c>
      <c r="D325" s="36" t="s">
        <v>206</v>
      </c>
      <c r="E325" s="42" t="s">
        <v>543</v>
      </c>
      <c r="F325" s="36" t="s">
        <v>205</v>
      </c>
      <c r="G325" s="37"/>
      <c r="H325" s="37"/>
      <c r="I325" s="37"/>
      <c r="J325" s="110"/>
      <c r="K325" s="234">
        <v>0</v>
      </c>
      <c r="L325" s="43">
        <v>9860.19</v>
      </c>
      <c r="M325" s="235">
        <f t="shared" si="49"/>
        <v>0</v>
      </c>
      <c r="N325" s="207">
        <v>0</v>
      </c>
      <c r="O325" s="39">
        <v>9860</v>
      </c>
      <c r="P325" s="230">
        <f t="shared" ref="P325:P338" si="50">O325*N325</f>
        <v>0</v>
      </c>
      <c r="Q325" s="275">
        <f t="shared" si="41"/>
        <v>0</v>
      </c>
      <c r="R325" s="176">
        <f t="shared" si="42"/>
        <v>0.19000000000050932</v>
      </c>
      <c r="S325" s="276">
        <f t="shared" si="43"/>
        <v>0</v>
      </c>
    </row>
    <row r="326" spans="1:19" ht="57.5" x14ac:dyDescent="0.35">
      <c r="A326" s="149"/>
      <c r="B326" s="36"/>
      <c r="C326" s="34" t="s">
        <v>26</v>
      </c>
      <c r="D326" s="36" t="s">
        <v>207</v>
      </c>
      <c r="E326" s="42" t="s">
        <v>682</v>
      </c>
      <c r="F326" s="36" t="s">
        <v>205</v>
      </c>
      <c r="G326" s="37"/>
      <c r="H326" s="37"/>
      <c r="I326" s="37"/>
      <c r="J326" s="110"/>
      <c r="K326" s="246">
        <v>2.41</v>
      </c>
      <c r="L326" s="43">
        <v>6500</v>
      </c>
      <c r="M326" s="235">
        <f t="shared" si="49"/>
        <v>15665.000000000002</v>
      </c>
      <c r="N326" s="207">
        <v>12</v>
      </c>
      <c r="O326" s="39">
        <v>6500</v>
      </c>
      <c r="P326" s="230">
        <f t="shared" si="50"/>
        <v>78000</v>
      </c>
      <c r="Q326" s="275">
        <f t="shared" si="41"/>
        <v>-9.59</v>
      </c>
      <c r="R326" s="176">
        <f t="shared" si="42"/>
        <v>0</v>
      </c>
      <c r="S326" s="276">
        <f t="shared" si="43"/>
        <v>-62335</v>
      </c>
    </row>
    <row r="327" spans="1:19" ht="57.5" x14ac:dyDescent="0.35">
      <c r="A327" s="149"/>
      <c r="B327" s="36"/>
      <c r="C327" s="34" t="s">
        <v>38</v>
      </c>
      <c r="D327" s="36" t="s">
        <v>208</v>
      </c>
      <c r="E327" s="44" t="s">
        <v>544</v>
      </c>
      <c r="F327" s="36" t="s">
        <v>13</v>
      </c>
      <c r="G327" s="37"/>
      <c r="H327" s="37"/>
      <c r="I327" s="37"/>
      <c r="J327" s="110"/>
      <c r="K327" s="234">
        <v>0</v>
      </c>
      <c r="L327" s="43">
        <v>763.23</v>
      </c>
      <c r="M327" s="235">
        <f t="shared" si="49"/>
        <v>0</v>
      </c>
      <c r="N327" s="207">
        <v>1</v>
      </c>
      <c r="O327" s="39">
        <v>763.23</v>
      </c>
      <c r="P327" s="230">
        <f t="shared" si="50"/>
        <v>763.23</v>
      </c>
      <c r="Q327" s="275">
        <f t="shared" si="41"/>
        <v>-1</v>
      </c>
      <c r="R327" s="176">
        <f t="shared" si="42"/>
        <v>0</v>
      </c>
      <c r="S327" s="276">
        <f t="shared" si="43"/>
        <v>-763.23</v>
      </c>
    </row>
    <row r="328" spans="1:19" ht="23" x14ac:dyDescent="0.35">
      <c r="A328" s="149"/>
      <c r="B328" s="36"/>
      <c r="C328" s="34" t="s">
        <v>57</v>
      </c>
      <c r="D328" s="36" t="s">
        <v>209</v>
      </c>
      <c r="E328" s="44" t="s">
        <v>717</v>
      </c>
      <c r="F328" s="36" t="s">
        <v>32</v>
      </c>
      <c r="G328" s="37"/>
      <c r="H328" s="37"/>
      <c r="I328" s="37"/>
      <c r="J328" s="110"/>
      <c r="K328" s="234">
        <v>3</v>
      </c>
      <c r="L328" s="43">
        <v>1478.05</v>
      </c>
      <c r="M328" s="235">
        <f t="shared" si="49"/>
        <v>4434.1499999999996</v>
      </c>
      <c r="N328" s="207">
        <v>1</v>
      </c>
      <c r="O328" s="39">
        <v>1478.05</v>
      </c>
      <c r="P328" s="230">
        <f t="shared" si="50"/>
        <v>1478.05</v>
      </c>
      <c r="Q328" s="275">
        <f t="shared" si="41"/>
        <v>2</v>
      </c>
      <c r="R328" s="176">
        <f t="shared" si="42"/>
        <v>0</v>
      </c>
      <c r="S328" s="276">
        <f t="shared" si="43"/>
        <v>2956.0999999999995</v>
      </c>
    </row>
    <row r="329" spans="1:19" ht="57.5" x14ac:dyDescent="0.35">
      <c r="A329" s="149"/>
      <c r="B329" s="36"/>
      <c r="C329" s="34" t="s">
        <v>59</v>
      </c>
      <c r="D329" s="36" t="s">
        <v>210</v>
      </c>
      <c r="E329" s="44" t="s">
        <v>545</v>
      </c>
      <c r="F329" s="36" t="s">
        <v>13</v>
      </c>
      <c r="G329" s="37"/>
      <c r="H329" s="37"/>
      <c r="I329" s="37"/>
      <c r="J329" s="110"/>
      <c r="K329" s="234"/>
      <c r="L329" s="43">
        <v>978.5</v>
      </c>
      <c r="M329" s="235">
        <f t="shared" si="49"/>
        <v>0</v>
      </c>
      <c r="N329" s="207">
        <v>6</v>
      </c>
      <c r="O329" s="39">
        <v>978.5</v>
      </c>
      <c r="P329" s="230">
        <f t="shared" si="50"/>
        <v>5871</v>
      </c>
      <c r="Q329" s="275">
        <f t="shared" si="41"/>
        <v>-6</v>
      </c>
      <c r="R329" s="176">
        <f t="shared" si="42"/>
        <v>0</v>
      </c>
      <c r="S329" s="276">
        <f t="shared" si="43"/>
        <v>-5871</v>
      </c>
    </row>
    <row r="330" spans="1:19" ht="69" x14ac:dyDescent="0.35">
      <c r="A330" s="149"/>
      <c r="B330" s="36"/>
      <c r="C330" s="34" t="s">
        <v>92</v>
      </c>
      <c r="D330" s="36" t="s">
        <v>211</v>
      </c>
      <c r="E330" s="44" t="s">
        <v>546</v>
      </c>
      <c r="F330" s="95" t="s">
        <v>150</v>
      </c>
      <c r="G330" s="96"/>
      <c r="H330" s="96"/>
      <c r="I330" s="96"/>
      <c r="J330" s="224"/>
      <c r="K330" s="234">
        <v>0</v>
      </c>
      <c r="L330" s="43">
        <v>739.45</v>
      </c>
      <c r="M330" s="235">
        <f t="shared" si="49"/>
        <v>0</v>
      </c>
      <c r="N330" s="207">
        <v>0</v>
      </c>
      <c r="O330" s="39">
        <v>739.45</v>
      </c>
      <c r="P330" s="230">
        <f t="shared" si="50"/>
        <v>0</v>
      </c>
      <c r="Q330" s="275">
        <f t="shared" si="41"/>
        <v>0</v>
      </c>
      <c r="R330" s="176">
        <f t="shared" si="42"/>
        <v>0</v>
      </c>
      <c r="S330" s="276">
        <f t="shared" si="43"/>
        <v>0</v>
      </c>
    </row>
    <row r="331" spans="1:19" ht="34.5" x14ac:dyDescent="0.35">
      <c r="A331" s="149"/>
      <c r="B331" s="36"/>
      <c r="C331" s="34" t="s">
        <v>86</v>
      </c>
      <c r="D331" s="36" t="s">
        <v>212</v>
      </c>
      <c r="E331" s="44" t="s">
        <v>547</v>
      </c>
      <c r="F331" s="95" t="s">
        <v>150</v>
      </c>
      <c r="G331" s="96"/>
      <c r="H331" s="96"/>
      <c r="I331" s="96"/>
      <c r="J331" s="224"/>
      <c r="K331" s="234">
        <v>0</v>
      </c>
      <c r="L331" s="43">
        <v>1326.5</v>
      </c>
      <c r="M331" s="235">
        <f t="shared" si="49"/>
        <v>0</v>
      </c>
      <c r="N331" s="207">
        <v>0</v>
      </c>
      <c r="O331" s="39">
        <v>1326.5</v>
      </c>
      <c r="P331" s="230">
        <f t="shared" si="50"/>
        <v>0</v>
      </c>
      <c r="Q331" s="275">
        <f t="shared" si="41"/>
        <v>0</v>
      </c>
      <c r="R331" s="176">
        <f t="shared" si="42"/>
        <v>0</v>
      </c>
      <c r="S331" s="276">
        <f t="shared" si="43"/>
        <v>0</v>
      </c>
    </row>
    <row r="332" spans="1:19" ht="46" x14ac:dyDescent="0.35">
      <c r="A332" s="149"/>
      <c r="B332" s="36"/>
      <c r="C332" s="34" t="s">
        <v>94</v>
      </c>
      <c r="D332" s="36" t="s">
        <v>213</v>
      </c>
      <c r="E332" s="44" t="s">
        <v>548</v>
      </c>
      <c r="F332" s="95" t="s">
        <v>214</v>
      </c>
      <c r="G332" s="96"/>
      <c r="H332" s="96"/>
      <c r="I332" s="96"/>
      <c r="J332" s="224"/>
      <c r="K332" s="234">
        <v>0</v>
      </c>
      <c r="L332" s="43">
        <v>2264.9699999999998</v>
      </c>
      <c r="M332" s="235">
        <f t="shared" si="49"/>
        <v>0</v>
      </c>
      <c r="N332" s="207">
        <v>0</v>
      </c>
      <c r="O332" s="39">
        <v>2264.9699999999998</v>
      </c>
      <c r="P332" s="230">
        <f t="shared" si="50"/>
        <v>0</v>
      </c>
      <c r="Q332" s="275">
        <f t="shared" si="41"/>
        <v>0</v>
      </c>
      <c r="R332" s="176">
        <f t="shared" si="42"/>
        <v>0</v>
      </c>
      <c r="S332" s="276">
        <f t="shared" si="43"/>
        <v>0</v>
      </c>
    </row>
    <row r="333" spans="1:19" ht="34.5" x14ac:dyDescent="0.35">
      <c r="A333" s="149"/>
      <c r="B333" s="36"/>
      <c r="C333" s="34" t="s">
        <v>97</v>
      </c>
      <c r="D333" s="36" t="s">
        <v>215</v>
      </c>
      <c r="E333" s="44" t="s">
        <v>549</v>
      </c>
      <c r="F333" s="95" t="s">
        <v>216</v>
      </c>
      <c r="G333" s="96"/>
      <c r="H333" s="96"/>
      <c r="I333" s="96"/>
      <c r="J333" s="224"/>
      <c r="K333" s="234">
        <v>0</v>
      </c>
      <c r="L333" s="43">
        <v>1542.94</v>
      </c>
      <c r="M333" s="235">
        <f t="shared" si="49"/>
        <v>0</v>
      </c>
      <c r="N333" s="207">
        <v>1</v>
      </c>
      <c r="O333" s="39">
        <v>1542.94</v>
      </c>
      <c r="P333" s="230">
        <f t="shared" si="50"/>
        <v>1542.94</v>
      </c>
      <c r="Q333" s="275">
        <f t="shared" si="41"/>
        <v>-1</v>
      </c>
      <c r="R333" s="176">
        <f t="shared" si="42"/>
        <v>0</v>
      </c>
      <c r="S333" s="276">
        <f t="shared" si="43"/>
        <v>-1542.94</v>
      </c>
    </row>
    <row r="334" spans="1:19" ht="34.5" x14ac:dyDescent="0.35">
      <c r="A334" s="149"/>
      <c r="B334" s="36"/>
      <c r="C334" s="34" t="s">
        <v>98</v>
      </c>
      <c r="D334" s="36" t="s">
        <v>217</v>
      </c>
      <c r="E334" s="44" t="s">
        <v>218</v>
      </c>
      <c r="F334" s="95" t="s">
        <v>115</v>
      </c>
      <c r="G334" s="96"/>
      <c r="H334" s="96"/>
      <c r="I334" s="96"/>
      <c r="J334" s="224"/>
      <c r="K334" s="234">
        <v>0</v>
      </c>
      <c r="L334" s="43">
        <v>579.89</v>
      </c>
      <c r="M334" s="235">
        <f t="shared" si="49"/>
        <v>0</v>
      </c>
      <c r="N334" s="207">
        <v>0</v>
      </c>
      <c r="O334" s="39">
        <v>579.89</v>
      </c>
      <c r="P334" s="230">
        <f t="shared" si="50"/>
        <v>0</v>
      </c>
      <c r="Q334" s="275">
        <f t="shared" si="41"/>
        <v>0</v>
      </c>
      <c r="R334" s="176">
        <f t="shared" si="42"/>
        <v>0</v>
      </c>
      <c r="S334" s="276">
        <f t="shared" si="43"/>
        <v>0</v>
      </c>
    </row>
    <row r="335" spans="1:19" ht="46" x14ac:dyDescent="0.35">
      <c r="A335" s="149"/>
      <c r="B335" s="36"/>
      <c r="C335" s="34" t="s">
        <v>99</v>
      </c>
      <c r="D335" s="36" t="s">
        <v>219</v>
      </c>
      <c r="E335" s="44" t="s">
        <v>220</v>
      </c>
      <c r="F335" s="95" t="s">
        <v>32</v>
      </c>
      <c r="G335" s="96"/>
      <c r="H335" s="96"/>
      <c r="I335" s="96"/>
      <c r="J335" s="224"/>
      <c r="K335" s="234">
        <v>0</v>
      </c>
      <c r="L335" s="43">
        <v>2659.46</v>
      </c>
      <c r="M335" s="235">
        <f t="shared" si="49"/>
        <v>0</v>
      </c>
      <c r="N335" s="207">
        <v>1</v>
      </c>
      <c r="O335" s="39">
        <v>2659.46</v>
      </c>
      <c r="P335" s="230">
        <f t="shared" si="50"/>
        <v>2659.46</v>
      </c>
      <c r="Q335" s="275">
        <f t="shared" si="41"/>
        <v>-1</v>
      </c>
      <c r="R335" s="176">
        <f t="shared" si="42"/>
        <v>0</v>
      </c>
      <c r="S335" s="276">
        <f t="shared" si="43"/>
        <v>-2659.46</v>
      </c>
    </row>
    <row r="336" spans="1:19" ht="57.5" x14ac:dyDescent="0.35">
      <c r="A336" s="149"/>
      <c r="B336" s="36"/>
      <c r="C336" s="34" t="s">
        <v>100</v>
      </c>
      <c r="D336" s="36" t="s">
        <v>221</v>
      </c>
      <c r="E336" s="44" t="s">
        <v>222</v>
      </c>
      <c r="F336" s="95" t="s">
        <v>32</v>
      </c>
      <c r="G336" s="96"/>
      <c r="H336" s="96"/>
      <c r="I336" s="96"/>
      <c r="J336" s="224"/>
      <c r="K336" s="234">
        <v>0</v>
      </c>
      <c r="L336" s="43">
        <v>2988.03</v>
      </c>
      <c r="M336" s="235">
        <f t="shared" si="49"/>
        <v>0</v>
      </c>
      <c r="N336" s="207">
        <v>1</v>
      </c>
      <c r="O336" s="39">
        <v>2988.03</v>
      </c>
      <c r="P336" s="230">
        <f t="shared" si="50"/>
        <v>2988.03</v>
      </c>
      <c r="Q336" s="275">
        <f t="shared" si="41"/>
        <v>-1</v>
      </c>
      <c r="R336" s="176">
        <f t="shared" si="42"/>
        <v>0</v>
      </c>
      <c r="S336" s="276">
        <f t="shared" si="43"/>
        <v>-2988.03</v>
      </c>
    </row>
    <row r="337" spans="1:19" ht="103.5" x14ac:dyDescent="0.35">
      <c r="A337" s="131"/>
      <c r="B337" s="34"/>
      <c r="C337" s="34" t="s">
        <v>101</v>
      </c>
      <c r="D337" s="36" t="s">
        <v>550</v>
      </c>
      <c r="E337" s="42" t="s">
        <v>683</v>
      </c>
      <c r="F337" s="95" t="s">
        <v>223</v>
      </c>
      <c r="G337" s="96"/>
      <c r="H337" s="96"/>
      <c r="I337" s="96"/>
      <c r="J337" s="224"/>
      <c r="K337" s="234">
        <v>0</v>
      </c>
      <c r="L337" s="43">
        <v>1390.5</v>
      </c>
      <c r="M337" s="235">
        <f t="shared" si="49"/>
        <v>0</v>
      </c>
      <c r="N337" s="207">
        <v>0</v>
      </c>
      <c r="O337" s="39">
        <v>1390.5</v>
      </c>
      <c r="P337" s="230">
        <f t="shared" si="50"/>
        <v>0</v>
      </c>
      <c r="Q337" s="275">
        <f t="shared" si="41"/>
        <v>0</v>
      </c>
      <c r="R337" s="176">
        <f t="shared" si="42"/>
        <v>0</v>
      </c>
      <c r="S337" s="276">
        <f t="shared" si="43"/>
        <v>0</v>
      </c>
    </row>
    <row r="338" spans="1:19" ht="92" x14ac:dyDescent="0.35">
      <c r="A338" s="131"/>
      <c r="B338" s="34"/>
      <c r="C338" s="34" t="s">
        <v>102</v>
      </c>
      <c r="D338" s="36" t="s">
        <v>665</v>
      </c>
      <c r="E338" s="44" t="s">
        <v>666</v>
      </c>
      <c r="F338" s="95" t="s">
        <v>223</v>
      </c>
      <c r="G338" s="96"/>
      <c r="H338" s="96"/>
      <c r="I338" s="96"/>
      <c r="J338" s="224"/>
      <c r="K338" s="234">
        <v>0</v>
      </c>
      <c r="L338" s="43">
        <v>4017</v>
      </c>
      <c r="M338" s="235">
        <f t="shared" si="49"/>
        <v>0</v>
      </c>
      <c r="N338" s="207">
        <v>0</v>
      </c>
      <c r="O338" s="39">
        <v>4017</v>
      </c>
      <c r="P338" s="230">
        <f t="shared" si="50"/>
        <v>0</v>
      </c>
      <c r="Q338" s="275">
        <f t="shared" si="41"/>
        <v>0</v>
      </c>
      <c r="R338" s="176">
        <f t="shared" si="42"/>
        <v>0</v>
      </c>
      <c r="S338" s="276">
        <f t="shared" si="43"/>
        <v>0</v>
      </c>
    </row>
    <row r="339" spans="1:19" x14ac:dyDescent="0.35">
      <c r="A339" s="46" t="s">
        <v>552</v>
      </c>
      <c r="B339" s="52"/>
      <c r="C339" s="34"/>
      <c r="D339" s="34"/>
      <c r="E339" s="46"/>
      <c r="F339" s="52"/>
      <c r="G339" s="53"/>
      <c r="H339" s="53"/>
      <c r="I339" s="53"/>
      <c r="J339" s="219"/>
      <c r="K339" s="236"/>
      <c r="L339" s="56"/>
      <c r="M339" s="210">
        <f>SUM(M324:M338)</f>
        <v>78599.149999999994</v>
      </c>
      <c r="N339" s="207"/>
      <c r="O339" s="39"/>
      <c r="P339" s="271">
        <f>SUM(P324:P338)</f>
        <v>152702.71</v>
      </c>
      <c r="Q339" s="275">
        <f t="shared" ref="Q339:Q398" si="51">K339-N339</f>
        <v>0</v>
      </c>
      <c r="R339" s="176">
        <f t="shared" ref="R339:R398" si="52">L339-O339</f>
        <v>0</v>
      </c>
      <c r="S339" s="276">
        <f t="shared" ref="S339:S398" si="53">M339-P339</f>
        <v>-74103.56</v>
      </c>
    </row>
    <row r="340" spans="1:19" x14ac:dyDescent="0.35">
      <c r="A340" s="150" t="s">
        <v>224</v>
      </c>
      <c r="B340" s="85"/>
      <c r="C340" s="85"/>
      <c r="D340" s="85"/>
      <c r="E340" s="86" t="s">
        <v>225</v>
      </c>
      <c r="F340" s="85"/>
      <c r="G340" s="87"/>
      <c r="H340" s="87"/>
      <c r="I340" s="87"/>
      <c r="J340" s="223"/>
      <c r="K340" s="243"/>
      <c r="L340" s="94"/>
      <c r="M340" s="244"/>
      <c r="N340" s="207"/>
      <c r="O340" s="39"/>
      <c r="P340" s="230"/>
      <c r="Q340" s="275"/>
      <c r="R340" s="176"/>
      <c r="S340" s="276"/>
    </row>
    <row r="341" spans="1:19" x14ac:dyDescent="0.35">
      <c r="A341" s="131"/>
      <c r="B341" s="34" t="s">
        <v>226</v>
      </c>
      <c r="C341" s="34"/>
      <c r="D341" s="34"/>
      <c r="E341" s="89" t="s">
        <v>227</v>
      </c>
      <c r="F341" s="34"/>
      <c r="G341" s="90"/>
      <c r="H341" s="90"/>
      <c r="I341" s="90"/>
      <c r="J341" s="181"/>
      <c r="K341" s="245"/>
      <c r="L341" s="91"/>
      <c r="M341" s="210"/>
      <c r="N341" s="207"/>
      <c r="O341" s="39"/>
      <c r="P341" s="230"/>
      <c r="Q341" s="275"/>
      <c r="R341" s="176"/>
      <c r="S341" s="276"/>
    </row>
    <row r="342" spans="1:19" ht="34.5" x14ac:dyDescent="0.35">
      <c r="A342" s="131"/>
      <c r="B342" s="34"/>
      <c r="C342" s="34" t="s">
        <v>8</v>
      </c>
      <c r="D342" s="36"/>
      <c r="E342" s="97" t="s">
        <v>228</v>
      </c>
      <c r="F342" s="36"/>
      <c r="G342" s="37"/>
      <c r="H342" s="37"/>
      <c r="I342" s="37"/>
      <c r="J342" s="110"/>
      <c r="K342" s="234"/>
      <c r="L342" s="43"/>
      <c r="M342" s="235"/>
      <c r="N342" s="207"/>
      <c r="O342" s="39"/>
      <c r="P342" s="230"/>
      <c r="Q342" s="275"/>
      <c r="R342" s="176"/>
      <c r="S342" s="276"/>
    </row>
    <row r="343" spans="1:19" x14ac:dyDescent="0.35">
      <c r="A343" s="131"/>
      <c r="B343" s="34"/>
      <c r="C343" s="34" t="s">
        <v>11</v>
      </c>
      <c r="D343" s="36"/>
      <c r="E343" s="97" t="s">
        <v>229</v>
      </c>
      <c r="F343" s="36" t="s">
        <v>338</v>
      </c>
      <c r="G343" s="37"/>
      <c r="H343" s="37"/>
      <c r="I343" s="37"/>
      <c r="J343" s="110"/>
      <c r="K343" s="234">
        <v>0</v>
      </c>
      <c r="L343" s="43">
        <v>133.9</v>
      </c>
      <c r="M343" s="235">
        <f>L343*$K343</f>
        <v>0</v>
      </c>
      <c r="N343" s="207">
        <v>0</v>
      </c>
      <c r="O343" s="39">
        <v>133.9</v>
      </c>
      <c r="P343" s="230">
        <f>N343*O343</f>
        <v>0</v>
      </c>
      <c r="Q343" s="275">
        <f t="shared" si="51"/>
        <v>0</v>
      </c>
      <c r="R343" s="176">
        <f t="shared" si="52"/>
        <v>0</v>
      </c>
      <c r="S343" s="276">
        <f t="shared" si="53"/>
        <v>0</v>
      </c>
    </row>
    <row r="344" spans="1:19" x14ac:dyDescent="0.35">
      <c r="A344" s="131"/>
      <c r="B344" s="34"/>
      <c r="C344" s="34" t="s">
        <v>14</v>
      </c>
      <c r="D344" s="36"/>
      <c r="E344" s="97" t="s">
        <v>230</v>
      </c>
      <c r="F344" s="36" t="s">
        <v>338</v>
      </c>
      <c r="G344" s="37"/>
      <c r="H344" s="37"/>
      <c r="I344" s="37"/>
      <c r="J344" s="110">
        <f>SUM(J345:J346)/3.28</f>
        <v>0</v>
      </c>
      <c r="K344" s="234">
        <f>SUM(K345:K346)</f>
        <v>25.44</v>
      </c>
      <c r="L344" s="43">
        <v>190.55</v>
      </c>
      <c r="M344" s="235">
        <f>L344*$K344</f>
        <v>4847.5920000000006</v>
      </c>
      <c r="N344" s="207">
        <v>40</v>
      </c>
      <c r="O344" s="39">
        <v>190.55</v>
      </c>
      <c r="P344" s="230">
        <f t="shared" ref="P344:P374" si="54">N344*O344</f>
        <v>7622</v>
      </c>
      <c r="Q344" s="275">
        <f t="shared" si="51"/>
        <v>-14.559999999999999</v>
      </c>
      <c r="R344" s="176">
        <f t="shared" si="52"/>
        <v>0</v>
      </c>
      <c r="S344" s="276">
        <f t="shared" si="53"/>
        <v>-2774.4079999999994</v>
      </c>
    </row>
    <row r="345" spans="1:19" ht="23" x14ac:dyDescent="0.35">
      <c r="A345" s="131"/>
      <c r="B345" s="34"/>
      <c r="C345" s="34"/>
      <c r="D345" s="36"/>
      <c r="E345" s="97" t="s">
        <v>1110</v>
      </c>
      <c r="F345" s="36">
        <v>1</v>
      </c>
      <c r="G345" s="37">
        <v>25.44</v>
      </c>
      <c r="H345" s="37"/>
      <c r="I345" s="37"/>
      <c r="J345" s="110"/>
      <c r="K345" s="246">
        <f>G345*F345</f>
        <v>25.44</v>
      </c>
      <c r="L345" s="43"/>
      <c r="M345" s="235"/>
      <c r="N345" s="207"/>
      <c r="O345" s="39"/>
      <c r="P345" s="230"/>
      <c r="Q345" s="275">
        <f t="shared" si="51"/>
        <v>25.44</v>
      </c>
      <c r="R345" s="176">
        <f t="shared" si="52"/>
        <v>0</v>
      </c>
      <c r="S345" s="276">
        <f t="shared" si="53"/>
        <v>0</v>
      </c>
    </row>
    <row r="346" spans="1:19" x14ac:dyDescent="0.35">
      <c r="A346" s="131"/>
      <c r="B346" s="34"/>
      <c r="C346" s="34"/>
      <c r="D346" s="36"/>
      <c r="E346" s="97"/>
      <c r="F346" s="36"/>
      <c r="G346" s="37"/>
      <c r="H346" s="37"/>
      <c r="I346" s="37"/>
      <c r="J346" s="110"/>
      <c r="K346" s="246">
        <f>G346*F346</f>
        <v>0</v>
      </c>
      <c r="L346" s="43"/>
      <c r="M346" s="235"/>
      <c r="N346" s="207"/>
      <c r="O346" s="39"/>
      <c r="P346" s="230"/>
      <c r="Q346" s="275">
        <f t="shared" si="51"/>
        <v>0</v>
      </c>
      <c r="R346" s="176">
        <f t="shared" si="52"/>
        <v>0</v>
      </c>
      <c r="S346" s="276">
        <f t="shared" si="53"/>
        <v>0</v>
      </c>
    </row>
    <row r="347" spans="1:19" x14ac:dyDescent="0.35">
      <c r="A347" s="131"/>
      <c r="B347" s="34"/>
      <c r="C347" s="34" t="s">
        <v>16</v>
      </c>
      <c r="D347" s="36"/>
      <c r="E347" s="97" t="s">
        <v>231</v>
      </c>
      <c r="F347" s="36" t="s">
        <v>338</v>
      </c>
      <c r="G347" s="37"/>
      <c r="H347" s="37"/>
      <c r="I347" s="37"/>
      <c r="J347" s="110"/>
      <c r="K347" s="234">
        <f>SUM(K348:K352)</f>
        <v>54.849999999999994</v>
      </c>
      <c r="L347" s="43">
        <v>225.57</v>
      </c>
      <c r="M347" s="235">
        <f>L347*$K347</f>
        <v>12372.514499999997</v>
      </c>
      <c r="N347" s="207">
        <v>65</v>
      </c>
      <c r="O347" s="39">
        <v>225.57</v>
      </c>
      <c r="P347" s="230">
        <f t="shared" si="54"/>
        <v>14662.05</v>
      </c>
      <c r="Q347" s="275">
        <f t="shared" si="51"/>
        <v>-10.150000000000006</v>
      </c>
      <c r="R347" s="176">
        <f t="shared" si="52"/>
        <v>0</v>
      </c>
      <c r="S347" s="276">
        <f t="shared" si="53"/>
        <v>-2289.5355000000018</v>
      </c>
    </row>
    <row r="348" spans="1:19" x14ac:dyDescent="0.35">
      <c r="A348" s="131"/>
      <c r="B348" s="34"/>
      <c r="C348" s="34"/>
      <c r="D348" s="36"/>
      <c r="E348" s="97" t="s">
        <v>1111</v>
      </c>
      <c r="F348" s="36">
        <v>1</v>
      </c>
      <c r="G348" s="37">
        <v>15</v>
      </c>
      <c r="H348" s="37"/>
      <c r="I348" s="37"/>
      <c r="J348" s="110"/>
      <c r="K348" s="234">
        <f>G348*F348</f>
        <v>15</v>
      </c>
      <c r="L348" s="43"/>
      <c r="M348" s="235"/>
      <c r="N348" s="207"/>
      <c r="O348" s="39"/>
      <c r="P348" s="230"/>
      <c r="Q348" s="275"/>
      <c r="R348" s="176"/>
      <c r="S348" s="276"/>
    </row>
    <row r="349" spans="1:19" x14ac:dyDescent="0.35">
      <c r="A349" s="131"/>
      <c r="B349" s="34"/>
      <c r="C349" s="34"/>
      <c r="D349" s="36"/>
      <c r="E349" s="97" t="s">
        <v>1112</v>
      </c>
      <c r="F349" s="36">
        <v>1</v>
      </c>
      <c r="G349" s="37">
        <v>2.15</v>
      </c>
      <c r="H349" s="37"/>
      <c r="I349" s="37"/>
      <c r="J349" s="110"/>
      <c r="K349" s="234">
        <f t="shared" ref="K349:K351" si="55">G349*F349</f>
        <v>2.15</v>
      </c>
      <c r="L349" s="43"/>
      <c r="M349" s="235"/>
      <c r="N349" s="207"/>
      <c r="O349" s="39"/>
      <c r="P349" s="230"/>
      <c r="Q349" s="275"/>
      <c r="R349" s="176"/>
      <c r="S349" s="276"/>
    </row>
    <row r="350" spans="1:19" x14ac:dyDescent="0.35">
      <c r="A350" s="131"/>
      <c r="B350" s="34"/>
      <c r="C350" s="34"/>
      <c r="D350" s="36"/>
      <c r="E350" s="97" t="s">
        <v>1113</v>
      </c>
      <c r="F350" s="36">
        <v>1</v>
      </c>
      <c r="G350" s="37">
        <v>17</v>
      </c>
      <c r="H350" s="37"/>
      <c r="I350" s="37"/>
      <c r="J350" s="110"/>
      <c r="K350" s="234">
        <f t="shared" si="55"/>
        <v>17</v>
      </c>
      <c r="L350" s="43"/>
      <c r="M350" s="235"/>
      <c r="N350" s="207"/>
      <c r="O350" s="39"/>
      <c r="P350" s="230"/>
      <c r="Q350" s="275"/>
      <c r="R350" s="176"/>
      <c r="S350" s="276"/>
    </row>
    <row r="351" spans="1:19" x14ac:dyDescent="0.35">
      <c r="A351" s="131"/>
      <c r="B351" s="34"/>
      <c r="C351" s="34"/>
      <c r="D351" s="36"/>
      <c r="E351" s="97" t="s">
        <v>1114</v>
      </c>
      <c r="F351" s="36">
        <v>1</v>
      </c>
      <c r="G351" s="37">
        <v>20.7</v>
      </c>
      <c r="H351" s="37"/>
      <c r="I351" s="37"/>
      <c r="J351" s="110"/>
      <c r="K351" s="234">
        <f t="shared" si="55"/>
        <v>20.7</v>
      </c>
      <c r="L351" s="43"/>
      <c r="M351" s="235"/>
      <c r="N351" s="207"/>
      <c r="O351" s="39"/>
      <c r="P351" s="230"/>
      <c r="Q351" s="275"/>
      <c r="R351" s="176"/>
      <c r="S351" s="276"/>
    </row>
    <row r="352" spans="1:19" x14ac:dyDescent="0.35">
      <c r="A352" s="131"/>
      <c r="B352" s="34"/>
      <c r="C352" s="34"/>
      <c r="D352" s="36"/>
      <c r="E352" s="97"/>
      <c r="F352" s="36"/>
      <c r="G352" s="37"/>
      <c r="H352" s="37"/>
      <c r="I352" s="37"/>
      <c r="J352" s="110"/>
      <c r="K352" s="234"/>
      <c r="L352" s="43"/>
      <c r="M352" s="235"/>
      <c r="N352" s="207"/>
      <c r="O352" s="39"/>
      <c r="P352" s="230"/>
      <c r="Q352" s="275"/>
      <c r="R352" s="176"/>
      <c r="S352" s="276"/>
    </row>
    <row r="353" spans="1:19" x14ac:dyDescent="0.35">
      <c r="A353" s="131"/>
      <c r="B353" s="34"/>
      <c r="C353" s="34" t="s">
        <v>18</v>
      </c>
      <c r="D353" s="36"/>
      <c r="E353" s="97" t="s">
        <v>232</v>
      </c>
      <c r="F353" s="36" t="s">
        <v>338</v>
      </c>
      <c r="G353" s="37"/>
      <c r="H353" s="37"/>
      <c r="I353" s="37"/>
      <c r="J353" s="110"/>
      <c r="K353" s="234"/>
      <c r="L353" s="43">
        <v>291.49</v>
      </c>
      <c r="M353" s="235">
        <f>L353*$K353</f>
        <v>0</v>
      </c>
      <c r="N353" s="207">
        <v>1</v>
      </c>
      <c r="O353" s="39">
        <v>291.49</v>
      </c>
      <c r="P353" s="230">
        <f t="shared" si="54"/>
        <v>291.49</v>
      </c>
      <c r="Q353" s="275">
        <f t="shared" si="51"/>
        <v>-1</v>
      </c>
      <c r="R353" s="176">
        <f t="shared" si="52"/>
        <v>0</v>
      </c>
      <c r="S353" s="276">
        <f t="shared" si="53"/>
        <v>-291.49</v>
      </c>
    </row>
    <row r="354" spans="1:19" x14ac:dyDescent="0.35">
      <c r="A354" s="131"/>
      <c r="B354" s="34"/>
      <c r="C354" s="34" t="s">
        <v>20</v>
      </c>
      <c r="D354" s="36"/>
      <c r="E354" s="97" t="s">
        <v>233</v>
      </c>
      <c r="F354" s="36" t="s">
        <v>338</v>
      </c>
      <c r="G354" s="37"/>
      <c r="H354" s="37"/>
      <c r="I354" s="37"/>
      <c r="J354" s="110"/>
      <c r="K354" s="234"/>
      <c r="L354" s="43">
        <v>341.96</v>
      </c>
      <c r="M354" s="235">
        <f>L354*$K354</f>
        <v>0</v>
      </c>
      <c r="N354" s="207">
        <v>5</v>
      </c>
      <c r="O354" s="39">
        <v>341.96</v>
      </c>
      <c r="P354" s="230">
        <f t="shared" si="54"/>
        <v>1709.8</v>
      </c>
      <c r="Q354" s="275">
        <f t="shared" si="51"/>
        <v>-5</v>
      </c>
      <c r="R354" s="176">
        <f t="shared" si="52"/>
        <v>0</v>
      </c>
      <c r="S354" s="276">
        <f t="shared" si="53"/>
        <v>-1709.8</v>
      </c>
    </row>
    <row r="355" spans="1:19" ht="23" x14ac:dyDescent="0.35">
      <c r="A355" s="131"/>
      <c r="B355" s="34"/>
      <c r="C355" s="34" t="s">
        <v>26</v>
      </c>
      <c r="D355" s="36"/>
      <c r="E355" s="97" t="s">
        <v>632</v>
      </c>
      <c r="F355" s="36"/>
      <c r="G355" s="37"/>
      <c r="H355" s="37"/>
      <c r="I355" s="37"/>
      <c r="J355" s="110"/>
      <c r="K355" s="234"/>
      <c r="L355" s="43"/>
      <c r="M355" s="235"/>
      <c r="N355" s="207"/>
      <c r="O355" s="39"/>
      <c r="P355" s="230"/>
      <c r="Q355" s="275"/>
      <c r="R355" s="176"/>
      <c r="S355" s="276"/>
    </row>
    <row r="356" spans="1:19" x14ac:dyDescent="0.35">
      <c r="A356" s="131"/>
      <c r="B356" s="34"/>
      <c r="C356" s="34" t="s">
        <v>29</v>
      </c>
      <c r="D356" s="36"/>
      <c r="E356" s="97" t="s">
        <v>229</v>
      </c>
      <c r="F356" s="36" t="s">
        <v>32</v>
      </c>
      <c r="G356" s="37"/>
      <c r="H356" s="37"/>
      <c r="I356" s="37"/>
      <c r="J356" s="110"/>
      <c r="K356" s="234">
        <v>0</v>
      </c>
      <c r="L356" s="43">
        <v>96.63</v>
      </c>
      <c r="M356" s="235">
        <f>L356*$K356</f>
        <v>0</v>
      </c>
      <c r="N356" s="207">
        <v>0</v>
      </c>
      <c r="O356" s="39">
        <v>96.03</v>
      </c>
      <c r="P356" s="230">
        <f t="shared" si="54"/>
        <v>0</v>
      </c>
      <c r="Q356" s="275">
        <f t="shared" si="51"/>
        <v>0</v>
      </c>
      <c r="R356" s="176">
        <f t="shared" si="52"/>
        <v>0.59999999999999432</v>
      </c>
      <c r="S356" s="276">
        <f t="shared" si="53"/>
        <v>0</v>
      </c>
    </row>
    <row r="357" spans="1:19" x14ac:dyDescent="0.35">
      <c r="A357" s="131"/>
      <c r="B357" s="34"/>
      <c r="C357" s="34" t="s">
        <v>33</v>
      </c>
      <c r="D357" s="36"/>
      <c r="E357" s="97" t="s">
        <v>230</v>
      </c>
      <c r="F357" s="36" t="s">
        <v>32</v>
      </c>
      <c r="G357" s="37"/>
      <c r="H357" s="37"/>
      <c r="I357" s="37"/>
      <c r="J357" s="110"/>
      <c r="K357" s="234">
        <v>0</v>
      </c>
      <c r="L357" s="43">
        <v>181.31</v>
      </c>
      <c r="M357" s="235">
        <f>L357*$K357</f>
        <v>0</v>
      </c>
      <c r="N357" s="207">
        <v>0</v>
      </c>
      <c r="O357" s="39">
        <v>181.31</v>
      </c>
      <c r="P357" s="230">
        <f t="shared" si="54"/>
        <v>0</v>
      </c>
      <c r="Q357" s="275">
        <f t="shared" si="51"/>
        <v>0</v>
      </c>
      <c r="R357" s="176">
        <f t="shared" si="52"/>
        <v>0</v>
      </c>
      <c r="S357" s="276">
        <f t="shared" si="53"/>
        <v>0</v>
      </c>
    </row>
    <row r="358" spans="1:19" x14ac:dyDescent="0.35">
      <c r="A358" s="131"/>
      <c r="B358" s="34"/>
      <c r="C358" s="34" t="s">
        <v>36</v>
      </c>
      <c r="D358" s="36"/>
      <c r="E358" s="97" t="s">
        <v>231</v>
      </c>
      <c r="F358" s="36" t="s">
        <v>32</v>
      </c>
      <c r="G358" s="37"/>
      <c r="H358" s="37"/>
      <c r="I358" s="37"/>
      <c r="J358" s="110">
        <v>8</v>
      </c>
      <c r="K358" s="234">
        <v>0</v>
      </c>
      <c r="L358" s="43">
        <v>290.89999999999998</v>
      </c>
      <c r="M358" s="235">
        <f>J358*L358</f>
        <v>2327.1999999999998</v>
      </c>
      <c r="N358" s="207">
        <v>0</v>
      </c>
      <c r="O358" s="39">
        <v>290.89999999999998</v>
      </c>
      <c r="P358" s="230">
        <f t="shared" si="54"/>
        <v>0</v>
      </c>
      <c r="Q358" s="275">
        <f t="shared" si="51"/>
        <v>0</v>
      </c>
      <c r="R358" s="176">
        <f t="shared" si="52"/>
        <v>0</v>
      </c>
      <c r="S358" s="276">
        <f t="shared" si="53"/>
        <v>2327.1999999999998</v>
      </c>
    </row>
    <row r="359" spans="1:19" x14ac:dyDescent="0.35">
      <c r="A359" s="131"/>
      <c r="B359" s="34"/>
      <c r="C359" s="34" t="s">
        <v>37</v>
      </c>
      <c r="D359" s="36"/>
      <c r="E359" s="97" t="s">
        <v>232</v>
      </c>
      <c r="F359" s="36" t="s">
        <v>32</v>
      </c>
      <c r="G359" s="37"/>
      <c r="H359" s="37"/>
      <c r="I359" s="37"/>
      <c r="J359" s="110"/>
      <c r="K359" s="234">
        <v>0</v>
      </c>
      <c r="L359" s="43">
        <v>549.91</v>
      </c>
      <c r="M359" s="235">
        <f>L359*$K359</f>
        <v>0</v>
      </c>
      <c r="N359" s="207">
        <v>0</v>
      </c>
      <c r="O359" s="39">
        <v>549.91</v>
      </c>
      <c r="P359" s="230">
        <f t="shared" si="54"/>
        <v>0</v>
      </c>
      <c r="Q359" s="275">
        <f t="shared" si="51"/>
        <v>0</v>
      </c>
      <c r="R359" s="176">
        <f t="shared" si="52"/>
        <v>0</v>
      </c>
      <c r="S359" s="276">
        <f t="shared" si="53"/>
        <v>0</v>
      </c>
    </row>
    <row r="360" spans="1:19" x14ac:dyDescent="0.35">
      <c r="A360" s="131"/>
      <c r="B360" s="34"/>
      <c r="C360" s="34" t="s">
        <v>631</v>
      </c>
      <c r="D360" s="36"/>
      <c r="E360" s="97" t="s">
        <v>233</v>
      </c>
      <c r="F360" s="36" t="s">
        <v>32</v>
      </c>
      <c r="G360" s="37"/>
      <c r="H360" s="37"/>
      <c r="I360" s="37"/>
      <c r="J360" s="110"/>
      <c r="K360" s="234">
        <v>0</v>
      </c>
      <c r="L360" s="43">
        <v>787.01</v>
      </c>
      <c r="M360" s="235">
        <f>L360*$K360</f>
        <v>0</v>
      </c>
      <c r="N360" s="207">
        <v>0</v>
      </c>
      <c r="O360" s="39">
        <v>781.01</v>
      </c>
      <c r="P360" s="230">
        <f t="shared" si="54"/>
        <v>0</v>
      </c>
      <c r="Q360" s="275">
        <f t="shared" si="51"/>
        <v>0</v>
      </c>
      <c r="R360" s="176">
        <f t="shared" si="52"/>
        <v>6</v>
      </c>
      <c r="S360" s="276">
        <f t="shared" si="53"/>
        <v>0</v>
      </c>
    </row>
    <row r="361" spans="1:19" ht="23" x14ac:dyDescent="0.35">
      <c r="A361" s="131"/>
      <c r="B361" s="34"/>
      <c r="C361" s="34" t="s">
        <v>38</v>
      </c>
      <c r="D361" s="36"/>
      <c r="E361" s="54" t="s">
        <v>234</v>
      </c>
      <c r="F361" s="36"/>
      <c r="G361" s="37"/>
      <c r="H361" s="37"/>
      <c r="I361" s="37"/>
      <c r="J361" s="110"/>
      <c r="K361" s="234"/>
      <c r="L361" s="43"/>
      <c r="M361" s="235"/>
      <c r="N361" s="207"/>
      <c r="O361" s="39"/>
      <c r="P361" s="230"/>
      <c r="Q361" s="275"/>
      <c r="R361" s="176"/>
      <c r="S361" s="276"/>
    </row>
    <row r="362" spans="1:19" x14ac:dyDescent="0.35">
      <c r="A362" s="131"/>
      <c r="B362" s="34"/>
      <c r="C362" s="34" t="s">
        <v>68</v>
      </c>
      <c r="D362" s="36"/>
      <c r="E362" s="97" t="s">
        <v>235</v>
      </c>
      <c r="F362" s="36" t="s">
        <v>338</v>
      </c>
      <c r="G362" s="37"/>
      <c r="H362" s="37"/>
      <c r="I362" s="37"/>
      <c r="J362" s="110"/>
      <c r="K362" s="234">
        <v>0</v>
      </c>
      <c r="L362" s="43">
        <v>617.41</v>
      </c>
      <c r="M362" s="235">
        <f>L362*$K362</f>
        <v>0</v>
      </c>
      <c r="N362" s="207">
        <v>0</v>
      </c>
      <c r="O362" s="39">
        <v>617.41</v>
      </c>
      <c r="P362" s="230">
        <f t="shared" si="54"/>
        <v>0</v>
      </c>
      <c r="Q362" s="275">
        <f t="shared" si="51"/>
        <v>0</v>
      </c>
      <c r="R362" s="176">
        <f t="shared" si="52"/>
        <v>0</v>
      </c>
      <c r="S362" s="276">
        <f t="shared" si="53"/>
        <v>0</v>
      </c>
    </row>
    <row r="363" spans="1:19" x14ac:dyDescent="0.35">
      <c r="A363" s="131"/>
      <c r="B363" s="34"/>
      <c r="C363" s="34" t="s">
        <v>72</v>
      </c>
      <c r="D363" s="36"/>
      <c r="E363" s="97" t="s">
        <v>236</v>
      </c>
      <c r="F363" s="36" t="s">
        <v>338</v>
      </c>
      <c r="G363" s="37"/>
      <c r="H363" s="37"/>
      <c r="I363" s="37"/>
      <c r="J363" s="110"/>
      <c r="K363" s="234">
        <v>0</v>
      </c>
      <c r="L363" s="43">
        <v>1230.6600000000001</v>
      </c>
      <c r="M363" s="235">
        <f>L363*$K363</f>
        <v>0</v>
      </c>
      <c r="N363" s="207">
        <v>0</v>
      </c>
      <c r="O363" s="39">
        <v>1230.6600000000001</v>
      </c>
      <c r="P363" s="230">
        <f t="shared" si="54"/>
        <v>0</v>
      </c>
      <c r="Q363" s="275">
        <f t="shared" si="51"/>
        <v>0</v>
      </c>
      <c r="R363" s="176">
        <f t="shared" si="52"/>
        <v>0</v>
      </c>
      <c r="S363" s="276">
        <f t="shared" si="53"/>
        <v>0</v>
      </c>
    </row>
    <row r="364" spans="1:19" ht="46" x14ac:dyDescent="0.35">
      <c r="A364" s="131"/>
      <c r="B364" s="34"/>
      <c r="C364" s="34" t="s">
        <v>57</v>
      </c>
      <c r="D364" s="36"/>
      <c r="E364" s="54" t="s">
        <v>237</v>
      </c>
      <c r="F364" s="36"/>
      <c r="G364" s="37"/>
      <c r="H364" s="37"/>
      <c r="I364" s="37"/>
      <c r="J364" s="110"/>
      <c r="K364" s="234"/>
      <c r="L364" s="43"/>
      <c r="M364" s="235"/>
      <c r="N364" s="207"/>
      <c r="O364" s="39"/>
      <c r="P364" s="230"/>
      <c r="Q364" s="275"/>
      <c r="R364" s="176"/>
      <c r="S364" s="276"/>
    </row>
    <row r="365" spans="1:19" x14ac:dyDescent="0.35">
      <c r="A365" s="131"/>
      <c r="B365" s="34"/>
      <c r="C365" s="34" t="s">
        <v>172</v>
      </c>
      <c r="D365" s="36"/>
      <c r="E365" s="97" t="s">
        <v>238</v>
      </c>
      <c r="F365" s="36" t="s">
        <v>193</v>
      </c>
      <c r="G365" s="37"/>
      <c r="H365" s="37"/>
      <c r="I365" s="37"/>
      <c r="J365" s="110"/>
      <c r="K365" s="234"/>
      <c r="L365" s="43">
        <v>807.81</v>
      </c>
      <c r="M365" s="235">
        <f t="shared" ref="M365:M370" si="56">L365*$K365</f>
        <v>0</v>
      </c>
      <c r="N365" s="207">
        <v>3</v>
      </c>
      <c r="O365" s="39">
        <v>807.81</v>
      </c>
      <c r="P365" s="230">
        <f t="shared" si="54"/>
        <v>2423.4299999999998</v>
      </c>
      <c r="Q365" s="275">
        <f t="shared" si="51"/>
        <v>-3</v>
      </c>
      <c r="R365" s="176">
        <f t="shared" si="52"/>
        <v>0</v>
      </c>
      <c r="S365" s="276">
        <f t="shared" si="53"/>
        <v>-2423.4299999999998</v>
      </c>
    </row>
    <row r="366" spans="1:19" x14ac:dyDescent="0.35">
      <c r="A366" s="131"/>
      <c r="B366" s="34"/>
      <c r="C366" s="34" t="s">
        <v>337</v>
      </c>
      <c r="D366" s="36"/>
      <c r="E366" s="97" t="s">
        <v>239</v>
      </c>
      <c r="F366" s="36" t="s">
        <v>193</v>
      </c>
      <c r="G366" s="37"/>
      <c r="H366" s="37"/>
      <c r="I366" s="37"/>
      <c r="J366" s="110"/>
      <c r="K366" s="234"/>
      <c r="L366" s="43">
        <v>958.15</v>
      </c>
      <c r="M366" s="235">
        <f t="shared" si="56"/>
        <v>0</v>
      </c>
      <c r="N366" s="207">
        <v>4</v>
      </c>
      <c r="O366" s="39">
        <v>958.15</v>
      </c>
      <c r="P366" s="230">
        <f t="shared" si="54"/>
        <v>3832.6</v>
      </c>
      <c r="Q366" s="275">
        <f t="shared" si="51"/>
        <v>-4</v>
      </c>
      <c r="R366" s="176">
        <f t="shared" si="52"/>
        <v>0</v>
      </c>
      <c r="S366" s="276">
        <f t="shared" si="53"/>
        <v>-3832.6</v>
      </c>
    </row>
    <row r="367" spans="1:19" x14ac:dyDescent="0.35">
      <c r="A367" s="131"/>
      <c r="B367" s="34"/>
      <c r="C367" s="34" t="s">
        <v>74</v>
      </c>
      <c r="D367" s="36"/>
      <c r="E367" s="97" t="s">
        <v>240</v>
      </c>
      <c r="F367" s="36" t="s">
        <v>193</v>
      </c>
      <c r="G367" s="37"/>
      <c r="H367" s="37"/>
      <c r="I367" s="37"/>
      <c r="J367" s="110"/>
      <c r="K367" s="234"/>
      <c r="L367" s="43">
        <v>1196.28</v>
      </c>
      <c r="M367" s="235">
        <f t="shared" si="56"/>
        <v>0</v>
      </c>
      <c r="N367" s="207">
        <v>2</v>
      </c>
      <c r="O367" s="39">
        <v>1196.98</v>
      </c>
      <c r="P367" s="230">
        <f t="shared" si="54"/>
        <v>2393.96</v>
      </c>
      <c r="Q367" s="275">
        <f t="shared" si="51"/>
        <v>-2</v>
      </c>
      <c r="R367" s="176">
        <f t="shared" si="52"/>
        <v>-0.70000000000004547</v>
      </c>
      <c r="S367" s="276">
        <f t="shared" si="53"/>
        <v>-2393.96</v>
      </c>
    </row>
    <row r="368" spans="1:19" x14ac:dyDescent="0.35">
      <c r="A368" s="131"/>
      <c r="B368" s="34"/>
      <c r="C368" s="34" t="s">
        <v>241</v>
      </c>
      <c r="D368" s="36"/>
      <c r="E368" s="97" t="s">
        <v>242</v>
      </c>
      <c r="F368" s="36" t="s">
        <v>193</v>
      </c>
      <c r="G368" s="37"/>
      <c r="H368" s="37"/>
      <c r="I368" s="37"/>
      <c r="J368" s="110"/>
      <c r="K368" s="234">
        <v>0</v>
      </c>
      <c r="L368" s="43">
        <v>1445.7</v>
      </c>
      <c r="M368" s="235">
        <f t="shared" si="56"/>
        <v>0</v>
      </c>
      <c r="N368" s="207">
        <v>0</v>
      </c>
      <c r="O368" s="39">
        <v>1445.7</v>
      </c>
      <c r="P368" s="230">
        <f t="shared" si="54"/>
        <v>0</v>
      </c>
      <c r="Q368" s="275">
        <f t="shared" si="51"/>
        <v>0</v>
      </c>
      <c r="R368" s="176">
        <f t="shared" si="52"/>
        <v>0</v>
      </c>
      <c r="S368" s="276">
        <f t="shared" si="53"/>
        <v>0</v>
      </c>
    </row>
    <row r="369" spans="1:19" x14ac:dyDescent="0.35">
      <c r="A369" s="131"/>
      <c r="B369" s="34"/>
      <c r="C369" s="34" t="s">
        <v>243</v>
      </c>
      <c r="D369" s="36"/>
      <c r="E369" s="97" t="s">
        <v>244</v>
      </c>
      <c r="F369" s="36" t="s">
        <v>193</v>
      </c>
      <c r="G369" s="37"/>
      <c r="H369" s="37"/>
      <c r="I369" s="37"/>
      <c r="J369" s="110"/>
      <c r="K369" s="234">
        <v>0</v>
      </c>
      <c r="L369" s="43">
        <v>1831.46</v>
      </c>
      <c r="M369" s="235">
        <f t="shared" si="56"/>
        <v>0</v>
      </c>
      <c r="N369" s="207">
        <v>0</v>
      </c>
      <c r="O369" s="39">
        <v>1831.46</v>
      </c>
      <c r="P369" s="230">
        <f t="shared" si="54"/>
        <v>0</v>
      </c>
      <c r="Q369" s="275">
        <f t="shared" si="51"/>
        <v>0</v>
      </c>
      <c r="R369" s="176">
        <f t="shared" si="52"/>
        <v>0</v>
      </c>
      <c r="S369" s="276">
        <f t="shared" si="53"/>
        <v>0</v>
      </c>
    </row>
    <row r="370" spans="1:19" ht="34.5" x14ac:dyDescent="0.35">
      <c r="A370" s="131"/>
      <c r="B370" s="34"/>
      <c r="C370" s="34" t="s">
        <v>59</v>
      </c>
      <c r="D370" s="36"/>
      <c r="E370" s="97" t="s">
        <v>245</v>
      </c>
      <c r="F370" s="36" t="s">
        <v>193</v>
      </c>
      <c r="G370" s="37"/>
      <c r="H370" s="37"/>
      <c r="I370" s="37"/>
      <c r="J370" s="110"/>
      <c r="K370" s="234">
        <v>0</v>
      </c>
      <c r="L370" s="43">
        <v>871.54</v>
      </c>
      <c r="M370" s="235">
        <f t="shared" si="56"/>
        <v>0</v>
      </c>
      <c r="N370" s="207">
        <v>0</v>
      </c>
      <c r="O370" s="39">
        <v>871.54</v>
      </c>
      <c r="P370" s="230">
        <f t="shared" si="54"/>
        <v>0</v>
      </c>
      <c r="Q370" s="275">
        <f t="shared" si="51"/>
        <v>0</v>
      </c>
      <c r="R370" s="176">
        <f t="shared" si="52"/>
        <v>0</v>
      </c>
      <c r="S370" s="276">
        <f t="shared" si="53"/>
        <v>0</v>
      </c>
    </row>
    <row r="371" spans="1:19" x14ac:dyDescent="0.35">
      <c r="A371" s="131"/>
      <c r="B371" s="34"/>
      <c r="C371" s="34" t="s">
        <v>92</v>
      </c>
      <c r="D371" s="36"/>
      <c r="E371" s="98" t="s">
        <v>246</v>
      </c>
      <c r="F371" s="36"/>
      <c r="G371" s="37"/>
      <c r="H371" s="37"/>
      <c r="I371" s="37"/>
      <c r="J371" s="110"/>
      <c r="K371" s="234"/>
      <c r="L371" s="43">
        <f t="shared" ref="L371" si="57">AY371*103/100</f>
        <v>0</v>
      </c>
      <c r="M371" s="235"/>
      <c r="N371" s="207"/>
      <c r="O371" s="39"/>
      <c r="P371" s="230">
        <f t="shared" si="54"/>
        <v>0</v>
      </c>
      <c r="Q371" s="275">
        <f t="shared" si="51"/>
        <v>0</v>
      </c>
      <c r="R371" s="176">
        <f t="shared" si="52"/>
        <v>0</v>
      </c>
      <c r="S371" s="276">
        <f t="shared" si="53"/>
        <v>0</v>
      </c>
    </row>
    <row r="372" spans="1:19" x14ac:dyDescent="0.35">
      <c r="A372" s="131"/>
      <c r="B372" s="34"/>
      <c r="C372" s="34" t="s">
        <v>602</v>
      </c>
      <c r="D372" s="36"/>
      <c r="E372" s="97" t="s">
        <v>247</v>
      </c>
      <c r="F372" s="36" t="s">
        <v>193</v>
      </c>
      <c r="G372" s="37"/>
      <c r="H372" s="37"/>
      <c r="I372" s="37"/>
      <c r="J372" s="110"/>
      <c r="K372" s="234">
        <v>0</v>
      </c>
      <c r="L372" s="43">
        <v>276.04000000000002</v>
      </c>
      <c r="M372" s="235">
        <f>L372*$K372</f>
        <v>0</v>
      </c>
      <c r="N372" s="207">
        <v>0</v>
      </c>
      <c r="O372" s="39">
        <v>276.04000000000002</v>
      </c>
      <c r="P372" s="230">
        <f t="shared" si="54"/>
        <v>0</v>
      </c>
      <c r="Q372" s="275">
        <f t="shared" si="51"/>
        <v>0</v>
      </c>
      <c r="R372" s="176">
        <f t="shared" si="52"/>
        <v>0</v>
      </c>
      <c r="S372" s="276">
        <f t="shared" si="53"/>
        <v>0</v>
      </c>
    </row>
    <row r="373" spans="1:19" x14ac:dyDescent="0.35">
      <c r="A373" s="131"/>
      <c r="B373" s="34"/>
      <c r="C373" s="34" t="s">
        <v>603</v>
      </c>
      <c r="D373" s="36"/>
      <c r="E373" s="97" t="s">
        <v>248</v>
      </c>
      <c r="F373" s="36" t="s">
        <v>193</v>
      </c>
      <c r="G373" s="37"/>
      <c r="H373" s="37"/>
      <c r="I373" s="37"/>
      <c r="J373" s="110"/>
      <c r="K373" s="234">
        <v>0</v>
      </c>
      <c r="L373" s="43">
        <v>307.97000000000003</v>
      </c>
      <c r="M373" s="235">
        <f>L373*$K373</f>
        <v>0</v>
      </c>
      <c r="N373" s="207">
        <v>0</v>
      </c>
      <c r="O373" s="39">
        <v>307.97000000000003</v>
      </c>
      <c r="P373" s="230">
        <f t="shared" si="54"/>
        <v>0</v>
      </c>
      <c r="Q373" s="275">
        <f t="shared" si="51"/>
        <v>0</v>
      </c>
      <c r="R373" s="176">
        <f t="shared" si="52"/>
        <v>0</v>
      </c>
      <c r="S373" s="276">
        <f t="shared" si="53"/>
        <v>0</v>
      </c>
    </row>
    <row r="374" spans="1:19" x14ac:dyDescent="0.35">
      <c r="A374" s="131"/>
      <c r="B374" s="34"/>
      <c r="C374" s="34" t="s">
        <v>604</v>
      </c>
      <c r="D374" s="36"/>
      <c r="E374" s="97" t="s">
        <v>250</v>
      </c>
      <c r="F374" s="36" t="s">
        <v>193</v>
      </c>
      <c r="G374" s="37"/>
      <c r="H374" s="37"/>
      <c r="I374" s="37"/>
      <c r="J374" s="110"/>
      <c r="K374" s="234">
        <v>0</v>
      </c>
      <c r="L374" s="43">
        <v>454.23</v>
      </c>
      <c r="M374" s="235">
        <f>L374*$K374</f>
        <v>0</v>
      </c>
      <c r="N374" s="207">
        <v>0</v>
      </c>
      <c r="O374" s="39">
        <v>454.23</v>
      </c>
      <c r="P374" s="230">
        <f t="shared" si="54"/>
        <v>0</v>
      </c>
      <c r="Q374" s="275">
        <f t="shared" si="51"/>
        <v>0</v>
      </c>
      <c r="R374" s="176">
        <f t="shared" si="52"/>
        <v>0</v>
      </c>
      <c r="S374" s="276">
        <f t="shared" si="53"/>
        <v>0</v>
      </c>
    </row>
    <row r="375" spans="1:19" x14ac:dyDescent="0.35">
      <c r="A375" s="46" t="s">
        <v>553</v>
      </c>
      <c r="B375" s="52"/>
      <c r="C375" s="34"/>
      <c r="D375" s="34"/>
      <c r="E375" s="46"/>
      <c r="F375" s="52"/>
      <c r="G375" s="53"/>
      <c r="H375" s="53"/>
      <c r="I375" s="53"/>
      <c r="J375" s="219"/>
      <c r="K375" s="236"/>
      <c r="L375" s="56"/>
      <c r="M375" s="210">
        <f>SUM(M343:M374)</f>
        <v>19547.306499999999</v>
      </c>
      <c r="N375" s="207"/>
      <c r="O375" s="39"/>
      <c r="P375" s="271">
        <f>SUM(P343:P374)</f>
        <v>32935.33</v>
      </c>
      <c r="Q375" s="279">
        <f t="shared" si="51"/>
        <v>0</v>
      </c>
      <c r="R375" s="273">
        <f t="shared" si="52"/>
        <v>0</v>
      </c>
      <c r="S375" s="280">
        <f t="shared" si="53"/>
        <v>-13388.023500000003</v>
      </c>
    </row>
    <row r="376" spans="1:19" x14ac:dyDescent="0.35">
      <c r="A376" s="131"/>
      <c r="B376" s="34" t="s">
        <v>251</v>
      </c>
      <c r="C376" s="34"/>
      <c r="D376" s="34"/>
      <c r="E376" s="89" t="s">
        <v>252</v>
      </c>
      <c r="F376" s="34"/>
      <c r="G376" s="90"/>
      <c r="H376" s="90"/>
      <c r="I376" s="90"/>
      <c r="J376" s="181"/>
      <c r="K376" s="245"/>
      <c r="L376" s="91"/>
      <c r="M376" s="210"/>
      <c r="N376" s="207"/>
      <c r="O376" s="39"/>
      <c r="P376" s="230"/>
      <c r="Q376" s="275"/>
      <c r="R376" s="176"/>
      <c r="S376" s="276"/>
    </row>
    <row r="377" spans="1:19" ht="80.5" x14ac:dyDescent="0.35">
      <c r="A377" s="131"/>
      <c r="B377" s="34"/>
      <c r="C377" s="34" t="s">
        <v>8</v>
      </c>
      <c r="D377" s="36"/>
      <c r="E377" s="97" t="s">
        <v>253</v>
      </c>
      <c r="F377" s="36"/>
      <c r="G377" s="37"/>
      <c r="H377" s="37"/>
      <c r="I377" s="37"/>
      <c r="J377" s="110"/>
      <c r="K377" s="234"/>
      <c r="L377" s="43"/>
      <c r="M377" s="247"/>
      <c r="N377" s="207"/>
      <c r="O377" s="39"/>
      <c r="P377" s="230"/>
      <c r="Q377" s="275"/>
      <c r="R377" s="176"/>
      <c r="S377" s="276"/>
    </row>
    <row r="378" spans="1:19" x14ac:dyDescent="0.35">
      <c r="A378" s="131"/>
      <c r="B378" s="34"/>
      <c r="C378" s="34" t="s">
        <v>11</v>
      </c>
      <c r="D378" s="36"/>
      <c r="E378" s="97" t="s">
        <v>254</v>
      </c>
      <c r="F378" s="36" t="s">
        <v>101</v>
      </c>
      <c r="G378" s="37"/>
      <c r="H378" s="37"/>
      <c r="I378" s="37"/>
      <c r="J378" s="110"/>
      <c r="K378" s="234">
        <v>0</v>
      </c>
      <c r="L378" s="43">
        <v>209.89</v>
      </c>
      <c r="M378" s="235">
        <f>L378*$K378</f>
        <v>0</v>
      </c>
      <c r="N378" s="207">
        <v>0</v>
      </c>
      <c r="O378" s="39">
        <v>209.89</v>
      </c>
      <c r="P378" s="230">
        <f>O378*N378</f>
        <v>0</v>
      </c>
      <c r="Q378" s="275">
        <f t="shared" si="51"/>
        <v>0</v>
      </c>
      <c r="R378" s="176">
        <f t="shared" si="52"/>
        <v>0</v>
      </c>
      <c r="S378" s="276">
        <f t="shared" si="53"/>
        <v>0</v>
      </c>
    </row>
    <row r="379" spans="1:19" x14ac:dyDescent="0.35">
      <c r="A379" s="131"/>
      <c r="B379" s="34"/>
      <c r="C379" s="34" t="s">
        <v>14</v>
      </c>
      <c r="D379" s="36"/>
      <c r="E379" s="97" t="s">
        <v>255</v>
      </c>
      <c r="F379" s="36" t="s">
        <v>101</v>
      </c>
      <c r="G379" s="37"/>
      <c r="H379" s="37"/>
      <c r="I379" s="37"/>
      <c r="J379" s="110"/>
      <c r="K379" s="234"/>
      <c r="L379" s="43">
        <v>280.43</v>
      </c>
      <c r="M379" s="235">
        <f>L379*$K379</f>
        <v>0</v>
      </c>
      <c r="N379" s="207">
        <v>13</v>
      </c>
      <c r="O379" s="39">
        <v>280</v>
      </c>
      <c r="P379" s="230">
        <f t="shared" ref="P379:P400" si="58">O379*N379</f>
        <v>3640</v>
      </c>
      <c r="Q379" s="275">
        <f t="shared" si="51"/>
        <v>-13</v>
      </c>
      <c r="R379" s="176">
        <f t="shared" si="52"/>
        <v>0.43000000000000682</v>
      </c>
      <c r="S379" s="276">
        <f t="shared" si="53"/>
        <v>-3640</v>
      </c>
    </row>
    <row r="380" spans="1:19" x14ac:dyDescent="0.35">
      <c r="A380" s="131"/>
      <c r="B380" s="34"/>
      <c r="C380" s="34" t="s">
        <v>16</v>
      </c>
      <c r="D380" s="36"/>
      <c r="E380" s="97" t="s">
        <v>256</v>
      </c>
      <c r="F380" s="36" t="s">
        <v>101</v>
      </c>
      <c r="G380" s="37"/>
      <c r="H380" s="37"/>
      <c r="I380" s="37"/>
      <c r="J380" s="110"/>
      <c r="K380" s="234"/>
      <c r="L380" s="43">
        <v>330.45</v>
      </c>
      <c r="M380" s="235">
        <f>L380*$K380</f>
        <v>0</v>
      </c>
      <c r="N380" s="207">
        <v>0</v>
      </c>
      <c r="O380" s="39">
        <v>330.45</v>
      </c>
      <c r="P380" s="230">
        <f t="shared" si="58"/>
        <v>0</v>
      </c>
      <c r="Q380" s="275">
        <f t="shared" si="51"/>
        <v>0</v>
      </c>
      <c r="R380" s="176">
        <f t="shared" si="52"/>
        <v>0</v>
      </c>
      <c r="S380" s="276">
        <f t="shared" si="53"/>
        <v>0</v>
      </c>
    </row>
    <row r="381" spans="1:19" x14ac:dyDescent="0.35">
      <c r="A381" s="131"/>
      <c r="B381" s="34"/>
      <c r="C381" s="34" t="s">
        <v>18</v>
      </c>
      <c r="D381" s="36"/>
      <c r="E381" s="97" t="s">
        <v>257</v>
      </c>
      <c r="F381" s="36" t="s">
        <v>101</v>
      </c>
      <c r="G381" s="37"/>
      <c r="H381" s="37"/>
      <c r="I381" s="37"/>
      <c r="J381" s="110"/>
      <c r="K381" s="234"/>
      <c r="L381" s="43">
        <v>392</v>
      </c>
      <c r="M381" s="235">
        <f>L381*$K381</f>
        <v>0</v>
      </c>
      <c r="N381" s="207">
        <v>0</v>
      </c>
      <c r="O381" s="39">
        <v>392</v>
      </c>
      <c r="P381" s="230">
        <f t="shared" si="58"/>
        <v>0</v>
      </c>
      <c r="Q381" s="275">
        <f t="shared" si="51"/>
        <v>0</v>
      </c>
      <c r="R381" s="176">
        <f t="shared" si="52"/>
        <v>0</v>
      </c>
      <c r="S381" s="276">
        <f t="shared" si="53"/>
        <v>0</v>
      </c>
    </row>
    <row r="382" spans="1:19" x14ac:dyDescent="0.35">
      <c r="A382" s="131"/>
      <c r="B382" s="34"/>
      <c r="C382" s="34" t="s">
        <v>20</v>
      </c>
      <c r="D382" s="36"/>
      <c r="E382" s="97" t="s">
        <v>258</v>
      </c>
      <c r="F382" s="36" t="s">
        <v>101</v>
      </c>
      <c r="G382" s="37"/>
      <c r="H382" s="37"/>
      <c r="I382" s="37"/>
      <c r="J382" s="110"/>
      <c r="K382" s="234">
        <f>SUM(K383:K384)</f>
        <v>0</v>
      </c>
      <c r="L382" s="43">
        <v>475.2</v>
      </c>
      <c r="M382" s="235">
        <f>L382*$K382</f>
        <v>0</v>
      </c>
      <c r="N382" s="207">
        <v>19</v>
      </c>
      <c r="O382" s="39">
        <v>475.2</v>
      </c>
      <c r="P382" s="230">
        <f t="shared" si="58"/>
        <v>9028.7999999999993</v>
      </c>
      <c r="Q382" s="275">
        <f t="shared" si="51"/>
        <v>-19</v>
      </c>
      <c r="R382" s="176">
        <f t="shared" si="52"/>
        <v>0</v>
      </c>
      <c r="S382" s="276">
        <f t="shared" si="53"/>
        <v>-9028.7999999999993</v>
      </c>
    </row>
    <row r="383" spans="1:19" x14ac:dyDescent="0.35">
      <c r="A383" s="131"/>
      <c r="B383" s="34"/>
      <c r="C383" s="34"/>
      <c r="D383" s="36"/>
      <c r="E383" s="97"/>
      <c r="F383" s="36"/>
      <c r="G383" s="37"/>
      <c r="H383" s="37"/>
      <c r="I383" s="37"/>
      <c r="J383" s="110"/>
      <c r="K383" s="234"/>
      <c r="L383" s="43"/>
      <c r="M383" s="235"/>
      <c r="N383" s="207"/>
      <c r="O383" s="39"/>
      <c r="P383" s="230"/>
      <c r="Q383" s="275"/>
      <c r="R383" s="176"/>
      <c r="S383" s="276"/>
    </row>
    <row r="384" spans="1:19" x14ac:dyDescent="0.35">
      <c r="A384" s="131"/>
      <c r="B384" s="34"/>
      <c r="C384" s="34"/>
      <c r="D384" s="36"/>
      <c r="E384" s="97"/>
      <c r="F384" s="36"/>
      <c r="G384" s="37"/>
      <c r="H384" s="37"/>
      <c r="I384" s="37"/>
      <c r="J384" s="110"/>
      <c r="K384" s="234"/>
      <c r="L384" s="43"/>
      <c r="M384" s="235"/>
      <c r="N384" s="207"/>
      <c r="O384" s="39"/>
      <c r="P384" s="230"/>
      <c r="Q384" s="275"/>
      <c r="R384" s="176"/>
      <c r="S384" s="276"/>
    </row>
    <row r="385" spans="1:19" x14ac:dyDescent="0.35">
      <c r="A385" s="131"/>
      <c r="B385" s="34"/>
      <c r="C385" s="34"/>
      <c r="D385" s="36"/>
      <c r="E385" s="97"/>
      <c r="F385" s="36"/>
      <c r="G385" s="37"/>
      <c r="H385" s="37"/>
      <c r="I385" s="37"/>
      <c r="J385" s="110"/>
      <c r="K385" s="234"/>
      <c r="L385" s="43"/>
      <c r="M385" s="235"/>
      <c r="N385" s="207"/>
      <c r="O385" s="39"/>
      <c r="P385" s="230"/>
      <c r="Q385" s="275"/>
      <c r="R385" s="176"/>
      <c r="S385" s="276"/>
    </row>
    <row r="386" spans="1:19" x14ac:dyDescent="0.35">
      <c r="A386" s="131"/>
      <c r="B386" s="34"/>
      <c r="C386" s="34" t="s">
        <v>22</v>
      </c>
      <c r="D386" s="36"/>
      <c r="E386" s="97" t="s">
        <v>259</v>
      </c>
      <c r="F386" s="36" t="s">
        <v>101</v>
      </c>
      <c r="G386" s="37"/>
      <c r="H386" s="37"/>
      <c r="I386" s="37"/>
      <c r="J386" s="110"/>
      <c r="K386" s="234">
        <f>SUM(K387:K393)</f>
        <v>19.64</v>
      </c>
      <c r="L386" s="43">
        <v>750</v>
      </c>
      <c r="M386" s="235">
        <f>L386*$K386</f>
        <v>14730</v>
      </c>
      <c r="N386" s="207">
        <v>19</v>
      </c>
      <c r="O386" s="39">
        <v>750</v>
      </c>
      <c r="P386" s="230">
        <f t="shared" si="58"/>
        <v>14250</v>
      </c>
      <c r="Q386" s="275">
        <f t="shared" si="51"/>
        <v>0.64000000000000057</v>
      </c>
      <c r="R386" s="176">
        <f t="shared" si="52"/>
        <v>0</v>
      </c>
      <c r="S386" s="276">
        <f t="shared" si="53"/>
        <v>480</v>
      </c>
    </row>
    <row r="387" spans="1:19" x14ac:dyDescent="0.35">
      <c r="A387" s="131"/>
      <c r="B387" s="34"/>
      <c r="C387" s="34"/>
      <c r="D387" s="36"/>
      <c r="E387" s="97" t="s">
        <v>1115</v>
      </c>
      <c r="F387" s="36"/>
      <c r="G387" s="37">
        <v>1</v>
      </c>
      <c r="H387" s="37">
        <v>1.8</v>
      </c>
      <c r="I387" s="37"/>
      <c r="J387" s="110"/>
      <c r="K387" s="234">
        <f t="shared" ref="K387:K391" si="59">H387*G387</f>
        <v>1.8</v>
      </c>
      <c r="L387" s="43"/>
      <c r="M387" s="235"/>
      <c r="N387" s="207"/>
      <c r="O387" s="39"/>
      <c r="P387" s="230"/>
      <c r="Q387" s="275"/>
      <c r="R387" s="176"/>
      <c r="S387" s="276"/>
    </row>
    <row r="388" spans="1:19" x14ac:dyDescent="0.35">
      <c r="A388" s="131"/>
      <c r="B388" s="34"/>
      <c r="C388" s="34"/>
      <c r="D388" s="36"/>
      <c r="E388" s="97" t="s">
        <v>1116</v>
      </c>
      <c r="F388" s="36"/>
      <c r="G388" s="37">
        <v>1</v>
      </c>
      <c r="H388" s="37">
        <v>4.5</v>
      </c>
      <c r="I388" s="37"/>
      <c r="J388" s="110"/>
      <c r="K388" s="234">
        <f t="shared" si="59"/>
        <v>4.5</v>
      </c>
      <c r="L388" s="43"/>
      <c r="M388" s="235"/>
      <c r="N388" s="207"/>
      <c r="O388" s="39"/>
      <c r="P388" s="230"/>
      <c r="Q388" s="275"/>
      <c r="R388" s="176"/>
      <c r="S388" s="276"/>
    </row>
    <row r="389" spans="1:19" x14ac:dyDescent="0.35">
      <c r="A389" s="131"/>
      <c r="B389" s="34"/>
      <c r="C389" s="34"/>
      <c r="D389" s="36"/>
      <c r="E389" s="97" t="s">
        <v>1117</v>
      </c>
      <c r="F389" s="36"/>
      <c r="G389" s="37">
        <v>1</v>
      </c>
      <c r="H389" s="37">
        <v>0.76</v>
      </c>
      <c r="I389" s="37"/>
      <c r="J389" s="110"/>
      <c r="K389" s="234">
        <f t="shared" si="59"/>
        <v>0.76</v>
      </c>
      <c r="L389" s="43"/>
      <c r="M389" s="235"/>
      <c r="N389" s="207"/>
      <c r="O389" s="39"/>
      <c r="P389" s="230"/>
      <c r="Q389" s="275"/>
      <c r="R389" s="176"/>
      <c r="S389" s="276"/>
    </row>
    <row r="390" spans="1:19" x14ac:dyDescent="0.35">
      <c r="A390" s="131"/>
      <c r="B390" s="34"/>
      <c r="C390" s="34"/>
      <c r="D390" s="36"/>
      <c r="E390" s="97" t="s">
        <v>1118</v>
      </c>
      <c r="F390" s="36"/>
      <c r="G390" s="37">
        <v>1</v>
      </c>
      <c r="H390" s="37">
        <v>6.53</v>
      </c>
      <c r="I390" s="37"/>
      <c r="J390" s="110"/>
      <c r="K390" s="234">
        <f t="shared" si="59"/>
        <v>6.53</v>
      </c>
      <c r="L390" s="43"/>
      <c r="M390" s="235"/>
      <c r="N390" s="207"/>
      <c r="O390" s="39"/>
      <c r="P390" s="230"/>
      <c r="Q390" s="275"/>
      <c r="R390" s="176"/>
      <c r="S390" s="276"/>
    </row>
    <row r="391" spans="1:19" x14ac:dyDescent="0.35">
      <c r="A391" s="131"/>
      <c r="B391" s="34"/>
      <c r="C391" s="34"/>
      <c r="D391" s="36"/>
      <c r="E391" s="97" t="s">
        <v>1119</v>
      </c>
      <c r="F391" s="36"/>
      <c r="G391" s="37">
        <v>1</v>
      </c>
      <c r="H391" s="37">
        <v>6.05</v>
      </c>
      <c r="I391" s="37"/>
      <c r="J391" s="110"/>
      <c r="K391" s="234">
        <f t="shared" si="59"/>
        <v>6.05</v>
      </c>
      <c r="L391" s="43"/>
      <c r="M391" s="235"/>
      <c r="N391" s="207"/>
      <c r="O391" s="39"/>
      <c r="P391" s="230"/>
      <c r="Q391" s="275"/>
      <c r="R391" s="176"/>
      <c r="S391" s="276"/>
    </row>
    <row r="392" spans="1:19" x14ac:dyDescent="0.35">
      <c r="A392" s="131"/>
      <c r="B392" s="34"/>
      <c r="C392" s="34"/>
      <c r="D392" s="36"/>
      <c r="E392" s="97"/>
      <c r="F392" s="36"/>
      <c r="G392" s="37"/>
      <c r="H392" s="37"/>
      <c r="I392" s="37"/>
      <c r="J392" s="110"/>
      <c r="K392" s="234"/>
      <c r="L392" s="43"/>
      <c r="M392" s="235"/>
      <c r="N392" s="207"/>
      <c r="O392" s="39"/>
      <c r="P392" s="230"/>
      <c r="Q392" s="275"/>
      <c r="R392" s="176"/>
      <c r="S392" s="276"/>
    </row>
    <row r="393" spans="1:19" x14ac:dyDescent="0.35">
      <c r="A393" s="131"/>
      <c r="B393" s="34"/>
      <c r="C393" s="34"/>
      <c r="D393" s="36"/>
      <c r="E393" s="97"/>
      <c r="F393" s="36"/>
      <c r="G393" s="37"/>
      <c r="H393" s="37"/>
      <c r="I393" s="37"/>
      <c r="J393" s="110"/>
      <c r="K393" s="234"/>
      <c r="L393" s="43"/>
      <c r="M393" s="235"/>
      <c r="N393" s="207"/>
      <c r="O393" s="39"/>
      <c r="P393" s="230"/>
      <c r="Q393" s="275"/>
      <c r="R393" s="176"/>
      <c r="S393" s="276"/>
    </row>
    <row r="394" spans="1:19" x14ac:dyDescent="0.35">
      <c r="A394" s="131"/>
      <c r="B394" s="34"/>
      <c r="C394" s="34"/>
      <c r="D394" s="36"/>
      <c r="E394" s="97"/>
      <c r="F394" s="36"/>
      <c r="G394" s="37"/>
      <c r="H394" s="37"/>
      <c r="I394" s="37"/>
      <c r="J394" s="110"/>
      <c r="K394" s="234"/>
      <c r="L394" s="43"/>
      <c r="M394" s="235"/>
      <c r="N394" s="207"/>
      <c r="O394" s="39"/>
      <c r="P394" s="230"/>
      <c r="Q394" s="275"/>
      <c r="R394" s="176"/>
      <c r="S394" s="276"/>
    </row>
    <row r="395" spans="1:19" x14ac:dyDescent="0.35">
      <c r="A395" s="131"/>
      <c r="B395" s="34"/>
      <c r="C395" s="34" t="s">
        <v>24</v>
      </c>
      <c r="D395" s="36"/>
      <c r="E395" s="97" t="s">
        <v>633</v>
      </c>
      <c r="F395" s="36" t="s">
        <v>101</v>
      </c>
      <c r="G395" s="37"/>
      <c r="H395" s="37"/>
      <c r="I395" s="37"/>
      <c r="J395" s="110"/>
      <c r="K395" s="234"/>
      <c r="L395" s="43">
        <v>1061.1500000000001</v>
      </c>
      <c r="M395" s="235">
        <f t="shared" ref="M395:M400" si="60">L395*$K395</f>
        <v>0</v>
      </c>
      <c r="N395" s="207">
        <v>0</v>
      </c>
      <c r="O395" s="39">
        <v>1061.1500000000001</v>
      </c>
      <c r="P395" s="230">
        <f t="shared" si="58"/>
        <v>0</v>
      </c>
      <c r="Q395" s="275">
        <f t="shared" si="51"/>
        <v>0</v>
      </c>
      <c r="R395" s="176">
        <f t="shared" si="52"/>
        <v>0</v>
      </c>
      <c r="S395" s="276">
        <f t="shared" si="53"/>
        <v>0</v>
      </c>
    </row>
    <row r="396" spans="1:19" ht="46" x14ac:dyDescent="0.35">
      <c r="A396" s="131"/>
      <c r="B396" s="34"/>
      <c r="C396" s="34" t="s">
        <v>26</v>
      </c>
      <c r="D396" s="36"/>
      <c r="E396" s="97" t="s">
        <v>260</v>
      </c>
      <c r="F396" s="36" t="s">
        <v>32</v>
      </c>
      <c r="G396" s="37"/>
      <c r="H396" s="37"/>
      <c r="I396" s="37"/>
      <c r="J396" s="110"/>
      <c r="K396" s="234"/>
      <c r="L396" s="43">
        <v>1052.24</v>
      </c>
      <c r="M396" s="235">
        <f t="shared" si="60"/>
        <v>0</v>
      </c>
      <c r="N396" s="207">
        <v>3</v>
      </c>
      <c r="O396" s="39">
        <v>1052.24</v>
      </c>
      <c r="P396" s="230">
        <f t="shared" si="58"/>
        <v>3156.7200000000003</v>
      </c>
      <c r="Q396" s="275">
        <f t="shared" si="51"/>
        <v>-3</v>
      </c>
      <c r="R396" s="176">
        <f t="shared" si="52"/>
        <v>0</v>
      </c>
      <c r="S396" s="276">
        <f t="shared" si="53"/>
        <v>-3156.7200000000003</v>
      </c>
    </row>
    <row r="397" spans="1:19" ht="23" x14ac:dyDescent="0.35">
      <c r="A397" s="131"/>
      <c r="B397" s="34"/>
      <c r="C397" s="34" t="s">
        <v>59</v>
      </c>
      <c r="D397" s="36"/>
      <c r="E397" s="97" t="s">
        <v>708</v>
      </c>
      <c r="F397" s="36" t="s">
        <v>32</v>
      </c>
      <c r="G397" s="37"/>
      <c r="H397" s="37"/>
      <c r="I397" s="37"/>
      <c r="J397" s="110"/>
      <c r="K397" s="234">
        <v>1</v>
      </c>
      <c r="L397" s="43">
        <v>16000</v>
      </c>
      <c r="M397" s="235">
        <f t="shared" si="60"/>
        <v>16000</v>
      </c>
      <c r="N397" s="207">
        <v>1</v>
      </c>
      <c r="O397" s="39">
        <v>16000</v>
      </c>
      <c r="P397" s="230">
        <f t="shared" si="58"/>
        <v>16000</v>
      </c>
      <c r="Q397" s="275">
        <f t="shared" si="51"/>
        <v>0</v>
      </c>
      <c r="R397" s="176">
        <f t="shared" si="52"/>
        <v>0</v>
      </c>
      <c r="S397" s="276">
        <f t="shared" si="53"/>
        <v>0</v>
      </c>
    </row>
    <row r="398" spans="1:19" ht="23" x14ac:dyDescent="0.35">
      <c r="A398" s="131"/>
      <c r="B398" s="34"/>
      <c r="C398" s="34" t="s">
        <v>57</v>
      </c>
      <c r="D398" s="36"/>
      <c r="E398" s="97" t="s">
        <v>709</v>
      </c>
      <c r="F398" s="36"/>
      <c r="G398" s="37"/>
      <c r="H398" s="37"/>
      <c r="I398" s="37"/>
      <c r="J398" s="110"/>
      <c r="K398" s="234">
        <v>0</v>
      </c>
      <c r="L398" s="43">
        <v>10024.49</v>
      </c>
      <c r="M398" s="235">
        <f t="shared" si="60"/>
        <v>0</v>
      </c>
      <c r="N398" s="207">
        <v>0</v>
      </c>
      <c r="O398" s="39">
        <v>10024</v>
      </c>
      <c r="P398" s="230">
        <f t="shared" si="58"/>
        <v>0</v>
      </c>
      <c r="Q398" s="275">
        <f t="shared" si="51"/>
        <v>0</v>
      </c>
      <c r="R398" s="176">
        <f t="shared" si="52"/>
        <v>0.48999999999978172</v>
      </c>
      <c r="S398" s="276">
        <f t="shared" si="53"/>
        <v>0</v>
      </c>
    </row>
    <row r="399" spans="1:19" ht="34.5" x14ac:dyDescent="0.35">
      <c r="A399" s="131"/>
      <c r="B399" s="34"/>
      <c r="C399" s="34" t="s">
        <v>92</v>
      </c>
      <c r="D399" s="36"/>
      <c r="E399" s="39" t="s">
        <v>905</v>
      </c>
      <c r="F399" s="36" t="s">
        <v>193</v>
      </c>
      <c r="G399" s="37"/>
      <c r="H399" s="37"/>
      <c r="I399" s="37"/>
      <c r="J399" s="110"/>
      <c r="K399" s="234">
        <v>1</v>
      </c>
      <c r="L399" s="43">
        <v>2934.47</v>
      </c>
      <c r="M399" s="235">
        <f t="shared" si="60"/>
        <v>2934.47</v>
      </c>
      <c r="N399" s="207">
        <v>0.47</v>
      </c>
      <c r="O399" s="39">
        <v>2934.47</v>
      </c>
      <c r="P399" s="230">
        <f t="shared" si="58"/>
        <v>1379.2008999999998</v>
      </c>
      <c r="Q399" s="275">
        <f t="shared" ref="Q399:Q459" si="61">K399-N399</f>
        <v>0.53</v>
      </c>
      <c r="R399" s="176">
        <f t="shared" ref="R399:R459" si="62">L399-O399</f>
        <v>0</v>
      </c>
      <c r="S399" s="276">
        <f t="shared" ref="S399:S459" si="63">M399-P399</f>
        <v>1555.2691</v>
      </c>
    </row>
    <row r="400" spans="1:19" ht="34.5" x14ac:dyDescent="0.35">
      <c r="A400" s="131"/>
      <c r="B400" s="34"/>
      <c r="C400" s="34" t="s">
        <v>86</v>
      </c>
      <c r="D400" s="36"/>
      <c r="E400" s="39" t="s">
        <v>261</v>
      </c>
      <c r="F400" s="36" t="s">
        <v>262</v>
      </c>
      <c r="G400" s="37"/>
      <c r="H400" s="37"/>
      <c r="I400" s="37"/>
      <c r="J400" s="110"/>
      <c r="K400" s="234"/>
      <c r="L400" s="43">
        <v>11.33</v>
      </c>
      <c r="M400" s="235">
        <f t="shared" si="60"/>
        <v>0</v>
      </c>
      <c r="N400" s="207">
        <v>0</v>
      </c>
      <c r="O400" s="39">
        <v>11.33</v>
      </c>
      <c r="P400" s="230">
        <f t="shared" si="58"/>
        <v>0</v>
      </c>
      <c r="Q400" s="275">
        <f t="shared" si="61"/>
        <v>0</v>
      </c>
      <c r="R400" s="176">
        <f t="shared" si="62"/>
        <v>0</v>
      </c>
      <c r="S400" s="276">
        <f t="shared" si="63"/>
        <v>0</v>
      </c>
    </row>
    <row r="401" spans="1:19" x14ac:dyDescent="0.35">
      <c r="A401" s="46" t="s">
        <v>554</v>
      </c>
      <c r="B401" s="52"/>
      <c r="C401" s="34"/>
      <c r="D401" s="34"/>
      <c r="E401" s="46"/>
      <c r="F401" s="52"/>
      <c r="G401" s="53"/>
      <c r="H401" s="53"/>
      <c r="I401" s="53"/>
      <c r="J401" s="219"/>
      <c r="K401" s="236"/>
      <c r="L401" s="55"/>
      <c r="M401" s="210">
        <f>SUM(M378:M400)</f>
        <v>33664.47</v>
      </c>
      <c r="N401" s="207"/>
      <c r="O401" s="39"/>
      <c r="P401" s="271">
        <f>SUM(P378:P400)</f>
        <v>47454.7209</v>
      </c>
      <c r="Q401" s="275">
        <f t="shared" si="61"/>
        <v>0</v>
      </c>
      <c r="R401" s="176">
        <f t="shared" si="62"/>
        <v>0</v>
      </c>
      <c r="S401" s="276">
        <f t="shared" si="63"/>
        <v>-13790.250899999999</v>
      </c>
    </row>
    <row r="402" spans="1:19" x14ac:dyDescent="0.35">
      <c r="A402" s="131"/>
      <c r="B402" s="34" t="s">
        <v>263</v>
      </c>
      <c r="C402" s="34"/>
      <c r="D402" s="34"/>
      <c r="E402" s="89" t="s">
        <v>264</v>
      </c>
      <c r="F402" s="34"/>
      <c r="G402" s="90"/>
      <c r="H402" s="90"/>
      <c r="I402" s="90"/>
      <c r="J402" s="181"/>
      <c r="K402" s="245"/>
      <c r="L402" s="38"/>
      <c r="M402" s="210"/>
      <c r="N402" s="207"/>
      <c r="O402" s="39"/>
      <c r="P402" s="230"/>
      <c r="Q402" s="275"/>
      <c r="R402" s="176"/>
      <c r="S402" s="276"/>
    </row>
    <row r="403" spans="1:19" ht="115" x14ac:dyDescent="0.35">
      <c r="A403" s="131"/>
      <c r="B403" s="34"/>
      <c r="C403" s="34" t="s">
        <v>8</v>
      </c>
      <c r="D403" s="36"/>
      <c r="E403" s="39" t="s">
        <v>265</v>
      </c>
      <c r="F403" s="36" t="s">
        <v>266</v>
      </c>
      <c r="G403" s="37"/>
      <c r="H403" s="37"/>
      <c r="I403" s="37"/>
      <c r="J403" s="110"/>
      <c r="K403" s="234">
        <v>0</v>
      </c>
      <c r="L403" s="43">
        <v>4978.62</v>
      </c>
      <c r="M403" s="235">
        <f>L403*$K403</f>
        <v>0</v>
      </c>
      <c r="N403" s="207">
        <v>0</v>
      </c>
      <c r="O403" s="39">
        <v>4978.62</v>
      </c>
      <c r="P403" s="230">
        <f>O403*N403</f>
        <v>0</v>
      </c>
      <c r="Q403" s="275">
        <f t="shared" si="61"/>
        <v>0</v>
      </c>
      <c r="R403" s="176">
        <f t="shared" si="62"/>
        <v>0</v>
      </c>
      <c r="S403" s="276">
        <f t="shared" si="63"/>
        <v>0</v>
      </c>
    </row>
    <row r="404" spans="1:19" ht="34.5" x14ac:dyDescent="0.35">
      <c r="A404" s="131"/>
      <c r="B404" s="34"/>
      <c r="C404" s="34" t="s">
        <v>26</v>
      </c>
      <c r="D404" s="36"/>
      <c r="E404" s="39" t="s">
        <v>267</v>
      </c>
      <c r="F404" s="36" t="s">
        <v>266</v>
      </c>
      <c r="G404" s="37"/>
      <c r="H404" s="37"/>
      <c r="I404" s="37"/>
      <c r="J404" s="110"/>
      <c r="K404" s="234">
        <v>0</v>
      </c>
      <c r="L404" s="43">
        <v>3414.96</v>
      </c>
      <c r="M404" s="235">
        <f>L404*$K404</f>
        <v>0</v>
      </c>
      <c r="N404" s="207">
        <v>0.47</v>
      </c>
      <c r="O404" s="39">
        <v>3415</v>
      </c>
      <c r="P404" s="230">
        <f>O404*N404</f>
        <v>1605.05</v>
      </c>
      <c r="Q404" s="275">
        <f t="shared" si="61"/>
        <v>-0.47</v>
      </c>
      <c r="R404" s="176">
        <f t="shared" si="62"/>
        <v>-3.999999999996362E-2</v>
      </c>
      <c r="S404" s="276">
        <f t="shared" si="63"/>
        <v>-1605.05</v>
      </c>
    </row>
    <row r="405" spans="1:19" x14ac:dyDescent="0.35">
      <c r="A405" s="46" t="s">
        <v>555</v>
      </c>
      <c r="B405" s="52"/>
      <c r="C405" s="34"/>
      <c r="D405" s="34"/>
      <c r="E405" s="46"/>
      <c r="F405" s="52"/>
      <c r="G405" s="53"/>
      <c r="H405" s="53"/>
      <c r="I405" s="53"/>
      <c r="J405" s="219"/>
      <c r="K405" s="236"/>
      <c r="L405" s="56"/>
      <c r="M405" s="210">
        <f>SUM(M403:M404)</f>
        <v>0</v>
      </c>
      <c r="N405" s="207"/>
      <c r="O405" s="39"/>
      <c r="P405" s="271">
        <f>SUM(P403:P404)</f>
        <v>1605.05</v>
      </c>
      <c r="Q405" s="279">
        <f t="shared" si="61"/>
        <v>0</v>
      </c>
      <c r="R405" s="273">
        <f t="shared" si="62"/>
        <v>0</v>
      </c>
      <c r="S405" s="280">
        <f t="shared" si="63"/>
        <v>-1605.05</v>
      </c>
    </row>
    <row r="406" spans="1:19" x14ac:dyDescent="0.35">
      <c r="A406" s="131"/>
      <c r="B406" s="34" t="s">
        <v>268</v>
      </c>
      <c r="C406" s="34"/>
      <c r="D406" s="34"/>
      <c r="E406" s="89" t="s">
        <v>269</v>
      </c>
      <c r="F406" s="34"/>
      <c r="G406" s="90"/>
      <c r="H406" s="90"/>
      <c r="I406" s="90"/>
      <c r="J406" s="181"/>
      <c r="K406" s="245"/>
      <c r="L406" s="91"/>
      <c r="M406" s="210"/>
      <c r="N406" s="207"/>
      <c r="O406" s="39"/>
      <c r="P406" s="230"/>
      <c r="Q406" s="275"/>
      <c r="R406" s="176"/>
      <c r="S406" s="276"/>
    </row>
    <row r="407" spans="1:19" ht="69" x14ac:dyDescent="0.35">
      <c r="A407" s="151"/>
      <c r="B407" s="99"/>
      <c r="C407" s="34" t="s">
        <v>8</v>
      </c>
      <c r="D407" s="36"/>
      <c r="E407" s="44" t="s">
        <v>270</v>
      </c>
      <c r="F407" s="36"/>
      <c r="G407" s="37"/>
      <c r="H407" s="37"/>
      <c r="I407" s="37"/>
      <c r="J407" s="110"/>
      <c r="K407" s="234"/>
      <c r="L407" s="43"/>
      <c r="M407" s="235"/>
      <c r="N407" s="207"/>
      <c r="O407" s="39"/>
      <c r="P407" s="230"/>
      <c r="Q407" s="275"/>
      <c r="R407" s="176"/>
      <c r="S407" s="276"/>
    </row>
    <row r="408" spans="1:19" ht="34.5" x14ac:dyDescent="0.35">
      <c r="A408" s="131"/>
      <c r="B408" s="34"/>
      <c r="C408" s="34" t="s">
        <v>11</v>
      </c>
      <c r="D408" s="36" t="s">
        <v>938</v>
      </c>
      <c r="E408" s="44" t="s">
        <v>722</v>
      </c>
      <c r="F408" s="36" t="s">
        <v>216</v>
      </c>
      <c r="G408" s="37"/>
      <c r="H408" s="37"/>
      <c r="I408" s="37"/>
      <c r="J408" s="110"/>
      <c r="K408" s="234">
        <v>0</v>
      </c>
      <c r="L408" s="43">
        <v>9559.68</v>
      </c>
      <c r="M408" s="235">
        <f t="shared" ref="M408:M424" si="64">L408*$K408</f>
        <v>0</v>
      </c>
      <c r="N408" s="207">
        <v>0</v>
      </c>
      <c r="O408" s="39">
        <v>9560</v>
      </c>
      <c r="P408" s="230">
        <f>O408*N408</f>
        <v>0</v>
      </c>
      <c r="Q408" s="275">
        <f t="shared" si="61"/>
        <v>0</v>
      </c>
      <c r="R408" s="176">
        <f t="shared" si="62"/>
        <v>-0.31999999999970896</v>
      </c>
      <c r="S408" s="276">
        <f t="shared" si="63"/>
        <v>0</v>
      </c>
    </row>
    <row r="409" spans="1:19" ht="23" x14ac:dyDescent="0.35">
      <c r="A409" s="131"/>
      <c r="B409" s="34"/>
      <c r="C409" s="34" t="s">
        <v>14</v>
      </c>
      <c r="D409" s="36" t="s">
        <v>271</v>
      </c>
      <c r="E409" s="44" t="s">
        <v>723</v>
      </c>
      <c r="F409" s="36" t="s">
        <v>216</v>
      </c>
      <c r="G409" s="37"/>
      <c r="H409" s="37"/>
      <c r="I409" s="37"/>
      <c r="J409" s="110"/>
      <c r="K409" s="234">
        <v>0</v>
      </c>
      <c r="L409" s="43">
        <v>5562.96</v>
      </c>
      <c r="M409" s="235">
        <f t="shared" si="64"/>
        <v>0</v>
      </c>
      <c r="N409" s="207">
        <v>0</v>
      </c>
      <c r="O409" s="39">
        <v>5563</v>
      </c>
      <c r="P409" s="230">
        <f t="shared" ref="P409:P424" si="65">O409*N409</f>
        <v>0</v>
      </c>
      <c r="Q409" s="275">
        <f t="shared" si="61"/>
        <v>0</v>
      </c>
      <c r="R409" s="176">
        <f t="shared" si="62"/>
        <v>-3.999999999996362E-2</v>
      </c>
      <c r="S409" s="276">
        <f t="shared" si="63"/>
        <v>0</v>
      </c>
    </row>
    <row r="410" spans="1:19" ht="34.5" x14ac:dyDescent="0.35">
      <c r="A410" s="131"/>
      <c r="B410" s="34"/>
      <c r="C410" s="34" t="s">
        <v>16</v>
      </c>
      <c r="D410" s="36" t="s">
        <v>939</v>
      </c>
      <c r="E410" s="44" t="s">
        <v>729</v>
      </c>
      <c r="F410" s="36" t="s">
        <v>216</v>
      </c>
      <c r="G410" s="37"/>
      <c r="H410" s="37"/>
      <c r="I410" s="37"/>
      <c r="J410" s="110"/>
      <c r="K410" s="234">
        <v>0</v>
      </c>
      <c r="L410" s="43">
        <v>3702.28</v>
      </c>
      <c r="M410" s="235">
        <f t="shared" si="64"/>
        <v>0</v>
      </c>
      <c r="N410" s="207">
        <v>0</v>
      </c>
      <c r="O410" s="39">
        <v>3702</v>
      </c>
      <c r="P410" s="230">
        <f t="shared" si="65"/>
        <v>0</v>
      </c>
      <c r="Q410" s="275">
        <f t="shared" si="61"/>
        <v>0</v>
      </c>
      <c r="R410" s="176">
        <f t="shared" si="62"/>
        <v>0.28000000000020009</v>
      </c>
      <c r="S410" s="276">
        <f t="shared" si="63"/>
        <v>0</v>
      </c>
    </row>
    <row r="411" spans="1:19" x14ac:dyDescent="0.35">
      <c r="A411" s="131"/>
      <c r="B411" s="34"/>
      <c r="C411" s="34" t="s">
        <v>18</v>
      </c>
      <c r="D411" s="36" t="s">
        <v>272</v>
      </c>
      <c r="E411" s="44" t="s">
        <v>724</v>
      </c>
      <c r="F411" s="36" t="s">
        <v>216</v>
      </c>
      <c r="G411" s="37"/>
      <c r="H411" s="37"/>
      <c r="I411" s="37"/>
      <c r="J411" s="110"/>
      <c r="K411" s="234">
        <v>0</v>
      </c>
      <c r="L411" s="43">
        <v>6752.23</v>
      </c>
      <c r="M411" s="235">
        <f t="shared" si="64"/>
        <v>0</v>
      </c>
      <c r="N411" s="207">
        <v>0</v>
      </c>
      <c r="O411" s="39">
        <v>6752</v>
      </c>
      <c r="P411" s="230">
        <f t="shared" si="65"/>
        <v>0</v>
      </c>
      <c r="Q411" s="275">
        <f t="shared" si="61"/>
        <v>0</v>
      </c>
      <c r="R411" s="176">
        <f t="shared" si="62"/>
        <v>0.22999999999956344</v>
      </c>
      <c r="S411" s="276">
        <f t="shared" si="63"/>
        <v>0</v>
      </c>
    </row>
    <row r="412" spans="1:19" ht="23" x14ac:dyDescent="0.35">
      <c r="A412" s="131"/>
      <c r="B412" s="34"/>
      <c r="C412" s="34" t="s">
        <v>20</v>
      </c>
      <c r="D412" s="36" t="s">
        <v>273</v>
      </c>
      <c r="E412" s="44" t="s">
        <v>725</v>
      </c>
      <c r="F412" s="36" t="s">
        <v>216</v>
      </c>
      <c r="G412" s="37"/>
      <c r="H412" s="37"/>
      <c r="I412" s="37"/>
      <c r="J412" s="110"/>
      <c r="K412" s="234">
        <v>0</v>
      </c>
      <c r="L412" s="43">
        <v>754.62</v>
      </c>
      <c r="M412" s="235">
        <f t="shared" si="64"/>
        <v>0</v>
      </c>
      <c r="N412" s="207">
        <v>0</v>
      </c>
      <c r="O412" s="39">
        <v>754.62</v>
      </c>
      <c r="P412" s="230">
        <f t="shared" si="65"/>
        <v>0</v>
      </c>
      <c r="Q412" s="275">
        <f t="shared" si="61"/>
        <v>0</v>
      </c>
      <c r="R412" s="176">
        <f t="shared" si="62"/>
        <v>0</v>
      </c>
      <c r="S412" s="276">
        <f t="shared" si="63"/>
        <v>0</v>
      </c>
    </row>
    <row r="413" spans="1:19" ht="46" x14ac:dyDescent="0.35">
      <c r="A413" s="131"/>
      <c r="B413" s="34"/>
      <c r="C413" s="34" t="s">
        <v>22</v>
      </c>
      <c r="D413" s="36" t="s">
        <v>940</v>
      </c>
      <c r="E413" s="44" t="s">
        <v>707</v>
      </c>
      <c r="F413" s="36" t="s">
        <v>216</v>
      </c>
      <c r="G413" s="37"/>
      <c r="H413" s="37"/>
      <c r="I413" s="37"/>
      <c r="J413" s="110"/>
      <c r="K413" s="234">
        <v>1</v>
      </c>
      <c r="L413" s="43">
        <v>886.96</v>
      </c>
      <c r="M413" s="235">
        <f t="shared" si="64"/>
        <v>886.96</v>
      </c>
      <c r="N413" s="207">
        <v>1</v>
      </c>
      <c r="O413" s="39">
        <v>887</v>
      </c>
      <c r="P413" s="230">
        <f t="shared" si="65"/>
        <v>887</v>
      </c>
      <c r="Q413" s="275">
        <f t="shared" si="61"/>
        <v>0</v>
      </c>
      <c r="R413" s="176">
        <f t="shared" si="62"/>
        <v>-3.999999999996362E-2</v>
      </c>
      <c r="S413" s="276">
        <f t="shared" si="63"/>
        <v>-3.999999999996362E-2</v>
      </c>
    </row>
    <row r="414" spans="1:19" ht="23" x14ac:dyDescent="0.35">
      <c r="A414" s="131"/>
      <c r="B414" s="34"/>
      <c r="C414" s="34" t="s">
        <v>24</v>
      </c>
      <c r="D414" s="36" t="s">
        <v>274</v>
      </c>
      <c r="E414" s="44" t="s">
        <v>275</v>
      </c>
      <c r="F414" s="36" t="s">
        <v>216</v>
      </c>
      <c r="G414" s="37"/>
      <c r="H414" s="37"/>
      <c r="I414" s="37"/>
      <c r="J414" s="110"/>
      <c r="K414" s="234">
        <v>0</v>
      </c>
      <c r="L414" s="43">
        <v>1434.88</v>
      </c>
      <c r="M414" s="235">
        <f t="shared" si="64"/>
        <v>0</v>
      </c>
      <c r="N414" s="207">
        <v>1</v>
      </c>
      <c r="O414" s="39">
        <v>1435</v>
      </c>
      <c r="P414" s="230">
        <f t="shared" si="65"/>
        <v>1435</v>
      </c>
      <c r="Q414" s="275">
        <f t="shared" si="61"/>
        <v>-1</v>
      </c>
      <c r="R414" s="176">
        <f t="shared" si="62"/>
        <v>-0.11999999999989086</v>
      </c>
      <c r="S414" s="276">
        <f t="shared" si="63"/>
        <v>-1435</v>
      </c>
    </row>
    <row r="415" spans="1:19" ht="23" x14ac:dyDescent="0.35">
      <c r="A415" s="131"/>
      <c r="B415" s="34"/>
      <c r="C415" s="34" t="s">
        <v>276</v>
      </c>
      <c r="D415" s="36" t="s">
        <v>277</v>
      </c>
      <c r="E415" s="44" t="s">
        <v>726</v>
      </c>
      <c r="F415" s="36" t="s">
        <v>216</v>
      </c>
      <c r="G415" s="37"/>
      <c r="H415" s="37"/>
      <c r="I415" s="37"/>
      <c r="J415" s="110"/>
      <c r="K415" s="234">
        <v>0</v>
      </c>
      <c r="L415" s="43">
        <v>2832.57</v>
      </c>
      <c r="M415" s="235">
        <f t="shared" si="64"/>
        <v>0</v>
      </c>
      <c r="N415" s="207">
        <v>0</v>
      </c>
      <c r="O415" s="39">
        <v>2833</v>
      </c>
      <c r="P415" s="230">
        <f t="shared" si="65"/>
        <v>0</v>
      </c>
      <c r="Q415" s="275">
        <f t="shared" si="61"/>
        <v>0</v>
      </c>
      <c r="R415" s="176">
        <f t="shared" si="62"/>
        <v>-0.42999999999983629</v>
      </c>
      <c r="S415" s="276">
        <f t="shared" si="63"/>
        <v>0</v>
      </c>
    </row>
    <row r="416" spans="1:19" x14ac:dyDescent="0.35">
      <c r="A416" s="131"/>
      <c r="B416" s="34"/>
      <c r="C416" s="34" t="s">
        <v>278</v>
      </c>
      <c r="D416" s="36" t="s">
        <v>279</v>
      </c>
      <c r="E416" s="44" t="s">
        <v>743</v>
      </c>
      <c r="F416" s="36" t="s">
        <v>216</v>
      </c>
      <c r="G416" s="37"/>
      <c r="H416" s="37"/>
      <c r="I416" s="37"/>
      <c r="J416" s="110"/>
      <c r="K416" s="234">
        <v>2</v>
      </c>
      <c r="L416" s="43">
        <v>2303.2399999999998</v>
      </c>
      <c r="M416" s="235">
        <f t="shared" si="64"/>
        <v>4606.4799999999996</v>
      </c>
      <c r="N416" s="207">
        <v>0</v>
      </c>
      <c r="O416" s="39">
        <v>2303.2399999999998</v>
      </c>
      <c r="P416" s="230">
        <f t="shared" si="65"/>
        <v>0</v>
      </c>
      <c r="Q416" s="275">
        <f t="shared" si="61"/>
        <v>2</v>
      </c>
      <c r="R416" s="176">
        <f t="shared" si="62"/>
        <v>0</v>
      </c>
      <c r="S416" s="276">
        <f t="shared" si="63"/>
        <v>4606.4799999999996</v>
      </c>
    </row>
    <row r="417" spans="1:19" ht="46" x14ac:dyDescent="0.35">
      <c r="A417" s="131"/>
      <c r="B417" s="34"/>
      <c r="C417" s="34" t="s">
        <v>280</v>
      </c>
      <c r="D417" s="36" t="s">
        <v>941</v>
      </c>
      <c r="E417" s="44" t="s">
        <v>730</v>
      </c>
      <c r="F417" s="36" t="s">
        <v>216</v>
      </c>
      <c r="G417" s="37"/>
      <c r="H417" s="37"/>
      <c r="I417" s="37"/>
      <c r="J417" s="110"/>
      <c r="K417" s="234">
        <v>0</v>
      </c>
      <c r="L417" s="43">
        <v>1376.91</v>
      </c>
      <c r="M417" s="235">
        <f t="shared" si="64"/>
        <v>0</v>
      </c>
      <c r="N417" s="207">
        <v>0</v>
      </c>
      <c r="O417" s="39">
        <v>1377</v>
      </c>
      <c r="P417" s="230">
        <f t="shared" si="65"/>
        <v>0</v>
      </c>
      <c r="Q417" s="275">
        <f t="shared" si="61"/>
        <v>0</v>
      </c>
      <c r="R417" s="176">
        <f t="shared" si="62"/>
        <v>-8.9999999999918145E-2</v>
      </c>
      <c r="S417" s="276">
        <f t="shared" si="63"/>
        <v>0</v>
      </c>
    </row>
    <row r="418" spans="1:19" ht="23" x14ac:dyDescent="0.35">
      <c r="A418" s="131"/>
      <c r="B418" s="34"/>
      <c r="C418" s="34" t="s">
        <v>281</v>
      </c>
      <c r="D418" s="36" t="s">
        <v>282</v>
      </c>
      <c r="E418" s="44" t="s">
        <v>283</v>
      </c>
      <c r="F418" s="36" t="s">
        <v>216</v>
      </c>
      <c r="G418" s="37"/>
      <c r="H418" s="37"/>
      <c r="I418" s="37"/>
      <c r="J418" s="110"/>
      <c r="K418" s="234">
        <v>0</v>
      </c>
      <c r="L418" s="43">
        <v>1443.08</v>
      </c>
      <c r="M418" s="235">
        <f t="shared" si="64"/>
        <v>0</v>
      </c>
      <c r="N418" s="207">
        <v>0</v>
      </c>
      <c r="O418" s="39">
        <v>1443.02</v>
      </c>
      <c r="P418" s="230">
        <f t="shared" si="65"/>
        <v>0</v>
      </c>
      <c r="Q418" s="275">
        <f t="shared" si="61"/>
        <v>0</v>
      </c>
      <c r="R418" s="176">
        <f t="shared" si="62"/>
        <v>5.999999999994543E-2</v>
      </c>
      <c r="S418" s="276">
        <f t="shared" si="63"/>
        <v>0</v>
      </c>
    </row>
    <row r="419" spans="1:19" ht="23" x14ac:dyDescent="0.35">
      <c r="A419" s="131"/>
      <c r="B419" s="34"/>
      <c r="C419" s="34" t="s">
        <v>322</v>
      </c>
      <c r="D419" s="36" t="s">
        <v>285</v>
      </c>
      <c r="E419" s="42" t="s">
        <v>286</v>
      </c>
      <c r="F419" s="100" t="s">
        <v>266</v>
      </c>
      <c r="G419" s="101"/>
      <c r="H419" s="101"/>
      <c r="I419" s="101"/>
      <c r="J419" s="111"/>
      <c r="K419" s="234">
        <v>3</v>
      </c>
      <c r="L419" s="43">
        <v>3330.08</v>
      </c>
      <c r="M419" s="235">
        <f t="shared" si="64"/>
        <v>9990.24</v>
      </c>
      <c r="N419" s="207">
        <v>1</v>
      </c>
      <c r="O419" s="39">
        <v>3330.08</v>
      </c>
      <c r="P419" s="230">
        <f t="shared" si="65"/>
        <v>3330.08</v>
      </c>
      <c r="Q419" s="275">
        <f t="shared" si="61"/>
        <v>2</v>
      </c>
      <c r="R419" s="176">
        <f t="shared" si="62"/>
        <v>0</v>
      </c>
      <c r="S419" s="276">
        <f t="shared" si="63"/>
        <v>6660.16</v>
      </c>
    </row>
    <row r="420" spans="1:19" x14ac:dyDescent="0.35">
      <c r="A420" s="131"/>
      <c r="B420" s="34"/>
      <c r="C420" s="34" t="s">
        <v>284</v>
      </c>
      <c r="D420" s="36" t="s">
        <v>288</v>
      </c>
      <c r="E420" s="42" t="s">
        <v>289</v>
      </c>
      <c r="F420" s="100" t="s">
        <v>266</v>
      </c>
      <c r="G420" s="101"/>
      <c r="H420" s="101"/>
      <c r="I420" s="101"/>
      <c r="J420" s="111"/>
      <c r="K420" s="234">
        <v>1</v>
      </c>
      <c r="L420" s="43">
        <v>3721.12</v>
      </c>
      <c r="M420" s="235">
        <f t="shared" si="64"/>
        <v>3721.12</v>
      </c>
      <c r="N420" s="207">
        <v>1</v>
      </c>
      <c r="O420" s="39">
        <v>3721.12</v>
      </c>
      <c r="P420" s="230">
        <f t="shared" si="65"/>
        <v>3721.12</v>
      </c>
      <c r="Q420" s="275">
        <f t="shared" si="61"/>
        <v>0</v>
      </c>
      <c r="R420" s="176">
        <f t="shared" si="62"/>
        <v>0</v>
      </c>
      <c r="S420" s="276">
        <f t="shared" si="63"/>
        <v>0</v>
      </c>
    </row>
    <row r="421" spans="1:19" ht="23" x14ac:dyDescent="0.35">
      <c r="A421" s="131"/>
      <c r="B421" s="34"/>
      <c r="C421" s="34" t="s">
        <v>287</v>
      </c>
      <c r="D421" s="36" t="s">
        <v>291</v>
      </c>
      <c r="E421" s="42" t="s">
        <v>727</v>
      </c>
      <c r="F421" s="100" t="s">
        <v>266</v>
      </c>
      <c r="G421" s="101"/>
      <c r="H421" s="101"/>
      <c r="I421" s="101"/>
      <c r="J421" s="111"/>
      <c r="K421" s="234"/>
      <c r="L421" s="43">
        <v>886.96</v>
      </c>
      <c r="M421" s="235">
        <f t="shared" si="64"/>
        <v>0</v>
      </c>
      <c r="N421" s="207">
        <v>1</v>
      </c>
      <c r="O421" s="39">
        <v>887</v>
      </c>
      <c r="P421" s="230">
        <f t="shared" si="65"/>
        <v>887</v>
      </c>
      <c r="Q421" s="275">
        <f t="shared" si="61"/>
        <v>-1</v>
      </c>
      <c r="R421" s="176">
        <f t="shared" si="62"/>
        <v>-3.999999999996362E-2</v>
      </c>
      <c r="S421" s="276">
        <f t="shared" si="63"/>
        <v>-887</v>
      </c>
    </row>
    <row r="422" spans="1:19" x14ac:dyDescent="0.35">
      <c r="A422" s="131"/>
      <c r="B422" s="34"/>
      <c r="C422" s="34" t="s">
        <v>326</v>
      </c>
      <c r="D422" s="36" t="s">
        <v>292</v>
      </c>
      <c r="E422" s="42" t="s">
        <v>293</v>
      </c>
      <c r="F422" s="36" t="s">
        <v>216</v>
      </c>
      <c r="G422" s="37"/>
      <c r="H422" s="37"/>
      <c r="I422" s="37"/>
      <c r="J422" s="110"/>
      <c r="K422" s="234"/>
      <c r="L422" s="43">
        <v>489.96</v>
      </c>
      <c r="M422" s="235">
        <f t="shared" si="64"/>
        <v>0</v>
      </c>
      <c r="N422" s="207">
        <v>1</v>
      </c>
      <c r="O422" s="39">
        <v>490</v>
      </c>
      <c r="P422" s="230">
        <f t="shared" si="65"/>
        <v>490</v>
      </c>
      <c r="Q422" s="275">
        <f t="shared" si="61"/>
        <v>-1</v>
      </c>
      <c r="R422" s="176">
        <f t="shared" si="62"/>
        <v>-4.0000000000020464E-2</v>
      </c>
      <c r="S422" s="276">
        <f t="shared" si="63"/>
        <v>-490</v>
      </c>
    </row>
    <row r="423" spans="1:19" ht="23" x14ac:dyDescent="0.35">
      <c r="A423" s="131"/>
      <c r="B423" s="34"/>
      <c r="C423" s="34" t="s">
        <v>327</v>
      </c>
      <c r="D423" s="36" t="s">
        <v>294</v>
      </c>
      <c r="E423" s="42" t="s">
        <v>295</v>
      </c>
      <c r="F423" s="36" t="s">
        <v>216</v>
      </c>
      <c r="G423" s="37"/>
      <c r="H423" s="37"/>
      <c r="I423" s="37"/>
      <c r="J423" s="110"/>
      <c r="K423" s="234">
        <v>2</v>
      </c>
      <c r="L423" s="43">
        <v>263.12</v>
      </c>
      <c r="M423" s="235">
        <f t="shared" si="64"/>
        <v>526.24</v>
      </c>
      <c r="N423" s="207">
        <v>0</v>
      </c>
      <c r="O423" s="39">
        <v>263</v>
      </c>
      <c r="P423" s="230">
        <f t="shared" si="65"/>
        <v>0</v>
      </c>
      <c r="Q423" s="275">
        <f t="shared" si="61"/>
        <v>2</v>
      </c>
      <c r="R423" s="176">
        <f t="shared" si="62"/>
        <v>0.12000000000000455</v>
      </c>
      <c r="S423" s="276">
        <f t="shared" si="63"/>
        <v>526.24</v>
      </c>
    </row>
    <row r="424" spans="1:19" ht="34.5" x14ac:dyDescent="0.35">
      <c r="A424" s="131"/>
      <c r="B424" s="34"/>
      <c r="C424" s="34" t="s">
        <v>290</v>
      </c>
      <c r="D424" s="36" t="s">
        <v>296</v>
      </c>
      <c r="E424" s="42" t="s">
        <v>728</v>
      </c>
      <c r="F424" s="36" t="s">
        <v>297</v>
      </c>
      <c r="G424" s="37"/>
      <c r="H424" s="37"/>
      <c r="I424" s="37"/>
      <c r="J424" s="110"/>
      <c r="K424" s="234">
        <v>14</v>
      </c>
      <c r="L424" s="43">
        <v>1414.4</v>
      </c>
      <c r="M424" s="235">
        <f t="shared" si="64"/>
        <v>19801.600000000002</v>
      </c>
      <c r="N424" s="207">
        <v>1</v>
      </c>
      <c r="O424" s="39">
        <v>1414.4</v>
      </c>
      <c r="P424" s="230">
        <f t="shared" si="65"/>
        <v>1414.4</v>
      </c>
      <c r="Q424" s="275">
        <f t="shared" si="61"/>
        <v>13</v>
      </c>
      <c r="R424" s="176">
        <f t="shared" si="62"/>
        <v>0</v>
      </c>
      <c r="S424" s="276">
        <f t="shared" si="63"/>
        <v>18387.2</v>
      </c>
    </row>
    <row r="425" spans="1:19" x14ac:dyDescent="0.35">
      <c r="A425" s="46" t="s">
        <v>556</v>
      </c>
      <c r="B425" s="52"/>
      <c r="C425" s="34"/>
      <c r="D425" s="34"/>
      <c r="E425" s="46"/>
      <c r="F425" s="52"/>
      <c r="G425" s="53"/>
      <c r="H425" s="53"/>
      <c r="I425" s="53"/>
      <c r="J425" s="219"/>
      <c r="K425" s="236"/>
      <c r="L425" s="56"/>
      <c r="M425" s="210">
        <f>SUM(M408:M424)</f>
        <v>39532.639999999999</v>
      </c>
      <c r="N425" s="207"/>
      <c r="O425" s="39"/>
      <c r="P425" s="271">
        <f>SUM(P408:P424)</f>
        <v>12164.6</v>
      </c>
      <c r="Q425" s="277">
        <f t="shared" si="61"/>
        <v>0</v>
      </c>
      <c r="R425" s="266">
        <f t="shared" si="62"/>
        <v>0</v>
      </c>
      <c r="S425" s="278">
        <f t="shared" si="63"/>
        <v>27368.04</v>
      </c>
    </row>
    <row r="426" spans="1:19" x14ac:dyDescent="0.35">
      <c r="A426" s="150" t="s">
        <v>298</v>
      </c>
      <c r="B426" s="85"/>
      <c r="C426" s="85"/>
      <c r="D426" s="85"/>
      <c r="E426" s="86" t="s">
        <v>299</v>
      </c>
      <c r="F426" s="85"/>
      <c r="G426" s="87"/>
      <c r="H426" s="87"/>
      <c r="I426" s="87"/>
      <c r="J426" s="223"/>
      <c r="K426" s="243"/>
      <c r="L426" s="94"/>
      <c r="M426" s="244"/>
      <c r="N426" s="207"/>
      <c r="O426" s="39"/>
      <c r="P426" s="230"/>
      <c r="Q426" s="275"/>
      <c r="R426" s="176"/>
      <c r="S426" s="276"/>
    </row>
    <row r="427" spans="1:19" x14ac:dyDescent="0.35">
      <c r="A427" s="131"/>
      <c r="B427" s="34" t="s">
        <v>300</v>
      </c>
      <c r="C427" s="34"/>
      <c r="D427" s="34"/>
      <c r="E427" s="89" t="s">
        <v>301</v>
      </c>
      <c r="F427" s="34"/>
      <c r="G427" s="90"/>
      <c r="H427" s="90"/>
      <c r="I427" s="90"/>
      <c r="J427" s="181"/>
      <c r="K427" s="245"/>
      <c r="L427" s="91"/>
      <c r="M427" s="210"/>
      <c r="N427" s="207"/>
      <c r="O427" s="39"/>
      <c r="P427" s="230"/>
      <c r="Q427" s="275"/>
      <c r="R427" s="176"/>
      <c r="S427" s="276"/>
    </row>
    <row r="428" spans="1:19" ht="23" x14ac:dyDescent="0.35">
      <c r="A428" s="441"/>
      <c r="B428" s="442"/>
      <c r="C428" s="442" t="s">
        <v>11</v>
      </c>
      <c r="D428" s="439" t="s">
        <v>302</v>
      </c>
      <c r="E428" s="39" t="s">
        <v>557</v>
      </c>
      <c r="F428" s="439" t="s">
        <v>266</v>
      </c>
      <c r="G428" s="37"/>
      <c r="H428" s="37"/>
      <c r="I428" s="37"/>
      <c r="J428" s="110"/>
      <c r="K428" s="438">
        <v>0</v>
      </c>
      <c r="L428" s="43">
        <v>26780</v>
      </c>
      <c r="M428" s="235">
        <f>L428*$K428</f>
        <v>0</v>
      </c>
      <c r="N428" s="207">
        <v>0</v>
      </c>
      <c r="O428" s="39">
        <v>26780</v>
      </c>
      <c r="P428" s="230">
        <f>O428*N428</f>
        <v>0</v>
      </c>
      <c r="Q428" s="275">
        <f t="shared" si="61"/>
        <v>0</v>
      </c>
      <c r="R428" s="176">
        <f t="shared" si="62"/>
        <v>0</v>
      </c>
      <c r="S428" s="276">
        <f t="shared" si="63"/>
        <v>0</v>
      </c>
    </row>
    <row r="429" spans="1:19" x14ac:dyDescent="0.35">
      <c r="A429" s="441"/>
      <c r="B429" s="442"/>
      <c r="C429" s="442"/>
      <c r="D429" s="439"/>
      <c r="E429" s="39" t="s">
        <v>558</v>
      </c>
      <c r="F429" s="439"/>
      <c r="G429" s="37"/>
      <c r="H429" s="37"/>
      <c r="I429" s="37"/>
      <c r="J429" s="110"/>
      <c r="K429" s="438"/>
      <c r="L429" s="43"/>
      <c r="M429" s="235"/>
      <c r="N429" s="207"/>
      <c r="O429" s="39"/>
      <c r="P429" s="230"/>
      <c r="Q429" s="275"/>
      <c r="R429" s="176"/>
      <c r="S429" s="276"/>
    </row>
    <row r="430" spans="1:19" x14ac:dyDescent="0.35">
      <c r="A430" s="441"/>
      <c r="B430" s="442"/>
      <c r="C430" s="442"/>
      <c r="D430" s="439"/>
      <c r="E430" s="39" t="s">
        <v>559</v>
      </c>
      <c r="F430" s="439"/>
      <c r="G430" s="37"/>
      <c r="H430" s="37"/>
      <c r="I430" s="37"/>
      <c r="J430" s="110"/>
      <c r="K430" s="438"/>
      <c r="L430" s="43"/>
      <c r="M430" s="235"/>
      <c r="N430" s="207"/>
      <c r="O430" s="39"/>
      <c r="P430" s="230"/>
      <c r="Q430" s="275"/>
      <c r="R430" s="176"/>
      <c r="S430" s="276"/>
    </row>
    <row r="431" spans="1:19" x14ac:dyDescent="0.35">
      <c r="A431" s="441"/>
      <c r="B431" s="442"/>
      <c r="C431" s="442"/>
      <c r="D431" s="439"/>
      <c r="E431" s="52" t="s">
        <v>560</v>
      </c>
      <c r="F431" s="439"/>
      <c r="G431" s="37"/>
      <c r="H431" s="37"/>
      <c r="I431" s="37"/>
      <c r="J431" s="110"/>
      <c r="K431" s="438"/>
      <c r="L431" s="43"/>
      <c r="M431" s="235"/>
      <c r="N431" s="207"/>
      <c r="O431" s="39"/>
      <c r="P431" s="230"/>
      <c r="Q431" s="275"/>
      <c r="R431" s="176"/>
      <c r="S431" s="276"/>
    </row>
    <row r="432" spans="1:19" x14ac:dyDescent="0.35">
      <c r="A432" s="441"/>
      <c r="B432" s="442"/>
      <c r="C432" s="442"/>
      <c r="D432" s="439"/>
      <c r="E432" s="39" t="s">
        <v>561</v>
      </c>
      <c r="F432" s="439"/>
      <c r="G432" s="37"/>
      <c r="H432" s="37"/>
      <c r="I432" s="37"/>
      <c r="J432" s="110"/>
      <c r="K432" s="438"/>
      <c r="L432" s="43"/>
      <c r="M432" s="235"/>
      <c r="N432" s="207"/>
      <c r="O432" s="39"/>
      <c r="P432" s="230"/>
      <c r="Q432" s="275"/>
      <c r="R432" s="176"/>
      <c r="S432" s="276"/>
    </row>
    <row r="433" spans="1:19" x14ac:dyDescent="0.35">
      <c r="A433" s="441"/>
      <c r="B433" s="442"/>
      <c r="C433" s="442"/>
      <c r="D433" s="439"/>
      <c r="E433" s="39" t="s">
        <v>562</v>
      </c>
      <c r="F433" s="439"/>
      <c r="G433" s="37"/>
      <c r="H433" s="37"/>
      <c r="I433" s="37"/>
      <c r="J433" s="110"/>
      <c r="K433" s="438"/>
      <c r="L433" s="43"/>
      <c r="M433" s="235"/>
      <c r="N433" s="207"/>
      <c r="O433" s="39"/>
      <c r="P433" s="230"/>
      <c r="Q433" s="275"/>
      <c r="R433" s="176"/>
      <c r="S433" s="276"/>
    </row>
    <row r="434" spans="1:19" x14ac:dyDescent="0.35">
      <c r="A434" s="441"/>
      <c r="B434" s="442"/>
      <c r="C434" s="442"/>
      <c r="D434" s="439"/>
      <c r="E434" s="39" t="s">
        <v>563</v>
      </c>
      <c r="F434" s="439"/>
      <c r="G434" s="37"/>
      <c r="H434" s="37"/>
      <c r="I434" s="37"/>
      <c r="J434" s="110"/>
      <c r="K434" s="438"/>
      <c r="L434" s="43"/>
      <c r="M434" s="235"/>
      <c r="N434" s="207"/>
      <c r="O434" s="39"/>
      <c r="P434" s="230"/>
      <c r="Q434" s="275"/>
      <c r="R434" s="176"/>
      <c r="S434" s="276"/>
    </row>
    <row r="435" spans="1:19" ht="23" x14ac:dyDescent="0.35">
      <c r="A435" s="441"/>
      <c r="B435" s="442"/>
      <c r="C435" s="442" t="s">
        <v>14</v>
      </c>
      <c r="D435" s="439" t="s">
        <v>303</v>
      </c>
      <c r="E435" s="39" t="s">
        <v>557</v>
      </c>
      <c r="F435" s="440" t="s">
        <v>266</v>
      </c>
      <c r="G435" s="37"/>
      <c r="H435" s="37"/>
      <c r="I435" s="37"/>
      <c r="J435" s="110"/>
      <c r="K435" s="438">
        <v>1</v>
      </c>
      <c r="L435" s="43">
        <v>22660</v>
      </c>
      <c r="M435" s="235">
        <f>L435*$K435</f>
        <v>22660</v>
      </c>
      <c r="N435" s="207">
        <v>0</v>
      </c>
      <c r="O435" s="39">
        <v>22660</v>
      </c>
      <c r="P435" s="230">
        <f t="shared" ref="P435:P449" si="66">O435*N435</f>
        <v>0</v>
      </c>
      <c r="Q435" s="275">
        <f t="shared" si="61"/>
        <v>1</v>
      </c>
      <c r="R435" s="176">
        <f t="shared" si="62"/>
        <v>0</v>
      </c>
      <c r="S435" s="276">
        <f t="shared" si="63"/>
        <v>22660</v>
      </c>
    </row>
    <row r="436" spans="1:19" x14ac:dyDescent="0.35">
      <c r="A436" s="441"/>
      <c r="B436" s="442"/>
      <c r="C436" s="442"/>
      <c r="D436" s="439"/>
      <c r="E436" s="39" t="s">
        <v>558</v>
      </c>
      <c r="F436" s="440"/>
      <c r="G436" s="37"/>
      <c r="H436" s="37"/>
      <c r="I436" s="37"/>
      <c r="J436" s="110"/>
      <c r="K436" s="438"/>
      <c r="L436" s="43"/>
      <c r="M436" s="235"/>
      <c r="N436" s="207"/>
      <c r="O436" s="39"/>
      <c r="P436" s="230"/>
      <c r="Q436" s="275"/>
      <c r="R436" s="176"/>
      <c r="S436" s="276"/>
    </row>
    <row r="437" spans="1:19" x14ac:dyDescent="0.35">
      <c r="A437" s="441"/>
      <c r="B437" s="442"/>
      <c r="C437" s="442"/>
      <c r="D437" s="439"/>
      <c r="E437" s="39" t="s">
        <v>564</v>
      </c>
      <c r="F437" s="440"/>
      <c r="G437" s="37"/>
      <c r="H437" s="37"/>
      <c r="I437" s="37"/>
      <c r="J437" s="110"/>
      <c r="K437" s="438"/>
      <c r="L437" s="43"/>
      <c r="M437" s="235"/>
      <c r="N437" s="207"/>
      <c r="O437" s="39"/>
      <c r="P437" s="230"/>
      <c r="Q437" s="275"/>
      <c r="R437" s="176"/>
      <c r="S437" s="276"/>
    </row>
    <row r="438" spans="1:19" x14ac:dyDescent="0.35">
      <c r="A438" s="441"/>
      <c r="B438" s="442"/>
      <c r="C438" s="442"/>
      <c r="D438" s="439"/>
      <c r="E438" s="52" t="s">
        <v>560</v>
      </c>
      <c r="F438" s="440"/>
      <c r="G438" s="37"/>
      <c r="H438" s="37"/>
      <c r="I438" s="37"/>
      <c r="J438" s="110"/>
      <c r="K438" s="438"/>
      <c r="L438" s="43"/>
      <c r="M438" s="235"/>
      <c r="N438" s="207"/>
      <c r="O438" s="39"/>
      <c r="P438" s="230"/>
      <c r="Q438" s="275"/>
      <c r="R438" s="176"/>
      <c r="S438" s="276"/>
    </row>
    <row r="439" spans="1:19" x14ac:dyDescent="0.35">
      <c r="A439" s="441"/>
      <c r="B439" s="442"/>
      <c r="C439" s="442"/>
      <c r="D439" s="439"/>
      <c r="E439" s="39" t="s">
        <v>565</v>
      </c>
      <c r="F439" s="440"/>
      <c r="G439" s="37"/>
      <c r="H439" s="37"/>
      <c r="I439" s="37"/>
      <c r="J439" s="110"/>
      <c r="K439" s="438"/>
      <c r="L439" s="43"/>
      <c r="M439" s="235"/>
      <c r="N439" s="207"/>
      <c r="O439" s="39"/>
      <c r="P439" s="230"/>
      <c r="Q439" s="275"/>
      <c r="R439" s="176"/>
      <c r="S439" s="276"/>
    </row>
    <row r="440" spans="1:19" x14ac:dyDescent="0.35">
      <c r="A440" s="441"/>
      <c r="B440" s="442"/>
      <c r="C440" s="442"/>
      <c r="D440" s="439"/>
      <c r="E440" s="39" t="s">
        <v>566</v>
      </c>
      <c r="F440" s="440"/>
      <c r="G440" s="37"/>
      <c r="H440" s="37"/>
      <c r="I440" s="37"/>
      <c r="J440" s="110"/>
      <c r="K440" s="438"/>
      <c r="L440" s="43"/>
      <c r="M440" s="235"/>
      <c r="N440" s="207"/>
      <c r="O440" s="39"/>
      <c r="P440" s="230"/>
      <c r="Q440" s="275"/>
      <c r="R440" s="176"/>
      <c r="S440" s="276"/>
    </row>
    <row r="441" spans="1:19" x14ac:dyDescent="0.35">
      <c r="A441" s="441"/>
      <c r="B441" s="442"/>
      <c r="C441" s="442"/>
      <c r="D441" s="439"/>
      <c r="E441" s="39" t="s">
        <v>563</v>
      </c>
      <c r="F441" s="440"/>
      <c r="G441" s="37"/>
      <c r="H441" s="37"/>
      <c r="I441" s="37"/>
      <c r="J441" s="110"/>
      <c r="K441" s="438"/>
      <c r="L441" s="43"/>
      <c r="M441" s="235"/>
      <c r="N441" s="207"/>
      <c r="O441" s="39"/>
      <c r="P441" s="230"/>
      <c r="Q441" s="275"/>
      <c r="R441" s="176"/>
      <c r="S441" s="276"/>
    </row>
    <row r="442" spans="1:19" ht="23" x14ac:dyDescent="0.35">
      <c r="A442" s="441"/>
      <c r="B442" s="442"/>
      <c r="C442" s="442" t="s">
        <v>16</v>
      </c>
      <c r="D442" s="439" t="s">
        <v>304</v>
      </c>
      <c r="E442" s="39" t="s">
        <v>557</v>
      </c>
      <c r="F442" s="439" t="s">
        <v>266</v>
      </c>
      <c r="G442" s="37"/>
      <c r="H442" s="37"/>
      <c r="I442" s="37"/>
      <c r="J442" s="110"/>
      <c r="K442" s="438">
        <v>0</v>
      </c>
      <c r="L442" s="43">
        <v>16995</v>
      </c>
      <c r="M442" s="235">
        <f>L442*$K442</f>
        <v>0</v>
      </c>
      <c r="N442" s="207">
        <v>0</v>
      </c>
      <c r="O442" s="39">
        <v>16995</v>
      </c>
      <c r="P442" s="230">
        <f t="shared" si="66"/>
        <v>0</v>
      </c>
      <c r="Q442" s="275">
        <f t="shared" si="61"/>
        <v>0</v>
      </c>
      <c r="R442" s="176">
        <f t="shared" si="62"/>
        <v>0</v>
      </c>
      <c r="S442" s="276">
        <f t="shared" si="63"/>
        <v>0</v>
      </c>
    </row>
    <row r="443" spans="1:19" x14ac:dyDescent="0.35">
      <c r="A443" s="441"/>
      <c r="B443" s="442"/>
      <c r="C443" s="442"/>
      <c r="D443" s="439"/>
      <c r="E443" s="39" t="s">
        <v>558</v>
      </c>
      <c r="F443" s="439"/>
      <c r="G443" s="37"/>
      <c r="H443" s="37"/>
      <c r="I443" s="37"/>
      <c r="J443" s="110"/>
      <c r="K443" s="438"/>
      <c r="L443" s="43"/>
      <c r="M443" s="235"/>
      <c r="N443" s="207"/>
      <c r="O443" s="39"/>
      <c r="P443" s="230"/>
      <c r="Q443" s="275"/>
      <c r="R443" s="176"/>
      <c r="S443" s="276"/>
    </row>
    <row r="444" spans="1:19" x14ac:dyDescent="0.35">
      <c r="A444" s="441"/>
      <c r="B444" s="442"/>
      <c r="C444" s="442"/>
      <c r="D444" s="439"/>
      <c r="E444" s="39" t="s">
        <v>564</v>
      </c>
      <c r="F444" s="439"/>
      <c r="G444" s="37"/>
      <c r="H444" s="37"/>
      <c r="I444" s="37"/>
      <c r="J444" s="110"/>
      <c r="K444" s="438"/>
      <c r="L444" s="43"/>
      <c r="M444" s="235"/>
      <c r="N444" s="207"/>
      <c r="O444" s="39"/>
      <c r="P444" s="230"/>
      <c r="Q444" s="275"/>
      <c r="R444" s="176"/>
      <c r="S444" s="276"/>
    </row>
    <row r="445" spans="1:19" x14ac:dyDescent="0.35">
      <c r="A445" s="441"/>
      <c r="B445" s="442"/>
      <c r="C445" s="442"/>
      <c r="D445" s="439"/>
      <c r="E445" s="52" t="s">
        <v>560</v>
      </c>
      <c r="F445" s="439"/>
      <c r="G445" s="37"/>
      <c r="H445" s="37"/>
      <c r="I445" s="37"/>
      <c r="J445" s="110"/>
      <c r="K445" s="438"/>
      <c r="L445" s="43"/>
      <c r="M445" s="235"/>
      <c r="N445" s="207"/>
      <c r="O445" s="39"/>
      <c r="P445" s="230"/>
      <c r="Q445" s="275"/>
      <c r="R445" s="176"/>
      <c r="S445" s="276"/>
    </row>
    <row r="446" spans="1:19" x14ac:dyDescent="0.35">
      <c r="A446" s="441"/>
      <c r="B446" s="442"/>
      <c r="C446" s="442"/>
      <c r="D446" s="439"/>
      <c r="E446" s="39" t="s">
        <v>567</v>
      </c>
      <c r="F446" s="439"/>
      <c r="G446" s="37"/>
      <c r="H446" s="37"/>
      <c r="I446" s="37"/>
      <c r="J446" s="110"/>
      <c r="K446" s="438"/>
      <c r="L446" s="43"/>
      <c r="M446" s="235"/>
      <c r="N446" s="207"/>
      <c r="O446" s="39"/>
      <c r="P446" s="230"/>
      <c r="Q446" s="275"/>
      <c r="R446" s="176"/>
      <c r="S446" s="276"/>
    </row>
    <row r="447" spans="1:19" x14ac:dyDescent="0.35">
      <c r="A447" s="441"/>
      <c r="B447" s="442"/>
      <c r="C447" s="442"/>
      <c r="D447" s="439"/>
      <c r="E447" s="39" t="s">
        <v>568</v>
      </c>
      <c r="F447" s="439"/>
      <c r="G447" s="37"/>
      <c r="H447" s="37"/>
      <c r="I447" s="37"/>
      <c r="J447" s="110"/>
      <c r="K447" s="438"/>
      <c r="L447" s="43"/>
      <c r="M447" s="235"/>
      <c r="N447" s="207"/>
      <c r="O447" s="39"/>
      <c r="P447" s="230"/>
      <c r="Q447" s="275"/>
      <c r="R447" s="176"/>
      <c r="S447" s="276"/>
    </row>
    <row r="448" spans="1:19" x14ac:dyDescent="0.35">
      <c r="A448" s="441"/>
      <c r="B448" s="442"/>
      <c r="C448" s="442"/>
      <c r="D448" s="439"/>
      <c r="E448" s="39" t="s">
        <v>563</v>
      </c>
      <c r="F448" s="439"/>
      <c r="G448" s="37"/>
      <c r="H448" s="37"/>
      <c r="I448" s="37"/>
      <c r="J448" s="110"/>
      <c r="K448" s="438"/>
      <c r="L448" s="43"/>
      <c r="M448" s="235"/>
      <c r="N448" s="207"/>
      <c r="O448" s="39"/>
      <c r="P448" s="230"/>
      <c r="Q448" s="275"/>
      <c r="R448" s="176"/>
      <c r="S448" s="276"/>
    </row>
    <row r="449" spans="1:19" x14ac:dyDescent="0.35">
      <c r="A449" s="46" t="s">
        <v>581</v>
      </c>
      <c r="B449" s="52"/>
      <c r="C449" s="34"/>
      <c r="D449" s="34"/>
      <c r="E449" s="46"/>
      <c r="F449" s="52"/>
      <c r="G449" s="53"/>
      <c r="H449" s="53"/>
      <c r="I449" s="53"/>
      <c r="J449" s="219"/>
      <c r="K449" s="236"/>
      <c r="L449" s="56"/>
      <c r="M449" s="210">
        <f>SUM(M428:M448)</f>
        <v>22660</v>
      </c>
      <c r="N449" s="207"/>
      <c r="O449" s="39"/>
      <c r="P449" s="203">
        <f t="shared" si="66"/>
        <v>0</v>
      </c>
      <c r="Q449" s="279">
        <f t="shared" si="61"/>
        <v>0</v>
      </c>
      <c r="R449" s="273">
        <f t="shared" si="62"/>
        <v>0</v>
      </c>
      <c r="S449" s="280">
        <f t="shared" si="63"/>
        <v>22660</v>
      </c>
    </row>
    <row r="450" spans="1:19" x14ac:dyDescent="0.35">
      <c r="A450" s="131"/>
      <c r="B450" s="34" t="s">
        <v>311</v>
      </c>
      <c r="C450" s="34"/>
      <c r="D450" s="34"/>
      <c r="E450" s="89" t="s">
        <v>691</v>
      </c>
      <c r="F450" s="34"/>
      <c r="G450" s="90"/>
      <c r="H450" s="90"/>
      <c r="I450" s="90"/>
      <c r="J450" s="181"/>
      <c r="K450" s="245"/>
      <c r="L450" s="91"/>
      <c r="M450" s="210"/>
      <c r="N450" s="207"/>
      <c r="O450" s="39"/>
      <c r="P450" s="230"/>
      <c r="Q450" s="275"/>
      <c r="R450" s="176"/>
      <c r="S450" s="276"/>
    </row>
    <row r="451" spans="1:19" ht="23" x14ac:dyDescent="0.35">
      <c r="A451" s="441"/>
      <c r="B451" s="442"/>
      <c r="C451" s="442" t="s">
        <v>29</v>
      </c>
      <c r="D451" s="439" t="s">
        <v>305</v>
      </c>
      <c r="E451" s="39" t="s">
        <v>569</v>
      </c>
      <c r="F451" s="440" t="s">
        <v>266</v>
      </c>
      <c r="G451" s="37"/>
      <c r="H451" s="37"/>
      <c r="I451" s="37"/>
      <c r="J451" s="110"/>
      <c r="K451" s="438">
        <v>0</v>
      </c>
      <c r="L451" s="43">
        <v>16995</v>
      </c>
      <c r="M451" s="235">
        <f>L451*$K451</f>
        <v>0</v>
      </c>
      <c r="N451" s="207">
        <v>0</v>
      </c>
      <c r="O451" s="39">
        <v>16995</v>
      </c>
      <c r="P451" s="230">
        <f>O451*N451</f>
        <v>0</v>
      </c>
      <c r="Q451" s="275">
        <f t="shared" si="61"/>
        <v>0</v>
      </c>
      <c r="R451" s="176">
        <f t="shared" si="62"/>
        <v>0</v>
      </c>
      <c r="S451" s="276">
        <f t="shared" si="63"/>
        <v>0</v>
      </c>
    </row>
    <row r="452" spans="1:19" x14ac:dyDescent="0.35">
      <c r="A452" s="441"/>
      <c r="B452" s="442"/>
      <c r="C452" s="442"/>
      <c r="D452" s="439"/>
      <c r="E452" s="52" t="s">
        <v>558</v>
      </c>
      <c r="F452" s="440"/>
      <c r="G452" s="37"/>
      <c r="H452" s="37"/>
      <c r="I452" s="37"/>
      <c r="J452" s="110"/>
      <c r="K452" s="438"/>
      <c r="L452" s="43"/>
      <c r="M452" s="235"/>
      <c r="N452" s="207"/>
      <c r="O452" s="39"/>
      <c r="P452" s="230"/>
      <c r="Q452" s="275"/>
      <c r="R452" s="176"/>
      <c r="S452" s="276"/>
    </row>
    <row r="453" spans="1:19" x14ac:dyDescent="0.35">
      <c r="A453" s="441"/>
      <c r="B453" s="442"/>
      <c r="C453" s="442"/>
      <c r="D453" s="439"/>
      <c r="E453" s="39" t="s">
        <v>570</v>
      </c>
      <c r="F453" s="440"/>
      <c r="G453" s="37"/>
      <c r="H453" s="37"/>
      <c r="I453" s="37"/>
      <c r="J453" s="110"/>
      <c r="K453" s="438"/>
      <c r="L453" s="43"/>
      <c r="M453" s="235"/>
      <c r="N453" s="207"/>
      <c r="O453" s="39"/>
      <c r="P453" s="230"/>
      <c r="Q453" s="275"/>
      <c r="R453" s="176"/>
      <c r="S453" s="276"/>
    </row>
    <row r="454" spans="1:19" x14ac:dyDescent="0.35">
      <c r="A454" s="441"/>
      <c r="B454" s="442"/>
      <c r="C454" s="442"/>
      <c r="D454" s="439"/>
      <c r="E454" s="52" t="s">
        <v>571</v>
      </c>
      <c r="F454" s="440"/>
      <c r="G454" s="37"/>
      <c r="H454" s="37"/>
      <c r="I454" s="37"/>
      <c r="J454" s="110"/>
      <c r="K454" s="438"/>
      <c r="L454" s="43"/>
      <c r="M454" s="235"/>
      <c r="N454" s="207"/>
      <c r="O454" s="39"/>
      <c r="P454" s="230"/>
      <c r="Q454" s="275"/>
      <c r="R454" s="176"/>
      <c r="S454" s="276"/>
    </row>
    <row r="455" spans="1:19" x14ac:dyDescent="0.35">
      <c r="A455" s="441"/>
      <c r="B455" s="442"/>
      <c r="C455" s="442"/>
      <c r="D455" s="439"/>
      <c r="E455" s="39" t="s">
        <v>572</v>
      </c>
      <c r="F455" s="440"/>
      <c r="G455" s="37"/>
      <c r="H455" s="37"/>
      <c r="I455" s="37"/>
      <c r="J455" s="110"/>
      <c r="K455" s="438"/>
      <c r="L455" s="43"/>
      <c r="M455" s="235"/>
      <c r="N455" s="207"/>
      <c r="O455" s="39"/>
      <c r="P455" s="230"/>
      <c r="Q455" s="275"/>
      <c r="R455" s="176"/>
      <c r="S455" s="276"/>
    </row>
    <row r="456" spans="1:19" x14ac:dyDescent="0.35">
      <c r="A456" s="441"/>
      <c r="B456" s="442"/>
      <c r="C456" s="442"/>
      <c r="D456" s="439"/>
      <c r="E456" s="52" t="s">
        <v>560</v>
      </c>
      <c r="F456" s="440"/>
      <c r="G456" s="37"/>
      <c r="H456" s="37"/>
      <c r="I456" s="37"/>
      <c r="J456" s="110"/>
      <c r="K456" s="438"/>
      <c r="L456" s="43"/>
      <c r="M456" s="235"/>
      <c r="N456" s="207"/>
      <c r="O456" s="39"/>
      <c r="P456" s="230"/>
      <c r="Q456" s="275"/>
      <c r="R456" s="176"/>
      <c r="S456" s="276"/>
    </row>
    <row r="457" spans="1:19" x14ac:dyDescent="0.35">
      <c r="A457" s="441"/>
      <c r="B457" s="442"/>
      <c r="C457" s="442"/>
      <c r="D457" s="439"/>
      <c r="E457" s="39" t="s">
        <v>573</v>
      </c>
      <c r="F457" s="440"/>
      <c r="G457" s="37"/>
      <c r="H457" s="37"/>
      <c r="I457" s="37"/>
      <c r="J457" s="110"/>
      <c r="K457" s="438"/>
      <c r="L457" s="43"/>
      <c r="M457" s="235"/>
      <c r="N457" s="207"/>
      <c r="O457" s="39"/>
      <c r="P457" s="230"/>
      <c r="Q457" s="275"/>
      <c r="R457" s="176"/>
      <c r="S457" s="276"/>
    </row>
    <row r="458" spans="1:19" x14ac:dyDescent="0.35">
      <c r="A458" s="441"/>
      <c r="B458" s="442"/>
      <c r="C458" s="442"/>
      <c r="D458" s="439"/>
      <c r="E458" s="39" t="s">
        <v>563</v>
      </c>
      <c r="F458" s="440"/>
      <c r="G458" s="37"/>
      <c r="H458" s="37"/>
      <c r="I458" s="37"/>
      <c r="J458" s="110"/>
      <c r="K458" s="438"/>
      <c r="L458" s="43"/>
      <c r="M458" s="235"/>
      <c r="N458" s="207"/>
      <c r="O458" s="39"/>
      <c r="P458" s="230"/>
      <c r="Q458" s="275"/>
      <c r="R458" s="176"/>
      <c r="S458" s="276"/>
    </row>
    <row r="459" spans="1:19" ht="34.5" x14ac:dyDescent="0.35">
      <c r="A459" s="441"/>
      <c r="B459" s="442"/>
      <c r="C459" s="442" t="s">
        <v>33</v>
      </c>
      <c r="D459" s="439" t="s">
        <v>306</v>
      </c>
      <c r="E459" s="39" t="s">
        <v>574</v>
      </c>
      <c r="F459" s="439" t="s">
        <v>266</v>
      </c>
      <c r="G459" s="37"/>
      <c r="H459" s="37"/>
      <c r="I459" s="37"/>
      <c r="J459" s="110"/>
      <c r="K459" s="438">
        <v>0</v>
      </c>
      <c r="L459" s="43">
        <v>14935</v>
      </c>
      <c r="M459" s="235">
        <f>L459*$K459</f>
        <v>0</v>
      </c>
      <c r="N459" s="207">
        <v>0</v>
      </c>
      <c r="O459" s="39">
        <v>14935</v>
      </c>
      <c r="P459" s="230">
        <f t="shared" ref="P459:P469" si="67">O459*N459</f>
        <v>0</v>
      </c>
      <c r="Q459" s="275">
        <f t="shared" si="61"/>
        <v>0</v>
      </c>
      <c r="R459" s="176">
        <f t="shared" si="62"/>
        <v>0</v>
      </c>
      <c r="S459" s="276">
        <f t="shared" si="63"/>
        <v>0</v>
      </c>
    </row>
    <row r="460" spans="1:19" ht="23" x14ac:dyDescent="0.35">
      <c r="A460" s="441"/>
      <c r="B460" s="442"/>
      <c r="C460" s="442"/>
      <c r="D460" s="439"/>
      <c r="E460" s="39" t="s">
        <v>569</v>
      </c>
      <c r="F460" s="439"/>
      <c r="G460" s="37"/>
      <c r="H460" s="37"/>
      <c r="I460" s="37"/>
      <c r="J460" s="110"/>
      <c r="K460" s="438"/>
      <c r="L460" s="43"/>
      <c r="M460" s="235"/>
      <c r="N460" s="207"/>
      <c r="O460" s="39"/>
      <c r="P460" s="230"/>
      <c r="Q460" s="275"/>
      <c r="R460" s="176"/>
      <c r="S460" s="276"/>
    </row>
    <row r="461" spans="1:19" x14ac:dyDescent="0.35">
      <c r="A461" s="441"/>
      <c r="B461" s="442"/>
      <c r="C461" s="442"/>
      <c r="D461" s="439"/>
      <c r="E461" s="39" t="s">
        <v>575</v>
      </c>
      <c r="F461" s="439"/>
      <c r="G461" s="37"/>
      <c r="H461" s="37"/>
      <c r="I461" s="37"/>
      <c r="J461" s="110"/>
      <c r="K461" s="438"/>
      <c r="L461" s="43"/>
      <c r="M461" s="235"/>
      <c r="N461" s="207"/>
      <c r="O461" s="39"/>
      <c r="P461" s="230"/>
      <c r="Q461" s="275"/>
      <c r="R461" s="176"/>
      <c r="S461" s="276"/>
    </row>
    <row r="462" spans="1:19" x14ac:dyDescent="0.35">
      <c r="A462" s="441"/>
      <c r="B462" s="442"/>
      <c r="C462" s="442"/>
      <c r="D462" s="439"/>
      <c r="E462" s="52" t="s">
        <v>558</v>
      </c>
      <c r="F462" s="439"/>
      <c r="G462" s="37"/>
      <c r="H462" s="37"/>
      <c r="I462" s="37"/>
      <c r="J462" s="110"/>
      <c r="K462" s="438"/>
      <c r="L462" s="43"/>
      <c r="M462" s="235"/>
      <c r="N462" s="207"/>
      <c r="O462" s="39"/>
      <c r="P462" s="230"/>
      <c r="Q462" s="275"/>
      <c r="R462" s="176"/>
      <c r="S462" s="276"/>
    </row>
    <row r="463" spans="1:19" x14ac:dyDescent="0.35">
      <c r="A463" s="441"/>
      <c r="B463" s="442"/>
      <c r="C463" s="442"/>
      <c r="D463" s="439"/>
      <c r="E463" s="39" t="s">
        <v>576</v>
      </c>
      <c r="F463" s="439"/>
      <c r="G463" s="37"/>
      <c r="H463" s="37"/>
      <c r="I463" s="37"/>
      <c r="J463" s="110"/>
      <c r="K463" s="438"/>
      <c r="L463" s="43"/>
      <c r="M463" s="235"/>
      <c r="N463" s="207"/>
      <c r="O463" s="39"/>
      <c r="P463" s="230"/>
      <c r="Q463" s="275"/>
      <c r="R463" s="176"/>
      <c r="S463" s="276"/>
    </row>
    <row r="464" spans="1:19" x14ac:dyDescent="0.35">
      <c r="A464" s="441"/>
      <c r="B464" s="442"/>
      <c r="C464" s="442"/>
      <c r="D464" s="439"/>
      <c r="E464" s="52" t="s">
        <v>571</v>
      </c>
      <c r="F464" s="439"/>
      <c r="G464" s="37"/>
      <c r="H464" s="37"/>
      <c r="I464" s="37"/>
      <c r="J464" s="110"/>
      <c r="K464" s="438"/>
      <c r="L464" s="43"/>
      <c r="M464" s="235"/>
      <c r="N464" s="207"/>
      <c r="O464" s="39"/>
      <c r="P464" s="230"/>
      <c r="Q464" s="275"/>
      <c r="R464" s="176"/>
      <c r="S464" s="276"/>
    </row>
    <row r="465" spans="1:19" x14ac:dyDescent="0.35">
      <c r="A465" s="441"/>
      <c r="B465" s="442"/>
      <c r="C465" s="442"/>
      <c r="D465" s="439"/>
      <c r="E465" s="39" t="s">
        <v>577</v>
      </c>
      <c r="F465" s="439"/>
      <c r="G465" s="37"/>
      <c r="H465" s="37"/>
      <c r="I465" s="37"/>
      <c r="J465" s="110"/>
      <c r="K465" s="438"/>
      <c r="L465" s="43"/>
      <c r="M465" s="235"/>
      <c r="N465" s="207"/>
      <c r="O465" s="39"/>
      <c r="P465" s="230"/>
      <c r="Q465" s="275"/>
      <c r="R465" s="176"/>
      <c r="S465" s="276"/>
    </row>
    <row r="466" spans="1:19" x14ac:dyDescent="0.35">
      <c r="A466" s="441"/>
      <c r="B466" s="442"/>
      <c r="C466" s="442"/>
      <c r="D466" s="439"/>
      <c r="E466" s="52" t="s">
        <v>560</v>
      </c>
      <c r="F466" s="439"/>
      <c r="G466" s="37"/>
      <c r="H466" s="37"/>
      <c r="I466" s="37"/>
      <c r="J466" s="110"/>
      <c r="K466" s="438"/>
      <c r="L466" s="43"/>
      <c r="M466" s="235"/>
      <c r="N466" s="207"/>
      <c r="O466" s="39"/>
      <c r="P466" s="230"/>
      <c r="Q466" s="275"/>
      <c r="R466" s="176"/>
      <c r="S466" s="276"/>
    </row>
    <row r="467" spans="1:19" x14ac:dyDescent="0.35">
      <c r="A467" s="441"/>
      <c r="B467" s="442"/>
      <c r="C467" s="442"/>
      <c r="D467" s="439"/>
      <c r="E467" s="39" t="s">
        <v>578</v>
      </c>
      <c r="F467" s="439"/>
      <c r="G467" s="37"/>
      <c r="H467" s="37"/>
      <c r="I467" s="37"/>
      <c r="J467" s="110"/>
      <c r="K467" s="438"/>
      <c r="L467" s="43"/>
      <c r="M467" s="235"/>
      <c r="N467" s="207"/>
      <c r="O467" s="39"/>
      <c r="P467" s="230"/>
      <c r="Q467" s="275"/>
      <c r="R467" s="176"/>
      <c r="S467" s="276"/>
    </row>
    <row r="468" spans="1:19" x14ac:dyDescent="0.35">
      <c r="A468" s="441"/>
      <c r="B468" s="442"/>
      <c r="C468" s="442"/>
      <c r="D468" s="439"/>
      <c r="E468" s="39" t="s">
        <v>563</v>
      </c>
      <c r="F468" s="439"/>
      <c r="G468" s="37"/>
      <c r="H468" s="37"/>
      <c r="I468" s="37"/>
      <c r="J468" s="110"/>
      <c r="K468" s="438"/>
      <c r="L468" s="43"/>
      <c r="M468" s="235"/>
      <c r="N468" s="207"/>
      <c r="O468" s="39"/>
      <c r="P468" s="230"/>
      <c r="Q468" s="275"/>
      <c r="R468" s="176"/>
      <c r="S468" s="276"/>
    </row>
    <row r="469" spans="1:19" ht="34.5" x14ac:dyDescent="0.35">
      <c r="A469" s="441"/>
      <c r="B469" s="442"/>
      <c r="C469" s="442" t="s">
        <v>36</v>
      </c>
      <c r="D469" s="439" t="s">
        <v>307</v>
      </c>
      <c r="E469" s="39" t="s">
        <v>579</v>
      </c>
      <c r="F469" s="439" t="s">
        <v>266</v>
      </c>
      <c r="G469" s="37"/>
      <c r="H469" s="37"/>
      <c r="I469" s="37"/>
      <c r="J469" s="110"/>
      <c r="K469" s="438">
        <v>0</v>
      </c>
      <c r="L469" s="43">
        <v>13905</v>
      </c>
      <c r="M469" s="235">
        <f>L469*$K469</f>
        <v>0</v>
      </c>
      <c r="N469" s="207">
        <v>0</v>
      </c>
      <c r="O469" s="39">
        <v>13905</v>
      </c>
      <c r="P469" s="230">
        <f t="shared" si="67"/>
        <v>0</v>
      </c>
      <c r="Q469" s="275">
        <f t="shared" ref="Q469:Q524" si="68">K469-N469</f>
        <v>0</v>
      </c>
      <c r="R469" s="176">
        <f t="shared" ref="R469:R524" si="69">L469-O469</f>
        <v>0</v>
      </c>
      <c r="S469" s="276">
        <f t="shared" ref="S469:S524" si="70">M469-P469</f>
        <v>0</v>
      </c>
    </row>
    <row r="470" spans="1:19" ht="23" x14ac:dyDescent="0.35">
      <c r="A470" s="441"/>
      <c r="B470" s="442"/>
      <c r="C470" s="442"/>
      <c r="D470" s="439"/>
      <c r="E470" s="39" t="s">
        <v>569</v>
      </c>
      <c r="F470" s="439"/>
      <c r="G470" s="37"/>
      <c r="H470" s="37"/>
      <c r="I470" s="37"/>
      <c r="J470" s="110"/>
      <c r="K470" s="438"/>
      <c r="L470" s="43"/>
      <c r="M470" s="235"/>
      <c r="N470" s="207"/>
      <c r="O470" s="39"/>
      <c r="P470" s="230"/>
      <c r="Q470" s="275"/>
      <c r="R470" s="176"/>
      <c r="S470" s="276"/>
    </row>
    <row r="471" spans="1:19" x14ac:dyDescent="0.35">
      <c r="A471" s="441"/>
      <c r="B471" s="442"/>
      <c r="C471" s="442"/>
      <c r="D471" s="439"/>
      <c r="E471" s="39" t="s">
        <v>575</v>
      </c>
      <c r="F471" s="439"/>
      <c r="G471" s="37"/>
      <c r="H471" s="37"/>
      <c r="I471" s="37"/>
      <c r="J471" s="110"/>
      <c r="K471" s="438"/>
      <c r="L471" s="43"/>
      <c r="M471" s="235"/>
      <c r="N471" s="207"/>
      <c r="O471" s="39"/>
      <c r="P471" s="230"/>
      <c r="Q471" s="275"/>
      <c r="R471" s="176"/>
      <c r="S471" s="276"/>
    </row>
    <row r="472" spans="1:19" x14ac:dyDescent="0.35">
      <c r="A472" s="441"/>
      <c r="B472" s="442"/>
      <c r="C472" s="442"/>
      <c r="D472" s="439"/>
      <c r="E472" s="52" t="s">
        <v>558</v>
      </c>
      <c r="F472" s="439"/>
      <c r="G472" s="37"/>
      <c r="H472" s="37"/>
      <c r="I472" s="37"/>
      <c r="J472" s="110"/>
      <c r="K472" s="438"/>
      <c r="L472" s="43"/>
      <c r="M472" s="235"/>
      <c r="N472" s="207"/>
      <c r="O472" s="39"/>
      <c r="P472" s="230"/>
      <c r="Q472" s="275"/>
      <c r="R472" s="176"/>
      <c r="S472" s="276"/>
    </row>
    <row r="473" spans="1:19" x14ac:dyDescent="0.35">
      <c r="A473" s="441"/>
      <c r="B473" s="442"/>
      <c r="C473" s="442"/>
      <c r="D473" s="439"/>
      <c r="E473" s="39" t="s">
        <v>576</v>
      </c>
      <c r="F473" s="439"/>
      <c r="G473" s="37"/>
      <c r="H473" s="37"/>
      <c r="I473" s="37"/>
      <c r="J473" s="110"/>
      <c r="K473" s="438"/>
      <c r="L473" s="43"/>
      <c r="M473" s="235"/>
      <c r="N473" s="207"/>
      <c r="O473" s="39"/>
      <c r="P473" s="230"/>
      <c r="Q473" s="275"/>
      <c r="R473" s="176"/>
      <c r="S473" s="276"/>
    </row>
    <row r="474" spans="1:19" x14ac:dyDescent="0.35">
      <c r="A474" s="441"/>
      <c r="B474" s="442"/>
      <c r="C474" s="442"/>
      <c r="D474" s="439"/>
      <c r="E474" s="52" t="s">
        <v>571</v>
      </c>
      <c r="F474" s="439"/>
      <c r="G474" s="37"/>
      <c r="H474" s="37"/>
      <c r="I474" s="37"/>
      <c r="J474" s="110"/>
      <c r="K474" s="438"/>
      <c r="L474" s="43"/>
      <c r="M474" s="235"/>
      <c r="N474" s="207"/>
      <c r="O474" s="39"/>
      <c r="P474" s="230"/>
      <c r="Q474" s="275"/>
      <c r="R474" s="176"/>
      <c r="S474" s="276"/>
    </row>
    <row r="475" spans="1:19" x14ac:dyDescent="0.35">
      <c r="A475" s="441"/>
      <c r="B475" s="442"/>
      <c r="C475" s="442"/>
      <c r="D475" s="439"/>
      <c r="E475" s="39" t="s">
        <v>577</v>
      </c>
      <c r="F475" s="439"/>
      <c r="G475" s="37"/>
      <c r="H475" s="37"/>
      <c r="I475" s="37"/>
      <c r="J475" s="110"/>
      <c r="K475" s="438"/>
      <c r="L475" s="43"/>
      <c r="M475" s="235"/>
      <c r="N475" s="207"/>
      <c r="O475" s="39"/>
      <c r="P475" s="230"/>
      <c r="Q475" s="275"/>
      <c r="R475" s="176"/>
      <c r="S475" s="276"/>
    </row>
    <row r="476" spans="1:19" x14ac:dyDescent="0.35">
      <c r="A476" s="441"/>
      <c r="B476" s="442"/>
      <c r="C476" s="442"/>
      <c r="D476" s="439"/>
      <c r="E476" s="52" t="s">
        <v>560</v>
      </c>
      <c r="F476" s="439"/>
      <c r="G476" s="37"/>
      <c r="H476" s="37"/>
      <c r="I476" s="37"/>
      <c r="J476" s="110"/>
      <c r="K476" s="438"/>
      <c r="L476" s="43"/>
      <c r="M476" s="235"/>
      <c r="N476" s="207"/>
      <c r="O476" s="39"/>
      <c r="P476" s="230"/>
      <c r="Q476" s="275"/>
      <c r="R476" s="176"/>
      <c r="S476" s="276"/>
    </row>
    <row r="477" spans="1:19" x14ac:dyDescent="0.35">
      <c r="A477" s="441"/>
      <c r="B477" s="442"/>
      <c r="C477" s="442"/>
      <c r="D477" s="439"/>
      <c r="E477" s="39" t="s">
        <v>580</v>
      </c>
      <c r="F477" s="439"/>
      <c r="G477" s="37"/>
      <c r="H477" s="37"/>
      <c r="I477" s="37"/>
      <c r="J477" s="110"/>
      <c r="K477" s="438"/>
      <c r="L477" s="43"/>
      <c r="M477" s="235"/>
      <c r="N477" s="207"/>
      <c r="O477" s="39"/>
      <c r="P477" s="230"/>
      <c r="Q477" s="275"/>
      <c r="R477" s="176"/>
      <c r="S477" s="276"/>
    </row>
    <row r="478" spans="1:19" x14ac:dyDescent="0.35">
      <c r="A478" s="441"/>
      <c r="B478" s="442"/>
      <c r="C478" s="442"/>
      <c r="D478" s="439"/>
      <c r="E478" s="39" t="s">
        <v>563</v>
      </c>
      <c r="F478" s="439"/>
      <c r="G478" s="37"/>
      <c r="H478" s="37"/>
      <c r="I478" s="37"/>
      <c r="J478" s="110"/>
      <c r="K478" s="438"/>
      <c r="L478" s="43"/>
      <c r="M478" s="235"/>
      <c r="N478" s="207"/>
      <c r="O478" s="39"/>
      <c r="P478" s="230"/>
      <c r="Q478" s="275"/>
      <c r="R478" s="176"/>
      <c r="S478" s="276"/>
    </row>
    <row r="479" spans="1:19" x14ac:dyDescent="0.35">
      <c r="A479" s="46" t="s">
        <v>582</v>
      </c>
      <c r="B479" s="52"/>
      <c r="C479" s="34"/>
      <c r="D479" s="34"/>
      <c r="E479" s="46"/>
      <c r="F479" s="52"/>
      <c r="G479" s="53"/>
      <c r="H479" s="53"/>
      <c r="I479" s="53"/>
      <c r="J479" s="219"/>
      <c r="K479" s="236"/>
      <c r="L479" s="56"/>
      <c r="M479" s="235">
        <f>SUM(M451:M478)</f>
        <v>0</v>
      </c>
      <c r="N479" s="207"/>
      <c r="O479" s="39"/>
      <c r="P479" s="269">
        <f>SUM(P451:P478)</f>
        <v>0</v>
      </c>
      <c r="Q479" s="275">
        <f t="shared" si="68"/>
        <v>0</v>
      </c>
      <c r="R479" s="176">
        <f t="shared" si="69"/>
        <v>0</v>
      </c>
      <c r="S479" s="276">
        <f t="shared" si="70"/>
        <v>0</v>
      </c>
    </row>
    <row r="480" spans="1:19" x14ac:dyDescent="0.35">
      <c r="A480" s="131"/>
      <c r="B480" s="34" t="s">
        <v>352</v>
      </c>
      <c r="C480" s="34"/>
      <c r="D480" s="34"/>
      <c r="E480" s="52" t="s">
        <v>583</v>
      </c>
      <c r="F480" s="34"/>
      <c r="G480" s="90"/>
      <c r="H480" s="90"/>
      <c r="I480" s="90"/>
      <c r="J480" s="181"/>
      <c r="K480" s="245"/>
      <c r="L480" s="91"/>
      <c r="M480" s="210"/>
      <c r="N480" s="207"/>
      <c r="O480" s="39"/>
      <c r="P480" s="230"/>
      <c r="Q480" s="275">
        <f t="shared" si="68"/>
        <v>0</v>
      </c>
      <c r="R480" s="176">
        <f t="shared" si="69"/>
        <v>0</v>
      </c>
      <c r="S480" s="276">
        <f t="shared" si="70"/>
        <v>0</v>
      </c>
    </row>
    <row r="481" spans="1:19" x14ac:dyDescent="0.35">
      <c r="A481" s="441"/>
      <c r="B481" s="442"/>
      <c r="C481" s="442" t="s">
        <v>68</v>
      </c>
      <c r="D481" s="439" t="s">
        <v>308</v>
      </c>
      <c r="E481" s="39" t="s">
        <v>584</v>
      </c>
      <c r="F481" s="439" t="s">
        <v>266</v>
      </c>
      <c r="G481" s="37"/>
      <c r="H481" s="37"/>
      <c r="I481" s="37"/>
      <c r="J481" s="110"/>
      <c r="K481" s="438">
        <v>0</v>
      </c>
      <c r="L481" s="43">
        <v>5665</v>
      </c>
      <c r="M481" s="235">
        <f>L481*$K481</f>
        <v>0</v>
      </c>
      <c r="N481" s="207">
        <v>0</v>
      </c>
      <c r="O481" s="39">
        <v>5665</v>
      </c>
      <c r="P481" s="230">
        <f>O481*N481</f>
        <v>0</v>
      </c>
      <c r="Q481" s="275">
        <f t="shared" si="68"/>
        <v>0</v>
      </c>
      <c r="R481" s="176">
        <f t="shared" si="69"/>
        <v>0</v>
      </c>
      <c r="S481" s="276">
        <f t="shared" si="70"/>
        <v>0</v>
      </c>
    </row>
    <row r="482" spans="1:19" x14ac:dyDescent="0.35">
      <c r="A482" s="441"/>
      <c r="B482" s="442"/>
      <c r="C482" s="442"/>
      <c r="D482" s="439"/>
      <c r="E482" s="39" t="s">
        <v>558</v>
      </c>
      <c r="F482" s="439"/>
      <c r="G482" s="37"/>
      <c r="H482" s="37"/>
      <c r="I482" s="37"/>
      <c r="J482" s="110"/>
      <c r="K482" s="438"/>
      <c r="L482" s="43"/>
      <c r="M482" s="235"/>
      <c r="N482" s="207"/>
      <c r="O482" s="39"/>
      <c r="P482" s="230"/>
      <c r="Q482" s="275">
        <f t="shared" si="68"/>
        <v>0</v>
      </c>
      <c r="R482" s="176"/>
      <c r="S482" s="276"/>
    </row>
    <row r="483" spans="1:19" x14ac:dyDescent="0.35">
      <c r="A483" s="441"/>
      <c r="B483" s="442"/>
      <c r="C483" s="442"/>
      <c r="D483" s="439"/>
      <c r="E483" s="39" t="s">
        <v>585</v>
      </c>
      <c r="F483" s="439"/>
      <c r="G483" s="37"/>
      <c r="H483" s="37"/>
      <c r="I483" s="37"/>
      <c r="J483" s="110"/>
      <c r="K483" s="438"/>
      <c r="L483" s="43"/>
      <c r="M483" s="235"/>
      <c r="N483" s="207"/>
      <c r="O483" s="39"/>
      <c r="P483" s="230"/>
      <c r="Q483" s="275">
        <f t="shared" si="68"/>
        <v>0</v>
      </c>
      <c r="R483" s="176"/>
      <c r="S483" s="276"/>
    </row>
    <row r="484" spans="1:19" x14ac:dyDescent="0.35">
      <c r="A484" s="441"/>
      <c r="B484" s="442"/>
      <c r="C484" s="442"/>
      <c r="D484" s="439"/>
      <c r="E484" s="39" t="s">
        <v>560</v>
      </c>
      <c r="F484" s="439"/>
      <c r="G484" s="37"/>
      <c r="H484" s="37"/>
      <c r="I484" s="37"/>
      <c r="J484" s="110"/>
      <c r="K484" s="438"/>
      <c r="L484" s="43"/>
      <c r="M484" s="235"/>
      <c r="N484" s="207"/>
      <c r="O484" s="39"/>
      <c r="P484" s="230"/>
      <c r="Q484" s="275">
        <f t="shared" si="68"/>
        <v>0</v>
      </c>
      <c r="R484" s="176"/>
      <c r="S484" s="276"/>
    </row>
    <row r="485" spans="1:19" x14ac:dyDescent="0.35">
      <c r="A485" s="441"/>
      <c r="B485" s="442"/>
      <c r="C485" s="442"/>
      <c r="D485" s="439"/>
      <c r="E485" s="39" t="s">
        <v>580</v>
      </c>
      <c r="F485" s="439"/>
      <c r="G485" s="37"/>
      <c r="H485" s="37"/>
      <c r="I485" s="37"/>
      <c r="J485" s="110"/>
      <c r="K485" s="438"/>
      <c r="L485" s="43"/>
      <c r="M485" s="235"/>
      <c r="N485" s="207"/>
      <c r="O485" s="39"/>
      <c r="P485" s="230"/>
      <c r="Q485" s="275">
        <f t="shared" si="68"/>
        <v>0</v>
      </c>
      <c r="R485" s="176"/>
      <c r="S485" s="276"/>
    </row>
    <row r="486" spans="1:19" x14ac:dyDescent="0.35">
      <c r="A486" s="441"/>
      <c r="B486" s="442"/>
      <c r="C486" s="442"/>
      <c r="D486" s="439"/>
      <c r="E486" s="39" t="s">
        <v>586</v>
      </c>
      <c r="F486" s="439"/>
      <c r="G486" s="37"/>
      <c r="H486" s="37"/>
      <c r="I486" s="37"/>
      <c r="J486" s="110"/>
      <c r="K486" s="438"/>
      <c r="L486" s="43"/>
      <c r="M486" s="235"/>
      <c r="N486" s="207"/>
      <c r="O486" s="39"/>
      <c r="P486" s="230"/>
      <c r="Q486" s="275">
        <f t="shared" si="68"/>
        <v>0</v>
      </c>
      <c r="R486" s="176"/>
      <c r="S486" s="276"/>
    </row>
    <row r="487" spans="1:19" x14ac:dyDescent="0.35">
      <c r="A487" s="441"/>
      <c r="B487" s="442"/>
      <c r="C487" s="442"/>
      <c r="D487" s="439"/>
      <c r="E487" s="39" t="s">
        <v>563</v>
      </c>
      <c r="F487" s="439"/>
      <c r="G487" s="37"/>
      <c r="H487" s="37"/>
      <c r="I487" s="37"/>
      <c r="J487" s="110"/>
      <c r="K487" s="438"/>
      <c r="L487" s="43"/>
      <c r="M487" s="235"/>
      <c r="N487" s="207"/>
      <c r="O487" s="39"/>
      <c r="P487" s="230"/>
      <c r="Q487" s="275">
        <f t="shared" si="68"/>
        <v>0</v>
      </c>
      <c r="R487" s="176"/>
      <c r="S487" s="276"/>
    </row>
    <row r="488" spans="1:19" x14ac:dyDescent="0.35">
      <c r="A488" s="441"/>
      <c r="B488" s="442"/>
      <c r="C488" s="442" t="s">
        <v>72</v>
      </c>
      <c r="D488" s="439" t="s">
        <v>309</v>
      </c>
      <c r="E488" s="39" t="s">
        <v>587</v>
      </c>
      <c r="F488" s="439" t="s">
        <v>266</v>
      </c>
      <c r="G488" s="37"/>
      <c r="H488" s="37"/>
      <c r="I488" s="37"/>
      <c r="J488" s="110"/>
      <c r="K488" s="438">
        <v>2</v>
      </c>
      <c r="L488" s="43">
        <v>4635</v>
      </c>
      <c r="M488" s="235">
        <f>L488*$K488</f>
        <v>9270</v>
      </c>
      <c r="N488" s="207">
        <v>2</v>
      </c>
      <c r="O488" s="39">
        <v>4635</v>
      </c>
      <c r="P488" s="230">
        <f t="shared" ref="P488:P495" si="71">O488*N488</f>
        <v>9270</v>
      </c>
      <c r="Q488" s="275">
        <f t="shared" si="68"/>
        <v>0</v>
      </c>
      <c r="R488" s="176">
        <f t="shared" si="69"/>
        <v>0</v>
      </c>
      <c r="S488" s="276">
        <f t="shared" si="70"/>
        <v>0</v>
      </c>
    </row>
    <row r="489" spans="1:19" x14ac:dyDescent="0.35">
      <c r="A489" s="441"/>
      <c r="B489" s="442"/>
      <c r="C489" s="442"/>
      <c r="D489" s="439"/>
      <c r="E489" s="102" t="s">
        <v>558</v>
      </c>
      <c r="F489" s="439"/>
      <c r="G489" s="37"/>
      <c r="H489" s="37"/>
      <c r="I489" s="37"/>
      <c r="J489" s="110"/>
      <c r="K489" s="438"/>
      <c r="L489" s="43"/>
      <c r="M489" s="235"/>
      <c r="N489" s="207"/>
      <c r="O489" s="39"/>
      <c r="P489" s="230"/>
      <c r="Q489" s="275">
        <f t="shared" si="68"/>
        <v>0</v>
      </c>
      <c r="R489" s="176"/>
      <c r="S489" s="276"/>
    </row>
    <row r="490" spans="1:19" x14ac:dyDescent="0.35">
      <c r="A490" s="441"/>
      <c r="B490" s="442"/>
      <c r="C490" s="442"/>
      <c r="D490" s="439"/>
      <c r="E490" s="39" t="s">
        <v>588</v>
      </c>
      <c r="F490" s="439"/>
      <c r="G490" s="37"/>
      <c r="H490" s="37"/>
      <c r="I490" s="37"/>
      <c r="J490" s="110"/>
      <c r="K490" s="438"/>
      <c r="L490" s="43"/>
      <c r="M490" s="235"/>
      <c r="N490" s="207"/>
      <c r="O490" s="39"/>
      <c r="P490" s="230"/>
      <c r="Q490" s="275">
        <f t="shared" si="68"/>
        <v>0</v>
      </c>
      <c r="R490" s="176"/>
      <c r="S490" s="276"/>
    </row>
    <row r="491" spans="1:19" x14ac:dyDescent="0.35">
      <c r="A491" s="441"/>
      <c r="B491" s="442"/>
      <c r="C491" s="442"/>
      <c r="D491" s="439"/>
      <c r="E491" s="102" t="s">
        <v>560</v>
      </c>
      <c r="F491" s="439"/>
      <c r="G491" s="37"/>
      <c r="H491" s="37"/>
      <c r="I491" s="37"/>
      <c r="J491" s="110"/>
      <c r="K491" s="438"/>
      <c r="L491" s="43"/>
      <c r="M491" s="235"/>
      <c r="N491" s="207"/>
      <c r="O491" s="39"/>
      <c r="P491" s="230"/>
      <c r="Q491" s="275">
        <f t="shared" si="68"/>
        <v>0</v>
      </c>
      <c r="R491" s="176"/>
      <c r="S491" s="276"/>
    </row>
    <row r="492" spans="1:19" x14ac:dyDescent="0.35">
      <c r="A492" s="441"/>
      <c r="B492" s="442"/>
      <c r="C492" s="442"/>
      <c r="D492" s="439"/>
      <c r="E492" s="39" t="s">
        <v>589</v>
      </c>
      <c r="F492" s="439"/>
      <c r="G492" s="37"/>
      <c r="H492" s="37"/>
      <c r="I492" s="37"/>
      <c r="J492" s="110"/>
      <c r="K492" s="438"/>
      <c r="L492" s="43"/>
      <c r="M492" s="235"/>
      <c r="N492" s="207"/>
      <c r="O492" s="39"/>
      <c r="P492" s="230"/>
      <c r="Q492" s="275">
        <f t="shared" si="68"/>
        <v>0</v>
      </c>
      <c r="R492" s="176"/>
      <c r="S492" s="276"/>
    </row>
    <row r="493" spans="1:19" x14ac:dyDescent="0.35">
      <c r="A493" s="441"/>
      <c r="B493" s="442"/>
      <c r="C493" s="442"/>
      <c r="D493" s="439"/>
      <c r="E493" s="39" t="s">
        <v>590</v>
      </c>
      <c r="F493" s="439"/>
      <c r="G493" s="37"/>
      <c r="H493" s="37"/>
      <c r="I493" s="37"/>
      <c r="J493" s="110"/>
      <c r="K493" s="438"/>
      <c r="L493" s="43"/>
      <c r="M493" s="235"/>
      <c r="N493" s="207"/>
      <c r="O493" s="39"/>
      <c r="P493" s="230"/>
      <c r="Q493" s="275">
        <f t="shared" si="68"/>
        <v>0</v>
      </c>
      <c r="R493" s="176"/>
      <c r="S493" s="276"/>
    </row>
    <row r="494" spans="1:19" x14ac:dyDescent="0.35">
      <c r="A494" s="441"/>
      <c r="B494" s="442"/>
      <c r="C494" s="442"/>
      <c r="D494" s="439"/>
      <c r="E494" s="39" t="s">
        <v>563</v>
      </c>
      <c r="F494" s="439"/>
      <c r="G494" s="37"/>
      <c r="H494" s="37"/>
      <c r="I494" s="37"/>
      <c r="J494" s="110"/>
      <c r="K494" s="438"/>
      <c r="L494" s="43"/>
      <c r="M494" s="235"/>
      <c r="N494" s="207"/>
      <c r="O494" s="39"/>
      <c r="P494" s="230"/>
      <c r="Q494" s="275">
        <f t="shared" si="68"/>
        <v>0</v>
      </c>
      <c r="R494" s="176"/>
      <c r="S494" s="276"/>
    </row>
    <row r="495" spans="1:19" x14ac:dyDescent="0.35">
      <c r="A495" s="441"/>
      <c r="B495" s="442"/>
      <c r="C495" s="442" t="s">
        <v>74</v>
      </c>
      <c r="D495" s="439" t="s">
        <v>310</v>
      </c>
      <c r="E495" s="39" t="s">
        <v>591</v>
      </c>
      <c r="F495" s="439" t="s">
        <v>266</v>
      </c>
      <c r="G495" s="37"/>
      <c r="H495" s="37"/>
      <c r="I495" s="37"/>
      <c r="J495" s="110"/>
      <c r="K495" s="438">
        <v>0</v>
      </c>
      <c r="L495" s="43">
        <v>3965.5</v>
      </c>
      <c r="M495" s="235">
        <f>L495*$K495</f>
        <v>0</v>
      </c>
      <c r="N495" s="207">
        <v>0</v>
      </c>
      <c r="O495" s="39">
        <v>3965.5</v>
      </c>
      <c r="P495" s="230">
        <f t="shared" si="71"/>
        <v>0</v>
      </c>
      <c r="Q495" s="275">
        <f t="shared" si="68"/>
        <v>0</v>
      </c>
      <c r="R495" s="176">
        <f t="shared" si="69"/>
        <v>0</v>
      </c>
      <c r="S495" s="276">
        <f t="shared" si="70"/>
        <v>0</v>
      </c>
    </row>
    <row r="496" spans="1:19" x14ac:dyDescent="0.35">
      <c r="A496" s="441"/>
      <c r="B496" s="442"/>
      <c r="C496" s="442"/>
      <c r="D496" s="439"/>
      <c r="E496" s="39" t="s">
        <v>558</v>
      </c>
      <c r="F496" s="439"/>
      <c r="G496" s="37"/>
      <c r="H496" s="37"/>
      <c r="I496" s="37"/>
      <c r="J496" s="110"/>
      <c r="K496" s="438"/>
      <c r="L496" s="43"/>
      <c r="M496" s="235"/>
      <c r="N496" s="207"/>
      <c r="O496" s="39"/>
      <c r="P496" s="230"/>
      <c r="Q496" s="275"/>
      <c r="R496" s="176"/>
      <c r="S496" s="276"/>
    </row>
    <row r="497" spans="1:19" x14ac:dyDescent="0.35">
      <c r="A497" s="441"/>
      <c r="B497" s="442"/>
      <c r="C497" s="442"/>
      <c r="D497" s="439"/>
      <c r="E497" s="39" t="s">
        <v>592</v>
      </c>
      <c r="F497" s="439"/>
      <c r="G497" s="37"/>
      <c r="H497" s="37"/>
      <c r="I497" s="37"/>
      <c r="J497" s="110"/>
      <c r="K497" s="438"/>
      <c r="L497" s="43"/>
      <c r="M497" s="235"/>
      <c r="N497" s="207"/>
      <c r="O497" s="39"/>
      <c r="P497" s="230"/>
      <c r="Q497" s="275"/>
      <c r="R497" s="176"/>
      <c r="S497" s="276"/>
    </row>
    <row r="498" spans="1:19" x14ac:dyDescent="0.35">
      <c r="A498" s="441"/>
      <c r="B498" s="442"/>
      <c r="C498" s="442"/>
      <c r="D498" s="439"/>
      <c r="E498" s="39" t="s">
        <v>560</v>
      </c>
      <c r="F498" s="439"/>
      <c r="G498" s="37"/>
      <c r="H498" s="37"/>
      <c r="I498" s="37"/>
      <c r="J498" s="110"/>
      <c r="K498" s="438"/>
      <c r="L498" s="43"/>
      <c r="M498" s="235"/>
      <c r="N498" s="207"/>
      <c r="O498" s="39"/>
      <c r="P498" s="230"/>
      <c r="Q498" s="275"/>
      <c r="R498" s="176"/>
      <c r="S498" s="276"/>
    </row>
    <row r="499" spans="1:19" x14ac:dyDescent="0.35">
      <c r="A499" s="441"/>
      <c r="B499" s="442"/>
      <c r="C499" s="442"/>
      <c r="D499" s="439"/>
      <c r="E499" s="39" t="s">
        <v>593</v>
      </c>
      <c r="F499" s="439"/>
      <c r="G499" s="37"/>
      <c r="H499" s="37"/>
      <c r="I499" s="37"/>
      <c r="J499" s="110"/>
      <c r="K499" s="438"/>
      <c r="L499" s="43"/>
      <c r="M499" s="235"/>
      <c r="N499" s="207"/>
      <c r="O499" s="39"/>
      <c r="P499" s="230"/>
      <c r="Q499" s="275"/>
      <c r="R499" s="176"/>
      <c r="S499" s="276"/>
    </row>
    <row r="500" spans="1:19" x14ac:dyDescent="0.35">
      <c r="A500" s="441"/>
      <c r="B500" s="442"/>
      <c r="C500" s="442"/>
      <c r="D500" s="439"/>
      <c r="E500" s="39" t="s">
        <v>594</v>
      </c>
      <c r="F500" s="439"/>
      <c r="G500" s="37"/>
      <c r="H500" s="37"/>
      <c r="I500" s="37"/>
      <c r="J500" s="110"/>
      <c r="K500" s="438"/>
      <c r="L500" s="43"/>
      <c r="M500" s="235"/>
      <c r="N500" s="207"/>
      <c r="O500" s="39"/>
      <c r="P500" s="230"/>
      <c r="Q500" s="275"/>
      <c r="R500" s="176"/>
      <c r="S500" s="276"/>
    </row>
    <row r="501" spans="1:19" x14ac:dyDescent="0.35">
      <c r="A501" s="441"/>
      <c r="B501" s="442"/>
      <c r="C501" s="442"/>
      <c r="D501" s="439"/>
      <c r="E501" s="39" t="s">
        <v>563</v>
      </c>
      <c r="F501" s="439"/>
      <c r="G501" s="37"/>
      <c r="H501" s="37"/>
      <c r="I501" s="37"/>
      <c r="J501" s="110"/>
      <c r="K501" s="438"/>
      <c r="L501" s="43"/>
      <c r="M501" s="235"/>
      <c r="N501" s="207"/>
      <c r="O501" s="39"/>
      <c r="P501" s="230"/>
      <c r="Q501" s="275"/>
      <c r="R501" s="176"/>
      <c r="S501" s="276"/>
    </row>
    <row r="502" spans="1:19" x14ac:dyDescent="0.35">
      <c r="A502" s="46" t="s">
        <v>595</v>
      </c>
      <c r="B502" s="52"/>
      <c r="C502" s="34"/>
      <c r="D502" s="34"/>
      <c r="E502" s="46"/>
      <c r="F502" s="52"/>
      <c r="G502" s="53"/>
      <c r="H502" s="53"/>
      <c r="I502" s="53"/>
      <c r="J502" s="219"/>
      <c r="K502" s="236"/>
      <c r="L502" s="56"/>
      <c r="M502" s="210">
        <f>SUM(M481:M501)</f>
        <v>9270</v>
      </c>
      <c r="N502" s="207"/>
      <c r="O502" s="39"/>
      <c r="P502" s="271">
        <f>SUM(P481:P501)</f>
        <v>9270</v>
      </c>
      <c r="Q502" s="279">
        <f t="shared" si="68"/>
        <v>0</v>
      </c>
      <c r="R502" s="273">
        <f t="shared" si="69"/>
        <v>0</v>
      </c>
      <c r="S502" s="280">
        <f t="shared" si="70"/>
        <v>0</v>
      </c>
    </row>
    <row r="503" spans="1:19" x14ac:dyDescent="0.35">
      <c r="A503" s="131"/>
      <c r="B503" s="34" t="s">
        <v>355</v>
      </c>
      <c r="C503" s="34"/>
      <c r="D503" s="34"/>
      <c r="E503" s="89" t="s">
        <v>312</v>
      </c>
      <c r="F503" s="34"/>
      <c r="G503" s="90"/>
      <c r="H503" s="90"/>
      <c r="I503" s="90"/>
      <c r="J503" s="181"/>
      <c r="K503" s="245"/>
      <c r="L503" s="91"/>
      <c r="M503" s="210"/>
      <c r="N503" s="207"/>
      <c r="O503" s="39"/>
      <c r="P503" s="230"/>
      <c r="Q503" s="275"/>
      <c r="R503" s="176"/>
      <c r="S503" s="276"/>
    </row>
    <row r="504" spans="1:19" x14ac:dyDescent="0.35">
      <c r="A504" s="131"/>
      <c r="B504" s="34"/>
      <c r="C504" s="34" t="s">
        <v>11</v>
      </c>
      <c r="D504" s="34"/>
      <c r="E504" s="39" t="s">
        <v>313</v>
      </c>
      <c r="F504" s="103" t="s">
        <v>266</v>
      </c>
      <c r="G504" s="104"/>
      <c r="H504" s="104"/>
      <c r="I504" s="104"/>
      <c r="J504" s="107"/>
      <c r="K504" s="234">
        <v>0</v>
      </c>
      <c r="L504" s="43">
        <v>509.85</v>
      </c>
      <c r="M504" s="235">
        <f t="shared" ref="M504:M524" si="72">L504*$K504</f>
        <v>0</v>
      </c>
      <c r="N504" s="207">
        <v>0</v>
      </c>
      <c r="O504" s="172">
        <v>509.85</v>
      </c>
      <c r="P504" s="269">
        <f>O504*N504</f>
        <v>0</v>
      </c>
      <c r="Q504" s="275">
        <f t="shared" si="68"/>
        <v>0</v>
      </c>
      <c r="R504" s="176">
        <f t="shared" si="69"/>
        <v>0</v>
      </c>
      <c r="S504" s="276">
        <f t="shared" si="70"/>
        <v>0</v>
      </c>
    </row>
    <row r="505" spans="1:19" x14ac:dyDescent="0.35">
      <c r="A505" s="131"/>
      <c r="B505" s="34"/>
      <c r="C505" s="34" t="s">
        <v>14</v>
      </c>
      <c r="D505" s="34"/>
      <c r="E505" s="39" t="s">
        <v>314</v>
      </c>
      <c r="F505" s="103" t="s">
        <v>266</v>
      </c>
      <c r="G505" s="104"/>
      <c r="H505" s="104"/>
      <c r="I505" s="104"/>
      <c r="J505" s="107"/>
      <c r="K505" s="234">
        <v>0</v>
      </c>
      <c r="L505" s="43">
        <v>602.44000000000005</v>
      </c>
      <c r="M505" s="235">
        <f t="shared" si="72"/>
        <v>0</v>
      </c>
      <c r="N505" s="207">
        <v>3</v>
      </c>
      <c r="O505" s="172">
        <v>602</v>
      </c>
      <c r="P505" s="269">
        <f t="shared" ref="P505:P568" si="73">O505*N505</f>
        <v>1806</v>
      </c>
      <c r="Q505" s="275">
        <f t="shared" si="68"/>
        <v>-3</v>
      </c>
      <c r="R505" s="176">
        <f t="shared" si="69"/>
        <v>0.44000000000005457</v>
      </c>
      <c r="S505" s="276">
        <f t="shared" si="70"/>
        <v>-1806</v>
      </c>
    </row>
    <row r="506" spans="1:19" x14ac:dyDescent="0.35">
      <c r="A506" s="131"/>
      <c r="B506" s="34"/>
      <c r="C506" s="34" t="s">
        <v>16</v>
      </c>
      <c r="D506" s="34"/>
      <c r="E506" s="39" t="s">
        <v>315</v>
      </c>
      <c r="F506" s="103" t="s">
        <v>266</v>
      </c>
      <c r="G506" s="104"/>
      <c r="H506" s="104"/>
      <c r="I506" s="104"/>
      <c r="J506" s="107"/>
      <c r="K506" s="234">
        <v>0</v>
      </c>
      <c r="L506" s="43">
        <v>721</v>
      </c>
      <c r="M506" s="235">
        <f t="shared" si="72"/>
        <v>0</v>
      </c>
      <c r="N506" s="207">
        <v>0</v>
      </c>
      <c r="O506" s="172">
        <v>721</v>
      </c>
      <c r="P506" s="269">
        <f t="shared" si="73"/>
        <v>0</v>
      </c>
      <c r="Q506" s="275">
        <f t="shared" si="68"/>
        <v>0</v>
      </c>
      <c r="R506" s="176">
        <f t="shared" si="69"/>
        <v>0</v>
      </c>
      <c r="S506" s="276">
        <f t="shared" si="70"/>
        <v>0</v>
      </c>
    </row>
    <row r="507" spans="1:19" x14ac:dyDescent="0.35">
      <c r="A507" s="131"/>
      <c r="B507" s="34"/>
      <c r="C507" s="34" t="s">
        <v>18</v>
      </c>
      <c r="D507" s="34"/>
      <c r="E507" s="39" t="s">
        <v>316</v>
      </c>
      <c r="F507" s="103" t="s">
        <v>266</v>
      </c>
      <c r="G507" s="104"/>
      <c r="H507" s="104"/>
      <c r="I507" s="104"/>
      <c r="J507" s="107"/>
      <c r="K507" s="234">
        <v>0</v>
      </c>
      <c r="L507" s="43">
        <v>618</v>
      </c>
      <c r="M507" s="235">
        <f t="shared" si="72"/>
        <v>0</v>
      </c>
      <c r="N507" s="207">
        <v>0</v>
      </c>
      <c r="O507" s="172">
        <v>618</v>
      </c>
      <c r="P507" s="269">
        <f t="shared" si="73"/>
        <v>0</v>
      </c>
      <c r="Q507" s="275">
        <f t="shared" si="68"/>
        <v>0</v>
      </c>
      <c r="R507" s="176">
        <f t="shared" si="69"/>
        <v>0</v>
      </c>
      <c r="S507" s="276">
        <f t="shared" si="70"/>
        <v>0</v>
      </c>
    </row>
    <row r="508" spans="1:19" x14ac:dyDescent="0.35">
      <c r="A508" s="131"/>
      <c r="B508" s="34"/>
      <c r="C508" s="34" t="s">
        <v>20</v>
      </c>
      <c r="D508" s="34"/>
      <c r="E508" s="39" t="s">
        <v>317</v>
      </c>
      <c r="F508" s="103" t="s">
        <v>266</v>
      </c>
      <c r="G508" s="104"/>
      <c r="H508" s="104"/>
      <c r="I508" s="104"/>
      <c r="J508" s="107"/>
      <c r="K508" s="234">
        <v>0</v>
      </c>
      <c r="L508" s="43">
        <v>729.24</v>
      </c>
      <c r="M508" s="235">
        <f t="shared" si="72"/>
        <v>0</v>
      </c>
      <c r="N508" s="207">
        <v>3</v>
      </c>
      <c r="O508" s="172">
        <v>729.24</v>
      </c>
      <c r="P508" s="269">
        <f t="shared" si="73"/>
        <v>2187.7200000000003</v>
      </c>
      <c r="Q508" s="275">
        <f t="shared" si="68"/>
        <v>-3</v>
      </c>
      <c r="R508" s="176">
        <f t="shared" si="69"/>
        <v>0</v>
      </c>
      <c r="S508" s="276">
        <f t="shared" si="70"/>
        <v>-2187.7200000000003</v>
      </c>
    </row>
    <row r="509" spans="1:19" x14ac:dyDescent="0.35">
      <c r="A509" s="131"/>
      <c r="B509" s="34"/>
      <c r="C509" s="34" t="s">
        <v>22</v>
      </c>
      <c r="D509" s="34"/>
      <c r="E509" s="39" t="s">
        <v>318</v>
      </c>
      <c r="F509" s="103" t="s">
        <v>266</v>
      </c>
      <c r="G509" s="104"/>
      <c r="H509" s="104"/>
      <c r="I509" s="104"/>
      <c r="J509" s="107"/>
      <c r="K509" s="234">
        <v>0</v>
      </c>
      <c r="L509" s="43">
        <v>837.39</v>
      </c>
      <c r="M509" s="235">
        <f t="shared" si="72"/>
        <v>0</v>
      </c>
      <c r="N509" s="207">
        <v>1</v>
      </c>
      <c r="O509" s="172">
        <v>837.39</v>
      </c>
      <c r="P509" s="269">
        <f t="shared" si="73"/>
        <v>837.39</v>
      </c>
      <c r="Q509" s="275">
        <f t="shared" si="68"/>
        <v>-1</v>
      </c>
      <c r="R509" s="176">
        <f t="shared" si="69"/>
        <v>0</v>
      </c>
      <c r="S509" s="276">
        <f t="shared" si="70"/>
        <v>-837.39</v>
      </c>
    </row>
    <row r="510" spans="1:19" x14ac:dyDescent="0.35">
      <c r="A510" s="131"/>
      <c r="B510" s="34"/>
      <c r="C510" s="34" t="s">
        <v>24</v>
      </c>
      <c r="D510" s="34"/>
      <c r="E510" s="39" t="s">
        <v>319</v>
      </c>
      <c r="F510" s="103" t="s">
        <v>266</v>
      </c>
      <c r="G510" s="104"/>
      <c r="H510" s="104"/>
      <c r="I510" s="104"/>
      <c r="J510" s="107"/>
      <c r="K510" s="234">
        <v>0</v>
      </c>
      <c r="L510" s="43">
        <v>2609.06</v>
      </c>
      <c r="M510" s="235">
        <f t="shared" si="72"/>
        <v>0</v>
      </c>
      <c r="N510" s="207">
        <v>0</v>
      </c>
      <c r="O510" s="172">
        <v>2609.06</v>
      </c>
      <c r="P510" s="269">
        <f t="shared" si="73"/>
        <v>0</v>
      </c>
      <c r="Q510" s="275">
        <f t="shared" si="68"/>
        <v>0</v>
      </c>
      <c r="R510" s="176">
        <f t="shared" si="69"/>
        <v>0</v>
      </c>
      <c r="S510" s="276">
        <f t="shared" si="70"/>
        <v>0</v>
      </c>
    </row>
    <row r="511" spans="1:19" x14ac:dyDescent="0.35">
      <c r="A511" s="131"/>
      <c r="B511" s="34"/>
      <c r="C511" s="34" t="s">
        <v>276</v>
      </c>
      <c r="D511" s="34"/>
      <c r="E511" s="39" t="s">
        <v>320</v>
      </c>
      <c r="F511" s="103" t="s">
        <v>266</v>
      </c>
      <c r="G511" s="104"/>
      <c r="H511" s="104"/>
      <c r="I511" s="104"/>
      <c r="J511" s="107"/>
      <c r="K511" s="234">
        <v>0</v>
      </c>
      <c r="L511" s="43">
        <v>2970.43</v>
      </c>
      <c r="M511" s="235">
        <f t="shared" si="72"/>
        <v>0</v>
      </c>
      <c r="N511" s="207">
        <v>0</v>
      </c>
      <c r="O511" s="172">
        <v>2970.43</v>
      </c>
      <c r="P511" s="269">
        <f t="shared" si="73"/>
        <v>0</v>
      </c>
      <c r="Q511" s="275">
        <f t="shared" si="68"/>
        <v>0</v>
      </c>
      <c r="R511" s="176">
        <f t="shared" si="69"/>
        <v>0</v>
      </c>
      <c r="S511" s="276">
        <f t="shared" si="70"/>
        <v>0</v>
      </c>
    </row>
    <row r="512" spans="1:19" x14ac:dyDescent="0.35">
      <c r="A512" s="131"/>
      <c r="B512" s="34"/>
      <c r="C512" s="34" t="s">
        <v>278</v>
      </c>
      <c r="D512" s="34"/>
      <c r="E512" s="39" t="s">
        <v>321</v>
      </c>
      <c r="F512" s="103" t="s">
        <v>266</v>
      </c>
      <c r="G512" s="104"/>
      <c r="H512" s="104"/>
      <c r="I512" s="104"/>
      <c r="J512" s="107"/>
      <c r="K512" s="234">
        <v>0</v>
      </c>
      <c r="L512" s="43">
        <v>3141.31</v>
      </c>
      <c r="M512" s="235">
        <f t="shared" si="72"/>
        <v>0</v>
      </c>
      <c r="N512" s="207">
        <v>0</v>
      </c>
      <c r="O512" s="172">
        <v>3141.31</v>
      </c>
      <c r="P512" s="269">
        <f t="shared" si="73"/>
        <v>0</v>
      </c>
      <c r="Q512" s="275">
        <f t="shared" si="68"/>
        <v>0</v>
      </c>
      <c r="R512" s="176">
        <f t="shared" si="69"/>
        <v>0</v>
      </c>
      <c r="S512" s="276">
        <f t="shared" si="70"/>
        <v>0</v>
      </c>
    </row>
    <row r="513" spans="1:19" x14ac:dyDescent="0.35">
      <c r="A513" s="131"/>
      <c r="B513" s="34"/>
      <c r="C513" s="34" t="s">
        <v>280</v>
      </c>
      <c r="D513" s="34"/>
      <c r="E513" s="39" t="s">
        <v>323</v>
      </c>
      <c r="F513" s="103" t="s">
        <v>266</v>
      </c>
      <c r="G513" s="104"/>
      <c r="H513" s="104"/>
      <c r="I513" s="104"/>
      <c r="J513" s="107"/>
      <c r="K513" s="234">
        <v>0</v>
      </c>
      <c r="L513" s="43">
        <v>1084.5899999999999</v>
      </c>
      <c r="M513" s="235">
        <f t="shared" si="72"/>
        <v>0</v>
      </c>
      <c r="N513" s="207">
        <v>0</v>
      </c>
      <c r="O513" s="172">
        <v>1084.5899999999999</v>
      </c>
      <c r="P513" s="269">
        <f t="shared" si="73"/>
        <v>0</v>
      </c>
      <c r="Q513" s="275">
        <f t="shared" si="68"/>
        <v>0</v>
      </c>
      <c r="R513" s="176">
        <f t="shared" si="69"/>
        <v>0</v>
      </c>
      <c r="S513" s="276">
        <f t="shared" si="70"/>
        <v>0</v>
      </c>
    </row>
    <row r="514" spans="1:19" x14ac:dyDescent="0.35">
      <c r="A514" s="131"/>
      <c r="B514" s="34"/>
      <c r="C514" s="34" t="s">
        <v>281</v>
      </c>
      <c r="D514" s="34"/>
      <c r="E514" s="39" t="s">
        <v>324</v>
      </c>
      <c r="F514" s="103" t="s">
        <v>266</v>
      </c>
      <c r="G514" s="104"/>
      <c r="H514" s="104"/>
      <c r="I514" s="104"/>
      <c r="J514" s="107"/>
      <c r="K514" s="234">
        <v>0</v>
      </c>
      <c r="L514" s="43">
        <v>1152.57</v>
      </c>
      <c r="M514" s="235">
        <f t="shared" si="72"/>
        <v>0</v>
      </c>
      <c r="N514" s="207">
        <v>0</v>
      </c>
      <c r="O514" s="172">
        <v>1153</v>
      </c>
      <c r="P514" s="269">
        <f t="shared" si="73"/>
        <v>0</v>
      </c>
      <c r="Q514" s="275">
        <f t="shared" si="68"/>
        <v>0</v>
      </c>
      <c r="R514" s="176">
        <f t="shared" si="69"/>
        <v>-0.43000000000006366</v>
      </c>
      <c r="S514" s="276">
        <f t="shared" si="70"/>
        <v>0</v>
      </c>
    </row>
    <row r="515" spans="1:19" x14ac:dyDescent="0.35">
      <c r="A515" s="131"/>
      <c r="B515" s="34"/>
      <c r="C515" s="34" t="s">
        <v>322</v>
      </c>
      <c r="D515" s="34"/>
      <c r="E515" s="39" t="s">
        <v>325</v>
      </c>
      <c r="F515" s="103" t="s">
        <v>266</v>
      </c>
      <c r="G515" s="104"/>
      <c r="H515" s="104"/>
      <c r="I515" s="104"/>
      <c r="J515" s="107"/>
      <c r="K515" s="234">
        <v>0</v>
      </c>
      <c r="L515" s="43">
        <v>1412.13</v>
      </c>
      <c r="M515" s="235">
        <f t="shared" si="72"/>
        <v>0</v>
      </c>
      <c r="N515" s="207">
        <v>0</v>
      </c>
      <c r="O515" s="172">
        <v>1412.13</v>
      </c>
      <c r="P515" s="269">
        <f t="shared" si="73"/>
        <v>0</v>
      </c>
      <c r="Q515" s="275">
        <f t="shared" si="68"/>
        <v>0</v>
      </c>
      <c r="R515" s="176">
        <f t="shared" si="69"/>
        <v>0</v>
      </c>
      <c r="S515" s="276">
        <f t="shared" si="70"/>
        <v>0</v>
      </c>
    </row>
    <row r="516" spans="1:19" x14ac:dyDescent="0.35">
      <c r="A516" s="131"/>
      <c r="B516" s="34"/>
      <c r="C516" s="34" t="s">
        <v>284</v>
      </c>
      <c r="D516" s="34"/>
      <c r="E516" s="39" t="s">
        <v>906</v>
      </c>
      <c r="F516" s="103" t="s">
        <v>266</v>
      </c>
      <c r="G516" s="104"/>
      <c r="H516" s="104"/>
      <c r="I516" s="104"/>
      <c r="J516" s="107"/>
      <c r="K516" s="234">
        <v>0</v>
      </c>
      <c r="L516" s="43">
        <v>557.23</v>
      </c>
      <c r="M516" s="235">
        <f t="shared" si="72"/>
        <v>0</v>
      </c>
      <c r="N516" s="207">
        <v>0</v>
      </c>
      <c r="O516" s="172">
        <v>557</v>
      </c>
      <c r="P516" s="269">
        <f t="shared" si="73"/>
        <v>0</v>
      </c>
      <c r="Q516" s="275">
        <f t="shared" si="68"/>
        <v>0</v>
      </c>
      <c r="R516" s="176">
        <f t="shared" si="69"/>
        <v>0.23000000000001819</v>
      </c>
      <c r="S516" s="276">
        <f t="shared" si="70"/>
        <v>0</v>
      </c>
    </row>
    <row r="517" spans="1:19" x14ac:dyDescent="0.35">
      <c r="A517" s="131"/>
      <c r="B517" s="34"/>
      <c r="C517" s="34" t="s">
        <v>287</v>
      </c>
      <c r="D517" s="34"/>
      <c r="E517" s="39" t="s">
        <v>942</v>
      </c>
      <c r="F517" s="103" t="s">
        <v>266</v>
      </c>
      <c r="G517" s="104"/>
      <c r="H517" s="104"/>
      <c r="I517" s="104"/>
      <c r="J517" s="107"/>
      <c r="K517" s="234">
        <v>4</v>
      </c>
      <c r="L517" s="43">
        <v>1081.5</v>
      </c>
      <c r="M517" s="235">
        <f t="shared" si="72"/>
        <v>4326</v>
      </c>
      <c r="N517" s="207">
        <v>0</v>
      </c>
      <c r="O517" s="172">
        <v>1082</v>
      </c>
      <c r="P517" s="269">
        <f t="shared" si="73"/>
        <v>0</v>
      </c>
      <c r="Q517" s="275">
        <f t="shared" si="68"/>
        <v>4</v>
      </c>
      <c r="R517" s="176">
        <f t="shared" si="69"/>
        <v>-0.5</v>
      </c>
      <c r="S517" s="276">
        <f t="shared" si="70"/>
        <v>4326</v>
      </c>
    </row>
    <row r="518" spans="1:19" x14ac:dyDescent="0.35">
      <c r="A518" s="131"/>
      <c r="B518" s="34"/>
      <c r="C518" s="34" t="s">
        <v>326</v>
      </c>
      <c r="D518" s="34"/>
      <c r="E518" s="39" t="s">
        <v>328</v>
      </c>
      <c r="F518" s="103" t="s">
        <v>266</v>
      </c>
      <c r="G518" s="104"/>
      <c r="H518" s="104"/>
      <c r="I518" s="104"/>
      <c r="J518" s="107"/>
      <c r="K518" s="234">
        <v>0</v>
      </c>
      <c r="L518" s="43">
        <v>1438.91</v>
      </c>
      <c r="M518" s="235">
        <f t="shared" si="72"/>
        <v>0</v>
      </c>
      <c r="N518" s="207">
        <v>0</v>
      </c>
      <c r="O518" s="172">
        <v>1439</v>
      </c>
      <c r="P518" s="269">
        <f t="shared" si="73"/>
        <v>0</v>
      </c>
      <c r="Q518" s="275">
        <f t="shared" si="68"/>
        <v>0</v>
      </c>
      <c r="R518" s="176">
        <f t="shared" si="69"/>
        <v>-8.9999999999918145E-2</v>
      </c>
      <c r="S518" s="276">
        <f t="shared" si="70"/>
        <v>0</v>
      </c>
    </row>
    <row r="519" spans="1:19" x14ac:dyDescent="0.35">
      <c r="A519" s="131"/>
      <c r="B519" s="34"/>
      <c r="C519" s="34" t="s">
        <v>327</v>
      </c>
      <c r="D519" s="34"/>
      <c r="E519" s="39" t="s">
        <v>329</v>
      </c>
      <c r="F519" s="103" t="s">
        <v>266</v>
      </c>
      <c r="G519" s="104"/>
      <c r="H519" s="104"/>
      <c r="I519" s="104"/>
      <c r="J519" s="107"/>
      <c r="K519" s="234">
        <v>0</v>
      </c>
      <c r="L519" s="43">
        <v>1792.2</v>
      </c>
      <c r="M519" s="235">
        <f t="shared" si="72"/>
        <v>0</v>
      </c>
      <c r="N519" s="207">
        <v>0</v>
      </c>
      <c r="O519" s="172">
        <v>1792.2</v>
      </c>
      <c r="P519" s="269">
        <f t="shared" si="73"/>
        <v>0</v>
      </c>
      <c r="Q519" s="275">
        <f t="shared" si="68"/>
        <v>0</v>
      </c>
      <c r="R519" s="176">
        <f t="shared" si="69"/>
        <v>0</v>
      </c>
      <c r="S519" s="276">
        <f t="shared" si="70"/>
        <v>0</v>
      </c>
    </row>
    <row r="520" spans="1:19" x14ac:dyDescent="0.35">
      <c r="A520" s="131"/>
      <c r="B520" s="34"/>
      <c r="C520" s="34" t="s">
        <v>290</v>
      </c>
      <c r="D520" s="34"/>
      <c r="E520" s="39" t="s">
        <v>330</v>
      </c>
      <c r="F520" s="103" t="s">
        <v>266</v>
      </c>
      <c r="G520" s="104"/>
      <c r="H520" s="104"/>
      <c r="I520" s="104"/>
      <c r="J520" s="107"/>
      <c r="K520" s="234">
        <v>2</v>
      </c>
      <c r="L520" s="43">
        <v>4618.5200000000004</v>
      </c>
      <c r="M520" s="235">
        <f t="shared" si="72"/>
        <v>9237.0400000000009</v>
      </c>
      <c r="N520" s="207">
        <v>0</v>
      </c>
      <c r="O520" s="172">
        <v>4619</v>
      </c>
      <c r="P520" s="269">
        <f t="shared" si="73"/>
        <v>0</v>
      </c>
      <c r="Q520" s="275">
        <f t="shared" si="68"/>
        <v>2</v>
      </c>
      <c r="R520" s="176">
        <f t="shared" si="69"/>
        <v>-0.47999999999956344</v>
      </c>
      <c r="S520" s="276">
        <f t="shared" si="70"/>
        <v>9237.0400000000009</v>
      </c>
    </row>
    <row r="521" spans="1:19" x14ac:dyDescent="0.35">
      <c r="A521" s="131"/>
      <c r="B521" s="34"/>
      <c r="C521" s="34" t="s">
        <v>26</v>
      </c>
      <c r="D521" s="34"/>
      <c r="E521" s="39" t="s">
        <v>331</v>
      </c>
      <c r="F521" s="103"/>
      <c r="G521" s="104"/>
      <c r="H521" s="104"/>
      <c r="I521" s="104"/>
      <c r="J521" s="107"/>
      <c r="K521" s="234"/>
      <c r="L521" s="41"/>
      <c r="M521" s="235"/>
      <c r="N521" s="207"/>
      <c r="O521" s="172"/>
      <c r="P521" s="269">
        <f t="shared" si="73"/>
        <v>0</v>
      </c>
      <c r="Q521" s="275"/>
      <c r="R521" s="176"/>
      <c r="S521" s="276"/>
    </row>
    <row r="522" spans="1:19" ht="23" x14ac:dyDescent="0.35">
      <c r="A522" s="131"/>
      <c r="B522" s="34"/>
      <c r="C522" s="34" t="s">
        <v>29</v>
      </c>
      <c r="D522" s="34"/>
      <c r="E522" s="39" t="s">
        <v>332</v>
      </c>
      <c r="F522" s="103" t="s">
        <v>266</v>
      </c>
      <c r="G522" s="104"/>
      <c r="H522" s="104"/>
      <c r="I522" s="104"/>
      <c r="J522" s="107"/>
      <c r="K522" s="234">
        <v>0</v>
      </c>
      <c r="L522" s="43">
        <v>10707.88</v>
      </c>
      <c r="M522" s="235">
        <f t="shared" si="72"/>
        <v>0</v>
      </c>
      <c r="N522" s="207">
        <v>0</v>
      </c>
      <c r="O522" s="172">
        <v>10708</v>
      </c>
      <c r="P522" s="269">
        <f t="shared" si="73"/>
        <v>0</v>
      </c>
      <c r="Q522" s="275">
        <f t="shared" si="68"/>
        <v>0</v>
      </c>
      <c r="R522" s="176">
        <f t="shared" si="69"/>
        <v>-0.12000000000080036</v>
      </c>
      <c r="S522" s="276">
        <f t="shared" si="70"/>
        <v>0</v>
      </c>
    </row>
    <row r="523" spans="1:19" ht="23" x14ac:dyDescent="0.35">
      <c r="A523" s="131"/>
      <c r="B523" s="34"/>
      <c r="C523" s="34" t="s">
        <v>33</v>
      </c>
      <c r="D523" s="34"/>
      <c r="E523" s="39" t="s">
        <v>333</v>
      </c>
      <c r="F523" s="103" t="s">
        <v>266</v>
      </c>
      <c r="G523" s="104"/>
      <c r="H523" s="104"/>
      <c r="I523" s="104"/>
      <c r="J523" s="107"/>
      <c r="K523" s="234">
        <v>1</v>
      </c>
      <c r="L523" s="43">
        <v>9648.01</v>
      </c>
      <c r="M523" s="235">
        <f t="shared" si="72"/>
        <v>9648.01</v>
      </c>
      <c r="N523" s="207">
        <v>1</v>
      </c>
      <c r="O523" s="172">
        <v>9648.01</v>
      </c>
      <c r="P523" s="269">
        <f t="shared" si="73"/>
        <v>9648.01</v>
      </c>
      <c r="Q523" s="275">
        <f t="shared" si="68"/>
        <v>0</v>
      </c>
      <c r="R523" s="176">
        <f t="shared" si="69"/>
        <v>0</v>
      </c>
      <c r="S523" s="276">
        <f t="shared" si="70"/>
        <v>0</v>
      </c>
    </row>
    <row r="524" spans="1:19" x14ac:dyDescent="0.35">
      <c r="A524" s="131"/>
      <c r="B524" s="34"/>
      <c r="C524" s="34" t="s">
        <v>38</v>
      </c>
      <c r="D524" s="34"/>
      <c r="E524" s="39" t="s">
        <v>334</v>
      </c>
      <c r="F524" s="103" t="s">
        <v>266</v>
      </c>
      <c r="G524" s="104"/>
      <c r="H524" s="104"/>
      <c r="I524" s="104"/>
      <c r="J524" s="107"/>
      <c r="K524" s="234">
        <v>5</v>
      </c>
      <c r="L524" s="43">
        <v>96.82</v>
      </c>
      <c r="M524" s="235">
        <f t="shared" si="72"/>
        <v>484.09999999999997</v>
      </c>
      <c r="N524" s="207">
        <v>2</v>
      </c>
      <c r="O524" s="172">
        <v>97</v>
      </c>
      <c r="P524" s="269">
        <f t="shared" si="73"/>
        <v>194</v>
      </c>
      <c r="Q524" s="275">
        <f t="shared" si="68"/>
        <v>3</v>
      </c>
      <c r="R524" s="176">
        <f t="shared" si="69"/>
        <v>-0.18000000000000682</v>
      </c>
      <c r="S524" s="276">
        <f t="shared" si="70"/>
        <v>290.09999999999997</v>
      </c>
    </row>
    <row r="525" spans="1:19" ht="161" x14ac:dyDescent="0.35">
      <c r="A525" s="131"/>
      <c r="B525" s="34"/>
      <c r="C525" s="34"/>
      <c r="D525" s="36" t="s">
        <v>601</v>
      </c>
      <c r="E525" s="39" t="s">
        <v>943</v>
      </c>
      <c r="F525" s="103"/>
      <c r="G525" s="104"/>
      <c r="H525" s="104"/>
      <c r="I525" s="104"/>
      <c r="J525" s="107"/>
      <c r="K525" s="234"/>
      <c r="L525" s="43"/>
      <c r="M525" s="235"/>
      <c r="N525" s="207"/>
      <c r="O525" s="172"/>
      <c r="P525" s="269"/>
      <c r="Q525" s="275"/>
      <c r="R525" s="176"/>
      <c r="S525" s="276"/>
    </row>
    <row r="526" spans="1:19" ht="69" x14ac:dyDescent="0.35">
      <c r="A526" s="131"/>
      <c r="B526" s="34"/>
      <c r="C526" s="34" t="s">
        <v>57</v>
      </c>
      <c r="D526" s="36" t="s">
        <v>636</v>
      </c>
      <c r="E526" s="39" t="s">
        <v>944</v>
      </c>
      <c r="F526" s="100"/>
      <c r="G526" s="101"/>
      <c r="H526" s="101"/>
      <c r="I526" s="101"/>
      <c r="J526" s="111"/>
      <c r="K526" s="234"/>
      <c r="L526" s="43"/>
      <c r="M526" s="235"/>
      <c r="N526" s="207"/>
      <c r="O526" s="172"/>
      <c r="P526" s="269"/>
      <c r="Q526" s="275"/>
      <c r="R526" s="176"/>
      <c r="S526" s="276"/>
    </row>
    <row r="527" spans="1:19" x14ac:dyDescent="0.35">
      <c r="A527" s="131"/>
      <c r="B527" s="34"/>
      <c r="C527" s="34" t="s">
        <v>172</v>
      </c>
      <c r="D527" s="34"/>
      <c r="E527" s="48" t="s">
        <v>335</v>
      </c>
      <c r="F527" s="103" t="s">
        <v>336</v>
      </c>
      <c r="G527" s="104"/>
      <c r="H527" s="104"/>
      <c r="I527" s="104"/>
      <c r="J527" s="107"/>
      <c r="K527" s="234">
        <v>9</v>
      </c>
      <c r="L527" s="43">
        <v>1155</v>
      </c>
      <c r="M527" s="235">
        <f t="shared" ref="M527:M532" si="74">L527*$K527</f>
        <v>10395</v>
      </c>
      <c r="N527" s="207">
        <v>2</v>
      </c>
      <c r="O527" s="172">
        <v>1155</v>
      </c>
      <c r="P527" s="269">
        <f t="shared" si="73"/>
        <v>2310</v>
      </c>
      <c r="Q527" s="275">
        <f t="shared" ref="Q527:Q590" si="75">K527-N527</f>
        <v>7</v>
      </c>
      <c r="R527" s="176">
        <f t="shared" ref="R527:R590" si="76">L527-O527</f>
        <v>0</v>
      </c>
      <c r="S527" s="276">
        <f t="shared" ref="S527:S590" si="77">M527-P527</f>
        <v>8085</v>
      </c>
    </row>
    <row r="528" spans="1:19" x14ac:dyDescent="0.35">
      <c r="A528" s="131"/>
      <c r="B528" s="34"/>
      <c r="C528" s="34" t="s">
        <v>337</v>
      </c>
      <c r="D528" s="34"/>
      <c r="E528" s="48" t="s">
        <v>596</v>
      </c>
      <c r="F528" s="103" t="s">
        <v>336</v>
      </c>
      <c r="G528" s="104"/>
      <c r="H528" s="104"/>
      <c r="I528" s="104"/>
      <c r="J528" s="107"/>
      <c r="K528" s="234">
        <f>0</f>
        <v>0</v>
      </c>
      <c r="L528" s="43">
        <v>938.06</v>
      </c>
      <c r="M528" s="235">
        <f t="shared" si="74"/>
        <v>0</v>
      </c>
      <c r="N528" s="207">
        <v>3</v>
      </c>
      <c r="O528" s="172">
        <v>938</v>
      </c>
      <c r="P528" s="269">
        <f t="shared" si="73"/>
        <v>2814</v>
      </c>
      <c r="Q528" s="275">
        <f t="shared" si="75"/>
        <v>-3</v>
      </c>
      <c r="R528" s="176">
        <f t="shared" si="76"/>
        <v>5.999999999994543E-2</v>
      </c>
      <c r="S528" s="276">
        <f t="shared" si="77"/>
        <v>-2814</v>
      </c>
    </row>
    <row r="529" spans="1:19" x14ac:dyDescent="0.35">
      <c r="A529" s="131"/>
      <c r="B529" s="34"/>
      <c r="C529" s="34" t="s">
        <v>597</v>
      </c>
      <c r="D529" s="34"/>
      <c r="E529" s="48" t="s">
        <v>635</v>
      </c>
      <c r="F529" s="103" t="s">
        <v>336</v>
      </c>
      <c r="G529" s="104"/>
      <c r="H529" s="104"/>
      <c r="I529" s="104"/>
      <c r="J529" s="107"/>
      <c r="K529" s="234">
        <v>10</v>
      </c>
      <c r="L529" s="43">
        <v>469.07</v>
      </c>
      <c r="M529" s="235">
        <f t="shared" si="74"/>
        <v>4690.7</v>
      </c>
      <c r="N529" s="207">
        <v>6</v>
      </c>
      <c r="O529" s="172">
        <v>469</v>
      </c>
      <c r="P529" s="269">
        <f t="shared" si="73"/>
        <v>2814</v>
      </c>
      <c r="Q529" s="275">
        <f t="shared" si="75"/>
        <v>4</v>
      </c>
      <c r="R529" s="176">
        <f t="shared" si="76"/>
        <v>6.9999999999993179E-2</v>
      </c>
      <c r="S529" s="276">
        <f t="shared" si="77"/>
        <v>1876.6999999999998</v>
      </c>
    </row>
    <row r="530" spans="1:19" ht="46" x14ac:dyDescent="0.35">
      <c r="A530" s="131"/>
      <c r="B530" s="34"/>
      <c r="C530" s="34" t="s">
        <v>598</v>
      </c>
      <c r="D530" s="34"/>
      <c r="E530" s="97" t="s">
        <v>945</v>
      </c>
      <c r="F530" s="103" t="s">
        <v>338</v>
      </c>
      <c r="G530" s="104"/>
      <c r="H530" s="104"/>
      <c r="I530" s="104"/>
      <c r="J530" s="107"/>
      <c r="K530" s="234">
        <f>'electrical circuit breaku'!I15+'electrical circuit breaku'!K15</f>
        <v>34</v>
      </c>
      <c r="L530" s="43">
        <v>106.86</v>
      </c>
      <c r="M530" s="235">
        <f t="shared" si="74"/>
        <v>3633.24</v>
      </c>
      <c r="N530" s="207">
        <v>0</v>
      </c>
      <c r="O530" s="172">
        <v>106.86</v>
      </c>
      <c r="P530" s="269">
        <f t="shared" si="73"/>
        <v>0</v>
      </c>
      <c r="Q530" s="275">
        <f t="shared" si="75"/>
        <v>34</v>
      </c>
      <c r="R530" s="176">
        <f t="shared" si="76"/>
        <v>0</v>
      </c>
      <c r="S530" s="276">
        <f t="shared" si="77"/>
        <v>3633.24</v>
      </c>
    </row>
    <row r="531" spans="1:19" ht="34.5" x14ac:dyDescent="0.35">
      <c r="A531" s="131"/>
      <c r="B531" s="34"/>
      <c r="C531" s="34" t="s">
        <v>599</v>
      </c>
      <c r="D531" s="34"/>
      <c r="E531" s="97" t="s">
        <v>634</v>
      </c>
      <c r="F531" s="103" t="s">
        <v>338</v>
      </c>
      <c r="G531" s="104"/>
      <c r="H531" s="104"/>
      <c r="I531" s="104"/>
      <c r="J531" s="107"/>
      <c r="K531" s="234">
        <f>'electrical circuit breaku'!I39+'electrical circuit breaku'!K39+'electrical circuit breaku'!I55+'electrical circuit breaku'!K55</f>
        <v>172</v>
      </c>
      <c r="L531" s="43">
        <v>138.72</v>
      </c>
      <c r="M531" s="235">
        <f t="shared" si="74"/>
        <v>23859.84</v>
      </c>
      <c r="N531" s="207">
        <v>0</v>
      </c>
      <c r="O531" s="172">
        <v>139</v>
      </c>
      <c r="P531" s="269">
        <f t="shared" si="73"/>
        <v>0</v>
      </c>
      <c r="Q531" s="275">
        <f t="shared" si="75"/>
        <v>172</v>
      </c>
      <c r="R531" s="176">
        <f t="shared" si="76"/>
        <v>-0.28000000000000114</v>
      </c>
      <c r="S531" s="276">
        <f t="shared" si="77"/>
        <v>23859.84</v>
      </c>
    </row>
    <row r="532" spans="1:19" ht="23" x14ac:dyDescent="0.35">
      <c r="A532" s="131"/>
      <c r="B532" s="34"/>
      <c r="C532" s="34" t="s">
        <v>600</v>
      </c>
      <c r="D532" s="34"/>
      <c r="E532" s="97" t="s">
        <v>739</v>
      </c>
      <c r="F532" s="103" t="s">
        <v>338</v>
      </c>
      <c r="G532" s="104"/>
      <c r="H532" s="104"/>
      <c r="I532" s="104"/>
      <c r="J532" s="107"/>
      <c r="K532" s="234">
        <f>'electrical circuit breaku'!I66+'electrical circuit breaku'!K66+'electrical circuit breaku'!I72+'electrical circuit breaku'!K72</f>
        <v>73</v>
      </c>
      <c r="L532" s="43">
        <v>168.23</v>
      </c>
      <c r="M532" s="235">
        <f t="shared" si="74"/>
        <v>12280.789999999999</v>
      </c>
      <c r="N532" s="207">
        <v>5</v>
      </c>
      <c r="O532" s="172">
        <v>168.23</v>
      </c>
      <c r="P532" s="269">
        <f t="shared" si="73"/>
        <v>841.15</v>
      </c>
      <c r="Q532" s="275">
        <f t="shared" si="75"/>
        <v>68</v>
      </c>
      <c r="R532" s="176">
        <f t="shared" si="76"/>
        <v>0</v>
      </c>
      <c r="S532" s="276">
        <f t="shared" si="77"/>
        <v>11439.64</v>
      </c>
    </row>
    <row r="533" spans="1:19" ht="69" x14ac:dyDescent="0.35">
      <c r="A533" s="131"/>
      <c r="B533" s="34"/>
      <c r="C533" s="34" t="s">
        <v>59</v>
      </c>
      <c r="D533" s="36" t="s">
        <v>637</v>
      </c>
      <c r="E533" s="39" t="s">
        <v>946</v>
      </c>
      <c r="F533" s="103"/>
      <c r="G533" s="104"/>
      <c r="H533" s="104"/>
      <c r="I533" s="104"/>
      <c r="J533" s="107"/>
      <c r="K533" s="234"/>
      <c r="L533" s="43"/>
      <c r="M533" s="235"/>
      <c r="N533" s="207"/>
      <c r="O533" s="172"/>
      <c r="P533" s="269"/>
      <c r="Q533" s="275"/>
      <c r="R533" s="176"/>
      <c r="S533" s="276"/>
    </row>
    <row r="534" spans="1:19" x14ac:dyDescent="0.35">
      <c r="A534" s="131"/>
      <c r="B534" s="34"/>
      <c r="C534" s="34" t="s">
        <v>137</v>
      </c>
      <c r="D534" s="34"/>
      <c r="E534" s="48" t="s">
        <v>335</v>
      </c>
      <c r="F534" s="105" t="s">
        <v>32</v>
      </c>
      <c r="G534" s="106"/>
      <c r="H534" s="106"/>
      <c r="I534" s="106"/>
      <c r="J534" s="225"/>
      <c r="K534" s="234">
        <v>0</v>
      </c>
      <c r="L534" s="43">
        <v>1768.81</v>
      </c>
      <c r="M534" s="235">
        <f>L534*$K534</f>
        <v>0</v>
      </c>
      <c r="N534" s="207">
        <v>0</v>
      </c>
      <c r="O534" s="172">
        <v>1768.81</v>
      </c>
      <c r="P534" s="269">
        <f t="shared" si="73"/>
        <v>0</v>
      </c>
      <c r="Q534" s="275">
        <f t="shared" si="75"/>
        <v>0</v>
      </c>
      <c r="R534" s="176">
        <f t="shared" si="76"/>
        <v>0</v>
      </c>
      <c r="S534" s="276">
        <f t="shared" si="77"/>
        <v>0</v>
      </c>
    </row>
    <row r="535" spans="1:19" x14ac:dyDescent="0.35">
      <c r="A535" s="131"/>
      <c r="B535" s="34"/>
      <c r="C535" s="34" t="s">
        <v>139</v>
      </c>
      <c r="D535" s="34"/>
      <c r="E535" s="48" t="s">
        <v>596</v>
      </c>
      <c r="F535" s="105" t="s">
        <v>32</v>
      </c>
      <c r="G535" s="106"/>
      <c r="H535" s="106"/>
      <c r="I535" s="106"/>
      <c r="J535" s="225"/>
      <c r="K535" s="234">
        <v>0</v>
      </c>
      <c r="L535" s="43">
        <v>1546.99</v>
      </c>
      <c r="M535" s="235">
        <f>L535*$K535</f>
        <v>0</v>
      </c>
      <c r="N535" s="207">
        <v>0</v>
      </c>
      <c r="O535" s="172">
        <v>1547</v>
      </c>
      <c r="P535" s="269">
        <f t="shared" si="73"/>
        <v>0</v>
      </c>
      <c r="Q535" s="275">
        <f t="shared" si="75"/>
        <v>0</v>
      </c>
      <c r="R535" s="176">
        <f t="shared" si="76"/>
        <v>-9.9999999999909051E-3</v>
      </c>
      <c r="S535" s="276">
        <f t="shared" si="77"/>
        <v>0</v>
      </c>
    </row>
    <row r="536" spans="1:19" x14ac:dyDescent="0.35">
      <c r="A536" s="131"/>
      <c r="B536" s="34"/>
      <c r="C536" s="34" t="s">
        <v>249</v>
      </c>
      <c r="D536" s="34"/>
      <c r="E536" s="48" t="s">
        <v>635</v>
      </c>
      <c r="F536" s="105" t="s">
        <v>32</v>
      </c>
      <c r="G536" s="106"/>
      <c r="H536" s="106"/>
      <c r="I536" s="106"/>
      <c r="J536" s="225"/>
      <c r="K536" s="234">
        <v>0</v>
      </c>
      <c r="L536" s="43">
        <v>837.47</v>
      </c>
      <c r="M536" s="235">
        <f>L536*$K536</f>
        <v>0</v>
      </c>
      <c r="N536" s="207">
        <v>0</v>
      </c>
      <c r="O536" s="172">
        <v>837</v>
      </c>
      <c r="P536" s="269">
        <f t="shared" si="73"/>
        <v>0</v>
      </c>
      <c r="Q536" s="275">
        <f t="shared" si="75"/>
        <v>0</v>
      </c>
      <c r="R536" s="176">
        <f t="shared" si="76"/>
        <v>0.47000000000002728</v>
      </c>
      <c r="S536" s="276">
        <f t="shared" si="77"/>
        <v>0</v>
      </c>
    </row>
    <row r="537" spans="1:19" ht="46" x14ac:dyDescent="0.35">
      <c r="A537" s="131"/>
      <c r="B537" s="34"/>
      <c r="C537" s="34" t="s">
        <v>656</v>
      </c>
      <c r="D537" s="34"/>
      <c r="E537" s="97" t="s">
        <v>947</v>
      </c>
      <c r="F537" s="103" t="s">
        <v>339</v>
      </c>
      <c r="G537" s="104"/>
      <c r="H537" s="104"/>
      <c r="I537" s="104"/>
      <c r="J537" s="107"/>
      <c r="K537" s="234">
        <v>0</v>
      </c>
      <c r="L537" s="43">
        <v>167.83</v>
      </c>
      <c r="M537" s="235">
        <f>L537*$K537</f>
        <v>0</v>
      </c>
      <c r="N537" s="207">
        <v>0</v>
      </c>
      <c r="O537" s="172">
        <v>168</v>
      </c>
      <c r="P537" s="269">
        <f t="shared" si="73"/>
        <v>0</v>
      </c>
      <c r="Q537" s="275">
        <f t="shared" si="75"/>
        <v>0</v>
      </c>
      <c r="R537" s="176">
        <f t="shared" si="76"/>
        <v>-0.16999999999998749</v>
      </c>
      <c r="S537" s="276">
        <f t="shared" si="77"/>
        <v>0</v>
      </c>
    </row>
    <row r="538" spans="1:19" ht="34.5" x14ac:dyDescent="0.35">
      <c r="A538" s="131"/>
      <c r="B538" s="34"/>
      <c r="C538" s="34" t="s">
        <v>657</v>
      </c>
      <c r="D538" s="34"/>
      <c r="E538" s="97" t="s">
        <v>638</v>
      </c>
      <c r="F538" s="103" t="s">
        <v>339</v>
      </c>
      <c r="G538" s="107"/>
      <c r="H538" s="107"/>
      <c r="I538" s="107"/>
      <c r="J538" s="107"/>
      <c r="K538" s="248">
        <v>0</v>
      </c>
      <c r="L538" s="43">
        <v>197.08</v>
      </c>
      <c r="M538" s="235">
        <f>L538*$K538</f>
        <v>0</v>
      </c>
      <c r="N538" s="207">
        <v>0</v>
      </c>
      <c r="O538" s="172">
        <v>197</v>
      </c>
      <c r="P538" s="269">
        <f t="shared" si="73"/>
        <v>0</v>
      </c>
      <c r="Q538" s="275">
        <f t="shared" si="75"/>
        <v>0</v>
      </c>
      <c r="R538" s="176">
        <f t="shared" si="76"/>
        <v>8.0000000000012506E-2</v>
      </c>
      <c r="S538" s="276">
        <f t="shared" si="77"/>
        <v>0</v>
      </c>
    </row>
    <row r="539" spans="1:19" x14ac:dyDescent="0.35">
      <c r="A539" s="131"/>
      <c r="B539" s="34"/>
      <c r="C539" s="34" t="s">
        <v>92</v>
      </c>
      <c r="D539" s="34"/>
      <c r="E539" s="92" t="s">
        <v>751</v>
      </c>
      <c r="F539" s="103"/>
      <c r="G539" s="107"/>
      <c r="H539" s="107"/>
      <c r="I539" s="107"/>
      <c r="J539" s="107"/>
      <c r="K539" s="249"/>
      <c r="L539" s="109"/>
      <c r="M539" s="235"/>
      <c r="N539" s="207"/>
      <c r="O539" s="172"/>
      <c r="P539" s="269">
        <f t="shared" si="73"/>
        <v>0</v>
      </c>
      <c r="Q539" s="275"/>
      <c r="R539" s="176"/>
      <c r="S539" s="276"/>
    </row>
    <row r="540" spans="1:19" ht="92" x14ac:dyDescent="0.35">
      <c r="A540" s="131"/>
      <c r="B540" s="34"/>
      <c r="C540" s="34"/>
      <c r="D540" s="34"/>
      <c r="E540" s="97" t="s">
        <v>752</v>
      </c>
      <c r="F540" s="103"/>
      <c r="G540" s="107"/>
      <c r="H540" s="107"/>
      <c r="I540" s="107"/>
      <c r="J540" s="107"/>
      <c r="K540" s="249"/>
      <c r="L540" s="109"/>
      <c r="M540" s="235"/>
      <c r="N540" s="207"/>
      <c r="O540" s="172"/>
      <c r="P540" s="269"/>
      <c r="Q540" s="275"/>
      <c r="R540" s="176"/>
      <c r="S540" s="276"/>
    </row>
    <row r="541" spans="1:19" x14ac:dyDescent="0.35">
      <c r="A541" s="131"/>
      <c r="B541" s="34"/>
      <c r="C541" s="34" t="s">
        <v>602</v>
      </c>
      <c r="D541" s="34"/>
      <c r="E541" s="97" t="s">
        <v>753</v>
      </c>
      <c r="F541" s="103" t="s">
        <v>336</v>
      </c>
      <c r="G541" s="107"/>
      <c r="H541" s="107"/>
      <c r="I541" s="107"/>
      <c r="J541" s="107"/>
      <c r="K541" s="250">
        <v>8</v>
      </c>
      <c r="L541" s="43">
        <v>1493.5</v>
      </c>
      <c r="M541" s="235">
        <f>L541*$K541</f>
        <v>11948</v>
      </c>
      <c r="N541" s="207">
        <v>3</v>
      </c>
      <c r="O541" s="172">
        <v>1494.5</v>
      </c>
      <c r="P541" s="269">
        <f t="shared" si="73"/>
        <v>4483.5</v>
      </c>
      <c r="Q541" s="275">
        <f t="shared" si="75"/>
        <v>5</v>
      </c>
      <c r="R541" s="176">
        <f t="shared" si="76"/>
        <v>-1</v>
      </c>
      <c r="S541" s="276">
        <f t="shared" si="77"/>
        <v>7464.5</v>
      </c>
    </row>
    <row r="542" spans="1:19" ht="23" x14ac:dyDescent="0.35">
      <c r="A542" s="131"/>
      <c r="B542" s="34"/>
      <c r="C542" s="34" t="s">
        <v>603</v>
      </c>
      <c r="D542" s="34"/>
      <c r="E542" s="97" t="s">
        <v>754</v>
      </c>
      <c r="F542" s="103" t="s">
        <v>336</v>
      </c>
      <c r="G542" s="107"/>
      <c r="H542" s="107"/>
      <c r="I542" s="107"/>
      <c r="J542" s="107"/>
      <c r="K542" s="250">
        <v>1</v>
      </c>
      <c r="L542" s="43">
        <v>906.4</v>
      </c>
      <c r="M542" s="235">
        <f>L542*$K542</f>
        <v>906.4</v>
      </c>
      <c r="N542" s="207">
        <v>10</v>
      </c>
      <c r="O542" s="172">
        <v>906.4</v>
      </c>
      <c r="P542" s="269">
        <f t="shared" si="73"/>
        <v>9064</v>
      </c>
      <c r="Q542" s="275">
        <f t="shared" si="75"/>
        <v>-9</v>
      </c>
      <c r="R542" s="176">
        <f t="shared" si="76"/>
        <v>0</v>
      </c>
      <c r="S542" s="276">
        <f t="shared" si="77"/>
        <v>-8157.6</v>
      </c>
    </row>
    <row r="543" spans="1:19" x14ac:dyDescent="0.35">
      <c r="A543" s="131"/>
      <c r="B543" s="34"/>
      <c r="C543" s="34" t="s">
        <v>604</v>
      </c>
      <c r="D543" s="34"/>
      <c r="E543" s="97" t="s">
        <v>755</v>
      </c>
      <c r="F543" s="103" t="s">
        <v>336</v>
      </c>
      <c r="G543" s="107"/>
      <c r="H543" s="107"/>
      <c r="I543" s="107"/>
      <c r="J543" s="107"/>
      <c r="K543" s="250">
        <v>12</v>
      </c>
      <c r="L543" s="43">
        <v>1545</v>
      </c>
      <c r="M543" s="235">
        <f>L543*$K543</f>
        <v>18540</v>
      </c>
      <c r="N543" s="207">
        <v>2</v>
      </c>
      <c r="O543" s="172">
        <v>1545</v>
      </c>
      <c r="P543" s="269">
        <f t="shared" si="73"/>
        <v>3090</v>
      </c>
      <c r="Q543" s="275">
        <f t="shared" si="75"/>
        <v>10</v>
      </c>
      <c r="R543" s="176">
        <f t="shared" si="76"/>
        <v>0</v>
      </c>
      <c r="S543" s="276">
        <f t="shared" si="77"/>
        <v>15450</v>
      </c>
    </row>
    <row r="544" spans="1:19" ht="23" x14ac:dyDescent="0.35">
      <c r="A544" s="131"/>
      <c r="B544" s="34"/>
      <c r="C544" s="34" t="s">
        <v>605</v>
      </c>
      <c r="D544" s="34"/>
      <c r="E544" s="97" t="s">
        <v>756</v>
      </c>
      <c r="F544" s="103" t="s">
        <v>336</v>
      </c>
      <c r="G544" s="107"/>
      <c r="H544" s="107"/>
      <c r="I544" s="107"/>
      <c r="J544" s="107"/>
      <c r="K544" s="250">
        <v>6</v>
      </c>
      <c r="L544" s="43">
        <v>1081.5</v>
      </c>
      <c r="M544" s="235">
        <f>L544*$K544</f>
        <v>6489</v>
      </c>
      <c r="N544" s="207">
        <v>5</v>
      </c>
      <c r="O544" s="172">
        <v>1081.5</v>
      </c>
      <c r="P544" s="269">
        <f t="shared" si="73"/>
        <v>5407.5</v>
      </c>
      <c r="Q544" s="275">
        <f t="shared" si="75"/>
        <v>1</v>
      </c>
      <c r="R544" s="176">
        <f t="shared" si="76"/>
        <v>0</v>
      </c>
      <c r="S544" s="276">
        <f t="shared" si="77"/>
        <v>1081.5</v>
      </c>
    </row>
    <row r="545" spans="1:19" ht="34.5" x14ac:dyDescent="0.35">
      <c r="A545" s="131"/>
      <c r="B545" s="34"/>
      <c r="C545" s="34" t="s">
        <v>658</v>
      </c>
      <c r="D545" s="34"/>
      <c r="E545" s="97" t="s">
        <v>757</v>
      </c>
      <c r="F545" s="103" t="s">
        <v>336</v>
      </c>
      <c r="G545" s="107"/>
      <c r="H545" s="107"/>
      <c r="I545" s="107"/>
      <c r="J545" s="107"/>
      <c r="K545" s="250"/>
      <c r="L545" s="43">
        <v>311.97000000000003</v>
      </c>
      <c r="M545" s="235">
        <f>L545*$K545</f>
        <v>0</v>
      </c>
      <c r="N545" s="207">
        <v>0</v>
      </c>
      <c r="O545" s="172">
        <v>312</v>
      </c>
      <c r="P545" s="269">
        <f t="shared" si="73"/>
        <v>0</v>
      </c>
      <c r="Q545" s="275">
        <f t="shared" si="75"/>
        <v>0</v>
      </c>
      <c r="R545" s="176">
        <f t="shared" si="76"/>
        <v>-2.9999999999972715E-2</v>
      </c>
      <c r="S545" s="276">
        <f t="shared" si="77"/>
        <v>0</v>
      </c>
    </row>
    <row r="546" spans="1:19" ht="92" x14ac:dyDescent="0.35">
      <c r="A546" s="131"/>
      <c r="B546" s="34"/>
      <c r="C546" s="34" t="s">
        <v>86</v>
      </c>
      <c r="D546" s="34"/>
      <c r="E546" s="97" t="s">
        <v>758</v>
      </c>
      <c r="F546" s="103"/>
      <c r="G546" s="107"/>
      <c r="H546" s="107"/>
      <c r="I546" s="107"/>
      <c r="J546" s="107"/>
      <c r="K546" s="250"/>
      <c r="L546" s="43"/>
      <c r="M546" s="235"/>
      <c r="N546" s="207"/>
      <c r="O546" s="172"/>
      <c r="P546" s="269"/>
      <c r="Q546" s="275"/>
      <c r="R546" s="176"/>
      <c r="S546" s="276"/>
    </row>
    <row r="547" spans="1:19" ht="23" x14ac:dyDescent="0.35">
      <c r="A547" s="131"/>
      <c r="B547" s="34"/>
      <c r="C547" s="34" t="s">
        <v>606</v>
      </c>
      <c r="D547" s="34"/>
      <c r="E547" s="97" t="s">
        <v>759</v>
      </c>
      <c r="F547" s="103" t="s">
        <v>336</v>
      </c>
      <c r="G547" s="107"/>
      <c r="H547" s="107"/>
      <c r="I547" s="107"/>
      <c r="J547" s="107"/>
      <c r="K547" s="250"/>
      <c r="L547" s="43">
        <v>2200</v>
      </c>
      <c r="M547" s="235">
        <f>L547*$K547</f>
        <v>0</v>
      </c>
      <c r="N547" s="207">
        <v>5</v>
      </c>
      <c r="O547" s="172">
        <v>2200</v>
      </c>
      <c r="P547" s="269">
        <f t="shared" si="73"/>
        <v>11000</v>
      </c>
      <c r="Q547" s="275">
        <f t="shared" si="75"/>
        <v>-5</v>
      </c>
      <c r="R547" s="176">
        <f t="shared" si="76"/>
        <v>0</v>
      </c>
      <c r="S547" s="276">
        <f t="shared" si="77"/>
        <v>-11000</v>
      </c>
    </row>
    <row r="548" spans="1:19" ht="23" x14ac:dyDescent="0.35">
      <c r="A548" s="131"/>
      <c r="B548" s="34"/>
      <c r="C548" s="34" t="s">
        <v>607</v>
      </c>
      <c r="D548" s="34"/>
      <c r="E548" s="97" t="s">
        <v>760</v>
      </c>
      <c r="F548" s="103" t="s">
        <v>336</v>
      </c>
      <c r="G548" s="107"/>
      <c r="H548" s="107"/>
      <c r="I548" s="107"/>
      <c r="J548" s="107"/>
      <c r="K548" s="250"/>
      <c r="L548" s="43">
        <v>1100</v>
      </c>
      <c r="M548" s="235">
        <f>L548*$K548</f>
        <v>0</v>
      </c>
      <c r="N548" s="207">
        <v>14</v>
      </c>
      <c r="O548" s="172">
        <v>1100</v>
      </c>
      <c r="P548" s="269">
        <f t="shared" si="73"/>
        <v>15400</v>
      </c>
      <c r="Q548" s="275">
        <f t="shared" si="75"/>
        <v>-14</v>
      </c>
      <c r="R548" s="176">
        <f t="shared" si="76"/>
        <v>0</v>
      </c>
      <c r="S548" s="276">
        <f t="shared" si="77"/>
        <v>-15400</v>
      </c>
    </row>
    <row r="549" spans="1:19" ht="34.5" x14ac:dyDescent="0.35">
      <c r="A549" s="131"/>
      <c r="B549" s="34"/>
      <c r="C549" s="34" t="s">
        <v>608</v>
      </c>
      <c r="D549" s="34"/>
      <c r="E549" s="97" t="s">
        <v>761</v>
      </c>
      <c r="F549" s="103" t="s">
        <v>336</v>
      </c>
      <c r="G549" s="107"/>
      <c r="H549" s="107"/>
      <c r="I549" s="107"/>
      <c r="J549" s="107"/>
      <c r="K549" s="250"/>
      <c r="L549" s="43">
        <v>396.32</v>
      </c>
      <c r="M549" s="235">
        <f>L549*$K549</f>
        <v>0</v>
      </c>
      <c r="N549" s="207">
        <v>0</v>
      </c>
      <c r="O549" s="172">
        <v>396.32</v>
      </c>
      <c r="P549" s="269">
        <f t="shared" si="73"/>
        <v>0</v>
      </c>
      <c r="Q549" s="275">
        <f t="shared" si="75"/>
        <v>0</v>
      </c>
      <c r="R549" s="176">
        <f t="shared" si="76"/>
        <v>0</v>
      </c>
      <c r="S549" s="276">
        <f t="shared" si="77"/>
        <v>0</v>
      </c>
    </row>
    <row r="550" spans="1:19" ht="46" x14ac:dyDescent="0.35">
      <c r="A550" s="131"/>
      <c r="B550" s="34"/>
      <c r="C550" s="34" t="s">
        <v>609</v>
      </c>
      <c r="D550" s="34"/>
      <c r="E550" s="97" t="s">
        <v>762</v>
      </c>
      <c r="F550" s="103" t="s">
        <v>339</v>
      </c>
      <c r="G550" s="107"/>
      <c r="H550" s="107"/>
      <c r="I550" s="107"/>
      <c r="J550" s="107"/>
      <c r="K550" s="250">
        <f>'electrical circuit breaku'!I66</f>
        <v>21</v>
      </c>
      <c r="L550" s="43">
        <v>309</v>
      </c>
      <c r="M550" s="235">
        <f>L550*$K550</f>
        <v>6489</v>
      </c>
      <c r="N550" s="207">
        <v>133</v>
      </c>
      <c r="O550" s="172">
        <v>309</v>
      </c>
      <c r="P550" s="269">
        <f t="shared" si="73"/>
        <v>41097</v>
      </c>
      <c r="Q550" s="275">
        <f t="shared" si="75"/>
        <v>-112</v>
      </c>
      <c r="R550" s="176">
        <f t="shared" si="76"/>
        <v>0</v>
      </c>
      <c r="S550" s="276">
        <f t="shared" si="77"/>
        <v>-34608</v>
      </c>
    </row>
    <row r="551" spans="1:19" x14ac:dyDescent="0.35">
      <c r="A551" s="131"/>
      <c r="B551" s="34"/>
      <c r="C551" s="34" t="s">
        <v>94</v>
      </c>
      <c r="D551" s="34"/>
      <c r="E551" s="92" t="s">
        <v>763</v>
      </c>
      <c r="F551" s="103"/>
      <c r="G551" s="107"/>
      <c r="H551" s="107"/>
      <c r="I551" s="107"/>
      <c r="J551" s="107"/>
      <c r="K551" s="250"/>
      <c r="L551" s="43"/>
      <c r="M551" s="235"/>
      <c r="N551" s="207"/>
      <c r="O551" s="172"/>
      <c r="P551" s="269"/>
      <c r="Q551" s="275"/>
      <c r="R551" s="176"/>
      <c r="S551" s="276"/>
    </row>
    <row r="552" spans="1:19" ht="92" x14ac:dyDescent="0.35">
      <c r="A552" s="131"/>
      <c r="B552" s="34"/>
      <c r="C552" s="34"/>
      <c r="D552" s="34"/>
      <c r="E552" s="97" t="s">
        <v>764</v>
      </c>
      <c r="F552" s="103"/>
      <c r="G552" s="107"/>
      <c r="H552" s="107"/>
      <c r="I552" s="107"/>
      <c r="J552" s="107"/>
      <c r="K552" s="250"/>
      <c r="L552" s="43"/>
      <c r="M552" s="235"/>
      <c r="N552" s="207"/>
      <c r="O552" s="172"/>
      <c r="P552" s="269"/>
      <c r="Q552" s="275"/>
      <c r="R552" s="176"/>
      <c r="S552" s="276"/>
    </row>
    <row r="553" spans="1:19" x14ac:dyDescent="0.35">
      <c r="A553" s="131"/>
      <c r="B553" s="34"/>
      <c r="C553" s="34" t="s">
        <v>529</v>
      </c>
      <c r="D553" s="34"/>
      <c r="E553" s="97" t="s">
        <v>753</v>
      </c>
      <c r="F553" s="103" t="s">
        <v>336</v>
      </c>
      <c r="G553" s="107"/>
      <c r="H553" s="107"/>
      <c r="I553" s="107"/>
      <c r="J553" s="107"/>
      <c r="K553" s="250">
        <v>0</v>
      </c>
      <c r="L553" s="43">
        <v>1751</v>
      </c>
      <c r="M553" s="235">
        <f>L553*$K553</f>
        <v>0</v>
      </c>
      <c r="N553" s="207">
        <v>0</v>
      </c>
      <c r="O553" s="172">
        <v>1751</v>
      </c>
      <c r="P553" s="269">
        <f t="shared" si="73"/>
        <v>0</v>
      </c>
      <c r="Q553" s="275">
        <f t="shared" si="75"/>
        <v>0</v>
      </c>
      <c r="R553" s="176">
        <f t="shared" si="76"/>
        <v>0</v>
      </c>
      <c r="S553" s="276">
        <f t="shared" si="77"/>
        <v>0</v>
      </c>
    </row>
    <row r="554" spans="1:19" ht="23" x14ac:dyDescent="0.35">
      <c r="A554" s="131"/>
      <c r="B554" s="34"/>
      <c r="C554" s="34" t="s">
        <v>765</v>
      </c>
      <c r="D554" s="34"/>
      <c r="E554" s="97" t="s">
        <v>754</v>
      </c>
      <c r="F554" s="103" t="s">
        <v>336</v>
      </c>
      <c r="G554" s="107"/>
      <c r="H554" s="107"/>
      <c r="I554" s="107"/>
      <c r="J554" s="107"/>
      <c r="K554" s="250">
        <v>0</v>
      </c>
      <c r="L554" s="43">
        <v>1081.5</v>
      </c>
      <c r="M554" s="235">
        <f>L554*$K554</f>
        <v>0</v>
      </c>
      <c r="N554" s="207">
        <v>0</v>
      </c>
      <c r="O554" s="172">
        <v>1082</v>
      </c>
      <c r="P554" s="269">
        <f t="shared" si="73"/>
        <v>0</v>
      </c>
      <c r="Q554" s="275">
        <f t="shared" si="75"/>
        <v>0</v>
      </c>
      <c r="R554" s="176">
        <f t="shared" si="76"/>
        <v>-0.5</v>
      </c>
      <c r="S554" s="276">
        <f t="shared" si="77"/>
        <v>0</v>
      </c>
    </row>
    <row r="555" spans="1:19" x14ac:dyDescent="0.35">
      <c r="A555" s="131"/>
      <c r="B555" s="34"/>
      <c r="C555" s="34" t="s">
        <v>766</v>
      </c>
      <c r="D555" s="34"/>
      <c r="E555" s="97" t="s">
        <v>755</v>
      </c>
      <c r="F555" s="103" t="s">
        <v>336</v>
      </c>
      <c r="G555" s="107"/>
      <c r="H555" s="107"/>
      <c r="I555" s="107"/>
      <c r="J555" s="107"/>
      <c r="K555" s="250">
        <v>0</v>
      </c>
      <c r="L555" s="43">
        <v>2008.5</v>
      </c>
      <c r="M555" s="235">
        <f>L555*$K555</f>
        <v>0</v>
      </c>
      <c r="N555" s="207">
        <v>0</v>
      </c>
      <c r="O555" s="172">
        <v>2009</v>
      </c>
      <c r="P555" s="269">
        <f t="shared" si="73"/>
        <v>0</v>
      </c>
      <c r="Q555" s="275">
        <f t="shared" si="75"/>
        <v>0</v>
      </c>
      <c r="R555" s="176">
        <f t="shared" si="76"/>
        <v>-0.5</v>
      </c>
      <c r="S555" s="276">
        <f t="shared" si="77"/>
        <v>0</v>
      </c>
    </row>
    <row r="556" spans="1:19" ht="23" x14ac:dyDescent="0.35">
      <c r="A556" s="131"/>
      <c r="B556" s="34"/>
      <c r="C556" s="34" t="s">
        <v>767</v>
      </c>
      <c r="D556" s="34"/>
      <c r="E556" s="97" t="s">
        <v>756</v>
      </c>
      <c r="F556" s="103" t="s">
        <v>336</v>
      </c>
      <c r="G556" s="107"/>
      <c r="H556" s="107"/>
      <c r="I556" s="107"/>
      <c r="J556" s="107"/>
      <c r="K556" s="250">
        <v>0</v>
      </c>
      <c r="L556" s="43">
        <v>1158.75</v>
      </c>
      <c r="M556" s="235">
        <f>L556*$K556</f>
        <v>0</v>
      </c>
      <c r="N556" s="207">
        <v>0</v>
      </c>
      <c r="O556" s="172">
        <v>1158.75</v>
      </c>
      <c r="P556" s="269">
        <f t="shared" si="73"/>
        <v>0</v>
      </c>
      <c r="Q556" s="275">
        <f t="shared" si="75"/>
        <v>0</v>
      </c>
      <c r="R556" s="176">
        <f t="shared" si="76"/>
        <v>0</v>
      </c>
      <c r="S556" s="276">
        <f t="shared" si="77"/>
        <v>0</v>
      </c>
    </row>
    <row r="557" spans="1:19" ht="92" x14ac:dyDescent="0.35">
      <c r="A557" s="131"/>
      <c r="B557" s="34"/>
      <c r="C557" s="34" t="s">
        <v>97</v>
      </c>
      <c r="D557" s="34"/>
      <c r="E557" s="97" t="s">
        <v>768</v>
      </c>
      <c r="F557" s="103"/>
      <c r="G557" s="107"/>
      <c r="H557" s="107"/>
      <c r="I557" s="107"/>
      <c r="J557" s="107"/>
      <c r="K557" s="250"/>
      <c r="L557" s="43"/>
      <c r="M557" s="235"/>
      <c r="N557" s="207"/>
      <c r="O557" s="172"/>
      <c r="P557" s="269"/>
      <c r="Q557" s="275"/>
      <c r="R557" s="176"/>
      <c r="S557" s="276"/>
    </row>
    <row r="558" spans="1:19" ht="23" x14ac:dyDescent="0.35">
      <c r="A558" s="131"/>
      <c r="B558" s="34"/>
      <c r="C558" s="34" t="s">
        <v>660</v>
      </c>
      <c r="D558" s="34"/>
      <c r="E558" s="97" t="s">
        <v>759</v>
      </c>
      <c r="F558" s="103" t="s">
        <v>336</v>
      </c>
      <c r="G558" s="107"/>
      <c r="H558" s="107"/>
      <c r="I558" s="107"/>
      <c r="J558" s="107"/>
      <c r="K558" s="250">
        <v>0</v>
      </c>
      <c r="L558" s="43">
        <v>2163</v>
      </c>
      <c r="M558" s="235">
        <f>L558*$K558</f>
        <v>0</v>
      </c>
      <c r="N558" s="207">
        <v>0</v>
      </c>
      <c r="O558" s="172">
        <v>2613</v>
      </c>
      <c r="P558" s="269">
        <f t="shared" si="73"/>
        <v>0</v>
      </c>
      <c r="Q558" s="275">
        <f t="shared" si="75"/>
        <v>0</v>
      </c>
      <c r="R558" s="176">
        <f t="shared" si="76"/>
        <v>-450</v>
      </c>
      <c r="S558" s="276">
        <f t="shared" si="77"/>
        <v>0</v>
      </c>
    </row>
    <row r="559" spans="1:19" ht="23" x14ac:dyDescent="0.35">
      <c r="A559" s="131"/>
      <c r="B559" s="34"/>
      <c r="C559" s="34" t="s">
        <v>661</v>
      </c>
      <c r="D559" s="34"/>
      <c r="E559" s="97" t="s">
        <v>760</v>
      </c>
      <c r="F559" s="103" t="s">
        <v>336</v>
      </c>
      <c r="G559" s="107"/>
      <c r="H559" s="107"/>
      <c r="I559" s="107"/>
      <c r="J559" s="107"/>
      <c r="K559" s="250">
        <v>0</v>
      </c>
      <c r="L559" s="43">
        <v>1442</v>
      </c>
      <c r="M559" s="235">
        <f>L559*$K559</f>
        <v>0</v>
      </c>
      <c r="N559" s="207">
        <v>0</v>
      </c>
      <c r="O559" s="172">
        <v>1442</v>
      </c>
      <c r="P559" s="269">
        <f t="shared" si="73"/>
        <v>0</v>
      </c>
      <c r="Q559" s="275">
        <f t="shared" si="75"/>
        <v>0</v>
      </c>
      <c r="R559" s="176">
        <f t="shared" si="76"/>
        <v>0</v>
      </c>
      <c r="S559" s="276">
        <f t="shared" si="77"/>
        <v>0</v>
      </c>
    </row>
    <row r="560" spans="1:19" ht="34.5" x14ac:dyDescent="0.35">
      <c r="A560" s="131"/>
      <c r="B560" s="34"/>
      <c r="C560" s="34" t="s">
        <v>98</v>
      </c>
      <c r="D560" s="36" t="s">
        <v>340</v>
      </c>
      <c r="E560" s="97" t="s">
        <v>341</v>
      </c>
      <c r="F560" s="100"/>
      <c r="G560" s="111"/>
      <c r="H560" s="111"/>
      <c r="I560" s="111"/>
      <c r="J560" s="111"/>
      <c r="K560" s="248"/>
      <c r="L560" s="43"/>
      <c r="M560" s="235"/>
      <c r="N560" s="207"/>
      <c r="O560" s="172"/>
      <c r="P560" s="269"/>
      <c r="Q560" s="275"/>
      <c r="R560" s="176"/>
      <c r="S560" s="276"/>
    </row>
    <row r="561" spans="1:53" x14ac:dyDescent="0.35">
      <c r="A561" s="131"/>
      <c r="B561" s="34"/>
      <c r="C561" s="34" t="s">
        <v>769</v>
      </c>
      <c r="D561" s="36"/>
      <c r="E561" s="97" t="s">
        <v>342</v>
      </c>
      <c r="F561" s="103" t="s">
        <v>339</v>
      </c>
      <c r="G561" s="104"/>
      <c r="H561" s="104"/>
      <c r="I561" s="104"/>
      <c r="J561" s="107"/>
      <c r="K561" s="234">
        <v>0</v>
      </c>
      <c r="L561" s="43">
        <v>50.26</v>
      </c>
      <c r="M561" s="235">
        <f>L561*$K561</f>
        <v>0</v>
      </c>
      <c r="N561" s="207">
        <v>34</v>
      </c>
      <c r="O561" s="172">
        <v>50</v>
      </c>
      <c r="P561" s="269">
        <f t="shared" si="73"/>
        <v>1700</v>
      </c>
      <c r="Q561" s="275">
        <f t="shared" si="75"/>
        <v>-34</v>
      </c>
      <c r="R561" s="176">
        <f t="shared" si="76"/>
        <v>0.25999999999999801</v>
      </c>
      <c r="S561" s="276">
        <f t="shared" si="77"/>
        <v>-1700</v>
      </c>
    </row>
    <row r="562" spans="1:53" x14ac:dyDescent="0.35">
      <c r="A562" s="131"/>
      <c r="B562" s="34"/>
      <c r="C562" s="34" t="s">
        <v>770</v>
      </c>
      <c r="D562" s="36"/>
      <c r="E562" s="97" t="s">
        <v>343</v>
      </c>
      <c r="F562" s="103" t="s">
        <v>339</v>
      </c>
      <c r="G562" s="104"/>
      <c r="H562" s="104"/>
      <c r="I562" s="104"/>
      <c r="J562" s="107"/>
      <c r="K562" s="234">
        <v>0</v>
      </c>
      <c r="L562" s="43">
        <v>59.38</v>
      </c>
      <c r="M562" s="235">
        <f>L562*$K562</f>
        <v>0</v>
      </c>
      <c r="N562" s="207">
        <v>50</v>
      </c>
      <c r="O562" s="172">
        <v>59</v>
      </c>
      <c r="P562" s="269">
        <f t="shared" si="73"/>
        <v>2950</v>
      </c>
      <c r="Q562" s="275">
        <f t="shared" si="75"/>
        <v>-50</v>
      </c>
      <c r="R562" s="176">
        <f t="shared" si="76"/>
        <v>0.38000000000000256</v>
      </c>
      <c r="S562" s="276">
        <f t="shared" si="77"/>
        <v>-2950</v>
      </c>
    </row>
    <row r="563" spans="1:53" x14ac:dyDescent="0.35">
      <c r="A563" s="131"/>
      <c r="B563" s="34"/>
      <c r="C563" s="34" t="s">
        <v>771</v>
      </c>
      <c r="D563" s="34"/>
      <c r="E563" s="97" t="s">
        <v>344</v>
      </c>
      <c r="F563" s="103" t="s">
        <v>339</v>
      </c>
      <c r="G563" s="104"/>
      <c r="H563" s="104"/>
      <c r="I563" s="104"/>
      <c r="J563" s="107"/>
      <c r="K563" s="234">
        <v>0</v>
      </c>
      <c r="L563" s="43">
        <v>82.98</v>
      </c>
      <c r="M563" s="235">
        <f>L563*$K563</f>
        <v>0</v>
      </c>
      <c r="N563" s="207">
        <v>0</v>
      </c>
      <c r="O563" s="172">
        <v>83</v>
      </c>
      <c r="P563" s="269">
        <f t="shared" si="73"/>
        <v>0</v>
      </c>
      <c r="Q563" s="275">
        <f t="shared" si="75"/>
        <v>0</v>
      </c>
      <c r="R563" s="176">
        <f t="shared" si="76"/>
        <v>-1.9999999999996021E-2</v>
      </c>
      <c r="S563" s="276">
        <f t="shared" si="77"/>
        <v>0</v>
      </c>
    </row>
    <row r="564" spans="1:53" x14ac:dyDescent="0.35">
      <c r="A564" s="131"/>
      <c r="B564" s="34"/>
      <c r="C564" s="34" t="s">
        <v>772</v>
      </c>
      <c r="D564" s="34"/>
      <c r="E564" s="97" t="s">
        <v>345</v>
      </c>
      <c r="F564" s="103" t="s">
        <v>339</v>
      </c>
      <c r="G564" s="104"/>
      <c r="H564" s="104"/>
      <c r="I564" s="104"/>
      <c r="J564" s="107"/>
      <c r="K564" s="234">
        <v>0</v>
      </c>
      <c r="L564" s="43">
        <v>111.08</v>
      </c>
      <c r="M564" s="235">
        <f>L564*$K564</f>
        <v>0</v>
      </c>
      <c r="N564" s="207">
        <v>0</v>
      </c>
      <c r="O564" s="172">
        <v>111</v>
      </c>
      <c r="P564" s="269">
        <f t="shared" si="73"/>
        <v>0</v>
      </c>
      <c r="Q564" s="275">
        <f t="shared" si="75"/>
        <v>0</v>
      </c>
      <c r="R564" s="176">
        <f t="shared" si="76"/>
        <v>7.9999999999998295E-2</v>
      </c>
      <c r="S564" s="276">
        <f t="shared" si="77"/>
        <v>0</v>
      </c>
    </row>
    <row r="565" spans="1:53" x14ac:dyDescent="0.35">
      <c r="A565" s="131"/>
      <c r="B565" s="34"/>
      <c r="C565" s="34" t="s">
        <v>773</v>
      </c>
      <c r="D565" s="34"/>
      <c r="E565" s="97" t="s">
        <v>346</v>
      </c>
      <c r="F565" s="103" t="s">
        <v>339</v>
      </c>
      <c r="G565" s="104"/>
      <c r="H565" s="104"/>
      <c r="I565" s="104"/>
      <c r="J565" s="107"/>
      <c r="K565" s="234">
        <v>0</v>
      </c>
      <c r="L565" s="43">
        <v>150.62</v>
      </c>
      <c r="M565" s="235">
        <f>L565*$K565</f>
        <v>0</v>
      </c>
      <c r="N565" s="207">
        <v>0</v>
      </c>
      <c r="O565" s="172">
        <v>151</v>
      </c>
      <c r="P565" s="269">
        <f t="shared" si="73"/>
        <v>0</v>
      </c>
      <c r="Q565" s="275">
        <f t="shared" si="75"/>
        <v>0</v>
      </c>
      <c r="R565" s="176">
        <f t="shared" si="76"/>
        <v>-0.37999999999999545</v>
      </c>
      <c r="S565" s="276">
        <f t="shared" si="77"/>
        <v>0</v>
      </c>
    </row>
    <row r="566" spans="1:53" ht="34.5" x14ac:dyDescent="0.35">
      <c r="A566" s="131"/>
      <c r="B566" s="34"/>
      <c r="C566" s="34" t="s">
        <v>99</v>
      </c>
      <c r="D566" s="34"/>
      <c r="E566" s="97" t="s">
        <v>347</v>
      </c>
      <c r="F566" s="103"/>
      <c r="G566" s="104"/>
      <c r="H566" s="104"/>
      <c r="I566" s="104"/>
      <c r="J566" s="107"/>
      <c r="K566" s="234"/>
      <c r="L566" s="43"/>
      <c r="M566" s="235"/>
      <c r="N566" s="207"/>
      <c r="O566" s="172"/>
      <c r="P566" s="269"/>
      <c r="Q566" s="275"/>
      <c r="R566" s="176"/>
      <c r="S566" s="276"/>
    </row>
    <row r="567" spans="1:53" x14ac:dyDescent="0.35">
      <c r="A567" s="131"/>
      <c r="B567" s="34"/>
      <c r="C567" s="34" t="s">
        <v>774</v>
      </c>
      <c r="D567" s="34"/>
      <c r="E567" s="97" t="s">
        <v>342</v>
      </c>
      <c r="F567" s="103" t="s">
        <v>339</v>
      </c>
      <c r="G567" s="104"/>
      <c r="H567" s="104"/>
      <c r="I567" s="104"/>
      <c r="J567" s="107"/>
      <c r="K567" s="234">
        <v>0</v>
      </c>
      <c r="L567" s="43">
        <v>140.94999999999999</v>
      </c>
      <c r="M567" s="235">
        <f t="shared" ref="M567:M583" si="78">L567*$K567</f>
        <v>0</v>
      </c>
      <c r="N567" s="207">
        <v>0</v>
      </c>
      <c r="O567" s="172">
        <v>140.94999999999999</v>
      </c>
      <c r="P567" s="269">
        <f t="shared" si="73"/>
        <v>0</v>
      </c>
      <c r="Q567" s="275">
        <f t="shared" si="75"/>
        <v>0</v>
      </c>
      <c r="R567" s="176">
        <f t="shared" si="76"/>
        <v>0</v>
      </c>
      <c r="S567" s="276">
        <f t="shared" si="77"/>
        <v>0</v>
      </c>
    </row>
    <row r="568" spans="1:53" x14ac:dyDescent="0.35">
      <c r="A568" s="131"/>
      <c r="B568" s="34"/>
      <c r="C568" s="34" t="s">
        <v>775</v>
      </c>
      <c r="D568" s="34"/>
      <c r="E568" s="97" t="s">
        <v>343</v>
      </c>
      <c r="F568" s="103" t="s">
        <v>339</v>
      </c>
      <c r="G568" s="104"/>
      <c r="H568" s="104"/>
      <c r="I568" s="104"/>
      <c r="J568" s="107"/>
      <c r="K568" s="234">
        <v>0</v>
      </c>
      <c r="L568" s="43">
        <v>167.88</v>
      </c>
      <c r="M568" s="235">
        <f t="shared" si="78"/>
        <v>0</v>
      </c>
      <c r="N568" s="207">
        <v>0</v>
      </c>
      <c r="O568" s="172">
        <v>167.88</v>
      </c>
      <c r="P568" s="269">
        <f t="shared" si="73"/>
        <v>0</v>
      </c>
      <c r="Q568" s="275">
        <f t="shared" si="75"/>
        <v>0</v>
      </c>
      <c r="R568" s="176">
        <f t="shared" si="76"/>
        <v>0</v>
      </c>
      <c r="S568" s="276">
        <f t="shared" si="77"/>
        <v>0</v>
      </c>
    </row>
    <row r="569" spans="1:53" x14ac:dyDescent="0.35">
      <c r="A569" s="131"/>
      <c r="B569" s="34"/>
      <c r="C569" s="34" t="s">
        <v>776</v>
      </c>
      <c r="D569" s="34"/>
      <c r="E569" s="97" t="s">
        <v>344</v>
      </c>
      <c r="F569" s="103" t="s">
        <v>339</v>
      </c>
      <c r="G569" s="104"/>
      <c r="H569" s="104"/>
      <c r="I569" s="104"/>
      <c r="J569" s="107"/>
      <c r="K569" s="234">
        <v>0</v>
      </c>
      <c r="L569" s="43">
        <v>228.91</v>
      </c>
      <c r="M569" s="235">
        <f t="shared" si="78"/>
        <v>0</v>
      </c>
      <c r="N569" s="207">
        <v>0</v>
      </c>
      <c r="O569" s="172">
        <v>228.91</v>
      </c>
      <c r="P569" s="269">
        <f t="shared" ref="P569:P583" si="79">O569*N569</f>
        <v>0</v>
      </c>
      <c r="Q569" s="275">
        <f t="shared" si="75"/>
        <v>0</v>
      </c>
      <c r="R569" s="176">
        <f t="shared" si="76"/>
        <v>0</v>
      </c>
      <c r="S569" s="276">
        <f t="shared" si="77"/>
        <v>0</v>
      </c>
    </row>
    <row r="570" spans="1:53" x14ac:dyDescent="0.35">
      <c r="A570" s="131"/>
      <c r="B570" s="34"/>
      <c r="C570" s="34" t="s">
        <v>777</v>
      </c>
      <c r="D570" s="34"/>
      <c r="E570" s="97" t="s">
        <v>345</v>
      </c>
      <c r="F570" s="103" t="s">
        <v>339</v>
      </c>
      <c r="G570" s="104"/>
      <c r="H570" s="104"/>
      <c r="I570" s="104"/>
      <c r="J570" s="107"/>
      <c r="K570" s="234">
        <v>0</v>
      </c>
      <c r="L570" s="43">
        <v>363.39</v>
      </c>
      <c r="M570" s="235">
        <f t="shared" si="78"/>
        <v>0</v>
      </c>
      <c r="N570" s="207">
        <v>0</v>
      </c>
      <c r="O570" s="172">
        <v>363.39</v>
      </c>
      <c r="P570" s="269">
        <f t="shared" si="79"/>
        <v>0</v>
      </c>
      <c r="Q570" s="275">
        <f t="shared" si="75"/>
        <v>0</v>
      </c>
      <c r="R570" s="176">
        <f t="shared" si="76"/>
        <v>0</v>
      </c>
      <c r="S570" s="276">
        <f t="shared" si="77"/>
        <v>0</v>
      </c>
    </row>
    <row r="571" spans="1:53" x14ac:dyDescent="0.35">
      <c r="A571" s="131"/>
      <c r="B571" s="34"/>
      <c r="C571" s="34" t="s">
        <v>778</v>
      </c>
      <c r="D571" s="34"/>
      <c r="E571" s="97" t="s">
        <v>346</v>
      </c>
      <c r="F571" s="103" t="s">
        <v>339</v>
      </c>
      <c r="G571" s="104"/>
      <c r="H571" s="104"/>
      <c r="I571" s="104"/>
      <c r="J571" s="107"/>
      <c r="K571" s="234">
        <v>0</v>
      </c>
      <c r="L571" s="43">
        <v>454.79</v>
      </c>
      <c r="M571" s="235">
        <f t="shared" si="78"/>
        <v>0</v>
      </c>
      <c r="N571" s="207">
        <v>0</v>
      </c>
      <c r="O571" s="172">
        <v>454.79</v>
      </c>
      <c r="P571" s="269">
        <f t="shared" si="79"/>
        <v>0</v>
      </c>
      <c r="Q571" s="275">
        <f t="shared" si="75"/>
        <v>0</v>
      </c>
      <c r="R571" s="176">
        <f t="shared" si="76"/>
        <v>0</v>
      </c>
      <c r="S571" s="276">
        <f t="shared" si="77"/>
        <v>0</v>
      </c>
    </row>
    <row r="572" spans="1:53" ht="23" x14ac:dyDescent="0.35">
      <c r="A572" s="131"/>
      <c r="B572" s="34"/>
      <c r="C572" s="34" t="s">
        <v>100</v>
      </c>
      <c r="D572" s="34"/>
      <c r="E572" s="97" t="s">
        <v>907</v>
      </c>
      <c r="F572" s="103" t="s">
        <v>339</v>
      </c>
      <c r="G572" s="104"/>
      <c r="H572" s="104"/>
      <c r="I572" s="104"/>
      <c r="J572" s="107"/>
      <c r="K572" s="234">
        <f>SUM(K573:K579)</f>
        <v>110</v>
      </c>
      <c r="L572" s="43">
        <v>58.59</v>
      </c>
      <c r="M572" s="235">
        <f t="shared" si="78"/>
        <v>6444.9000000000005</v>
      </c>
      <c r="N572" s="207">
        <v>0</v>
      </c>
      <c r="O572" s="172">
        <v>59</v>
      </c>
      <c r="P572" s="269">
        <f t="shared" si="79"/>
        <v>0</v>
      </c>
      <c r="Q572" s="275">
        <f t="shared" si="75"/>
        <v>110</v>
      </c>
      <c r="R572" s="176">
        <f t="shared" si="76"/>
        <v>-0.40999999999999659</v>
      </c>
      <c r="S572" s="276">
        <f t="shared" si="77"/>
        <v>6444.9000000000005</v>
      </c>
    </row>
    <row r="573" spans="1:53" ht="23" x14ac:dyDescent="0.35">
      <c r="A573" s="131"/>
      <c r="B573" s="34"/>
      <c r="C573" s="112"/>
      <c r="D573" s="112"/>
      <c r="E573" s="97" t="s">
        <v>1055</v>
      </c>
      <c r="F573" s="113">
        <v>1</v>
      </c>
      <c r="G573" s="113">
        <v>30.5</v>
      </c>
      <c r="H573" s="113"/>
      <c r="I573" s="113"/>
      <c r="J573" s="108"/>
      <c r="K573" s="248">
        <f>G573*F573</f>
        <v>30.5</v>
      </c>
      <c r="L573" s="40"/>
      <c r="M573" s="251"/>
      <c r="N573" s="207"/>
      <c r="O573" s="172"/>
      <c r="P573" s="269">
        <f t="shared" si="79"/>
        <v>0</v>
      </c>
      <c r="Q573" s="275"/>
      <c r="R573" s="176"/>
      <c r="S573" s="276"/>
      <c r="AZ573" s="114"/>
      <c r="BA573" s="115"/>
    </row>
    <row r="574" spans="1:53" ht="23" x14ac:dyDescent="0.35">
      <c r="A574" s="131"/>
      <c r="B574" s="34"/>
      <c r="C574" s="112"/>
      <c r="D574" s="112"/>
      <c r="E574" s="97" t="s">
        <v>1056</v>
      </c>
      <c r="F574" s="113">
        <v>1</v>
      </c>
      <c r="G574" s="113">
        <v>20.5</v>
      </c>
      <c r="H574" s="113"/>
      <c r="I574" s="113"/>
      <c r="J574" s="108"/>
      <c r="K574" s="248">
        <f t="shared" ref="K574:K579" si="80">G574*F574</f>
        <v>20.5</v>
      </c>
      <c r="L574" s="40"/>
      <c r="M574" s="251"/>
      <c r="N574" s="207"/>
      <c r="O574" s="172"/>
      <c r="P574" s="269">
        <f t="shared" si="79"/>
        <v>0</v>
      </c>
      <c r="Q574" s="275"/>
      <c r="R574" s="176"/>
      <c r="S574" s="276"/>
      <c r="AZ574" s="114"/>
      <c r="BA574" s="115"/>
    </row>
    <row r="575" spans="1:53" x14ac:dyDescent="0.35">
      <c r="A575" s="131"/>
      <c r="B575" s="34"/>
      <c r="C575" s="112"/>
      <c r="D575" s="112"/>
      <c r="E575" s="97" t="s">
        <v>1054</v>
      </c>
      <c r="F575" s="113">
        <v>10</v>
      </c>
      <c r="G575" s="113">
        <v>1</v>
      </c>
      <c r="H575" s="113"/>
      <c r="I575" s="113"/>
      <c r="J575" s="108"/>
      <c r="K575" s="248">
        <f t="shared" si="80"/>
        <v>10</v>
      </c>
      <c r="L575" s="40"/>
      <c r="M575" s="251"/>
      <c r="N575" s="207"/>
      <c r="O575" s="172"/>
      <c r="P575" s="269">
        <f t="shared" si="79"/>
        <v>0</v>
      </c>
      <c r="Q575" s="275"/>
      <c r="R575" s="176"/>
      <c r="S575" s="276"/>
      <c r="AZ575" s="114"/>
      <c r="BA575" s="115"/>
    </row>
    <row r="576" spans="1:53" x14ac:dyDescent="0.35">
      <c r="A576" s="131"/>
      <c r="B576" s="34"/>
      <c r="C576" s="112"/>
      <c r="D576" s="112"/>
      <c r="E576" s="97" t="s">
        <v>894</v>
      </c>
      <c r="F576" s="113">
        <v>1</v>
      </c>
      <c r="G576" s="113">
        <v>9</v>
      </c>
      <c r="H576" s="113"/>
      <c r="I576" s="113"/>
      <c r="J576" s="108"/>
      <c r="K576" s="248">
        <f t="shared" si="80"/>
        <v>9</v>
      </c>
      <c r="L576" s="40"/>
      <c r="M576" s="251"/>
      <c r="N576" s="207"/>
      <c r="O576" s="172"/>
      <c r="P576" s="269">
        <f t="shared" si="79"/>
        <v>0</v>
      </c>
      <c r="Q576" s="275"/>
      <c r="R576" s="176"/>
      <c r="S576" s="276"/>
      <c r="AZ576" s="114"/>
      <c r="BA576" s="115"/>
    </row>
    <row r="577" spans="1:53" x14ac:dyDescent="0.35">
      <c r="A577" s="131"/>
      <c r="B577" s="34"/>
      <c r="C577" s="112"/>
      <c r="D577" s="112"/>
      <c r="E577" s="97" t="s">
        <v>895</v>
      </c>
      <c r="F577" s="113">
        <v>1</v>
      </c>
      <c r="G577" s="113">
        <v>3</v>
      </c>
      <c r="H577" s="113"/>
      <c r="I577" s="113"/>
      <c r="J577" s="108"/>
      <c r="K577" s="248">
        <f t="shared" si="80"/>
        <v>3</v>
      </c>
      <c r="L577" s="40"/>
      <c r="M577" s="251"/>
      <c r="N577" s="207"/>
      <c r="O577" s="172"/>
      <c r="P577" s="269">
        <f t="shared" si="79"/>
        <v>0</v>
      </c>
      <c r="Q577" s="275"/>
      <c r="R577" s="176"/>
      <c r="S577" s="276"/>
      <c r="AZ577" s="114"/>
      <c r="BA577" s="115"/>
    </row>
    <row r="578" spans="1:53" x14ac:dyDescent="0.35">
      <c r="A578" s="131"/>
      <c r="B578" s="34"/>
      <c r="C578" s="112"/>
      <c r="D578" s="112"/>
      <c r="E578" s="97" t="s">
        <v>896</v>
      </c>
      <c r="F578" s="113">
        <v>1</v>
      </c>
      <c r="G578" s="113">
        <v>12</v>
      </c>
      <c r="H578" s="113"/>
      <c r="I578" s="113"/>
      <c r="J578" s="108"/>
      <c r="K578" s="248">
        <f t="shared" si="80"/>
        <v>12</v>
      </c>
      <c r="L578" s="40"/>
      <c r="M578" s="251"/>
      <c r="N578" s="207"/>
      <c r="O578" s="172"/>
      <c r="P578" s="269">
        <f t="shared" si="79"/>
        <v>0</v>
      </c>
      <c r="Q578" s="275"/>
      <c r="R578" s="176"/>
      <c r="S578" s="276"/>
      <c r="AZ578" s="114"/>
      <c r="BA578" s="115"/>
    </row>
    <row r="579" spans="1:53" x14ac:dyDescent="0.35">
      <c r="A579" s="131"/>
      <c r="B579" s="34"/>
      <c r="C579" s="112"/>
      <c r="D579" s="112"/>
      <c r="E579" s="97" t="s">
        <v>897</v>
      </c>
      <c r="F579" s="113">
        <v>1</v>
      </c>
      <c r="G579" s="113">
        <v>25</v>
      </c>
      <c r="H579" s="113"/>
      <c r="I579" s="113"/>
      <c r="J579" s="108"/>
      <c r="K579" s="248">
        <f t="shared" si="80"/>
        <v>25</v>
      </c>
      <c r="L579" s="40"/>
      <c r="M579" s="251"/>
      <c r="N579" s="207"/>
      <c r="O579" s="172"/>
      <c r="P579" s="269">
        <f t="shared" si="79"/>
        <v>0</v>
      </c>
      <c r="Q579" s="275"/>
      <c r="R579" s="176"/>
      <c r="S579" s="276"/>
      <c r="AZ579" s="114"/>
      <c r="BA579" s="115"/>
    </row>
    <row r="580" spans="1:53" ht="23" x14ac:dyDescent="0.35">
      <c r="A580" s="131"/>
      <c r="B580" s="34"/>
      <c r="C580" s="34" t="s">
        <v>101</v>
      </c>
      <c r="D580" s="34"/>
      <c r="E580" s="97" t="s">
        <v>348</v>
      </c>
      <c r="F580" s="103" t="s">
        <v>339</v>
      </c>
      <c r="G580" s="104"/>
      <c r="H580" s="104"/>
      <c r="I580" s="104"/>
      <c r="J580" s="107"/>
      <c r="K580" s="234"/>
      <c r="L580" s="43">
        <v>148.84</v>
      </c>
      <c r="M580" s="235">
        <f t="shared" si="78"/>
        <v>0</v>
      </c>
      <c r="N580" s="207">
        <v>16</v>
      </c>
      <c r="O580" s="172">
        <v>148.84</v>
      </c>
      <c r="P580" s="269">
        <f t="shared" si="79"/>
        <v>2381.44</v>
      </c>
      <c r="Q580" s="275">
        <f t="shared" si="75"/>
        <v>-16</v>
      </c>
      <c r="R580" s="176">
        <f t="shared" si="76"/>
        <v>0</v>
      </c>
      <c r="S580" s="276">
        <f t="shared" si="77"/>
        <v>-2381.44</v>
      </c>
    </row>
    <row r="581" spans="1:53" ht="23" x14ac:dyDescent="0.35">
      <c r="A581" s="131"/>
      <c r="B581" s="34"/>
      <c r="C581" s="34" t="s">
        <v>102</v>
      </c>
      <c r="D581" s="34"/>
      <c r="E581" s="97" t="s">
        <v>349</v>
      </c>
      <c r="F581" s="103" t="s">
        <v>339</v>
      </c>
      <c r="G581" s="104"/>
      <c r="H581" s="104"/>
      <c r="I581" s="104"/>
      <c r="J581" s="107"/>
      <c r="K581" s="234"/>
      <c r="L581" s="43">
        <v>148.47</v>
      </c>
      <c r="M581" s="235">
        <f t="shared" si="78"/>
        <v>0</v>
      </c>
      <c r="N581" s="207">
        <v>10</v>
      </c>
      <c r="O581" s="172">
        <v>148.47</v>
      </c>
      <c r="P581" s="269">
        <f t="shared" si="79"/>
        <v>1484.7</v>
      </c>
      <c r="Q581" s="275">
        <f t="shared" si="75"/>
        <v>-10</v>
      </c>
      <c r="R581" s="176">
        <f t="shared" si="76"/>
        <v>0</v>
      </c>
      <c r="S581" s="276">
        <f t="shared" si="77"/>
        <v>-1484.7</v>
      </c>
    </row>
    <row r="582" spans="1:53" ht="23" x14ac:dyDescent="0.35">
      <c r="A582" s="131"/>
      <c r="B582" s="34"/>
      <c r="C582" s="34" t="s">
        <v>103</v>
      </c>
      <c r="D582" s="34"/>
      <c r="E582" s="97" t="s">
        <v>350</v>
      </c>
      <c r="F582" s="103" t="s">
        <v>339</v>
      </c>
      <c r="G582" s="104"/>
      <c r="H582" s="104"/>
      <c r="I582" s="104"/>
      <c r="J582" s="107"/>
      <c r="K582" s="234"/>
      <c r="L582" s="43">
        <v>233.2</v>
      </c>
      <c r="M582" s="235">
        <f t="shared" si="78"/>
        <v>0</v>
      </c>
      <c r="N582" s="207">
        <v>0</v>
      </c>
      <c r="O582" s="172">
        <v>233.2</v>
      </c>
      <c r="P582" s="269">
        <f t="shared" si="79"/>
        <v>0</v>
      </c>
      <c r="Q582" s="275">
        <f t="shared" si="75"/>
        <v>0</v>
      </c>
      <c r="R582" s="176">
        <f t="shared" si="76"/>
        <v>0</v>
      </c>
      <c r="S582" s="276">
        <f t="shared" si="77"/>
        <v>0</v>
      </c>
    </row>
    <row r="583" spans="1:53" ht="23" x14ac:dyDescent="0.35">
      <c r="A583" s="131"/>
      <c r="B583" s="34"/>
      <c r="C583" s="34" t="s">
        <v>105</v>
      </c>
      <c r="D583" s="34"/>
      <c r="E583" s="97" t="s">
        <v>351</v>
      </c>
      <c r="F583" s="103" t="s">
        <v>339</v>
      </c>
      <c r="G583" s="104"/>
      <c r="H583" s="104"/>
      <c r="I583" s="104"/>
      <c r="J583" s="107"/>
      <c r="K583" s="234"/>
      <c r="L583" s="43">
        <v>172.89</v>
      </c>
      <c r="M583" s="235">
        <f t="shared" si="78"/>
        <v>0</v>
      </c>
      <c r="N583" s="207">
        <v>0</v>
      </c>
      <c r="O583" s="172">
        <v>172.89</v>
      </c>
      <c r="P583" s="269">
        <f t="shared" si="79"/>
        <v>0</v>
      </c>
      <c r="Q583" s="275">
        <f t="shared" si="75"/>
        <v>0</v>
      </c>
      <c r="R583" s="176">
        <f t="shared" si="76"/>
        <v>0</v>
      </c>
      <c r="S583" s="276">
        <f t="shared" si="77"/>
        <v>0</v>
      </c>
    </row>
    <row r="584" spans="1:53" x14ac:dyDescent="0.35">
      <c r="A584" s="46" t="s">
        <v>610</v>
      </c>
      <c r="B584" s="52"/>
      <c r="C584" s="34"/>
      <c r="D584" s="34"/>
      <c r="E584" s="46"/>
      <c r="F584" s="52"/>
      <c r="G584" s="53"/>
      <c r="H584" s="53"/>
      <c r="I584" s="53"/>
      <c r="J584" s="219"/>
      <c r="K584" s="236"/>
      <c r="L584" s="56"/>
      <c r="M584" s="210">
        <f>SUM(M504:M583)</f>
        <v>129372.01999999997</v>
      </c>
      <c r="N584" s="207"/>
      <c r="O584" s="39"/>
      <c r="P584" s="271">
        <f>SUM(P504:P583)</f>
        <v>121510.41</v>
      </c>
      <c r="Q584" s="279">
        <f t="shared" si="75"/>
        <v>0</v>
      </c>
      <c r="R584" s="273">
        <f t="shared" si="76"/>
        <v>0</v>
      </c>
      <c r="S584" s="280">
        <f t="shared" si="77"/>
        <v>7861.6099999999715</v>
      </c>
    </row>
    <row r="585" spans="1:53" x14ac:dyDescent="0.35">
      <c r="A585" s="131"/>
      <c r="B585" s="34" t="s">
        <v>688</v>
      </c>
      <c r="C585" s="34"/>
      <c r="D585" s="34"/>
      <c r="E585" s="89" t="s">
        <v>356</v>
      </c>
      <c r="F585" s="34"/>
      <c r="G585" s="90"/>
      <c r="H585" s="90"/>
      <c r="I585" s="90"/>
      <c r="J585" s="181"/>
      <c r="K585" s="245"/>
      <c r="L585" s="91"/>
      <c r="M585" s="210"/>
      <c r="N585" s="207"/>
      <c r="O585" s="39"/>
      <c r="P585" s="230"/>
      <c r="Q585" s="275"/>
      <c r="R585" s="176"/>
      <c r="S585" s="276"/>
    </row>
    <row r="586" spans="1:53" ht="57.5" x14ac:dyDescent="0.35">
      <c r="A586" s="151"/>
      <c r="B586" s="99"/>
      <c r="C586" s="34" t="s">
        <v>8</v>
      </c>
      <c r="D586" s="36" t="s">
        <v>357</v>
      </c>
      <c r="E586" s="39" t="s">
        <v>358</v>
      </c>
      <c r="F586" s="103"/>
      <c r="G586" s="104"/>
      <c r="H586" s="104"/>
      <c r="I586" s="104"/>
      <c r="J586" s="107"/>
      <c r="K586" s="234"/>
      <c r="L586" s="43"/>
      <c r="M586" s="235"/>
      <c r="N586" s="207"/>
      <c r="O586" s="39"/>
      <c r="P586" s="230"/>
      <c r="Q586" s="275"/>
      <c r="R586" s="176"/>
      <c r="S586" s="276"/>
    </row>
    <row r="587" spans="1:53" x14ac:dyDescent="0.35">
      <c r="A587" s="151"/>
      <c r="B587" s="99"/>
      <c r="C587" s="34" t="s">
        <v>11</v>
      </c>
      <c r="D587" s="34"/>
      <c r="E587" s="52" t="s">
        <v>359</v>
      </c>
      <c r="F587" s="36" t="s">
        <v>339</v>
      </c>
      <c r="G587" s="37"/>
      <c r="H587" s="37"/>
      <c r="I587" s="37"/>
      <c r="J587" s="110"/>
      <c r="K587" s="234"/>
      <c r="L587" s="43">
        <v>180.25</v>
      </c>
      <c r="M587" s="235">
        <f t="shared" ref="M587:M607" si="81">L587*$K587</f>
        <v>0</v>
      </c>
      <c r="N587" s="207">
        <v>0</v>
      </c>
      <c r="O587" s="39">
        <v>180</v>
      </c>
      <c r="P587" s="230">
        <f>O587*N587</f>
        <v>0</v>
      </c>
      <c r="Q587" s="275">
        <f t="shared" si="75"/>
        <v>0</v>
      </c>
      <c r="R587" s="176">
        <f t="shared" si="76"/>
        <v>0.25</v>
      </c>
      <c r="S587" s="276">
        <f t="shared" si="77"/>
        <v>0</v>
      </c>
    </row>
    <row r="588" spans="1:53" x14ac:dyDescent="0.35">
      <c r="A588" s="151"/>
      <c r="B588" s="99"/>
      <c r="C588" s="34" t="s">
        <v>14</v>
      </c>
      <c r="D588" s="34"/>
      <c r="E588" s="52" t="s">
        <v>360</v>
      </c>
      <c r="F588" s="36" t="s">
        <v>339</v>
      </c>
      <c r="G588" s="37"/>
      <c r="H588" s="37"/>
      <c r="I588" s="37"/>
      <c r="J588" s="110"/>
      <c r="K588" s="234"/>
      <c r="L588" s="43">
        <v>236.9</v>
      </c>
      <c r="M588" s="235">
        <f t="shared" si="81"/>
        <v>0</v>
      </c>
      <c r="N588" s="207">
        <v>0</v>
      </c>
      <c r="O588" s="39">
        <v>237</v>
      </c>
      <c r="P588" s="230">
        <f t="shared" ref="P588:P617" si="82">O588*N588</f>
        <v>0</v>
      </c>
      <c r="Q588" s="275">
        <f t="shared" si="75"/>
        <v>0</v>
      </c>
      <c r="R588" s="176">
        <f t="shared" si="76"/>
        <v>-9.9999999999994316E-2</v>
      </c>
      <c r="S588" s="276">
        <f t="shared" si="77"/>
        <v>0</v>
      </c>
    </row>
    <row r="589" spans="1:53" x14ac:dyDescent="0.35">
      <c r="A589" s="151"/>
      <c r="B589" s="99"/>
      <c r="C589" s="34" t="s">
        <v>16</v>
      </c>
      <c r="D589" s="34"/>
      <c r="E589" s="52" t="s">
        <v>643</v>
      </c>
      <c r="F589" s="36" t="s">
        <v>339</v>
      </c>
      <c r="G589" s="37"/>
      <c r="H589" s="37"/>
      <c r="I589" s="37"/>
      <c r="J589" s="110"/>
      <c r="K589" s="234"/>
      <c r="L589" s="43">
        <v>200.85</v>
      </c>
      <c r="M589" s="235">
        <f t="shared" si="81"/>
        <v>0</v>
      </c>
      <c r="N589" s="207">
        <v>0</v>
      </c>
      <c r="O589" s="39">
        <v>201</v>
      </c>
      <c r="P589" s="230">
        <f t="shared" si="82"/>
        <v>0</v>
      </c>
      <c r="Q589" s="275">
        <f t="shared" si="75"/>
        <v>0</v>
      </c>
      <c r="R589" s="176">
        <f t="shared" si="76"/>
        <v>-0.15000000000000568</v>
      </c>
      <c r="S589" s="276">
        <f t="shared" si="77"/>
        <v>0</v>
      </c>
    </row>
    <row r="590" spans="1:53" x14ac:dyDescent="0.35">
      <c r="A590" s="151"/>
      <c r="B590" s="99"/>
      <c r="C590" s="34" t="s">
        <v>18</v>
      </c>
      <c r="D590" s="34"/>
      <c r="E590" s="166" t="s">
        <v>644</v>
      </c>
      <c r="F590" s="164" t="s">
        <v>339</v>
      </c>
      <c r="G590" s="165"/>
      <c r="H590" s="165"/>
      <c r="I590" s="165"/>
      <c r="J590" s="226"/>
      <c r="K590" s="252">
        <f>K591</f>
        <v>29</v>
      </c>
      <c r="L590" s="43">
        <v>267.8</v>
      </c>
      <c r="M590" s="235">
        <f t="shared" si="81"/>
        <v>7766.2000000000007</v>
      </c>
      <c r="N590" s="207">
        <v>0</v>
      </c>
      <c r="O590" s="39">
        <v>268</v>
      </c>
      <c r="P590" s="230">
        <f t="shared" si="82"/>
        <v>0</v>
      </c>
      <c r="Q590" s="275">
        <f t="shared" si="75"/>
        <v>29</v>
      </c>
      <c r="R590" s="176">
        <f t="shared" si="76"/>
        <v>-0.19999999999998863</v>
      </c>
      <c r="S590" s="276">
        <f t="shared" si="77"/>
        <v>7766.2000000000007</v>
      </c>
    </row>
    <row r="591" spans="1:53" x14ac:dyDescent="0.35">
      <c r="A591" s="151"/>
      <c r="B591" s="99"/>
      <c r="C591" s="34"/>
      <c r="D591" s="34"/>
      <c r="E591" s="163" t="s">
        <v>1000</v>
      </c>
      <c r="F591" s="164"/>
      <c r="G591" s="165">
        <v>1</v>
      </c>
      <c r="H591" s="165">
        <v>29</v>
      </c>
      <c r="I591" s="165"/>
      <c r="J591" s="226"/>
      <c r="K591" s="252">
        <f>H591*G591</f>
        <v>29</v>
      </c>
      <c r="L591" s="43"/>
      <c r="M591" s="235"/>
      <c r="N591" s="207"/>
      <c r="O591" s="39"/>
      <c r="P591" s="230"/>
      <c r="Q591" s="275"/>
      <c r="R591" s="176"/>
      <c r="S591" s="276"/>
    </row>
    <row r="592" spans="1:53" x14ac:dyDescent="0.35">
      <c r="A592" s="151"/>
      <c r="B592" s="99"/>
      <c r="C592" s="34" t="s">
        <v>20</v>
      </c>
      <c r="D592" s="34"/>
      <c r="E592" s="166" t="s">
        <v>361</v>
      </c>
      <c r="F592" s="164" t="s">
        <v>339</v>
      </c>
      <c r="G592" s="165"/>
      <c r="H592" s="165"/>
      <c r="I592" s="165"/>
      <c r="J592" s="226"/>
      <c r="K592" s="252">
        <f>K593+K594</f>
        <v>50</v>
      </c>
      <c r="L592" s="43">
        <v>303.85000000000002</v>
      </c>
      <c r="M592" s="235">
        <f t="shared" si="81"/>
        <v>15192.500000000002</v>
      </c>
      <c r="N592" s="207">
        <v>0</v>
      </c>
      <c r="O592" s="39">
        <v>303.85000000000002</v>
      </c>
      <c r="P592" s="230">
        <f t="shared" si="82"/>
        <v>0</v>
      </c>
      <c r="Q592" s="275">
        <f t="shared" ref="Q592:Q649" si="83">K592-N592</f>
        <v>50</v>
      </c>
      <c r="R592" s="176">
        <f t="shared" ref="R592:R649" si="84">L592-O592</f>
        <v>0</v>
      </c>
      <c r="S592" s="276">
        <f t="shared" ref="S592:S649" si="85">M592-P592</f>
        <v>15192.500000000002</v>
      </c>
    </row>
    <row r="593" spans="1:19" x14ac:dyDescent="0.35">
      <c r="A593" s="151"/>
      <c r="B593" s="99"/>
      <c r="C593" s="34"/>
      <c r="D593" s="34"/>
      <c r="E593" s="163" t="s">
        <v>1002</v>
      </c>
      <c r="F593" s="164"/>
      <c r="G593" s="165">
        <v>1</v>
      </c>
      <c r="H593" s="165">
        <v>28</v>
      </c>
      <c r="I593" s="165"/>
      <c r="J593" s="226"/>
      <c r="K593" s="252">
        <f>H593*G593</f>
        <v>28</v>
      </c>
      <c r="L593" s="43"/>
      <c r="M593" s="235"/>
      <c r="N593" s="207"/>
      <c r="O593" s="39"/>
      <c r="P593" s="230"/>
      <c r="Q593" s="275"/>
      <c r="R593" s="176"/>
      <c r="S593" s="276"/>
    </row>
    <row r="594" spans="1:19" x14ac:dyDescent="0.35">
      <c r="A594" s="151"/>
      <c r="B594" s="99"/>
      <c r="C594" s="34"/>
      <c r="D594" s="34"/>
      <c r="E594" s="163" t="s">
        <v>1001</v>
      </c>
      <c r="F594" s="164"/>
      <c r="G594" s="165">
        <v>1</v>
      </c>
      <c r="H594" s="165">
        <v>22</v>
      </c>
      <c r="I594" s="165"/>
      <c r="J594" s="226"/>
      <c r="K594" s="252">
        <f>H594*G594</f>
        <v>22</v>
      </c>
      <c r="L594" s="43"/>
      <c r="M594" s="235"/>
      <c r="N594" s="207"/>
      <c r="O594" s="39"/>
      <c r="P594" s="230"/>
      <c r="Q594" s="275"/>
      <c r="R594" s="176"/>
      <c r="S594" s="276"/>
    </row>
    <row r="595" spans="1:19" x14ac:dyDescent="0.35">
      <c r="A595" s="151"/>
      <c r="B595" s="99"/>
      <c r="C595" s="34" t="s">
        <v>22</v>
      </c>
      <c r="D595" s="34"/>
      <c r="E595" s="166" t="s">
        <v>362</v>
      </c>
      <c r="F595" s="164" t="s">
        <v>339</v>
      </c>
      <c r="G595" s="165"/>
      <c r="H595" s="165"/>
      <c r="I595" s="165"/>
      <c r="J595" s="226"/>
      <c r="K595" s="252">
        <f>K596+K597</f>
        <v>82</v>
      </c>
      <c r="L595" s="43">
        <v>360.5</v>
      </c>
      <c r="M595" s="235">
        <f t="shared" si="81"/>
        <v>29561</v>
      </c>
      <c r="N595" s="207">
        <v>0</v>
      </c>
      <c r="O595" s="39">
        <v>360.5</v>
      </c>
      <c r="P595" s="230">
        <f t="shared" si="82"/>
        <v>0</v>
      </c>
      <c r="Q595" s="275">
        <f t="shared" si="83"/>
        <v>82</v>
      </c>
      <c r="R595" s="176">
        <f t="shared" si="84"/>
        <v>0</v>
      </c>
      <c r="S595" s="276">
        <f t="shared" si="85"/>
        <v>29561</v>
      </c>
    </row>
    <row r="596" spans="1:19" x14ac:dyDescent="0.35">
      <c r="A596" s="151"/>
      <c r="B596" s="99"/>
      <c r="C596" s="34"/>
      <c r="D596" s="34"/>
      <c r="E596" s="163" t="s">
        <v>993</v>
      </c>
      <c r="F596" s="164"/>
      <c r="G596" s="165">
        <v>1</v>
      </c>
      <c r="H596" s="165">
        <v>50</v>
      </c>
      <c r="I596" s="165"/>
      <c r="J596" s="226"/>
      <c r="K596" s="252">
        <f>H596*G596</f>
        <v>50</v>
      </c>
      <c r="L596" s="43"/>
      <c r="M596" s="235"/>
      <c r="N596" s="207"/>
      <c r="O596" s="39"/>
      <c r="P596" s="230"/>
      <c r="Q596" s="275"/>
      <c r="R596" s="176"/>
      <c r="S596" s="276"/>
    </row>
    <row r="597" spans="1:19" x14ac:dyDescent="0.35">
      <c r="A597" s="151"/>
      <c r="B597" s="99"/>
      <c r="C597" s="34"/>
      <c r="D597" s="34"/>
      <c r="E597" s="163" t="s">
        <v>996</v>
      </c>
      <c r="F597" s="164"/>
      <c r="G597" s="165">
        <v>1</v>
      </c>
      <c r="H597" s="165">
        <v>32</v>
      </c>
      <c r="I597" s="165"/>
      <c r="J597" s="226"/>
      <c r="K597" s="252">
        <f>H597*G597</f>
        <v>32</v>
      </c>
      <c r="L597" s="43"/>
      <c r="M597" s="235"/>
      <c r="N597" s="207"/>
      <c r="O597" s="39"/>
      <c r="P597" s="230"/>
      <c r="Q597" s="275"/>
      <c r="R597" s="176"/>
      <c r="S597" s="276"/>
    </row>
    <row r="598" spans="1:19" x14ac:dyDescent="0.35">
      <c r="A598" s="151"/>
      <c r="B598" s="99"/>
      <c r="C598" s="34" t="s">
        <v>24</v>
      </c>
      <c r="D598" s="34"/>
      <c r="E598" s="166" t="s">
        <v>363</v>
      </c>
      <c r="F598" s="164" t="s">
        <v>339</v>
      </c>
      <c r="G598" s="165"/>
      <c r="H598" s="165"/>
      <c r="I598" s="165"/>
      <c r="J598" s="226"/>
      <c r="K598" s="252"/>
      <c r="L598" s="43">
        <v>478.95</v>
      </c>
      <c r="M598" s="235">
        <f t="shared" si="81"/>
        <v>0</v>
      </c>
      <c r="N598" s="207">
        <v>6</v>
      </c>
      <c r="O598" s="39">
        <v>478.95</v>
      </c>
      <c r="P598" s="230">
        <f t="shared" si="82"/>
        <v>2873.7</v>
      </c>
      <c r="Q598" s="275">
        <f t="shared" si="83"/>
        <v>-6</v>
      </c>
      <c r="R598" s="176">
        <f t="shared" si="84"/>
        <v>0</v>
      </c>
      <c r="S598" s="276">
        <f t="shared" si="85"/>
        <v>-2873.7</v>
      </c>
    </row>
    <row r="599" spans="1:19" x14ac:dyDescent="0.35">
      <c r="A599" s="151"/>
      <c r="B599" s="99"/>
      <c r="C599" s="34" t="s">
        <v>276</v>
      </c>
      <c r="D599" s="34"/>
      <c r="E599" s="166" t="s">
        <v>364</v>
      </c>
      <c r="F599" s="164" t="s">
        <v>339</v>
      </c>
      <c r="G599" s="165"/>
      <c r="H599" s="165"/>
      <c r="I599" s="165"/>
      <c r="J599" s="226"/>
      <c r="K599" s="252"/>
      <c r="L599" s="43">
        <v>618</v>
      </c>
      <c r="M599" s="235">
        <f t="shared" si="81"/>
        <v>0</v>
      </c>
      <c r="N599" s="207">
        <v>0</v>
      </c>
      <c r="O599" s="39">
        <v>618</v>
      </c>
      <c r="P599" s="230">
        <f t="shared" si="82"/>
        <v>0</v>
      </c>
      <c r="Q599" s="275">
        <f t="shared" si="83"/>
        <v>0</v>
      </c>
      <c r="R599" s="176">
        <f t="shared" si="84"/>
        <v>0</v>
      </c>
      <c r="S599" s="276">
        <f t="shared" si="85"/>
        <v>0</v>
      </c>
    </row>
    <row r="600" spans="1:19" x14ac:dyDescent="0.35">
      <c r="A600" s="151"/>
      <c r="B600" s="99"/>
      <c r="C600" s="34" t="s">
        <v>278</v>
      </c>
      <c r="D600" s="34"/>
      <c r="E600" s="166" t="s">
        <v>365</v>
      </c>
      <c r="F600" s="164" t="s">
        <v>339</v>
      </c>
      <c r="G600" s="165"/>
      <c r="H600" s="165"/>
      <c r="I600" s="165"/>
      <c r="J600" s="226"/>
      <c r="K600" s="252"/>
      <c r="L600" s="43">
        <v>252.35</v>
      </c>
      <c r="M600" s="235">
        <f t="shared" si="81"/>
        <v>0</v>
      </c>
      <c r="N600" s="207">
        <v>0</v>
      </c>
      <c r="O600" s="39">
        <v>252.35</v>
      </c>
      <c r="P600" s="230">
        <f t="shared" si="82"/>
        <v>0</v>
      </c>
      <c r="Q600" s="275">
        <f t="shared" si="83"/>
        <v>0</v>
      </c>
      <c r="R600" s="176">
        <f t="shared" si="84"/>
        <v>0</v>
      </c>
      <c r="S600" s="276">
        <f t="shared" si="85"/>
        <v>0</v>
      </c>
    </row>
    <row r="601" spans="1:19" x14ac:dyDescent="0.35">
      <c r="A601" s="151"/>
      <c r="B601" s="99"/>
      <c r="C601" s="34" t="s">
        <v>280</v>
      </c>
      <c r="D601" s="34"/>
      <c r="E601" s="166" t="s">
        <v>366</v>
      </c>
      <c r="F601" s="164" t="s">
        <v>339</v>
      </c>
      <c r="G601" s="165"/>
      <c r="H601" s="165"/>
      <c r="I601" s="165"/>
      <c r="J601" s="226"/>
      <c r="K601" s="252"/>
      <c r="L601" s="43">
        <v>288.39999999999998</v>
      </c>
      <c r="M601" s="235">
        <f t="shared" si="81"/>
        <v>0</v>
      </c>
      <c r="N601" s="207">
        <v>0</v>
      </c>
      <c r="O601" s="39">
        <v>288.39999999999998</v>
      </c>
      <c r="P601" s="230">
        <f t="shared" si="82"/>
        <v>0</v>
      </c>
      <c r="Q601" s="275">
        <f t="shared" si="83"/>
        <v>0</v>
      </c>
      <c r="R601" s="176">
        <f t="shared" si="84"/>
        <v>0</v>
      </c>
      <c r="S601" s="276">
        <f t="shared" si="85"/>
        <v>0</v>
      </c>
    </row>
    <row r="602" spans="1:19" x14ac:dyDescent="0.35">
      <c r="A602" s="151"/>
      <c r="B602" s="99"/>
      <c r="C602" s="34" t="s">
        <v>281</v>
      </c>
      <c r="D602" s="34"/>
      <c r="E602" s="166" t="s">
        <v>367</v>
      </c>
      <c r="F602" s="164" t="s">
        <v>339</v>
      </c>
      <c r="G602" s="165"/>
      <c r="H602" s="165"/>
      <c r="I602" s="165"/>
      <c r="J602" s="226"/>
      <c r="K602" s="252">
        <f>K603+K604</f>
        <v>93</v>
      </c>
      <c r="L602" s="43">
        <v>437.75</v>
      </c>
      <c r="M602" s="235">
        <f t="shared" si="81"/>
        <v>40710.75</v>
      </c>
      <c r="N602" s="207">
        <v>0</v>
      </c>
      <c r="O602" s="39">
        <v>437.75</v>
      </c>
      <c r="P602" s="230">
        <f t="shared" si="82"/>
        <v>0</v>
      </c>
      <c r="Q602" s="275">
        <f t="shared" si="83"/>
        <v>93</v>
      </c>
      <c r="R602" s="176">
        <f t="shared" si="84"/>
        <v>0</v>
      </c>
      <c r="S602" s="276">
        <f t="shared" si="85"/>
        <v>40710.75</v>
      </c>
    </row>
    <row r="603" spans="1:19" x14ac:dyDescent="0.35">
      <c r="A603" s="151"/>
      <c r="B603" s="99"/>
      <c r="C603" s="34"/>
      <c r="D603" s="34"/>
      <c r="E603" s="163" t="s">
        <v>998</v>
      </c>
      <c r="F603" s="164"/>
      <c r="G603" s="165">
        <v>1</v>
      </c>
      <c r="H603" s="165">
        <v>47</v>
      </c>
      <c r="I603" s="165"/>
      <c r="J603" s="226"/>
      <c r="K603" s="252">
        <f>H603*G603</f>
        <v>47</v>
      </c>
      <c r="L603" s="43"/>
      <c r="M603" s="235"/>
      <c r="N603" s="207"/>
      <c r="O603" s="39"/>
      <c r="P603" s="230"/>
      <c r="Q603" s="275"/>
      <c r="R603" s="176"/>
      <c r="S603" s="276"/>
    </row>
    <row r="604" spans="1:19" x14ac:dyDescent="0.35">
      <c r="A604" s="151"/>
      <c r="B604" s="99"/>
      <c r="C604" s="34"/>
      <c r="D604" s="34"/>
      <c r="E604" s="163" t="s">
        <v>999</v>
      </c>
      <c r="F604" s="164"/>
      <c r="G604" s="165">
        <v>1</v>
      </c>
      <c r="H604" s="165">
        <v>46</v>
      </c>
      <c r="I604" s="165"/>
      <c r="J604" s="226"/>
      <c r="K604" s="252">
        <f>H604*G604</f>
        <v>46</v>
      </c>
      <c r="L604" s="43"/>
      <c r="M604" s="235"/>
      <c r="N604" s="207"/>
      <c r="O604" s="39"/>
      <c r="P604" s="230"/>
      <c r="Q604" s="275"/>
      <c r="R604" s="176"/>
      <c r="S604" s="276"/>
    </row>
    <row r="605" spans="1:19" x14ac:dyDescent="0.35">
      <c r="A605" s="151"/>
      <c r="B605" s="99"/>
      <c r="C605" s="34" t="s">
        <v>322</v>
      </c>
      <c r="D605" s="34"/>
      <c r="E605" s="166" t="s">
        <v>368</v>
      </c>
      <c r="F605" s="164" t="s">
        <v>339</v>
      </c>
      <c r="G605" s="165"/>
      <c r="H605" s="165"/>
      <c r="I605" s="165"/>
      <c r="J605" s="226"/>
      <c r="K605" s="252">
        <f>K606</f>
        <v>84</v>
      </c>
      <c r="L605" s="43">
        <v>607.70000000000005</v>
      </c>
      <c r="M605" s="235">
        <f t="shared" si="81"/>
        <v>51046.8</v>
      </c>
      <c r="N605" s="207">
        <v>4</v>
      </c>
      <c r="O605" s="39">
        <v>607.70000000000005</v>
      </c>
      <c r="P605" s="230">
        <f t="shared" si="82"/>
        <v>2430.8000000000002</v>
      </c>
      <c r="Q605" s="275">
        <f t="shared" si="83"/>
        <v>80</v>
      </c>
      <c r="R605" s="176">
        <f t="shared" si="84"/>
        <v>0</v>
      </c>
      <c r="S605" s="276">
        <f t="shared" si="85"/>
        <v>48616</v>
      </c>
    </row>
    <row r="606" spans="1:19" x14ac:dyDescent="0.35">
      <c r="A606" s="151"/>
      <c r="B606" s="99"/>
      <c r="C606" s="34"/>
      <c r="D606" s="34"/>
      <c r="E606" s="163" t="s">
        <v>997</v>
      </c>
      <c r="F606" s="164"/>
      <c r="G606" s="165">
        <v>1</v>
      </c>
      <c r="H606" s="165">
        <v>84</v>
      </c>
      <c r="I606" s="165"/>
      <c r="J606" s="226"/>
      <c r="K606" s="252">
        <f>H606*G606</f>
        <v>84</v>
      </c>
      <c r="L606" s="43"/>
      <c r="M606" s="235"/>
      <c r="N606" s="207"/>
      <c r="O606" s="39"/>
      <c r="P606" s="230"/>
      <c r="Q606" s="275"/>
      <c r="R606" s="176"/>
      <c r="S606" s="276"/>
    </row>
    <row r="607" spans="1:19" x14ac:dyDescent="0.35">
      <c r="A607" s="151"/>
      <c r="B607" s="99"/>
      <c r="C607" s="34" t="s">
        <v>284</v>
      </c>
      <c r="D607" s="34"/>
      <c r="E607" s="166" t="s">
        <v>369</v>
      </c>
      <c r="F607" s="164" t="s">
        <v>339</v>
      </c>
      <c r="G607" s="165"/>
      <c r="H607" s="165"/>
      <c r="I607" s="165"/>
      <c r="J607" s="226"/>
      <c r="K607" s="252">
        <f>K608+K609</f>
        <v>24</v>
      </c>
      <c r="L607" s="43">
        <v>715.85</v>
      </c>
      <c r="M607" s="235">
        <f t="shared" si="81"/>
        <v>17180.400000000001</v>
      </c>
      <c r="N607" s="207">
        <v>0</v>
      </c>
      <c r="O607" s="39">
        <v>715.85</v>
      </c>
      <c r="P607" s="230">
        <f t="shared" si="82"/>
        <v>0</v>
      </c>
      <c r="Q607" s="275">
        <f t="shared" si="83"/>
        <v>24</v>
      </c>
      <c r="R607" s="176">
        <f t="shared" si="84"/>
        <v>0</v>
      </c>
      <c r="S607" s="276">
        <f t="shared" si="85"/>
        <v>17180.400000000001</v>
      </c>
    </row>
    <row r="608" spans="1:19" x14ac:dyDescent="0.35">
      <c r="A608" s="151"/>
      <c r="B608" s="99"/>
      <c r="C608" s="34"/>
      <c r="D608" s="34"/>
      <c r="E608" s="163" t="s">
        <v>994</v>
      </c>
      <c r="F608" s="164"/>
      <c r="G608" s="165">
        <v>1</v>
      </c>
      <c r="H608" s="165">
        <v>12</v>
      </c>
      <c r="I608" s="165"/>
      <c r="J608" s="226"/>
      <c r="K608" s="252">
        <f>H608*G608</f>
        <v>12</v>
      </c>
      <c r="L608" s="43"/>
      <c r="M608" s="235"/>
      <c r="N608" s="207"/>
      <c r="O608" s="39"/>
      <c r="P608" s="230">
        <f t="shared" si="82"/>
        <v>0</v>
      </c>
      <c r="Q608" s="275"/>
      <c r="R608" s="176"/>
      <c r="S608" s="276"/>
    </row>
    <row r="609" spans="1:19" x14ac:dyDescent="0.35">
      <c r="A609" s="151"/>
      <c r="B609" s="99"/>
      <c r="C609" s="34"/>
      <c r="D609" s="34"/>
      <c r="E609" s="163" t="s">
        <v>995</v>
      </c>
      <c r="F609" s="164"/>
      <c r="G609" s="165">
        <v>1</v>
      </c>
      <c r="H609" s="165">
        <v>12</v>
      </c>
      <c r="I609" s="165"/>
      <c r="J609" s="226"/>
      <c r="K609" s="252">
        <f>H609*G609</f>
        <v>12</v>
      </c>
      <c r="L609" s="43"/>
      <c r="M609" s="235"/>
      <c r="N609" s="207"/>
      <c r="O609" s="39"/>
      <c r="P609" s="230">
        <f t="shared" si="82"/>
        <v>0</v>
      </c>
      <c r="Q609" s="275"/>
      <c r="R609" s="176"/>
      <c r="S609" s="276"/>
    </row>
    <row r="610" spans="1:19" ht="57.5" x14ac:dyDescent="0.35">
      <c r="A610" s="151"/>
      <c r="B610" s="99"/>
      <c r="C610" s="36"/>
      <c r="D610" s="116" t="s">
        <v>370</v>
      </c>
      <c r="E610" s="117" t="s">
        <v>948</v>
      </c>
      <c r="F610" s="39"/>
      <c r="G610" s="118"/>
      <c r="H610" s="118"/>
      <c r="I610" s="118"/>
      <c r="J610" s="227"/>
      <c r="K610" s="234"/>
      <c r="L610" s="43"/>
      <c r="M610" s="235"/>
      <c r="N610" s="207"/>
      <c r="O610" s="39"/>
      <c r="P610" s="230"/>
      <c r="Q610" s="275"/>
      <c r="R610" s="176"/>
      <c r="S610" s="276"/>
    </row>
    <row r="611" spans="1:19" x14ac:dyDescent="0.35">
      <c r="A611" s="151"/>
      <c r="B611" s="99"/>
      <c r="C611" s="34" t="s">
        <v>26</v>
      </c>
      <c r="D611" s="34"/>
      <c r="E611" s="119" t="s">
        <v>371</v>
      </c>
      <c r="F611" s="39"/>
      <c r="G611" s="118"/>
      <c r="H611" s="118"/>
      <c r="I611" s="118"/>
      <c r="J611" s="227"/>
      <c r="K611" s="234"/>
      <c r="L611" s="43"/>
      <c r="M611" s="235"/>
      <c r="N611" s="207"/>
      <c r="O611" s="39"/>
      <c r="P611" s="230"/>
      <c r="Q611" s="275"/>
      <c r="R611" s="176"/>
      <c r="S611" s="276"/>
    </row>
    <row r="612" spans="1:19" x14ac:dyDescent="0.35">
      <c r="A612" s="151"/>
      <c r="B612" s="99"/>
      <c r="C612" s="34" t="s">
        <v>29</v>
      </c>
      <c r="D612" s="34"/>
      <c r="E612" s="39" t="s">
        <v>372</v>
      </c>
      <c r="F612" s="36" t="s">
        <v>373</v>
      </c>
      <c r="G612" s="37"/>
      <c r="H612" s="37"/>
      <c r="I612" s="37"/>
      <c r="J612" s="110"/>
      <c r="K612" s="234">
        <v>0</v>
      </c>
      <c r="L612" s="43">
        <v>360.5</v>
      </c>
      <c r="M612" s="235">
        <f>L612*$K612</f>
        <v>0</v>
      </c>
      <c r="N612" s="207">
        <v>0</v>
      </c>
      <c r="O612" s="39">
        <v>360.5</v>
      </c>
      <c r="P612" s="230">
        <f t="shared" si="82"/>
        <v>0</v>
      </c>
      <c r="Q612" s="275">
        <f t="shared" si="83"/>
        <v>0</v>
      </c>
      <c r="R612" s="176">
        <f t="shared" si="84"/>
        <v>0</v>
      </c>
      <c r="S612" s="276">
        <f t="shared" si="85"/>
        <v>0</v>
      </c>
    </row>
    <row r="613" spans="1:19" x14ac:dyDescent="0.35">
      <c r="A613" s="151"/>
      <c r="B613" s="99"/>
      <c r="C613" s="34" t="s">
        <v>33</v>
      </c>
      <c r="D613" s="34"/>
      <c r="E613" s="39" t="s">
        <v>374</v>
      </c>
      <c r="F613" s="36" t="s">
        <v>373</v>
      </c>
      <c r="G613" s="37"/>
      <c r="H613" s="37"/>
      <c r="I613" s="37"/>
      <c r="J613" s="110"/>
      <c r="K613" s="234">
        <v>0</v>
      </c>
      <c r="L613" s="43">
        <v>396.55</v>
      </c>
      <c r="M613" s="235">
        <f>L613*$K613</f>
        <v>0</v>
      </c>
      <c r="N613" s="207">
        <v>0</v>
      </c>
      <c r="O613" s="39">
        <v>396.55</v>
      </c>
      <c r="P613" s="230">
        <f t="shared" si="82"/>
        <v>0</v>
      </c>
      <c r="Q613" s="275">
        <f t="shared" si="83"/>
        <v>0</v>
      </c>
      <c r="R613" s="176">
        <f t="shared" si="84"/>
        <v>0</v>
      </c>
      <c r="S613" s="276">
        <f t="shared" si="85"/>
        <v>0</v>
      </c>
    </row>
    <row r="614" spans="1:19" x14ac:dyDescent="0.35">
      <c r="A614" s="151"/>
      <c r="B614" s="99"/>
      <c r="C614" s="34" t="s">
        <v>36</v>
      </c>
      <c r="D614" s="34"/>
      <c r="E614" s="39" t="s">
        <v>375</v>
      </c>
      <c r="F614" s="36" t="s">
        <v>373</v>
      </c>
      <c r="G614" s="37"/>
      <c r="H614" s="37"/>
      <c r="I614" s="37"/>
      <c r="J614" s="110"/>
      <c r="K614" s="234">
        <v>0</v>
      </c>
      <c r="L614" s="43">
        <v>437.75</v>
      </c>
      <c r="M614" s="235">
        <f>L614*$K614</f>
        <v>0</v>
      </c>
      <c r="N614" s="207">
        <v>0</v>
      </c>
      <c r="O614" s="39">
        <v>437.75</v>
      </c>
      <c r="P614" s="230">
        <f t="shared" si="82"/>
        <v>0</v>
      </c>
      <c r="Q614" s="275">
        <f t="shared" si="83"/>
        <v>0</v>
      </c>
      <c r="R614" s="176">
        <f t="shared" si="84"/>
        <v>0</v>
      </c>
      <c r="S614" s="276">
        <f t="shared" si="85"/>
        <v>0</v>
      </c>
    </row>
    <row r="615" spans="1:19" ht="34.5" x14ac:dyDescent="0.35">
      <c r="A615" s="151"/>
      <c r="B615" s="99"/>
      <c r="C615" s="34" t="s">
        <v>38</v>
      </c>
      <c r="D615" s="34"/>
      <c r="E615" s="39" t="s">
        <v>376</v>
      </c>
      <c r="F615" s="103" t="s">
        <v>339</v>
      </c>
      <c r="G615" s="104"/>
      <c r="H615" s="104"/>
      <c r="I615" s="104"/>
      <c r="J615" s="107"/>
      <c r="K615" s="234">
        <v>0</v>
      </c>
      <c r="L615" s="43"/>
      <c r="M615" s="235"/>
      <c r="N615" s="207"/>
      <c r="O615" s="39"/>
      <c r="P615" s="230"/>
      <c r="Q615" s="275"/>
      <c r="R615" s="176"/>
      <c r="S615" s="276"/>
    </row>
    <row r="616" spans="1:19" ht="25.5" x14ac:dyDescent="0.35">
      <c r="A616" s="151"/>
      <c r="B616" s="99"/>
      <c r="C616" s="34" t="s">
        <v>68</v>
      </c>
      <c r="D616" s="34"/>
      <c r="E616" s="48" t="s">
        <v>949</v>
      </c>
      <c r="F616" s="103" t="s">
        <v>339</v>
      </c>
      <c r="G616" s="104"/>
      <c r="H616" s="104"/>
      <c r="I616" s="104"/>
      <c r="J616" s="107"/>
      <c r="K616" s="234"/>
      <c r="L616" s="43">
        <v>200.85</v>
      </c>
      <c r="M616" s="235">
        <f>L616*$K616</f>
        <v>0</v>
      </c>
      <c r="N616" s="207">
        <v>0</v>
      </c>
      <c r="O616" s="39">
        <v>200.85</v>
      </c>
      <c r="P616" s="230">
        <f t="shared" si="82"/>
        <v>0</v>
      </c>
      <c r="Q616" s="275">
        <f t="shared" si="83"/>
        <v>0</v>
      </c>
      <c r="R616" s="176">
        <f t="shared" si="84"/>
        <v>0</v>
      </c>
      <c r="S616" s="276">
        <f t="shared" si="85"/>
        <v>0</v>
      </c>
    </row>
    <row r="617" spans="1:19" ht="25.5" x14ac:dyDescent="0.35">
      <c r="A617" s="151"/>
      <c r="B617" s="99"/>
      <c r="C617" s="34" t="s">
        <v>72</v>
      </c>
      <c r="D617" s="34"/>
      <c r="E617" s="48" t="s">
        <v>950</v>
      </c>
      <c r="F617" s="103" t="s">
        <v>339</v>
      </c>
      <c r="G617" s="104"/>
      <c r="H617" s="104"/>
      <c r="I617" s="104"/>
      <c r="J617" s="107"/>
      <c r="K617" s="234">
        <v>0</v>
      </c>
      <c r="L617" s="43">
        <v>267.8</v>
      </c>
      <c r="M617" s="235">
        <f>L617*$K617</f>
        <v>0</v>
      </c>
      <c r="N617" s="207">
        <v>0</v>
      </c>
      <c r="O617" s="39">
        <v>267.8</v>
      </c>
      <c r="P617" s="230">
        <f t="shared" si="82"/>
        <v>0</v>
      </c>
      <c r="Q617" s="275">
        <f t="shared" si="83"/>
        <v>0</v>
      </c>
      <c r="R617" s="176">
        <f t="shared" si="84"/>
        <v>0</v>
      </c>
      <c r="S617" s="276">
        <f t="shared" si="85"/>
        <v>0</v>
      </c>
    </row>
    <row r="618" spans="1:19" x14ac:dyDescent="0.35">
      <c r="A618" s="46" t="s">
        <v>689</v>
      </c>
      <c r="B618" s="52"/>
      <c r="C618" s="34"/>
      <c r="D618" s="34"/>
      <c r="E618" s="46"/>
      <c r="F618" s="52"/>
      <c r="G618" s="53"/>
      <c r="H618" s="53"/>
      <c r="I618" s="53"/>
      <c r="J618" s="219"/>
      <c r="K618" s="236"/>
      <c r="L618" s="56"/>
      <c r="M618" s="210">
        <f>SUM(M587:M617)</f>
        <v>161457.65</v>
      </c>
      <c r="N618" s="207"/>
      <c r="O618" s="39"/>
      <c r="P618" s="271">
        <f>SUM(P586:P617)</f>
        <v>5304.5</v>
      </c>
      <c r="Q618" s="275">
        <f t="shared" si="83"/>
        <v>0</v>
      </c>
      <c r="R618" s="176">
        <f t="shared" si="84"/>
        <v>0</v>
      </c>
      <c r="S618" s="276">
        <f t="shared" si="85"/>
        <v>156153.15</v>
      </c>
    </row>
    <row r="619" spans="1:19" x14ac:dyDescent="0.35">
      <c r="A619" s="131"/>
      <c r="B619" s="34" t="s">
        <v>393</v>
      </c>
      <c r="C619" s="34"/>
      <c r="D619" s="34"/>
      <c r="E619" s="89" t="s">
        <v>377</v>
      </c>
      <c r="F619" s="34"/>
      <c r="G619" s="90"/>
      <c r="H619" s="90"/>
      <c r="I619" s="90"/>
      <c r="J619" s="181"/>
      <c r="K619" s="245"/>
      <c r="L619" s="91"/>
      <c r="M619" s="210"/>
      <c r="N619" s="207"/>
      <c r="O619" s="39"/>
      <c r="P619" s="230"/>
      <c r="Q619" s="275">
        <f t="shared" si="83"/>
        <v>0</v>
      </c>
      <c r="R619" s="176"/>
      <c r="S619" s="276"/>
    </row>
    <row r="620" spans="1:19" ht="23" x14ac:dyDescent="0.35">
      <c r="A620" s="151"/>
      <c r="B620" s="99"/>
      <c r="C620" s="34" t="s">
        <v>11</v>
      </c>
      <c r="D620" s="34"/>
      <c r="E620" s="120" t="s">
        <v>378</v>
      </c>
      <c r="F620" s="121" t="s">
        <v>379</v>
      </c>
      <c r="G620" s="122"/>
      <c r="H620" s="122"/>
      <c r="I620" s="122"/>
      <c r="J620" s="228"/>
      <c r="K620" s="234">
        <v>0</v>
      </c>
      <c r="L620" s="43">
        <v>107.42</v>
      </c>
      <c r="M620" s="235">
        <f t="shared" ref="M620:M631" si="86">L620*$K620</f>
        <v>0</v>
      </c>
      <c r="N620" s="207">
        <v>0</v>
      </c>
      <c r="O620" s="39">
        <v>107</v>
      </c>
      <c r="P620" s="230">
        <f>O620*N620</f>
        <v>0</v>
      </c>
      <c r="Q620" s="275">
        <f t="shared" si="83"/>
        <v>0</v>
      </c>
      <c r="R620" s="176">
        <f t="shared" si="84"/>
        <v>0.42000000000000171</v>
      </c>
      <c r="S620" s="276">
        <f t="shared" si="85"/>
        <v>0</v>
      </c>
    </row>
    <row r="621" spans="1:19" ht="23" x14ac:dyDescent="0.35">
      <c r="A621" s="151"/>
      <c r="B621" s="99"/>
      <c r="C621" s="34" t="s">
        <v>14</v>
      </c>
      <c r="D621" s="34"/>
      <c r="E621" s="120" t="s">
        <v>380</v>
      </c>
      <c r="F621" s="121" t="s">
        <v>379</v>
      </c>
      <c r="G621" s="122"/>
      <c r="H621" s="122"/>
      <c r="I621" s="122"/>
      <c r="J621" s="228"/>
      <c r="K621" s="234">
        <v>0</v>
      </c>
      <c r="L621" s="43">
        <v>461.04</v>
      </c>
      <c r="M621" s="235">
        <f t="shared" si="86"/>
        <v>0</v>
      </c>
      <c r="N621" s="207">
        <v>0</v>
      </c>
      <c r="O621" s="39">
        <v>461</v>
      </c>
      <c r="P621" s="230">
        <f t="shared" ref="P621:P631" si="87">O621*N621</f>
        <v>0</v>
      </c>
      <c r="Q621" s="275">
        <f t="shared" si="83"/>
        <v>0</v>
      </c>
      <c r="R621" s="176">
        <f t="shared" si="84"/>
        <v>4.0000000000020464E-2</v>
      </c>
      <c r="S621" s="276">
        <f t="shared" si="85"/>
        <v>0</v>
      </c>
    </row>
    <row r="622" spans="1:19" ht="23" x14ac:dyDescent="0.35">
      <c r="A622" s="151"/>
      <c r="B622" s="99"/>
      <c r="C622" s="34" t="s">
        <v>16</v>
      </c>
      <c r="D622" s="34"/>
      <c r="E622" s="120" t="s">
        <v>381</v>
      </c>
      <c r="F622" s="121" t="s">
        <v>379</v>
      </c>
      <c r="G622" s="122"/>
      <c r="H622" s="122"/>
      <c r="I622" s="122"/>
      <c r="J622" s="228"/>
      <c r="K622" s="234">
        <v>0</v>
      </c>
      <c r="L622" s="43">
        <v>234.6</v>
      </c>
      <c r="M622" s="235">
        <f t="shared" si="86"/>
        <v>0</v>
      </c>
      <c r="N622" s="207">
        <v>0</v>
      </c>
      <c r="O622" s="39">
        <v>235</v>
      </c>
      <c r="P622" s="230">
        <f t="shared" si="87"/>
        <v>0</v>
      </c>
      <c r="Q622" s="275">
        <f t="shared" si="83"/>
        <v>0</v>
      </c>
      <c r="R622" s="176">
        <f t="shared" si="84"/>
        <v>-0.40000000000000568</v>
      </c>
      <c r="S622" s="276">
        <f t="shared" si="85"/>
        <v>0</v>
      </c>
    </row>
    <row r="623" spans="1:19" ht="23" x14ac:dyDescent="0.35">
      <c r="A623" s="151"/>
      <c r="B623" s="99"/>
      <c r="C623" s="34" t="s">
        <v>18</v>
      </c>
      <c r="D623" s="34"/>
      <c r="E623" s="120" t="s">
        <v>382</v>
      </c>
      <c r="F623" s="121" t="s">
        <v>379</v>
      </c>
      <c r="G623" s="122"/>
      <c r="H623" s="122"/>
      <c r="I623" s="122"/>
      <c r="J623" s="228"/>
      <c r="K623" s="234">
        <v>0</v>
      </c>
      <c r="L623" s="43">
        <v>285.60000000000002</v>
      </c>
      <c r="M623" s="235">
        <f t="shared" si="86"/>
        <v>0</v>
      </c>
      <c r="N623" s="207">
        <v>0</v>
      </c>
      <c r="O623" s="39">
        <v>286</v>
      </c>
      <c r="P623" s="230">
        <f t="shared" si="87"/>
        <v>0</v>
      </c>
      <c r="Q623" s="275">
        <f t="shared" si="83"/>
        <v>0</v>
      </c>
      <c r="R623" s="176">
        <f t="shared" si="84"/>
        <v>-0.39999999999997726</v>
      </c>
      <c r="S623" s="276">
        <f t="shared" si="85"/>
        <v>0</v>
      </c>
    </row>
    <row r="624" spans="1:19" ht="23" x14ac:dyDescent="0.35">
      <c r="A624" s="151"/>
      <c r="B624" s="99"/>
      <c r="C624" s="34" t="s">
        <v>20</v>
      </c>
      <c r="D624" s="34"/>
      <c r="E624" s="120" t="s">
        <v>383</v>
      </c>
      <c r="F624" s="121" t="s">
        <v>379</v>
      </c>
      <c r="G624" s="122"/>
      <c r="H624" s="122"/>
      <c r="I624" s="122"/>
      <c r="J624" s="228"/>
      <c r="K624" s="234">
        <v>0</v>
      </c>
      <c r="L624" s="43">
        <v>65.28</v>
      </c>
      <c r="M624" s="235">
        <f t="shared" si="86"/>
        <v>0</v>
      </c>
      <c r="N624" s="207">
        <v>0</v>
      </c>
      <c r="O624" s="39">
        <v>65.28</v>
      </c>
      <c r="P624" s="230">
        <f t="shared" si="87"/>
        <v>0</v>
      </c>
      <c r="Q624" s="275">
        <f t="shared" si="83"/>
        <v>0</v>
      </c>
      <c r="R624" s="176">
        <f t="shared" si="84"/>
        <v>0</v>
      </c>
      <c r="S624" s="276">
        <f t="shared" si="85"/>
        <v>0</v>
      </c>
    </row>
    <row r="625" spans="1:19" ht="23" x14ac:dyDescent="0.35">
      <c r="A625" s="151"/>
      <c r="B625" s="99"/>
      <c r="C625" s="34" t="s">
        <v>22</v>
      </c>
      <c r="D625" s="34"/>
      <c r="E625" s="120" t="s">
        <v>384</v>
      </c>
      <c r="F625" s="121" t="s">
        <v>379</v>
      </c>
      <c r="G625" s="122"/>
      <c r="H625" s="122"/>
      <c r="I625" s="122"/>
      <c r="J625" s="228"/>
      <c r="K625" s="234">
        <v>48</v>
      </c>
      <c r="L625" s="43">
        <v>123.42</v>
      </c>
      <c r="M625" s="235">
        <f t="shared" si="86"/>
        <v>5924.16</v>
      </c>
      <c r="N625" s="207">
        <v>0</v>
      </c>
      <c r="O625" s="39">
        <v>123.42</v>
      </c>
      <c r="P625" s="230">
        <f t="shared" si="87"/>
        <v>0</v>
      </c>
      <c r="Q625" s="275">
        <f t="shared" si="83"/>
        <v>48</v>
      </c>
      <c r="R625" s="176">
        <f t="shared" si="84"/>
        <v>0</v>
      </c>
      <c r="S625" s="276">
        <f t="shared" si="85"/>
        <v>5924.16</v>
      </c>
    </row>
    <row r="626" spans="1:19" ht="80.5" x14ac:dyDescent="0.35">
      <c r="A626" s="151"/>
      <c r="B626" s="99"/>
      <c r="C626" s="34" t="s">
        <v>24</v>
      </c>
      <c r="D626" s="34"/>
      <c r="E626" s="120" t="s">
        <v>385</v>
      </c>
      <c r="F626" s="121" t="s">
        <v>386</v>
      </c>
      <c r="G626" s="122"/>
      <c r="H626" s="122"/>
      <c r="I626" s="122"/>
      <c r="J626" s="228"/>
      <c r="K626" s="234">
        <v>0</v>
      </c>
      <c r="L626" s="43">
        <v>9504.36</v>
      </c>
      <c r="M626" s="235">
        <f t="shared" si="86"/>
        <v>0</v>
      </c>
      <c r="N626" s="207">
        <v>0</v>
      </c>
      <c r="O626" s="39">
        <v>9504.36</v>
      </c>
      <c r="P626" s="230">
        <f t="shared" si="87"/>
        <v>0</v>
      </c>
      <c r="Q626" s="275">
        <f t="shared" si="83"/>
        <v>0</v>
      </c>
      <c r="R626" s="176">
        <f t="shared" si="84"/>
        <v>0</v>
      </c>
      <c r="S626" s="276">
        <f t="shared" si="85"/>
        <v>0</v>
      </c>
    </row>
    <row r="627" spans="1:19" ht="69" x14ac:dyDescent="0.35">
      <c r="A627" s="151"/>
      <c r="B627" s="99"/>
      <c r="C627" s="34" t="s">
        <v>276</v>
      </c>
      <c r="D627" s="34"/>
      <c r="E627" s="120" t="s">
        <v>387</v>
      </c>
      <c r="F627" s="121" t="s">
        <v>386</v>
      </c>
      <c r="G627" s="122"/>
      <c r="H627" s="122"/>
      <c r="I627" s="122"/>
      <c r="J627" s="228"/>
      <c r="K627" s="234">
        <v>1</v>
      </c>
      <c r="L627" s="43">
        <v>6168.96</v>
      </c>
      <c r="M627" s="235">
        <f t="shared" si="86"/>
        <v>6168.96</v>
      </c>
      <c r="N627" s="207">
        <v>0</v>
      </c>
      <c r="O627" s="39">
        <v>6169</v>
      </c>
      <c r="P627" s="230">
        <f t="shared" si="87"/>
        <v>0</v>
      </c>
      <c r="Q627" s="275">
        <f t="shared" si="83"/>
        <v>1</v>
      </c>
      <c r="R627" s="176">
        <f t="shared" si="84"/>
        <v>-3.999999999996362E-2</v>
      </c>
      <c r="S627" s="276">
        <f t="shared" si="85"/>
        <v>6168.96</v>
      </c>
    </row>
    <row r="628" spans="1:19" x14ac:dyDescent="0.35">
      <c r="A628" s="151"/>
      <c r="B628" s="99"/>
      <c r="C628" s="34" t="s">
        <v>278</v>
      </c>
      <c r="D628" s="34"/>
      <c r="E628" s="120" t="s">
        <v>388</v>
      </c>
      <c r="F628" s="103" t="s">
        <v>339</v>
      </c>
      <c r="G628" s="104"/>
      <c r="H628" s="104"/>
      <c r="I628" s="104"/>
      <c r="J628" s="107"/>
      <c r="K628" s="234">
        <v>0</v>
      </c>
      <c r="L628" s="43">
        <v>71.400000000000006</v>
      </c>
      <c r="M628" s="235">
        <f t="shared" si="86"/>
        <v>0</v>
      </c>
      <c r="N628" s="207">
        <v>0</v>
      </c>
      <c r="O628" s="39">
        <v>71</v>
      </c>
      <c r="P628" s="230">
        <f t="shared" si="87"/>
        <v>0</v>
      </c>
      <c r="Q628" s="275">
        <f t="shared" si="83"/>
        <v>0</v>
      </c>
      <c r="R628" s="176">
        <f t="shared" si="84"/>
        <v>0.40000000000000568</v>
      </c>
      <c r="S628" s="276">
        <f t="shared" si="85"/>
        <v>0</v>
      </c>
    </row>
    <row r="629" spans="1:19" x14ac:dyDescent="0.35">
      <c r="A629" s="151"/>
      <c r="B629" s="99"/>
      <c r="C629" s="34" t="s">
        <v>280</v>
      </c>
      <c r="D629" s="34"/>
      <c r="E629" s="120" t="s">
        <v>389</v>
      </c>
      <c r="F629" s="103" t="s">
        <v>339</v>
      </c>
      <c r="G629" s="104"/>
      <c r="H629" s="104"/>
      <c r="I629" s="104"/>
      <c r="J629" s="107"/>
      <c r="K629" s="234">
        <v>44</v>
      </c>
      <c r="L629" s="43">
        <v>96.9</v>
      </c>
      <c r="M629" s="235">
        <f t="shared" si="86"/>
        <v>4263.6000000000004</v>
      </c>
      <c r="N629" s="207">
        <v>0</v>
      </c>
      <c r="O629" s="39">
        <v>97</v>
      </c>
      <c r="P629" s="230">
        <f t="shared" si="87"/>
        <v>0</v>
      </c>
      <c r="Q629" s="275">
        <f t="shared" si="83"/>
        <v>44</v>
      </c>
      <c r="R629" s="176">
        <f t="shared" si="84"/>
        <v>-9.9999999999994316E-2</v>
      </c>
      <c r="S629" s="276">
        <f t="shared" si="85"/>
        <v>4263.6000000000004</v>
      </c>
    </row>
    <row r="630" spans="1:19" x14ac:dyDescent="0.35">
      <c r="A630" s="151"/>
      <c r="B630" s="99"/>
      <c r="C630" s="34" t="s">
        <v>281</v>
      </c>
      <c r="D630" s="34"/>
      <c r="E630" s="120" t="s">
        <v>390</v>
      </c>
      <c r="F630" s="103" t="s">
        <v>339</v>
      </c>
      <c r="G630" s="104"/>
      <c r="H630" s="104"/>
      <c r="I630" s="104"/>
      <c r="J630" s="107"/>
      <c r="K630" s="234">
        <v>0</v>
      </c>
      <c r="L630" s="43">
        <v>122.4</v>
      </c>
      <c r="M630" s="235">
        <f t="shared" si="86"/>
        <v>0</v>
      </c>
      <c r="N630" s="207">
        <v>0</v>
      </c>
      <c r="O630" s="39">
        <v>122</v>
      </c>
      <c r="P630" s="230">
        <f t="shared" si="87"/>
        <v>0</v>
      </c>
      <c r="Q630" s="275">
        <f t="shared" si="83"/>
        <v>0</v>
      </c>
      <c r="R630" s="176">
        <f t="shared" si="84"/>
        <v>0.40000000000000568</v>
      </c>
      <c r="S630" s="276">
        <f t="shared" si="85"/>
        <v>0</v>
      </c>
    </row>
    <row r="631" spans="1:19" ht="34.5" x14ac:dyDescent="0.35">
      <c r="A631" s="151"/>
      <c r="B631" s="99"/>
      <c r="C631" s="34" t="s">
        <v>322</v>
      </c>
      <c r="D631" s="36" t="s">
        <v>391</v>
      </c>
      <c r="E631" s="120" t="s">
        <v>392</v>
      </c>
      <c r="F631" s="121" t="s">
        <v>136</v>
      </c>
      <c r="G631" s="122"/>
      <c r="H631" s="122"/>
      <c r="I631" s="122"/>
      <c r="J631" s="228"/>
      <c r="K631" s="234">
        <v>0</v>
      </c>
      <c r="L631" s="43">
        <v>114.24</v>
      </c>
      <c r="M631" s="235">
        <f t="shared" si="86"/>
        <v>0</v>
      </c>
      <c r="N631" s="207">
        <v>0</v>
      </c>
      <c r="O631" s="39">
        <v>114</v>
      </c>
      <c r="P631" s="230">
        <f t="shared" si="87"/>
        <v>0</v>
      </c>
      <c r="Q631" s="275">
        <f t="shared" si="83"/>
        <v>0</v>
      </c>
      <c r="R631" s="176">
        <f t="shared" si="84"/>
        <v>0.23999999999999488</v>
      </c>
      <c r="S631" s="276">
        <f t="shared" si="85"/>
        <v>0</v>
      </c>
    </row>
    <row r="632" spans="1:19" x14ac:dyDescent="0.35">
      <c r="A632" s="46" t="s">
        <v>690</v>
      </c>
      <c r="B632" s="52"/>
      <c r="C632" s="34"/>
      <c r="D632" s="34"/>
      <c r="E632" s="46"/>
      <c r="F632" s="52"/>
      <c r="G632" s="53"/>
      <c r="H632" s="53"/>
      <c r="I632" s="53"/>
      <c r="J632" s="219"/>
      <c r="K632" s="236"/>
      <c r="L632" s="56"/>
      <c r="M632" s="210">
        <f>SUM(M620:M631)</f>
        <v>16356.72</v>
      </c>
      <c r="N632" s="207"/>
      <c r="O632" s="39"/>
      <c r="P632" s="271">
        <f>SUM(P620:P631)</f>
        <v>0</v>
      </c>
      <c r="Q632" s="277">
        <f t="shared" si="83"/>
        <v>0</v>
      </c>
      <c r="R632" s="266">
        <f t="shared" si="84"/>
        <v>0</v>
      </c>
      <c r="S632" s="278">
        <f t="shared" si="85"/>
        <v>16356.72</v>
      </c>
    </row>
    <row r="633" spans="1:19" x14ac:dyDescent="0.35">
      <c r="A633" s="131"/>
      <c r="B633" s="34" t="s">
        <v>399</v>
      </c>
      <c r="C633" s="34"/>
      <c r="D633" s="34"/>
      <c r="E633" s="89" t="s">
        <v>400</v>
      </c>
      <c r="F633" s="34"/>
      <c r="G633" s="90"/>
      <c r="H633" s="90"/>
      <c r="I633" s="90"/>
      <c r="J633" s="181"/>
      <c r="K633" s="245"/>
      <c r="L633" s="91"/>
      <c r="M633" s="210"/>
      <c r="N633" s="207"/>
      <c r="O633" s="39"/>
      <c r="P633" s="230"/>
      <c r="Q633" s="275"/>
      <c r="R633" s="176"/>
      <c r="S633" s="276"/>
    </row>
    <row r="634" spans="1:19" ht="34.5" x14ac:dyDescent="0.35">
      <c r="A634" s="151"/>
      <c r="B634" s="99"/>
      <c r="C634" s="34" t="s">
        <v>11</v>
      </c>
      <c r="D634" s="34"/>
      <c r="E634" s="123" t="s">
        <v>744</v>
      </c>
      <c r="F634" s="103" t="s">
        <v>339</v>
      </c>
      <c r="G634" s="104"/>
      <c r="H634" s="104"/>
      <c r="I634" s="104"/>
      <c r="J634" s="107"/>
      <c r="K634" s="234">
        <v>0</v>
      </c>
      <c r="L634" s="43">
        <v>594.66</v>
      </c>
      <c r="M634" s="235">
        <f t="shared" ref="M634:M641" si="88">L634*$K634</f>
        <v>0</v>
      </c>
      <c r="N634" s="207">
        <v>0</v>
      </c>
      <c r="O634" s="39">
        <v>594.66</v>
      </c>
      <c r="P634" s="230">
        <f>O634*N634</f>
        <v>0</v>
      </c>
      <c r="Q634" s="275">
        <f t="shared" si="83"/>
        <v>0</v>
      </c>
      <c r="R634" s="176">
        <f t="shared" si="84"/>
        <v>0</v>
      </c>
      <c r="S634" s="276">
        <f t="shared" si="85"/>
        <v>0</v>
      </c>
    </row>
    <row r="635" spans="1:19" ht="34.5" x14ac:dyDescent="0.35">
      <c r="A635" s="151"/>
      <c r="B635" s="99"/>
      <c r="C635" s="34" t="s">
        <v>14</v>
      </c>
      <c r="D635" s="36" t="s">
        <v>401</v>
      </c>
      <c r="E635" s="97" t="s">
        <v>745</v>
      </c>
      <c r="F635" s="103" t="s">
        <v>339</v>
      </c>
      <c r="G635" s="104"/>
      <c r="H635" s="104"/>
      <c r="I635" s="104"/>
      <c r="J635" s="107"/>
      <c r="K635" s="234">
        <v>0</v>
      </c>
      <c r="L635" s="43">
        <v>700.74</v>
      </c>
      <c r="M635" s="235">
        <f t="shared" si="88"/>
        <v>0</v>
      </c>
      <c r="N635" s="207">
        <v>0</v>
      </c>
      <c r="O635" s="39">
        <v>700.74</v>
      </c>
      <c r="P635" s="230">
        <f t="shared" ref="P635:P641" si="89">O635*N635</f>
        <v>0</v>
      </c>
      <c r="Q635" s="275">
        <f t="shared" si="83"/>
        <v>0</v>
      </c>
      <c r="R635" s="176">
        <f t="shared" si="84"/>
        <v>0</v>
      </c>
      <c r="S635" s="276">
        <f t="shared" si="85"/>
        <v>0</v>
      </c>
    </row>
    <row r="636" spans="1:19" ht="34.5" x14ac:dyDescent="0.35">
      <c r="A636" s="151"/>
      <c r="B636" s="99"/>
      <c r="C636" s="34" t="s">
        <v>16</v>
      </c>
      <c r="D636" s="36"/>
      <c r="E636" s="97" t="s">
        <v>746</v>
      </c>
      <c r="F636" s="103" t="s">
        <v>339</v>
      </c>
      <c r="G636" s="104"/>
      <c r="H636" s="104"/>
      <c r="I636" s="104"/>
      <c r="J636" s="107"/>
      <c r="K636" s="234"/>
      <c r="L636" s="43">
        <v>449.82</v>
      </c>
      <c r="M636" s="235">
        <f t="shared" si="88"/>
        <v>0</v>
      </c>
      <c r="N636" s="207">
        <v>0</v>
      </c>
      <c r="O636" s="39">
        <v>450</v>
      </c>
      <c r="P636" s="230">
        <f t="shared" si="89"/>
        <v>0</v>
      </c>
      <c r="Q636" s="275">
        <f t="shared" si="83"/>
        <v>0</v>
      </c>
      <c r="R636" s="176">
        <f t="shared" si="84"/>
        <v>-0.18000000000000682</v>
      </c>
      <c r="S636" s="276">
        <f t="shared" si="85"/>
        <v>0</v>
      </c>
    </row>
    <row r="637" spans="1:19" ht="34.5" x14ac:dyDescent="0.35">
      <c r="A637" s="131"/>
      <c r="B637" s="34"/>
      <c r="C637" s="34" t="s">
        <v>18</v>
      </c>
      <c r="D637" s="36" t="s">
        <v>401</v>
      </c>
      <c r="E637" s="97" t="s">
        <v>747</v>
      </c>
      <c r="F637" s="103" t="s">
        <v>339</v>
      </c>
      <c r="G637" s="104"/>
      <c r="H637" s="104"/>
      <c r="I637" s="104"/>
      <c r="J637" s="107"/>
      <c r="K637" s="234">
        <v>0</v>
      </c>
      <c r="L637" s="43">
        <v>531.41999999999996</v>
      </c>
      <c r="M637" s="235">
        <f t="shared" si="88"/>
        <v>0</v>
      </c>
      <c r="N637" s="207">
        <v>0</v>
      </c>
      <c r="O637" s="39">
        <v>531</v>
      </c>
      <c r="P637" s="230">
        <f t="shared" si="89"/>
        <v>0</v>
      </c>
      <c r="Q637" s="275">
        <f t="shared" si="83"/>
        <v>0</v>
      </c>
      <c r="R637" s="176">
        <f t="shared" si="84"/>
        <v>0.41999999999995907</v>
      </c>
      <c r="S637" s="276">
        <f t="shared" si="85"/>
        <v>0</v>
      </c>
    </row>
    <row r="638" spans="1:19" ht="34.5" x14ac:dyDescent="0.35">
      <c r="A638" s="151"/>
      <c r="B638" s="99"/>
      <c r="C638" s="34" t="s">
        <v>20</v>
      </c>
      <c r="D638" s="36"/>
      <c r="E638" s="97" t="s">
        <v>748</v>
      </c>
      <c r="F638" s="103" t="s">
        <v>339</v>
      </c>
      <c r="G638" s="104"/>
      <c r="H638" s="104"/>
      <c r="I638" s="104"/>
      <c r="J638" s="107"/>
      <c r="K638" s="234"/>
      <c r="L638" s="43">
        <v>427.38</v>
      </c>
      <c r="M638" s="235">
        <f t="shared" si="88"/>
        <v>0</v>
      </c>
      <c r="N638" s="207">
        <v>0</v>
      </c>
      <c r="O638" s="39">
        <v>427</v>
      </c>
      <c r="P638" s="230">
        <f t="shared" si="89"/>
        <v>0</v>
      </c>
      <c r="Q638" s="275">
        <f t="shared" si="83"/>
        <v>0</v>
      </c>
      <c r="R638" s="176">
        <f t="shared" si="84"/>
        <v>0.37999999999999545</v>
      </c>
      <c r="S638" s="276">
        <f t="shared" si="85"/>
        <v>0</v>
      </c>
    </row>
    <row r="639" spans="1:19" ht="34.5" x14ac:dyDescent="0.35">
      <c r="A639" s="131"/>
      <c r="B639" s="34"/>
      <c r="C639" s="34" t="s">
        <v>22</v>
      </c>
      <c r="D639" s="36" t="s">
        <v>401</v>
      </c>
      <c r="E639" s="97" t="s">
        <v>749</v>
      </c>
      <c r="F639" s="103" t="s">
        <v>339</v>
      </c>
      <c r="G639" s="104"/>
      <c r="H639" s="104"/>
      <c r="I639" s="104"/>
      <c r="J639" s="107"/>
      <c r="K639" s="234"/>
      <c r="L639" s="43">
        <v>449.82</v>
      </c>
      <c r="M639" s="235">
        <f t="shared" si="88"/>
        <v>0</v>
      </c>
      <c r="N639" s="207">
        <v>0</v>
      </c>
      <c r="O639" s="39">
        <v>450</v>
      </c>
      <c r="P639" s="230">
        <f t="shared" si="89"/>
        <v>0</v>
      </c>
      <c r="Q639" s="275">
        <f t="shared" si="83"/>
        <v>0</v>
      </c>
      <c r="R639" s="176">
        <f t="shared" si="84"/>
        <v>-0.18000000000000682</v>
      </c>
      <c r="S639" s="276">
        <f t="shared" si="85"/>
        <v>0</v>
      </c>
    </row>
    <row r="640" spans="1:19" ht="34.5" x14ac:dyDescent="0.35">
      <c r="A640" s="151"/>
      <c r="B640" s="99"/>
      <c r="C640" s="34" t="s">
        <v>24</v>
      </c>
      <c r="D640" s="36"/>
      <c r="E640" s="97" t="s">
        <v>750</v>
      </c>
      <c r="F640" s="103" t="s">
        <v>339</v>
      </c>
      <c r="G640" s="104"/>
      <c r="H640" s="104"/>
      <c r="I640" s="104"/>
      <c r="J640" s="107"/>
      <c r="K640" s="234"/>
      <c r="L640" s="43">
        <v>364.14</v>
      </c>
      <c r="M640" s="235">
        <f t="shared" si="88"/>
        <v>0</v>
      </c>
      <c r="N640" s="207">
        <v>0</v>
      </c>
      <c r="O640" s="39">
        <v>364</v>
      </c>
      <c r="P640" s="230">
        <f t="shared" si="89"/>
        <v>0</v>
      </c>
      <c r="Q640" s="275">
        <f t="shared" si="83"/>
        <v>0</v>
      </c>
      <c r="R640" s="176">
        <f t="shared" si="84"/>
        <v>0.13999999999998636</v>
      </c>
      <c r="S640" s="276">
        <f t="shared" si="85"/>
        <v>0</v>
      </c>
    </row>
    <row r="641" spans="1:19" ht="34.5" x14ac:dyDescent="0.35">
      <c r="A641" s="131"/>
      <c r="B641" s="34"/>
      <c r="C641" s="34" t="s">
        <v>276</v>
      </c>
      <c r="D641" s="36" t="s">
        <v>401</v>
      </c>
      <c r="E641" s="97" t="s">
        <v>951</v>
      </c>
      <c r="F641" s="103" t="s">
        <v>339</v>
      </c>
      <c r="G641" s="104"/>
      <c r="H641" s="104"/>
      <c r="I641" s="104"/>
      <c r="J641" s="107"/>
      <c r="K641" s="234">
        <v>0</v>
      </c>
      <c r="L641" s="43">
        <v>429.42</v>
      </c>
      <c r="M641" s="235">
        <f t="shared" si="88"/>
        <v>0</v>
      </c>
      <c r="N641" s="207">
        <v>0</v>
      </c>
      <c r="O641" s="39">
        <v>429</v>
      </c>
      <c r="P641" s="230">
        <f t="shared" si="89"/>
        <v>0</v>
      </c>
      <c r="Q641" s="275">
        <f t="shared" si="83"/>
        <v>0</v>
      </c>
      <c r="R641" s="176">
        <f t="shared" si="84"/>
        <v>0.42000000000001592</v>
      </c>
      <c r="S641" s="276">
        <f t="shared" si="85"/>
        <v>0</v>
      </c>
    </row>
    <row r="642" spans="1:19" ht="46" x14ac:dyDescent="0.35">
      <c r="A642" s="131"/>
      <c r="B642" s="34"/>
      <c r="C642" s="34" t="s">
        <v>26</v>
      </c>
      <c r="D642" s="36" t="s">
        <v>402</v>
      </c>
      <c r="E642" s="97" t="s">
        <v>645</v>
      </c>
      <c r="F642" s="103"/>
      <c r="G642" s="104"/>
      <c r="H642" s="104"/>
      <c r="I642" s="104"/>
      <c r="J642" s="107"/>
      <c r="K642" s="234"/>
      <c r="L642" s="179"/>
      <c r="M642" s="247"/>
      <c r="N642" s="207"/>
      <c r="O642" s="39"/>
      <c r="P642" s="230"/>
      <c r="Q642" s="275"/>
      <c r="R642" s="176"/>
      <c r="S642" s="276"/>
    </row>
    <row r="643" spans="1:19" x14ac:dyDescent="0.35">
      <c r="A643" s="131"/>
      <c r="B643" s="34"/>
      <c r="C643" s="34" t="s">
        <v>29</v>
      </c>
      <c r="D643" s="36"/>
      <c r="E643" s="97" t="s">
        <v>646</v>
      </c>
      <c r="F643" s="103" t="s">
        <v>339</v>
      </c>
      <c r="G643" s="104"/>
      <c r="H643" s="104"/>
      <c r="I643" s="104"/>
      <c r="J643" s="107"/>
      <c r="K643" s="234"/>
      <c r="L643" s="43">
        <v>1173</v>
      </c>
      <c r="M643" s="235">
        <f>L643*$K643</f>
        <v>0</v>
      </c>
      <c r="N643" s="207">
        <v>0</v>
      </c>
      <c r="O643" s="39">
        <v>1173</v>
      </c>
      <c r="P643" s="230">
        <f>O643*N643</f>
        <v>0</v>
      </c>
      <c r="Q643" s="275">
        <f t="shared" si="83"/>
        <v>0</v>
      </c>
      <c r="R643" s="176">
        <f t="shared" si="84"/>
        <v>0</v>
      </c>
      <c r="S643" s="276">
        <f t="shared" si="85"/>
        <v>0</v>
      </c>
    </row>
    <row r="644" spans="1:19" x14ac:dyDescent="0.35">
      <c r="A644" s="131"/>
      <c r="B644" s="34"/>
      <c r="C644" s="34" t="s">
        <v>33</v>
      </c>
      <c r="D644" s="36"/>
      <c r="E644" s="97" t="s">
        <v>647</v>
      </c>
      <c r="F644" s="103" t="s">
        <v>339</v>
      </c>
      <c r="G644" s="104"/>
      <c r="H644" s="104"/>
      <c r="I644" s="104"/>
      <c r="J644" s="107"/>
      <c r="K644" s="234"/>
      <c r="L644" s="43">
        <v>994.5</v>
      </c>
      <c r="M644" s="235">
        <f>L644*$K644</f>
        <v>0</v>
      </c>
      <c r="N644" s="207">
        <v>0</v>
      </c>
      <c r="O644" s="39">
        <v>995</v>
      </c>
      <c r="P644" s="230">
        <f t="shared" ref="P644:P646" si="90">O644*N644</f>
        <v>0</v>
      </c>
      <c r="Q644" s="275">
        <f t="shared" si="83"/>
        <v>0</v>
      </c>
      <c r="R644" s="176">
        <f t="shared" si="84"/>
        <v>-0.5</v>
      </c>
      <c r="S644" s="276">
        <f t="shared" si="85"/>
        <v>0</v>
      </c>
    </row>
    <row r="645" spans="1:19" x14ac:dyDescent="0.35">
      <c r="A645" s="131"/>
      <c r="B645" s="34"/>
      <c r="C645" s="34" t="s">
        <v>36</v>
      </c>
      <c r="D645" s="36"/>
      <c r="E645" s="97" t="s">
        <v>648</v>
      </c>
      <c r="F645" s="103" t="s">
        <v>339</v>
      </c>
      <c r="G645" s="104"/>
      <c r="H645" s="104"/>
      <c r="I645" s="104"/>
      <c r="J645" s="107"/>
      <c r="K645" s="234"/>
      <c r="L645" s="43">
        <v>892.5</v>
      </c>
      <c r="M645" s="235">
        <f>L645*$K645</f>
        <v>0</v>
      </c>
      <c r="N645" s="207">
        <v>0</v>
      </c>
      <c r="O645" s="39">
        <v>892.5</v>
      </c>
      <c r="P645" s="230">
        <f t="shared" si="90"/>
        <v>0</v>
      </c>
      <c r="Q645" s="275">
        <f t="shared" si="83"/>
        <v>0</v>
      </c>
      <c r="R645" s="176">
        <f t="shared" si="84"/>
        <v>0</v>
      </c>
      <c r="S645" s="276">
        <f t="shared" si="85"/>
        <v>0</v>
      </c>
    </row>
    <row r="646" spans="1:19" x14ac:dyDescent="0.35">
      <c r="A646" s="131"/>
      <c r="B646" s="34"/>
      <c r="C646" s="34" t="s">
        <v>37</v>
      </c>
      <c r="D646" s="34"/>
      <c r="E646" s="97" t="s">
        <v>649</v>
      </c>
      <c r="F646" s="103" t="s">
        <v>339</v>
      </c>
      <c r="G646" s="104"/>
      <c r="H646" s="104"/>
      <c r="I646" s="104"/>
      <c r="J646" s="107"/>
      <c r="K646" s="234"/>
      <c r="L646" s="43">
        <v>816</v>
      </c>
      <c r="M646" s="235">
        <f>L646*$K646</f>
        <v>0</v>
      </c>
      <c r="N646" s="207">
        <v>0</v>
      </c>
      <c r="O646" s="39">
        <v>816</v>
      </c>
      <c r="P646" s="230">
        <f t="shared" si="90"/>
        <v>0</v>
      </c>
      <c r="Q646" s="275">
        <f t="shared" si="83"/>
        <v>0</v>
      </c>
      <c r="R646" s="176">
        <f t="shared" si="84"/>
        <v>0</v>
      </c>
      <c r="S646" s="276">
        <f t="shared" si="85"/>
        <v>0</v>
      </c>
    </row>
    <row r="647" spans="1:19" x14ac:dyDescent="0.35">
      <c r="A647" s="46" t="s">
        <v>611</v>
      </c>
      <c r="B647" s="52"/>
      <c r="C647" s="34"/>
      <c r="D647" s="34"/>
      <c r="E647" s="46"/>
      <c r="F647" s="52"/>
      <c r="G647" s="53"/>
      <c r="H647" s="53"/>
      <c r="I647" s="53"/>
      <c r="J647" s="219"/>
      <c r="K647" s="236"/>
      <c r="L647" s="56"/>
      <c r="M647" s="210">
        <f>SUM(M634:M646)</f>
        <v>0</v>
      </c>
      <c r="N647" s="207"/>
      <c r="O647" s="39"/>
      <c r="P647" s="271">
        <f>SUM(P634:P646)</f>
        <v>0</v>
      </c>
      <c r="Q647" s="277">
        <f t="shared" si="83"/>
        <v>0</v>
      </c>
      <c r="R647" s="266">
        <f t="shared" si="84"/>
        <v>0</v>
      </c>
      <c r="S647" s="278">
        <f t="shared" si="85"/>
        <v>0</v>
      </c>
    </row>
    <row r="648" spans="1:19" x14ac:dyDescent="0.35">
      <c r="A648" s="131"/>
      <c r="B648" s="34" t="s">
        <v>403</v>
      </c>
      <c r="C648" s="34"/>
      <c r="D648" s="34"/>
      <c r="E648" s="89" t="s">
        <v>404</v>
      </c>
      <c r="F648" s="34"/>
      <c r="G648" s="90"/>
      <c r="H648" s="90"/>
      <c r="I648" s="90"/>
      <c r="J648" s="181"/>
      <c r="K648" s="245"/>
      <c r="L648" s="91"/>
      <c r="M648" s="210"/>
      <c r="N648" s="207"/>
      <c r="O648" s="39"/>
      <c r="P648" s="230"/>
      <c r="Q648" s="275"/>
      <c r="R648" s="176"/>
      <c r="S648" s="276"/>
    </row>
    <row r="649" spans="1:19" ht="23" x14ac:dyDescent="0.35">
      <c r="A649" s="151"/>
      <c r="B649" s="99"/>
      <c r="C649" s="34" t="s">
        <v>11</v>
      </c>
      <c r="D649" s="34"/>
      <c r="E649" s="97" t="s">
        <v>405</v>
      </c>
      <c r="F649" s="103" t="s">
        <v>406</v>
      </c>
      <c r="G649" s="104"/>
      <c r="H649" s="104"/>
      <c r="I649" s="104"/>
      <c r="J649" s="107"/>
      <c r="K649" s="234">
        <f>SUM(K650:K654)/10.76</f>
        <v>6.6078066914498139</v>
      </c>
      <c r="L649" s="43">
        <v>140</v>
      </c>
      <c r="M649" s="235">
        <f>L649*$K649</f>
        <v>925.0929368029739</v>
      </c>
      <c r="N649" s="207">
        <v>21</v>
      </c>
      <c r="O649" s="39">
        <v>140</v>
      </c>
      <c r="P649" s="230">
        <f>O649*N649</f>
        <v>2940</v>
      </c>
      <c r="Q649" s="284">
        <f t="shared" si="83"/>
        <v>-14.392193308550187</v>
      </c>
      <c r="R649" s="174">
        <f t="shared" si="84"/>
        <v>0</v>
      </c>
      <c r="S649" s="235">
        <f t="shared" si="85"/>
        <v>-2014.9070631970262</v>
      </c>
    </row>
    <row r="650" spans="1:19" s="130" customFormat="1" ht="12" x14ac:dyDescent="0.3">
      <c r="A650" s="124"/>
      <c r="B650" s="124"/>
      <c r="C650" s="125"/>
      <c r="D650" s="126"/>
      <c r="E650" s="127" t="s">
        <v>898</v>
      </c>
      <c r="F650" s="128">
        <v>1</v>
      </c>
      <c r="G650" s="128"/>
      <c r="H650" s="128">
        <v>0.25</v>
      </c>
      <c r="I650" s="128">
        <v>12</v>
      </c>
      <c r="J650" s="128"/>
      <c r="K650" s="253">
        <f t="shared" ref="K650:K654" si="91">I650*H650*F650</f>
        <v>3</v>
      </c>
      <c r="L650" s="129"/>
      <c r="M650" s="254"/>
      <c r="N650" s="214"/>
      <c r="O650" s="180"/>
      <c r="P650" s="272"/>
      <c r="Q650" s="275"/>
      <c r="R650" s="176"/>
      <c r="S650" s="276"/>
    </row>
    <row r="651" spans="1:19" s="130" customFormat="1" ht="12" x14ac:dyDescent="0.3">
      <c r="A651" s="124"/>
      <c r="B651" s="124"/>
      <c r="C651" s="125"/>
      <c r="D651" s="126"/>
      <c r="E651" s="127" t="s">
        <v>900</v>
      </c>
      <c r="F651" s="128">
        <v>2</v>
      </c>
      <c r="G651" s="128"/>
      <c r="H651" s="128">
        <v>0.25</v>
      </c>
      <c r="I651" s="128">
        <v>10</v>
      </c>
      <c r="J651" s="128"/>
      <c r="K651" s="253">
        <f t="shared" si="91"/>
        <v>5</v>
      </c>
      <c r="L651" s="129"/>
      <c r="M651" s="254"/>
      <c r="N651" s="214"/>
      <c r="O651" s="180"/>
      <c r="P651" s="272"/>
      <c r="Q651" s="275"/>
      <c r="R651" s="176"/>
      <c r="S651" s="276"/>
    </row>
    <row r="652" spans="1:19" s="130" customFormat="1" ht="12" x14ac:dyDescent="0.3">
      <c r="A652" s="124"/>
      <c r="B652" s="124"/>
      <c r="C652" s="125"/>
      <c r="D652" s="126"/>
      <c r="E652" s="127" t="s">
        <v>959</v>
      </c>
      <c r="F652" s="128">
        <v>6</v>
      </c>
      <c r="G652" s="128"/>
      <c r="H652" s="128">
        <v>0.25</v>
      </c>
      <c r="I652" s="128">
        <v>25</v>
      </c>
      <c r="J652" s="128"/>
      <c r="K652" s="253">
        <f t="shared" si="91"/>
        <v>37.5</v>
      </c>
      <c r="L652" s="129"/>
      <c r="M652" s="254"/>
      <c r="N652" s="214"/>
      <c r="O652" s="180"/>
      <c r="P652" s="272"/>
      <c r="Q652" s="275"/>
      <c r="R652" s="176"/>
      <c r="S652" s="276"/>
    </row>
    <row r="653" spans="1:19" s="130" customFormat="1" ht="12" x14ac:dyDescent="0.3">
      <c r="A653" s="124"/>
      <c r="B653" s="124"/>
      <c r="C653" s="125"/>
      <c r="D653" s="126"/>
      <c r="E653" s="127" t="s">
        <v>899</v>
      </c>
      <c r="F653" s="128">
        <v>2</v>
      </c>
      <c r="G653" s="128"/>
      <c r="H653" s="128">
        <v>0.25</v>
      </c>
      <c r="I653" s="128">
        <v>8</v>
      </c>
      <c r="J653" s="128"/>
      <c r="K653" s="253">
        <f t="shared" si="91"/>
        <v>4</v>
      </c>
      <c r="L653" s="129"/>
      <c r="M653" s="254"/>
      <c r="N653" s="214"/>
      <c r="O653" s="180"/>
      <c r="P653" s="272"/>
      <c r="Q653" s="275"/>
      <c r="R653" s="176"/>
      <c r="S653" s="276"/>
    </row>
    <row r="654" spans="1:19" s="130" customFormat="1" ht="12" x14ac:dyDescent="0.3">
      <c r="A654" s="124"/>
      <c r="B654" s="124"/>
      <c r="C654" s="125"/>
      <c r="D654" s="126"/>
      <c r="E654" s="127" t="s">
        <v>1120</v>
      </c>
      <c r="F654" s="128">
        <v>6</v>
      </c>
      <c r="G654" s="128"/>
      <c r="H654" s="128">
        <v>0.4</v>
      </c>
      <c r="I654" s="128">
        <v>9</v>
      </c>
      <c r="J654" s="128"/>
      <c r="K654" s="253">
        <f t="shared" si="91"/>
        <v>21.6</v>
      </c>
      <c r="L654" s="129"/>
      <c r="M654" s="254"/>
      <c r="N654" s="214"/>
      <c r="O654" s="180"/>
      <c r="P654" s="272"/>
      <c r="Q654" s="275"/>
      <c r="R654" s="176"/>
      <c r="S654" s="276"/>
    </row>
    <row r="655" spans="1:19" x14ac:dyDescent="0.35">
      <c r="A655" s="46" t="s">
        <v>613</v>
      </c>
      <c r="B655" s="52"/>
      <c r="C655" s="34"/>
      <c r="D655" s="34"/>
      <c r="E655" s="46"/>
      <c r="F655" s="52"/>
      <c r="G655" s="53"/>
      <c r="H655" s="53"/>
      <c r="I655" s="53"/>
      <c r="J655" s="219"/>
      <c r="K655" s="236"/>
      <c r="L655" s="56"/>
      <c r="M655" s="210">
        <f>SUM(M649)</f>
        <v>925.0929368029739</v>
      </c>
      <c r="N655" s="207"/>
      <c r="O655" s="39"/>
      <c r="P655" s="271">
        <f>SUM(P649:P654)</f>
        <v>2940</v>
      </c>
      <c r="Q655" s="283">
        <f t="shared" ref="Q655:Q695" si="92">K655-N655</f>
        <v>0</v>
      </c>
      <c r="R655" s="182">
        <f t="shared" ref="R655:R695" si="93">L655-O655</f>
        <v>0</v>
      </c>
      <c r="S655" s="211">
        <f t="shared" ref="S655:S695" si="94">M655-P655</f>
        <v>-2014.9070631970262</v>
      </c>
    </row>
    <row r="656" spans="1:19" x14ac:dyDescent="0.35">
      <c r="A656" s="131"/>
      <c r="B656" s="34" t="s">
        <v>407</v>
      </c>
      <c r="C656" s="34" t="s">
        <v>8</v>
      </c>
      <c r="D656" s="34"/>
      <c r="E656" s="89" t="s">
        <v>408</v>
      </c>
      <c r="F656" s="34"/>
      <c r="G656" s="90"/>
      <c r="H656" s="90"/>
      <c r="I656" s="90"/>
      <c r="J656" s="181"/>
      <c r="K656" s="245"/>
      <c r="L656" s="91"/>
      <c r="M656" s="210"/>
      <c r="N656" s="207"/>
      <c r="O656" s="39"/>
      <c r="P656" s="230"/>
      <c r="Q656" s="275"/>
      <c r="R656" s="176"/>
      <c r="S656" s="276"/>
    </row>
    <row r="657" spans="1:19" ht="23" x14ac:dyDescent="0.35">
      <c r="A657" s="151"/>
      <c r="B657" s="99"/>
      <c r="C657" s="34" t="s">
        <v>11</v>
      </c>
      <c r="D657" s="34"/>
      <c r="E657" s="39" t="s">
        <v>409</v>
      </c>
      <c r="F657" s="36" t="s">
        <v>216</v>
      </c>
      <c r="G657" s="37"/>
      <c r="H657" s="37"/>
      <c r="I657" s="37"/>
      <c r="J657" s="110"/>
      <c r="K657" s="234">
        <v>1</v>
      </c>
      <c r="L657" s="43">
        <v>5893.56</v>
      </c>
      <c r="M657" s="235">
        <f>L657*$K657</f>
        <v>5893.56</v>
      </c>
      <c r="N657" s="207">
        <v>0</v>
      </c>
      <c r="O657" s="39">
        <v>5893.36</v>
      </c>
      <c r="P657" s="230">
        <f>O657*N657</f>
        <v>0</v>
      </c>
      <c r="Q657" s="275">
        <f t="shared" si="92"/>
        <v>1</v>
      </c>
      <c r="R657" s="176">
        <f t="shared" si="93"/>
        <v>0.2000000000007276</v>
      </c>
      <c r="S657" s="276">
        <f t="shared" si="94"/>
        <v>5893.56</v>
      </c>
    </row>
    <row r="658" spans="1:19" ht="23" x14ac:dyDescent="0.35">
      <c r="A658" s="151"/>
      <c r="B658" s="99"/>
      <c r="C658" s="34" t="s">
        <v>14</v>
      </c>
      <c r="D658" s="34"/>
      <c r="E658" s="39" t="s">
        <v>410</v>
      </c>
      <c r="F658" s="36" t="s">
        <v>411</v>
      </c>
      <c r="G658" s="37"/>
      <c r="H658" s="37"/>
      <c r="I658" s="37"/>
      <c r="J658" s="110"/>
      <c r="K658" s="234">
        <v>1</v>
      </c>
      <c r="L658" s="43">
        <v>15000</v>
      </c>
      <c r="M658" s="235">
        <f>L658*$K658</f>
        <v>15000</v>
      </c>
      <c r="N658" s="207">
        <v>1</v>
      </c>
      <c r="O658" s="39">
        <v>15000</v>
      </c>
      <c r="P658" s="230">
        <f>O658*N658</f>
        <v>15000</v>
      </c>
      <c r="Q658" s="275">
        <f t="shared" si="92"/>
        <v>0</v>
      </c>
      <c r="R658" s="176">
        <f t="shared" si="93"/>
        <v>0</v>
      </c>
      <c r="S658" s="276">
        <f t="shared" si="94"/>
        <v>0</v>
      </c>
    </row>
    <row r="659" spans="1:19" x14ac:dyDescent="0.35">
      <c r="A659" s="46" t="s">
        <v>614</v>
      </c>
      <c r="B659" s="52"/>
      <c r="C659" s="34"/>
      <c r="D659" s="34"/>
      <c r="E659" s="46"/>
      <c r="F659" s="52"/>
      <c r="G659" s="53"/>
      <c r="H659" s="53"/>
      <c r="I659" s="53"/>
      <c r="J659" s="219"/>
      <c r="K659" s="236"/>
      <c r="L659" s="56"/>
      <c r="M659" s="210">
        <f>SUM(M657:M658)</f>
        <v>20893.560000000001</v>
      </c>
      <c r="N659" s="207"/>
      <c r="O659" s="39"/>
      <c r="P659" s="271">
        <f>SUM(P657:P658)</f>
        <v>15000</v>
      </c>
      <c r="Q659" s="283">
        <f t="shared" si="92"/>
        <v>0</v>
      </c>
      <c r="R659" s="182">
        <f t="shared" si="93"/>
        <v>0</v>
      </c>
      <c r="S659" s="211">
        <f t="shared" si="94"/>
        <v>5893.5600000000013</v>
      </c>
    </row>
    <row r="660" spans="1:19" x14ac:dyDescent="0.35">
      <c r="A660" s="131"/>
      <c r="B660" s="34" t="s">
        <v>412</v>
      </c>
      <c r="C660" s="34" t="s">
        <v>8</v>
      </c>
      <c r="D660" s="34"/>
      <c r="E660" s="89" t="s">
        <v>413</v>
      </c>
      <c r="F660" s="34"/>
      <c r="G660" s="90"/>
      <c r="H660" s="90"/>
      <c r="I660" s="90"/>
      <c r="J660" s="181"/>
      <c r="K660" s="245"/>
      <c r="L660" s="91"/>
      <c r="M660" s="210"/>
      <c r="N660" s="207"/>
      <c r="O660" s="39"/>
      <c r="P660" s="230"/>
      <c r="Q660" s="275">
        <f t="shared" si="92"/>
        <v>0</v>
      </c>
      <c r="R660" s="176">
        <f t="shared" si="93"/>
        <v>0</v>
      </c>
      <c r="S660" s="276">
        <f t="shared" si="94"/>
        <v>0</v>
      </c>
    </row>
    <row r="661" spans="1:19" x14ac:dyDescent="0.35">
      <c r="A661" s="151"/>
      <c r="B661" s="99"/>
      <c r="C661" s="34" t="s">
        <v>11</v>
      </c>
      <c r="D661" s="34"/>
      <c r="E661" s="93" t="s">
        <v>414</v>
      </c>
      <c r="F661" s="100" t="s">
        <v>353</v>
      </c>
      <c r="G661" s="101"/>
      <c r="H661" s="101"/>
      <c r="I661" s="101"/>
      <c r="J661" s="111"/>
      <c r="K661" s="234">
        <v>0</v>
      </c>
      <c r="L661" s="43">
        <v>17115.599999999999</v>
      </c>
      <c r="M661" s="235">
        <f t="shared" ref="M661:M667" si="95">L661*$K661</f>
        <v>0</v>
      </c>
      <c r="N661" s="207">
        <v>0</v>
      </c>
      <c r="O661" s="39">
        <v>17115.599999999999</v>
      </c>
      <c r="P661" s="230">
        <f>O661*N661</f>
        <v>0</v>
      </c>
      <c r="Q661" s="275">
        <f t="shared" si="92"/>
        <v>0</v>
      </c>
      <c r="R661" s="176">
        <f t="shared" si="93"/>
        <v>0</v>
      </c>
      <c r="S661" s="276">
        <f t="shared" si="94"/>
        <v>0</v>
      </c>
    </row>
    <row r="662" spans="1:19" ht="34.5" x14ac:dyDescent="0.35">
      <c r="A662" s="151"/>
      <c r="B662" s="99"/>
      <c r="C662" s="34" t="s">
        <v>14</v>
      </c>
      <c r="D662" s="34"/>
      <c r="E662" s="93" t="s">
        <v>415</v>
      </c>
      <c r="F662" s="103" t="s">
        <v>339</v>
      </c>
      <c r="G662" s="104"/>
      <c r="H662" s="104"/>
      <c r="I662" s="104"/>
      <c r="J662" s="107"/>
      <c r="K662" s="234">
        <v>0</v>
      </c>
      <c r="L662" s="43">
        <v>80.599999999999994</v>
      </c>
      <c r="M662" s="235">
        <f t="shared" si="95"/>
        <v>0</v>
      </c>
      <c r="N662" s="207">
        <v>0</v>
      </c>
      <c r="O662" s="39">
        <v>80.599999999999994</v>
      </c>
      <c r="P662" s="230">
        <f t="shared" ref="P662:P672" si="96">O662*N662</f>
        <v>0</v>
      </c>
      <c r="Q662" s="275">
        <f t="shared" si="92"/>
        <v>0</v>
      </c>
      <c r="R662" s="176">
        <f t="shared" si="93"/>
        <v>0</v>
      </c>
      <c r="S662" s="276">
        <f t="shared" si="94"/>
        <v>0</v>
      </c>
    </row>
    <row r="663" spans="1:19" x14ac:dyDescent="0.35">
      <c r="A663" s="151"/>
      <c r="B663" s="99"/>
      <c r="C663" s="34" t="s">
        <v>16</v>
      </c>
      <c r="D663" s="34"/>
      <c r="E663" s="93" t="s">
        <v>416</v>
      </c>
      <c r="F663" s="100" t="s">
        <v>193</v>
      </c>
      <c r="G663" s="101"/>
      <c r="H663" s="101"/>
      <c r="I663" s="101"/>
      <c r="J663" s="111"/>
      <c r="K663" s="234">
        <v>0</v>
      </c>
      <c r="L663" s="43">
        <v>360.33</v>
      </c>
      <c r="M663" s="235">
        <f t="shared" si="95"/>
        <v>0</v>
      </c>
      <c r="N663" s="207">
        <v>0</v>
      </c>
      <c r="O663" s="39">
        <v>360.33</v>
      </c>
      <c r="P663" s="230">
        <f t="shared" si="96"/>
        <v>0</v>
      </c>
      <c r="Q663" s="275">
        <f t="shared" si="92"/>
        <v>0</v>
      </c>
      <c r="R663" s="176">
        <f t="shared" si="93"/>
        <v>0</v>
      </c>
      <c r="S663" s="276">
        <f t="shared" si="94"/>
        <v>0</v>
      </c>
    </row>
    <row r="664" spans="1:19" x14ac:dyDescent="0.35">
      <c r="A664" s="151"/>
      <c r="B664" s="99"/>
      <c r="C664" s="34" t="s">
        <v>18</v>
      </c>
      <c r="D664" s="34"/>
      <c r="E664" s="93" t="s">
        <v>417</v>
      </c>
      <c r="F664" s="103" t="s">
        <v>339</v>
      </c>
      <c r="G664" s="104"/>
      <c r="H664" s="104"/>
      <c r="I664" s="104"/>
      <c r="J664" s="107"/>
      <c r="K664" s="234">
        <v>0</v>
      </c>
      <c r="L664" s="43">
        <v>34.68</v>
      </c>
      <c r="M664" s="235">
        <f t="shared" si="95"/>
        <v>0</v>
      </c>
      <c r="N664" s="207">
        <v>0</v>
      </c>
      <c r="O664" s="39">
        <v>34.68</v>
      </c>
      <c r="P664" s="230">
        <f t="shared" si="96"/>
        <v>0</v>
      </c>
      <c r="Q664" s="275">
        <f t="shared" si="92"/>
        <v>0</v>
      </c>
      <c r="R664" s="176">
        <f t="shared" si="93"/>
        <v>0</v>
      </c>
      <c r="S664" s="276">
        <f t="shared" si="94"/>
        <v>0</v>
      </c>
    </row>
    <row r="665" spans="1:19" x14ac:dyDescent="0.35">
      <c r="A665" s="151"/>
      <c r="B665" s="99"/>
      <c r="C665" s="34" t="s">
        <v>20</v>
      </c>
      <c r="D665" s="34"/>
      <c r="E665" s="93" t="s">
        <v>418</v>
      </c>
      <c r="F665" s="103" t="s">
        <v>339</v>
      </c>
      <c r="G665" s="104"/>
      <c r="H665" s="104"/>
      <c r="I665" s="104"/>
      <c r="J665" s="107"/>
      <c r="K665" s="234">
        <v>0</v>
      </c>
      <c r="L665" s="43">
        <v>40</v>
      </c>
      <c r="M665" s="235">
        <f t="shared" si="95"/>
        <v>0</v>
      </c>
      <c r="N665" s="207">
        <v>40</v>
      </c>
      <c r="O665" s="39">
        <v>389</v>
      </c>
      <c r="P665" s="230">
        <f t="shared" si="96"/>
        <v>15560</v>
      </c>
      <c r="Q665" s="275">
        <f t="shared" si="92"/>
        <v>-40</v>
      </c>
      <c r="R665" s="176">
        <f t="shared" si="93"/>
        <v>-349</v>
      </c>
      <c r="S665" s="276">
        <f t="shared" si="94"/>
        <v>-15560</v>
      </c>
    </row>
    <row r="666" spans="1:19" x14ac:dyDescent="0.35">
      <c r="A666" s="151"/>
      <c r="B666" s="99"/>
      <c r="C666" s="34" t="s">
        <v>22</v>
      </c>
      <c r="D666" s="34"/>
      <c r="E666" s="93" t="s">
        <v>419</v>
      </c>
      <c r="F666" s="100" t="s">
        <v>193</v>
      </c>
      <c r="G666" s="101"/>
      <c r="H666" s="101"/>
      <c r="I666" s="101"/>
      <c r="J666" s="111"/>
      <c r="K666" s="234">
        <v>0</v>
      </c>
      <c r="L666" s="43">
        <v>317.22000000000003</v>
      </c>
      <c r="M666" s="235">
        <f t="shared" si="95"/>
        <v>0</v>
      </c>
      <c r="N666" s="207">
        <v>4</v>
      </c>
      <c r="O666" s="39">
        <v>317.22000000000003</v>
      </c>
      <c r="P666" s="230">
        <f t="shared" si="96"/>
        <v>1268.8800000000001</v>
      </c>
      <c r="Q666" s="275">
        <f t="shared" si="92"/>
        <v>-4</v>
      </c>
      <c r="R666" s="176">
        <f t="shared" si="93"/>
        <v>0</v>
      </c>
      <c r="S666" s="276">
        <f t="shared" si="94"/>
        <v>-1268.8800000000001</v>
      </c>
    </row>
    <row r="667" spans="1:19" x14ac:dyDescent="0.35">
      <c r="A667" s="151"/>
      <c r="B667" s="99"/>
      <c r="C667" s="34" t="s">
        <v>24</v>
      </c>
      <c r="D667" s="34"/>
      <c r="E667" s="93" t="s">
        <v>908</v>
      </c>
      <c r="F667" s="103" t="s">
        <v>339</v>
      </c>
      <c r="G667" s="104"/>
      <c r="H667" s="104"/>
      <c r="I667" s="104"/>
      <c r="J667" s="107"/>
      <c r="K667" s="234">
        <v>0</v>
      </c>
      <c r="L667" s="43">
        <v>125.46</v>
      </c>
      <c r="M667" s="235">
        <f t="shared" si="95"/>
        <v>0</v>
      </c>
      <c r="N667" s="207">
        <v>73</v>
      </c>
      <c r="O667" s="39">
        <v>125</v>
      </c>
      <c r="P667" s="230">
        <f t="shared" si="96"/>
        <v>9125</v>
      </c>
      <c r="Q667" s="275">
        <f t="shared" si="92"/>
        <v>-73</v>
      </c>
      <c r="R667" s="176">
        <f t="shared" si="93"/>
        <v>0.45999999999999375</v>
      </c>
      <c r="S667" s="276">
        <f t="shared" si="94"/>
        <v>-9125</v>
      </c>
    </row>
    <row r="668" spans="1:19" ht="23" x14ac:dyDescent="0.35">
      <c r="A668" s="151"/>
      <c r="B668" s="99"/>
      <c r="C668" s="34" t="s">
        <v>26</v>
      </c>
      <c r="D668" s="36" t="s">
        <v>616</v>
      </c>
      <c r="E668" s="93"/>
      <c r="F668" s="100"/>
      <c r="G668" s="101"/>
      <c r="H668" s="101"/>
      <c r="I668" s="101"/>
      <c r="J668" s="111"/>
      <c r="K668" s="234"/>
      <c r="L668" s="43"/>
      <c r="M668" s="235"/>
      <c r="N668" s="207"/>
      <c r="O668" s="39"/>
      <c r="P668" s="230">
        <f t="shared" si="96"/>
        <v>0</v>
      </c>
      <c r="Q668" s="275">
        <f t="shared" si="92"/>
        <v>0</v>
      </c>
      <c r="R668" s="176">
        <f t="shared" si="93"/>
        <v>0</v>
      </c>
      <c r="S668" s="276">
        <f t="shared" si="94"/>
        <v>0</v>
      </c>
    </row>
    <row r="669" spans="1:19" x14ac:dyDescent="0.35">
      <c r="A669" s="151"/>
      <c r="B669" s="99"/>
      <c r="C669" s="34" t="s">
        <v>29</v>
      </c>
      <c r="D669" s="34"/>
      <c r="E669" s="123" t="s">
        <v>420</v>
      </c>
      <c r="F669" s="103" t="s">
        <v>266</v>
      </c>
      <c r="G669" s="104"/>
      <c r="H669" s="104"/>
      <c r="I669" s="104"/>
      <c r="J669" s="107"/>
      <c r="K669" s="234">
        <v>0</v>
      </c>
      <c r="L669" s="43">
        <v>202.98</v>
      </c>
      <c r="M669" s="235">
        <f>L669*$K669</f>
        <v>0</v>
      </c>
      <c r="N669" s="207">
        <v>2</v>
      </c>
      <c r="O669" s="39">
        <v>202.98</v>
      </c>
      <c r="P669" s="230">
        <f t="shared" si="96"/>
        <v>405.96</v>
      </c>
      <c r="Q669" s="275">
        <f t="shared" si="92"/>
        <v>-2</v>
      </c>
      <c r="R669" s="176">
        <f t="shared" si="93"/>
        <v>0</v>
      </c>
      <c r="S669" s="276">
        <f t="shared" si="94"/>
        <v>-405.96</v>
      </c>
    </row>
    <row r="670" spans="1:19" x14ac:dyDescent="0.35">
      <c r="A670" s="151"/>
      <c r="B670" s="99"/>
      <c r="C670" s="34" t="s">
        <v>33</v>
      </c>
      <c r="D670" s="34"/>
      <c r="E670" s="123" t="s">
        <v>421</v>
      </c>
      <c r="F670" s="103" t="s">
        <v>266</v>
      </c>
      <c r="G670" s="104"/>
      <c r="H670" s="104"/>
      <c r="I670" s="104"/>
      <c r="J670" s="107"/>
      <c r="K670" s="234">
        <v>0</v>
      </c>
      <c r="L670" s="43">
        <v>243.78</v>
      </c>
      <c r="M670" s="235">
        <f>L670*$K670</f>
        <v>0</v>
      </c>
      <c r="N670" s="207">
        <v>20</v>
      </c>
      <c r="O670" s="39">
        <v>244</v>
      </c>
      <c r="P670" s="230">
        <f t="shared" si="96"/>
        <v>4880</v>
      </c>
      <c r="Q670" s="275">
        <f t="shared" si="92"/>
        <v>-20</v>
      </c>
      <c r="R670" s="176">
        <f t="shared" si="93"/>
        <v>-0.21999999999999886</v>
      </c>
      <c r="S670" s="276">
        <f t="shared" si="94"/>
        <v>-4880</v>
      </c>
    </row>
    <row r="671" spans="1:19" x14ac:dyDescent="0.35">
      <c r="A671" s="151"/>
      <c r="B671" s="99"/>
      <c r="C671" s="34" t="s">
        <v>36</v>
      </c>
      <c r="D671" s="34"/>
      <c r="E671" s="123" t="s">
        <v>422</v>
      </c>
      <c r="F671" s="103" t="s">
        <v>266</v>
      </c>
      <c r="G671" s="104"/>
      <c r="H671" s="104"/>
      <c r="I671" s="104"/>
      <c r="J671" s="107"/>
      <c r="K671" s="234">
        <v>0</v>
      </c>
      <c r="L671" s="43">
        <v>459</v>
      </c>
      <c r="M671" s="235">
        <f>L671*$K671</f>
        <v>0</v>
      </c>
      <c r="N671" s="207">
        <v>5</v>
      </c>
      <c r="O671" s="39">
        <v>459</v>
      </c>
      <c r="P671" s="230">
        <f t="shared" si="96"/>
        <v>2295</v>
      </c>
      <c r="Q671" s="275">
        <f t="shared" si="92"/>
        <v>-5</v>
      </c>
      <c r="R671" s="176">
        <f t="shared" si="93"/>
        <v>0</v>
      </c>
      <c r="S671" s="276">
        <f t="shared" si="94"/>
        <v>-2295</v>
      </c>
    </row>
    <row r="672" spans="1:19" ht="23" x14ac:dyDescent="0.35">
      <c r="A672" s="151"/>
      <c r="B672" s="99"/>
      <c r="C672" s="34" t="s">
        <v>37</v>
      </c>
      <c r="D672" s="34"/>
      <c r="E672" s="123" t="s">
        <v>423</v>
      </c>
      <c r="F672" s="103" t="s">
        <v>266</v>
      </c>
      <c r="G672" s="104"/>
      <c r="H672" s="104"/>
      <c r="I672" s="104"/>
      <c r="J672" s="107"/>
      <c r="K672" s="234">
        <v>0</v>
      </c>
      <c r="L672" s="43">
        <v>687.48</v>
      </c>
      <c r="M672" s="235">
        <f>L672*$K672</f>
        <v>0</v>
      </c>
      <c r="N672" s="207">
        <v>0</v>
      </c>
      <c r="O672" s="39">
        <v>687.48</v>
      </c>
      <c r="P672" s="230">
        <f t="shared" si="96"/>
        <v>0</v>
      </c>
      <c r="Q672" s="275">
        <f t="shared" si="92"/>
        <v>0</v>
      </c>
      <c r="R672" s="176">
        <f t="shared" si="93"/>
        <v>0</v>
      </c>
      <c r="S672" s="276">
        <f t="shared" si="94"/>
        <v>0</v>
      </c>
    </row>
    <row r="673" spans="1:19" x14ac:dyDescent="0.35">
      <c r="A673" s="46" t="s">
        <v>615</v>
      </c>
      <c r="B673" s="52"/>
      <c r="C673" s="34"/>
      <c r="D673" s="34"/>
      <c r="E673" s="46"/>
      <c r="F673" s="52"/>
      <c r="G673" s="53"/>
      <c r="H673" s="53"/>
      <c r="I673" s="53"/>
      <c r="J673" s="219"/>
      <c r="K673" s="236"/>
      <c r="L673" s="56"/>
      <c r="M673" s="210">
        <f>SUM(M661:M672)</f>
        <v>0</v>
      </c>
      <c r="N673" s="207"/>
      <c r="O673" s="39"/>
      <c r="P673" s="267">
        <f>SUM(P661:P672)</f>
        <v>33534.839999999997</v>
      </c>
      <c r="Q673" s="277">
        <f t="shared" si="92"/>
        <v>0</v>
      </c>
      <c r="R673" s="266">
        <f t="shared" si="93"/>
        <v>0</v>
      </c>
      <c r="S673" s="278">
        <f t="shared" si="94"/>
        <v>-33534.839999999997</v>
      </c>
    </row>
    <row r="674" spans="1:19" x14ac:dyDescent="0.35">
      <c r="A674" s="150" t="s">
        <v>424</v>
      </c>
      <c r="B674" s="85"/>
      <c r="C674" s="85"/>
      <c r="D674" s="85"/>
      <c r="E674" s="86" t="s">
        <v>425</v>
      </c>
      <c r="F674" s="85"/>
      <c r="G674" s="87"/>
      <c r="H674" s="87"/>
      <c r="I674" s="87"/>
      <c r="J674" s="223"/>
      <c r="K674" s="243"/>
      <c r="L674" s="94"/>
      <c r="M674" s="244"/>
      <c r="N674" s="207"/>
      <c r="O674" s="39"/>
      <c r="P674" s="230"/>
      <c r="Q674" s="275"/>
      <c r="R674" s="176"/>
      <c r="S674" s="276"/>
    </row>
    <row r="675" spans="1:19" x14ac:dyDescent="0.35">
      <c r="A675" s="131"/>
      <c r="B675" s="34" t="s">
        <v>617</v>
      </c>
      <c r="C675" s="34"/>
      <c r="D675" s="34"/>
      <c r="E675" s="131"/>
      <c r="F675" s="34"/>
      <c r="G675" s="90"/>
      <c r="H675" s="90"/>
      <c r="I675" s="90"/>
      <c r="J675" s="181"/>
      <c r="K675" s="245"/>
      <c r="L675" s="91"/>
      <c r="M675" s="210"/>
      <c r="N675" s="207"/>
      <c r="O675" s="39"/>
      <c r="P675" s="230"/>
      <c r="Q675" s="275"/>
      <c r="R675" s="176"/>
      <c r="S675" s="276"/>
    </row>
    <row r="676" spans="1:19" ht="46" x14ac:dyDescent="0.35">
      <c r="A676" s="151"/>
      <c r="B676" s="99"/>
      <c r="C676" s="34" t="s">
        <v>8</v>
      </c>
      <c r="D676" s="103"/>
      <c r="E676" s="132" t="s">
        <v>426</v>
      </c>
      <c r="F676" s="103" t="s">
        <v>216</v>
      </c>
      <c r="G676" s="104"/>
      <c r="H676" s="104"/>
      <c r="I676" s="104"/>
      <c r="J676" s="107"/>
      <c r="K676" s="234">
        <v>0</v>
      </c>
      <c r="L676" s="43">
        <v>1071</v>
      </c>
      <c r="M676" s="235">
        <f t="shared" ref="M676:M686" si="97">L676*$K676</f>
        <v>0</v>
      </c>
      <c r="N676" s="207">
        <v>7</v>
      </c>
      <c r="O676" s="39">
        <v>1071</v>
      </c>
      <c r="P676" s="230">
        <f>O676*N676</f>
        <v>7497</v>
      </c>
      <c r="Q676" s="275">
        <f t="shared" si="92"/>
        <v>-7</v>
      </c>
      <c r="R676" s="176">
        <f t="shared" si="93"/>
        <v>0</v>
      </c>
      <c r="S676" s="276">
        <f t="shared" si="94"/>
        <v>-7497</v>
      </c>
    </row>
    <row r="677" spans="1:19" ht="34.5" x14ac:dyDescent="0.35">
      <c r="A677" s="151"/>
      <c r="B677" s="99"/>
      <c r="C677" s="34" t="s">
        <v>11</v>
      </c>
      <c r="D677" s="103"/>
      <c r="E677" s="132" t="s">
        <v>427</v>
      </c>
      <c r="F677" s="103" t="s">
        <v>216</v>
      </c>
      <c r="G677" s="104"/>
      <c r="H677" s="104"/>
      <c r="I677" s="104"/>
      <c r="J677" s="107"/>
      <c r="K677" s="234">
        <v>0</v>
      </c>
      <c r="L677" s="43">
        <v>1888.02</v>
      </c>
      <c r="M677" s="235">
        <f t="shared" si="97"/>
        <v>0</v>
      </c>
      <c r="N677" s="207">
        <v>0</v>
      </c>
      <c r="O677" s="39">
        <v>1888</v>
      </c>
      <c r="P677" s="230">
        <f t="shared" ref="P677:P686" si="98">O677*N677</f>
        <v>0</v>
      </c>
      <c r="Q677" s="275">
        <f t="shared" si="92"/>
        <v>0</v>
      </c>
      <c r="R677" s="176">
        <f t="shared" si="93"/>
        <v>1.999999999998181E-2</v>
      </c>
      <c r="S677" s="276">
        <f t="shared" si="94"/>
        <v>0</v>
      </c>
    </row>
    <row r="678" spans="1:19" ht="46" x14ac:dyDescent="0.35">
      <c r="A678" s="151"/>
      <c r="B678" s="99"/>
      <c r="C678" s="34" t="s">
        <v>26</v>
      </c>
      <c r="D678" s="103"/>
      <c r="E678" s="132" t="s">
        <v>428</v>
      </c>
      <c r="F678" s="103" t="s">
        <v>216</v>
      </c>
      <c r="G678" s="104"/>
      <c r="H678" s="104"/>
      <c r="I678" s="104"/>
      <c r="J678" s="107"/>
      <c r="K678" s="234">
        <v>0</v>
      </c>
      <c r="L678" s="43">
        <v>1882.92</v>
      </c>
      <c r="M678" s="235">
        <f t="shared" si="97"/>
        <v>0</v>
      </c>
      <c r="N678" s="207">
        <v>0</v>
      </c>
      <c r="O678" s="39">
        <v>1883</v>
      </c>
      <c r="P678" s="230">
        <f t="shared" si="98"/>
        <v>0</v>
      </c>
      <c r="Q678" s="275">
        <f t="shared" si="92"/>
        <v>0</v>
      </c>
      <c r="R678" s="176">
        <f t="shared" si="93"/>
        <v>-7.999999999992724E-2</v>
      </c>
      <c r="S678" s="276">
        <f t="shared" si="94"/>
        <v>0</v>
      </c>
    </row>
    <row r="679" spans="1:19" ht="46" x14ac:dyDescent="0.35">
      <c r="A679" s="151"/>
      <c r="B679" s="99"/>
      <c r="C679" s="34" t="s">
        <v>38</v>
      </c>
      <c r="D679" s="103"/>
      <c r="E679" s="132" t="s">
        <v>429</v>
      </c>
      <c r="F679" s="103" t="s">
        <v>216</v>
      </c>
      <c r="G679" s="104"/>
      <c r="H679" s="104"/>
      <c r="I679" s="104"/>
      <c r="J679" s="107"/>
      <c r="K679" s="234">
        <v>0</v>
      </c>
      <c r="L679" s="43">
        <v>882.3</v>
      </c>
      <c r="M679" s="235">
        <f t="shared" si="97"/>
        <v>0</v>
      </c>
      <c r="N679" s="207">
        <v>2</v>
      </c>
      <c r="O679" s="39">
        <v>882</v>
      </c>
      <c r="P679" s="230">
        <f t="shared" si="98"/>
        <v>1764</v>
      </c>
      <c r="Q679" s="275">
        <f t="shared" si="92"/>
        <v>-2</v>
      </c>
      <c r="R679" s="176">
        <f t="shared" si="93"/>
        <v>0.29999999999995453</v>
      </c>
      <c r="S679" s="276">
        <f t="shared" si="94"/>
        <v>-1764</v>
      </c>
    </row>
    <row r="680" spans="1:19" ht="46" x14ac:dyDescent="0.35">
      <c r="A680" s="151"/>
      <c r="B680" s="99"/>
      <c r="C680" s="34" t="s">
        <v>68</v>
      </c>
      <c r="D680" s="103"/>
      <c r="E680" s="48" t="s">
        <v>430</v>
      </c>
      <c r="F680" s="103" t="s">
        <v>216</v>
      </c>
      <c r="G680" s="104"/>
      <c r="H680" s="104"/>
      <c r="I680" s="104"/>
      <c r="J680" s="107"/>
      <c r="K680" s="234">
        <v>0</v>
      </c>
      <c r="L680" s="43">
        <v>1398.42</v>
      </c>
      <c r="M680" s="235">
        <f t="shared" si="97"/>
        <v>0</v>
      </c>
      <c r="N680" s="207">
        <v>0</v>
      </c>
      <c r="O680" s="39">
        <v>1398</v>
      </c>
      <c r="P680" s="230">
        <f t="shared" si="98"/>
        <v>0</v>
      </c>
      <c r="Q680" s="275">
        <f t="shared" si="92"/>
        <v>0</v>
      </c>
      <c r="R680" s="176">
        <f t="shared" si="93"/>
        <v>0.42000000000007276</v>
      </c>
      <c r="S680" s="276">
        <f t="shared" si="94"/>
        <v>0</v>
      </c>
    </row>
    <row r="681" spans="1:19" ht="34.5" x14ac:dyDescent="0.35">
      <c r="A681" s="151"/>
      <c r="B681" s="99"/>
      <c r="C681" s="34" t="s">
        <v>57</v>
      </c>
      <c r="D681" s="103"/>
      <c r="E681" s="132" t="s">
        <v>431</v>
      </c>
      <c r="F681" s="103" t="s">
        <v>216</v>
      </c>
      <c r="G681" s="104"/>
      <c r="H681" s="104"/>
      <c r="I681" s="104"/>
      <c r="J681" s="107"/>
      <c r="K681" s="234">
        <v>0</v>
      </c>
      <c r="L681" s="43">
        <v>1010.82</v>
      </c>
      <c r="M681" s="235">
        <f t="shared" si="97"/>
        <v>0</v>
      </c>
      <c r="N681" s="207">
        <v>2</v>
      </c>
      <c r="O681" s="39">
        <v>1010.82</v>
      </c>
      <c r="P681" s="230">
        <f t="shared" si="98"/>
        <v>2021.64</v>
      </c>
      <c r="Q681" s="275">
        <f t="shared" si="92"/>
        <v>-2</v>
      </c>
      <c r="R681" s="176">
        <f t="shared" si="93"/>
        <v>0</v>
      </c>
      <c r="S681" s="276">
        <f t="shared" si="94"/>
        <v>-2021.64</v>
      </c>
    </row>
    <row r="682" spans="1:19" ht="34.5" x14ac:dyDescent="0.35">
      <c r="A682" s="151"/>
      <c r="B682" s="99"/>
      <c r="C682" s="34" t="s">
        <v>172</v>
      </c>
      <c r="D682" s="103"/>
      <c r="E682" s="48" t="s">
        <v>432</v>
      </c>
      <c r="F682" s="103" t="s">
        <v>216</v>
      </c>
      <c r="G682" s="104"/>
      <c r="H682" s="104"/>
      <c r="I682" s="104"/>
      <c r="J682" s="107"/>
      <c r="K682" s="234">
        <v>0</v>
      </c>
      <c r="L682" s="43">
        <v>1239.3</v>
      </c>
      <c r="M682" s="235">
        <f t="shared" si="97"/>
        <v>0</v>
      </c>
      <c r="N682" s="207">
        <v>0</v>
      </c>
      <c r="O682" s="39">
        <v>1239.3</v>
      </c>
      <c r="P682" s="230">
        <f t="shared" si="98"/>
        <v>0</v>
      </c>
      <c r="Q682" s="275">
        <f t="shared" si="92"/>
        <v>0</v>
      </c>
      <c r="R682" s="176">
        <f t="shared" si="93"/>
        <v>0</v>
      </c>
      <c r="S682" s="276">
        <f t="shared" si="94"/>
        <v>0</v>
      </c>
    </row>
    <row r="683" spans="1:19" ht="23" x14ac:dyDescent="0.35">
      <c r="A683" s="151"/>
      <c r="B683" s="99"/>
      <c r="C683" s="34" t="s">
        <v>59</v>
      </c>
      <c r="D683" s="103"/>
      <c r="E683" s="133" t="s">
        <v>714</v>
      </c>
      <c r="F683" s="103" t="s">
        <v>433</v>
      </c>
      <c r="G683" s="104"/>
      <c r="H683" s="104"/>
      <c r="I683" s="104"/>
      <c r="J683" s="107"/>
      <c r="K683" s="234">
        <v>0</v>
      </c>
      <c r="L683" s="43">
        <v>4987.8</v>
      </c>
      <c r="M683" s="235">
        <f t="shared" si="97"/>
        <v>0</v>
      </c>
      <c r="N683" s="207">
        <v>1</v>
      </c>
      <c r="O683" s="39">
        <v>4988</v>
      </c>
      <c r="P683" s="230">
        <f t="shared" si="98"/>
        <v>4988</v>
      </c>
      <c r="Q683" s="275">
        <f t="shared" si="92"/>
        <v>-1</v>
      </c>
      <c r="R683" s="176">
        <f t="shared" si="93"/>
        <v>-0.1999999999998181</v>
      </c>
      <c r="S683" s="276">
        <f t="shared" si="94"/>
        <v>-4988</v>
      </c>
    </row>
    <row r="684" spans="1:19" ht="23" x14ac:dyDescent="0.35">
      <c r="A684" s="151"/>
      <c r="B684" s="99"/>
      <c r="C684" s="34" t="s">
        <v>137</v>
      </c>
      <c r="D684" s="103"/>
      <c r="E684" s="48" t="s">
        <v>434</v>
      </c>
      <c r="F684" s="103" t="s">
        <v>433</v>
      </c>
      <c r="G684" s="104"/>
      <c r="H684" s="104"/>
      <c r="I684" s="104"/>
      <c r="J684" s="107"/>
      <c r="K684" s="234">
        <v>0</v>
      </c>
      <c r="L684" s="43">
        <v>71400</v>
      </c>
      <c r="M684" s="235">
        <f t="shared" si="97"/>
        <v>0</v>
      </c>
      <c r="N684" s="207">
        <v>0</v>
      </c>
      <c r="O684" s="39">
        <v>71400</v>
      </c>
      <c r="P684" s="230">
        <f t="shared" si="98"/>
        <v>0</v>
      </c>
      <c r="Q684" s="275">
        <f t="shared" si="92"/>
        <v>0</v>
      </c>
      <c r="R684" s="176">
        <f t="shared" si="93"/>
        <v>0</v>
      </c>
      <c r="S684" s="276">
        <f t="shared" si="94"/>
        <v>0</v>
      </c>
    </row>
    <row r="685" spans="1:19" ht="23" x14ac:dyDescent="0.35">
      <c r="A685" s="151"/>
      <c r="B685" s="99"/>
      <c r="C685" s="34" t="s">
        <v>92</v>
      </c>
      <c r="D685" s="103"/>
      <c r="E685" s="123" t="s">
        <v>435</v>
      </c>
      <c r="F685" s="103" t="s">
        <v>436</v>
      </c>
      <c r="G685" s="104"/>
      <c r="H685" s="104"/>
      <c r="I685" s="104"/>
      <c r="J685" s="107"/>
      <c r="K685" s="234">
        <v>0</v>
      </c>
      <c r="L685" s="43">
        <v>102</v>
      </c>
      <c r="M685" s="235">
        <f t="shared" si="97"/>
        <v>0</v>
      </c>
      <c r="N685" s="207">
        <v>100</v>
      </c>
      <c r="O685" s="39">
        <v>102</v>
      </c>
      <c r="P685" s="230">
        <f t="shared" si="98"/>
        <v>10200</v>
      </c>
      <c r="Q685" s="275">
        <f t="shared" si="92"/>
        <v>-100</v>
      </c>
      <c r="R685" s="176">
        <f t="shared" si="93"/>
        <v>0</v>
      </c>
      <c r="S685" s="276">
        <f t="shared" si="94"/>
        <v>-10200</v>
      </c>
    </row>
    <row r="686" spans="1:19" ht="23" x14ac:dyDescent="0.35">
      <c r="A686" s="151"/>
      <c r="B686" s="99"/>
      <c r="C686" s="34" t="s">
        <v>86</v>
      </c>
      <c r="D686" s="103"/>
      <c r="E686" s="134" t="s">
        <v>437</v>
      </c>
      <c r="F686" s="103" t="s">
        <v>216</v>
      </c>
      <c r="G686" s="104"/>
      <c r="H686" s="104"/>
      <c r="I686" s="104"/>
      <c r="J686" s="107"/>
      <c r="K686" s="234">
        <v>0</v>
      </c>
      <c r="L686" s="43">
        <v>199818</v>
      </c>
      <c r="M686" s="235">
        <f t="shared" si="97"/>
        <v>0</v>
      </c>
      <c r="N686" s="207">
        <v>0</v>
      </c>
      <c r="O686" s="39">
        <v>199818</v>
      </c>
      <c r="P686" s="230">
        <f t="shared" si="98"/>
        <v>0</v>
      </c>
      <c r="Q686" s="275">
        <f t="shared" si="92"/>
        <v>0</v>
      </c>
      <c r="R686" s="176">
        <f t="shared" si="93"/>
        <v>0</v>
      </c>
      <c r="S686" s="276">
        <f t="shared" si="94"/>
        <v>0</v>
      </c>
    </row>
    <row r="687" spans="1:19" x14ac:dyDescent="0.35">
      <c r="A687" s="46" t="s">
        <v>618</v>
      </c>
      <c r="B687" s="52"/>
      <c r="C687" s="34"/>
      <c r="D687" s="34"/>
      <c r="E687" s="46"/>
      <c r="F687" s="52"/>
      <c r="G687" s="53"/>
      <c r="H687" s="53"/>
      <c r="I687" s="53"/>
      <c r="J687" s="219"/>
      <c r="K687" s="236"/>
      <c r="L687" s="56"/>
      <c r="M687" s="210">
        <f>SUM(M676:M686)</f>
        <v>0</v>
      </c>
      <c r="N687" s="207"/>
      <c r="O687" s="39"/>
      <c r="P687" s="271">
        <f>SUM(P676:P686)</f>
        <v>26470.639999999999</v>
      </c>
      <c r="Q687" s="277">
        <f t="shared" si="92"/>
        <v>0</v>
      </c>
      <c r="R687" s="266">
        <f t="shared" si="93"/>
        <v>0</v>
      </c>
      <c r="S687" s="278">
        <f t="shared" si="94"/>
        <v>-26470.639999999999</v>
      </c>
    </row>
    <row r="688" spans="1:19" x14ac:dyDescent="0.35">
      <c r="A688" s="150" t="s">
        <v>438</v>
      </c>
      <c r="B688" s="85"/>
      <c r="C688" s="85"/>
      <c r="D688" s="85"/>
      <c r="E688" s="86" t="s">
        <v>439</v>
      </c>
      <c r="F688" s="85"/>
      <c r="G688" s="87"/>
      <c r="H688" s="87"/>
      <c r="I688" s="87"/>
      <c r="J688" s="223"/>
      <c r="K688" s="243"/>
      <c r="L688" s="94"/>
      <c r="M688" s="244"/>
      <c r="N688" s="207"/>
      <c r="O688" s="39"/>
      <c r="P688" s="230"/>
      <c r="Q688" s="275"/>
      <c r="R688" s="176"/>
      <c r="S688" s="276"/>
    </row>
    <row r="689" spans="1:19" x14ac:dyDescent="0.35">
      <c r="A689" s="89"/>
      <c r="B689" s="34" t="s">
        <v>440</v>
      </c>
      <c r="C689" s="34"/>
      <c r="D689" s="34"/>
      <c r="E689" s="89" t="s">
        <v>441</v>
      </c>
      <c r="F689" s="92"/>
      <c r="G689" s="135"/>
      <c r="H689" s="135"/>
      <c r="I689" s="135"/>
      <c r="J689" s="229"/>
      <c r="K689" s="255"/>
      <c r="L689" s="136"/>
      <c r="M689" s="210"/>
      <c r="N689" s="207"/>
      <c r="O689" s="39"/>
      <c r="P689" s="230"/>
      <c r="Q689" s="275"/>
      <c r="R689" s="176"/>
      <c r="S689" s="276"/>
    </row>
    <row r="690" spans="1:19" ht="69" x14ac:dyDescent="0.35">
      <c r="A690" s="46"/>
      <c r="B690" s="52"/>
      <c r="C690" s="34"/>
      <c r="D690" s="34" t="s">
        <v>8</v>
      </c>
      <c r="E690" s="97" t="s">
        <v>952</v>
      </c>
      <c r="F690" s="39"/>
      <c r="G690" s="118"/>
      <c r="H690" s="118"/>
      <c r="I690" s="118"/>
      <c r="J690" s="227"/>
      <c r="K690" s="234"/>
      <c r="L690" s="43"/>
      <c r="M690" s="235"/>
      <c r="N690" s="207"/>
      <c r="O690" s="39"/>
      <c r="P690" s="230"/>
      <c r="Q690" s="275"/>
      <c r="R690" s="176"/>
      <c r="S690" s="276"/>
    </row>
    <row r="691" spans="1:19" x14ac:dyDescent="0.35">
      <c r="A691" s="46"/>
      <c r="B691" s="52"/>
      <c r="C691" s="34"/>
      <c r="D691" s="34" t="s">
        <v>11</v>
      </c>
      <c r="E691" s="137" t="s">
        <v>442</v>
      </c>
      <c r="F691" s="36" t="s">
        <v>443</v>
      </c>
      <c r="G691" s="37"/>
      <c r="H691" s="37"/>
      <c r="I691" s="37"/>
      <c r="J691" s="110"/>
      <c r="K691" s="234">
        <v>0</v>
      </c>
      <c r="L691" s="43">
        <v>1389.24</v>
      </c>
      <c r="M691" s="235">
        <f>L691*$K691</f>
        <v>0</v>
      </c>
      <c r="N691" s="207">
        <v>0</v>
      </c>
      <c r="O691" s="39">
        <v>1389</v>
      </c>
      <c r="P691" s="230">
        <f>O691*N691</f>
        <v>0</v>
      </c>
      <c r="Q691" s="275">
        <f t="shared" si="92"/>
        <v>0</v>
      </c>
      <c r="R691" s="176">
        <f t="shared" si="93"/>
        <v>0.24000000000000909</v>
      </c>
      <c r="S691" s="276">
        <f t="shared" si="94"/>
        <v>0</v>
      </c>
    </row>
    <row r="692" spans="1:19" x14ac:dyDescent="0.35">
      <c r="A692" s="46"/>
      <c r="B692" s="52"/>
      <c r="C692" s="34"/>
      <c r="D692" s="34" t="s">
        <v>16</v>
      </c>
      <c r="E692" s="137" t="s">
        <v>444</v>
      </c>
      <c r="F692" s="36" t="s">
        <v>443</v>
      </c>
      <c r="G692" s="37"/>
      <c r="H692" s="37"/>
      <c r="I692" s="37"/>
      <c r="J692" s="110"/>
      <c r="K692" s="234">
        <v>0</v>
      </c>
      <c r="L692" s="43">
        <v>1533.06</v>
      </c>
      <c r="M692" s="235">
        <f>L692*$K692</f>
        <v>0</v>
      </c>
      <c r="N692" s="207">
        <v>0</v>
      </c>
      <c r="O692" s="39">
        <v>1533</v>
      </c>
      <c r="P692" s="230">
        <f>O692*N692</f>
        <v>0</v>
      </c>
      <c r="Q692" s="275">
        <f t="shared" si="92"/>
        <v>0</v>
      </c>
      <c r="R692" s="176">
        <f t="shared" si="93"/>
        <v>5.999999999994543E-2</v>
      </c>
      <c r="S692" s="276">
        <f t="shared" si="94"/>
        <v>0</v>
      </c>
    </row>
    <row r="693" spans="1:19" ht="115" x14ac:dyDescent="0.35">
      <c r="A693" s="46"/>
      <c r="B693" s="52"/>
      <c r="C693" s="34"/>
      <c r="D693" s="34" t="s">
        <v>26</v>
      </c>
      <c r="E693" s="97" t="s">
        <v>953</v>
      </c>
      <c r="F693" s="36"/>
      <c r="G693" s="37"/>
      <c r="H693" s="37"/>
      <c r="I693" s="37"/>
      <c r="J693" s="110"/>
      <c r="K693" s="234"/>
      <c r="L693" s="43"/>
      <c r="M693" s="235"/>
      <c r="N693" s="207"/>
      <c r="O693" s="39"/>
      <c r="P693" s="230"/>
      <c r="Q693" s="275"/>
      <c r="R693" s="176"/>
      <c r="S693" s="276"/>
    </row>
    <row r="694" spans="1:19" x14ac:dyDescent="0.35">
      <c r="A694" s="46"/>
      <c r="B694" s="52"/>
      <c r="C694" s="34"/>
      <c r="D694" s="34" t="s">
        <v>29</v>
      </c>
      <c r="E694" s="137" t="s">
        <v>445</v>
      </c>
      <c r="F694" s="36" t="s">
        <v>443</v>
      </c>
      <c r="G694" s="37"/>
      <c r="H694" s="37"/>
      <c r="I694" s="37"/>
      <c r="J694" s="110"/>
      <c r="K694" s="234">
        <v>0</v>
      </c>
      <c r="L694" s="43">
        <v>450</v>
      </c>
      <c r="M694" s="235">
        <f>L694*$K694</f>
        <v>0</v>
      </c>
      <c r="N694" s="207">
        <v>24</v>
      </c>
      <c r="O694" s="39">
        <v>450</v>
      </c>
      <c r="P694" s="230">
        <f>O694*N694</f>
        <v>10800</v>
      </c>
      <c r="Q694" s="275">
        <f t="shared" si="92"/>
        <v>-24</v>
      </c>
      <c r="R694" s="176">
        <f t="shared" si="93"/>
        <v>0</v>
      </c>
      <c r="S694" s="276">
        <f t="shared" si="94"/>
        <v>-10800</v>
      </c>
    </row>
    <row r="695" spans="1:19" x14ac:dyDescent="0.35">
      <c r="A695" s="46"/>
      <c r="B695" s="52"/>
      <c r="C695" s="34"/>
      <c r="D695" s="34" t="s">
        <v>33</v>
      </c>
      <c r="E695" s="137" t="s">
        <v>446</v>
      </c>
      <c r="F695" s="36" t="s">
        <v>443</v>
      </c>
      <c r="G695" s="37"/>
      <c r="H695" s="37"/>
      <c r="I695" s="37"/>
      <c r="J695" s="110"/>
      <c r="K695" s="234">
        <f>SUM(K697:K757)</f>
        <v>163.13865000000001</v>
      </c>
      <c r="L695" s="43">
        <v>1400</v>
      </c>
      <c r="M695" s="235">
        <f>L695*$K695</f>
        <v>228394.11000000002</v>
      </c>
      <c r="N695" s="207">
        <v>13</v>
      </c>
      <c r="O695" s="39">
        <v>1400</v>
      </c>
      <c r="P695" s="230">
        <f>O695*N695</f>
        <v>18200</v>
      </c>
      <c r="Q695" s="275">
        <f t="shared" si="92"/>
        <v>150.13865000000001</v>
      </c>
      <c r="R695" s="176">
        <f t="shared" si="93"/>
        <v>0</v>
      </c>
      <c r="S695" s="276">
        <f t="shared" si="94"/>
        <v>210194.11000000002</v>
      </c>
    </row>
    <row r="696" spans="1:19" x14ac:dyDescent="0.35">
      <c r="A696" s="46"/>
      <c r="B696" s="52"/>
      <c r="C696" s="34"/>
      <c r="D696" s="34"/>
      <c r="E696" s="161" t="s">
        <v>973</v>
      </c>
      <c r="F696" s="36"/>
      <c r="G696" s="37"/>
      <c r="H696" s="37"/>
      <c r="I696" s="37"/>
      <c r="J696" s="110"/>
      <c r="K696" s="234"/>
      <c r="L696" s="43"/>
      <c r="M696" s="235"/>
      <c r="N696" s="207"/>
      <c r="O696" s="39"/>
      <c r="P696" s="230"/>
      <c r="Q696" s="275"/>
      <c r="R696" s="176"/>
      <c r="S696" s="276"/>
    </row>
    <row r="697" spans="1:19" x14ac:dyDescent="0.35">
      <c r="A697" s="46"/>
      <c r="B697" s="52"/>
      <c r="C697" s="34"/>
      <c r="D697" s="34"/>
      <c r="E697" s="137" t="s">
        <v>1061</v>
      </c>
      <c r="F697" s="36"/>
      <c r="G697" s="37">
        <v>1</v>
      </c>
      <c r="H697" s="37">
        <v>1.833</v>
      </c>
      <c r="I697" s="37">
        <v>0.75</v>
      </c>
      <c r="J697" s="110"/>
      <c r="K697" s="234">
        <f>I697*H697*G697</f>
        <v>1.3747499999999999</v>
      </c>
      <c r="L697" s="43"/>
      <c r="M697" s="235"/>
      <c r="N697" s="207"/>
      <c r="O697" s="39"/>
      <c r="P697" s="230"/>
      <c r="Q697" s="275"/>
      <c r="R697" s="176"/>
      <c r="S697" s="276"/>
    </row>
    <row r="698" spans="1:19" x14ac:dyDescent="0.35">
      <c r="A698" s="46"/>
      <c r="B698" s="52"/>
      <c r="C698" s="34"/>
      <c r="D698" s="34"/>
      <c r="E698" s="137" t="s">
        <v>1062</v>
      </c>
      <c r="F698" s="36"/>
      <c r="G698" s="37">
        <v>1</v>
      </c>
      <c r="H698" s="37">
        <v>1.83</v>
      </c>
      <c r="I698" s="37">
        <v>0.75</v>
      </c>
      <c r="J698" s="110"/>
      <c r="K698" s="234">
        <f t="shared" ref="K698:K747" si="99">I698*H698*G698</f>
        <v>1.3725000000000001</v>
      </c>
      <c r="L698" s="43"/>
      <c r="M698" s="235"/>
      <c r="N698" s="207"/>
      <c r="O698" s="39"/>
      <c r="P698" s="230"/>
      <c r="Q698" s="275"/>
      <c r="R698" s="176"/>
      <c r="S698" s="276"/>
    </row>
    <row r="699" spans="1:19" x14ac:dyDescent="0.35">
      <c r="A699" s="46"/>
      <c r="B699" s="52"/>
      <c r="C699" s="34"/>
      <c r="D699" s="34"/>
      <c r="E699" s="137" t="s">
        <v>962</v>
      </c>
      <c r="F699" s="36"/>
      <c r="G699" s="37">
        <v>1</v>
      </c>
      <c r="H699" s="37">
        <v>1.2</v>
      </c>
      <c r="I699" s="37">
        <v>1.96</v>
      </c>
      <c r="J699" s="110"/>
      <c r="K699" s="234">
        <f t="shared" si="99"/>
        <v>2.3519999999999999</v>
      </c>
      <c r="L699" s="43"/>
      <c r="M699" s="235"/>
      <c r="N699" s="207"/>
      <c r="O699" s="39"/>
      <c r="P699" s="230"/>
      <c r="Q699" s="275"/>
      <c r="R699" s="176"/>
      <c r="S699" s="276"/>
    </row>
    <row r="700" spans="1:19" x14ac:dyDescent="0.35">
      <c r="A700" s="46"/>
      <c r="B700" s="52"/>
      <c r="C700" s="34"/>
      <c r="D700" s="34"/>
      <c r="E700" s="137" t="s">
        <v>963</v>
      </c>
      <c r="F700" s="36"/>
      <c r="G700" s="37">
        <v>1</v>
      </c>
      <c r="H700" s="37">
        <v>1.82</v>
      </c>
      <c r="I700" s="37">
        <f t="shared" ref="I700" si="100">0.5*2+0.25*2</f>
        <v>1.5</v>
      </c>
      <c r="J700" s="110"/>
      <c r="K700" s="234">
        <f t="shared" si="99"/>
        <v>2.73</v>
      </c>
      <c r="L700" s="43"/>
      <c r="M700" s="235"/>
      <c r="N700" s="207"/>
      <c r="O700" s="39"/>
      <c r="P700" s="230"/>
      <c r="Q700" s="275"/>
      <c r="R700" s="176"/>
      <c r="S700" s="276"/>
    </row>
    <row r="701" spans="1:19" x14ac:dyDescent="0.35">
      <c r="A701" s="46"/>
      <c r="B701" s="52"/>
      <c r="C701" s="34"/>
      <c r="D701" s="34"/>
      <c r="E701" s="137" t="s">
        <v>1063</v>
      </c>
      <c r="F701" s="36"/>
      <c r="G701" s="37">
        <v>1</v>
      </c>
      <c r="H701" s="37">
        <v>1.83</v>
      </c>
      <c r="I701" s="37">
        <v>0.75</v>
      </c>
      <c r="J701" s="110"/>
      <c r="K701" s="234">
        <f t="shared" si="99"/>
        <v>1.3725000000000001</v>
      </c>
      <c r="L701" s="43"/>
      <c r="M701" s="235"/>
      <c r="N701" s="207"/>
      <c r="O701" s="39"/>
      <c r="P701" s="230"/>
      <c r="Q701" s="275"/>
      <c r="R701" s="176"/>
      <c r="S701" s="276"/>
    </row>
    <row r="702" spans="1:19" x14ac:dyDescent="0.35">
      <c r="A702" s="46"/>
      <c r="B702" s="52"/>
      <c r="C702" s="34"/>
      <c r="D702" s="34"/>
      <c r="E702" s="137" t="s">
        <v>964</v>
      </c>
      <c r="F702" s="36"/>
      <c r="G702" s="37">
        <v>1</v>
      </c>
      <c r="H702" s="37">
        <v>1.6</v>
      </c>
      <c r="I702" s="37">
        <v>1.23</v>
      </c>
      <c r="J702" s="110"/>
      <c r="K702" s="234">
        <f t="shared" si="99"/>
        <v>1.968</v>
      </c>
      <c r="L702" s="43"/>
      <c r="M702" s="235"/>
      <c r="N702" s="207"/>
      <c r="O702" s="39"/>
      <c r="P702" s="230"/>
      <c r="Q702" s="275"/>
      <c r="R702" s="176"/>
      <c r="S702" s="276"/>
    </row>
    <row r="703" spans="1:19" x14ac:dyDescent="0.35">
      <c r="A703" s="46"/>
      <c r="B703" s="52"/>
      <c r="C703" s="34"/>
      <c r="D703" s="34"/>
      <c r="E703" s="137" t="s">
        <v>965</v>
      </c>
      <c r="F703" s="36"/>
      <c r="G703" s="37">
        <v>1</v>
      </c>
      <c r="H703" s="37">
        <v>1.5</v>
      </c>
      <c r="I703" s="37">
        <v>2.1</v>
      </c>
      <c r="J703" s="110"/>
      <c r="K703" s="234">
        <f t="shared" si="99"/>
        <v>3.1500000000000004</v>
      </c>
      <c r="L703" s="43"/>
      <c r="M703" s="235"/>
      <c r="N703" s="207"/>
      <c r="O703" s="39"/>
      <c r="P703" s="230"/>
      <c r="Q703" s="275"/>
      <c r="R703" s="176"/>
      <c r="S703" s="276"/>
    </row>
    <row r="704" spans="1:19" x14ac:dyDescent="0.35">
      <c r="A704" s="46"/>
      <c r="B704" s="52"/>
      <c r="C704" s="34"/>
      <c r="D704" s="34"/>
      <c r="E704" s="137" t="s">
        <v>1064</v>
      </c>
      <c r="F704" s="36"/>
      <c r="G704" s="37">
        <v>1</v>
      </c>
      <c r="H704" s="37">
        <v>1.83</v>
      </c>
      <c r="I704" s="37">
        <v>0.75</v>
      </c>
      <c r="J704" s="110"/>
      <c r="K704" s="234">
        <f t="shared" si="99"/>
        <v>1.3725000000000001</v>
      </c>
      <c r="L704" s="43"/>
      <c r="M704" s="235"/>
      <c r="N704" s="207"/>
      <c r="O704" s="39"/>
      <c r="P704" s="230"/>
      <c r="Q704" s="275"/>
      <c r="R704" s="176"/>
      <c r="S704" s="276"/>
    </row>
    <row r="705" spans="1:19" x14ac:dyDescent="0.35">
      <c r="A705" s="46"/>
      <c r="B705" s="52"/>
      <c r="C705" s="34"/>
      <c r="D705" s="34"/>
      <c r="E705" s="137" t="s">
        <v>966</v>
      </c>
      <c r="F705" s="36"/>
      <c r="G705" s="37">
        <v>1</v>
      </c>
      <c r="H705" s="162">
        <v>1.6</v>
      </c>
      <c r="I705" s="37">
        <v>1.23</v>
      </c>
      <c r="J705" s="110"/>
      <c r="K705" s="234">
        <f t="shared" si="99"/>
        <v>1.968</v>
      </c>
      <c r="L705" s="43"/>
      <c r="M705" s="235"/>
      <c r="N705" s="207"/>
      <c r="O705" s="39"/>
      <c r="P705" s="230"/>
      <c r="Q705" s="275"/>
      <c r="R705" s="176"/>
      <c r="S705" s="276"/>
    </row>
    <row r="706" spans="1:19" x14ac:dyDescent="0.35">
      <c r="A706" s="46"/>
      <c r="B706" s="52"/>
      <c r="C706" s="34"/>
      <c r="D706" s="34"/>
      <c r="E706" s="137" t="s">
        <v>967</v>
      </c>
      <c r="F706" s="36"/>
      <c r="G706" s="37">
        <v>1</v>
      </c>
      <c r="H706" s="162">
        <v>1.89</v>
      </c>
      <c r="I706" s="37">
        <f t="shared" ref="I706" si="101">0.6*2+0.3*2</f>
        <v>1.7999999999999998</v>
      </c>
      <c r="J706" s="110"/>
      <c r="K706" s="234">
        <f t="shared" si="99"/>
        <v>3.4019999999999997</v>
      </c>
      <c r="L706" s="43"/>
      <c r="M706" s="235"/>
      <c r="N706" s="207"/>
      <c r="O706" s="39"/>
      <c r="P706" s="230"/>
      <c r="Q706" s="275"/>
      <c r="R706" s="176"/>
      <c r="S706" s="276"/>
    </row>
    <row r="707" spans="1:19" x14ac:dyDescent="0.35">
      <c r="A707" s="46"/>
      <c r="B707" s="52"/>
      <c r="C707" s="34"/>
      <c r="D707" s="34"/>
      <c r="E707" s="137" t="s">
        <v>1065</v>
      </c>
      <c r="F707" s="36"/>
      <c r="G707" s="37">
        <v>1</v>
      </c>
      <c r="H707" s="162">
        <v>1.83</v>
      </c>
      <c r="I707" s="37">
        <v>0.75</v>
      </c>
      <c r="J707" s="110"/>
      <c r="K707" s="234">
        <f t="shared" si="99"/>
        <v>1.3725000000000001</v>
      </c>
      <c r="L707" s="43"/>
      <c r="M707" s="235"/>
      <c r="N707" s="207"/>
      <c r="O707" s="39"/>
      <c r="P707" s="230"/>
      <c r="Q707" s="275"/>
      <c r="R707" s="176"/>
      <c r="S707" s="276"/>
    </row>
    <row r="708" spans="1:19" x14ac:dyDescent="0.35">
      <c r="A708" s="46"/>
      <c r="B708" s="52"/>
      <c r="C708" s="34"/>
      <c r="D708" s="34"/>
      <c r="E708" s="137" t="s">
        <v>968</v>
      </c>
      <c r="F708" s="36"/>
      <c r="G708" s="37">
        <v>1</v>
      </c>
      <c r="H708" s="162">
        <v>1.8</v>
      </c>
      <c r="I708" s="37">
        <v>3.53</v>
      </c>
      <c r="J708" s="110"/>
      <c r="K708" s="234">
        <f t="shared" si="99"/>
        <v>6.3540000000000001</v>
      </c>
      <c r="L708" s="43"/>
      <c r="M708" s="235"/>
      <c r="N708" s="207"/>
      <c r="O708" s="39"/>
      <c r="P708" s="230"/>
      <c r="Q708" s="275"/>
      <c r="R708" s="176"/>
      <c r="S708" s="276"/>
    </row>
    <row r="709" spans="1:19" x14ac:dyDescent="0.35">
      <c r="A709" s="46"/>
      <c r="B709" s="52"/>
      <c r="C709" s="34"/>
      <c r="D709" s="34"/>
      <c r="E709" s="137" t="s">
        <v>1066</v>
      </c>
      <c r="F709" s="36"/>
      <c r="G709" s="37">
        <v>1</v>
      </c>
      <c r="H709" s="162">
        <v>1.83</v>
      </c>
      <c r="I709" s="37">
        <v>0.75</v>
      </c>
      <c r="J709" s="110"/>
      <c r="K709" s="234">
        <f t="shared" si="99"/>
        <v>1.3725000000000001</v>
      </c>
      <c r="L709" s="43"/>
      <c r="M709" s="235"/>
      <c r="N709" s="207"/>
      <c r="O709" s="39"/>
      <c r="P709" s="230"/>
      <c r="Q709" s="275"/>
      <c r="R709" s="176"/>
      <c r="S709" s="276"/>
    </row>
    <row r="710" spans="1:19" x14ac:dyDescent="0.35">
      <c r="A710" s="46"/>
      <c r="B710" s="52"/>
      <c r="C710" s="34"/>
      <c r="D710" s="34"/>
      <c r="E710" s="137" t="s">
        <v>1067</v>
      </c>
      <c r="F710" s="36"/>
      <c r="G710" s="37">
        <v>1</v>
      </c>
      <c r="H710" s="162">
        <v>1.83</v>
      </c>
      <c r="I710" s="37">
        <v>0.6</v>
      </c>
      <c r="J710" s="110"/>
      <c r="K710" s="234">
        <f t="shared" si="99"/>
        <v>1.0980000000000001</v>
      </c>
      <c r="L710" s="43"/>
      <c r="M710" s="235"/>
      <c r="N710" s="207"/>
      <c r="O710" s="39"/>
      <c r="P710" s="230"/>
      <c r="Q710" s="275"/>
      <c r="R710" s="176"/>
      <c r="S710" s="276"/>
    </row>
    <row r="711" spans="1:19" x14ac:dyDescent="0.35">
      <c r="A711" s="46"/>
      <c r="B711" s="52"/>
      <c r="C711" s="34"/>
      <c r="D711" s="34"/>
      <c r="E711" s="137" t="s">
        <v>1068</v>
      </c>
      <c r="F711" s="36"/>
      <c r="G711" s="37">
        <v>1</v>
      </c>
      <c r="H711" s="162">
        <v>1.83</v>
      </c>
      <c r="I711" s="37">
        <v>0.6</v>
      </c>
      <c r="J711" s="110"/>
      <c r="K711" s="234">
        <f t="shared" si="99"/>
        <v>1.0980000000000001</v>
      </c>
      <c r="L711" s="43"/>
      <c r="M711" s="235"/>
      <c r="N711" s="207"/>
      <c r="O711" s="39"/>
      <c r="P711" s="230"/>
      <c r="Q711" s="275"/>
      <c r="R711" s="176"/>
      <c r="S711" s="276"/>
    </row>
    <row r="712" spans="1:19" x14ac:dyDescent="0.35">
      <c r="A712" s="46"/>
      <c r="B712" s="52"/>
      <c r="C712" s="34"/>
      <c r="D712" s="34"/>
      <c r="E712" s="137" t="s">
        <v>969</v>
      </c>
      <c r="F712" s="36"/>
      <c r="G712" s="37">
        <v>1</v>
      </c>
      <c r="H712" s="162">
        <v>1.45</v>
      </c>
      <c r="I712" s="37">
        <v>2.67</v>
      </c>
      <c r="J712" s="110"/>
      <c r="K712" s="234">
        <f t="shared" si="99"/>
        <v>3.8714999999999997</v>
      </c>
      <c r="L712" s="43"/>
      <c r="M712" s="235"/>
      <c r="N712" s="207"/>
      <c r="O712" s="39"/>
      <c r="P712" s="230"/>
      <c r="Q712" s="275"/>
      <c r="R712" s="176"/>
      <c r="S712" s="276"/>
    </row>
    <row r="713" spans="1:19" x14ac:dyDescent="0.35">
      <c r="A713" s="46"/>
      <c r="B713" s="52"/>
      <c r="C713" s="34"/>
      <c r="D713" s="34"/>
      <c r="E713" s="137" t="s">
        <v>970</v>
      </c>
      <c r="F713" s="36"/>
      <c r="G713" s="37">
        <v>1</v>
      </c>
      <c r="H713" s="162">
        <v>1.6</v>
      </c>
      <c r="I713" s="37">
        <v>1.23</v>
      </c>
      <c r="J713" s="110"/>
      <c r="K713" s="234">
        <f t="shared" si="99"/>
        <v>1.968</v>
      </c>
      <c r="L713" s="43"/>
      <c r="M713" s="235"/>
      <c r="N713" s="207"/>
      <c r="O713" s="39"/>
      <c r="P713" s="230"/>
      <c r="Q713" s="275"/>
      <c r="R713" s="176"/>
      <c r="S713" s="276"/>
    </row>
    <row r="714" spans="1:19" x14ac:dyDescent="0.35">
      <c r="A714" s="46"/>
      <c r="B714" s="52"/>
      <c r="C714" s="34"/>
      <c r="D714" s="34"/>
      <c r="E714" s="137" t="s">
        <v>971</v>
      </c>
      <c r="F714" s="36"/>
      <c r="G714" s="37">
        <v>1</v>
      </c>
      <c r="H714" s="162">
        <v>1.6</v>
      </c>
      <c r="I714" s="37">
        <v>1.23</v>
      </c>
      <c r="J714" s="110"/>
      <c r="K714" s="234">
        <f t="shared" si="99"/>
        <v>1.968</v>
      </c>
      <c r="L714" s="43"/>
      <c r="M714" s="235"/>
      <c r="N714" s="207"/>
      <c r="O714" s="39"/>
      <c r="P714" s="230"/>
      <c r="Q714" s="275"/>
      <c r="R714" s="176"/>
      <c r="S714" s="276"/>
    </row>
    <row r="715" spans="1:19" x14ac:dyDescent="0.35">
      <c r="A715" s="46"/>
      <c r="B715" s="52"/>
      <c r="C715" s="34"/>
      <c r="D715" s="34"/>
      <c r="E715" s="137" t="s">
        <v>1057</v>
      </c>
      <c r="F715" s="36"/>
      <c r="G715" s="37">
        <v>1</v>
      </c>
      <c r="H715" s="162">
        <v>1.4</v>
      </c>
      <c r="I715" s="37">
        <v>2.35</v>
      </c>
      <c r="J715" s="110"/>
      <c r="K715" s="234">
        <f t="shared" si="99"/>
        <v>3.29</v>
      </c>
      <c r="L715" s="43"/>
      <c r="M715" s="235"/>
      <c r="N715" s="207"/>
      <c r="O715" s="39"/>
      <c r="P715" s="230"/>
      <c r="Q715" s="275"/>
      <c r="R715" s="176"/>
      <c r="S715" s="276"/>
    </row>
    <row r="716" spans="1:19" x14ac:dyDescent="0.35">
      <c r="A716" s="46"/>
      <c r="B716" s="52"/>
      <c r="C716" s="34"/>
      <c r="D716" s="34"/>
      <c r="E716" s="137" t="s">
        <v>1058</v>
      </c>
      <c r="F716" s="36"/>
      <c r="G716" s="37">
        <v>1</v>
      </c>
      <c r="H716" s="162">
        <v>1.4</v>
      </c>
      <c r="I716" s="37">
        <v>1.23</v>
      </c>
      <c r="J716" s="110"/>
      <c r="K716" s="234">
        <f t="shared" si="99"/>
        <v>1.722</v>
      </c>
      <c r="L716" s="43"/>
      <c r="M716" s="235"/>
      <c r="N716" s="207"/>
      <c r="O716" s="39"/>
      <c r="P716" s="230"/>
      <c r="Q716" s="275"/>
      <c r="R716" s="176"/>
      <c r="S716" s="276"/>
    </row>
    <row r="717" spans="1:19" x14ac:dyDescent="0.35">
      <c r="A717" s="46"/>
      <c r="B717" s="52"/>
      <c r="C717" s="34"/>
      <c r="D717" s="34"/>
      <c r="E717" s="137" t="s">
        <v>1059</v>
      </c>
      <c r="F717" s="36"/>
      <c r="G717" s="37">
        <v>1</v>
      </c>
      <c r="H717" s="162">
        <v>2.2400000000000002</v>
      </c>
      <c r="I717" s="37">
        <v>1.8</v>
      </c>
      <c r="J717" s="110"/>
      <c r="K717" s="234">
        <f t="shared" si="99"/>
        <v>4.0320000000000009</v>
      </c>
      <c r="L717" s="43"/>
      <c r="M717" s="235"/>
      <c r="N717" s="207"/>
      <c r="O717" s="39"/>
      <c r="P717" s="230"/>
      <c r="Q717" s="275"/>
      <c r="R717" s="176"/>
      <c r="S717" s="276"/>
    </row>
    <row r="718" spans="1:19" x14ac:dyDescent="0.35">
      <c r="A718" s="46"/>
      <c r="B718" s="52"/>
      <c r="C718" s="34"/>
      <c r="D718" s="34"/>
      <c r="E718" s="137" t="s">
        <v>1060</v>
      </c>
      <c r="F718" s="36"/>
      <c r="G718" s="37">
        <v>1</v>
      </c>
      <c r="H718" s="162">
        <v>1.3</v>
      </c>
      <c r="I718" s="37">
        <v>0.94</v>
      </c>
      <c r="J718" s="110"/>
      <c r="K718" s="234">
        <f t="shared" si="99"/>
        <v>1.222</v>
      </c>
      <c r="L718" s="43"/>
      <c r="M718" s="235"/>
      <c r="N718" s="207"/>
      <c r="O718" s="39"/>
      <c r="P718" s="230"/>
      <c r="Q718" s="275"/>
      <c r="R718" s="176"/>
      <c r="S718" s="276"/>
    </row>
    <row r="719" spans="1:19" x14ac:dyDescent="0.35">
      <c r="A719" s="46"/>
      <c r="B719" s="52"/>
      <c r="C719" s="34"/>
      <c r="D719" s="34"/>
      <c r="E719" s="137" t="s">
        <v>1069</v>
      </c>
      <c r="F719" s="36"/>
      <c r="G719" s="37">
        <v>1</v>
      </c>
      <c r="H719" s="162">
        <v>1.83</v>
      </c>
      <c r="I719" s="37">
        <v>0.75</v>
      </c>
      <c r="J719" s="110"/>
      <c r="K719" s="234">
        <f t="shared" si="99"/>
        <v>1.3725000000000001</v>
      </c>
      <c r="L719" s="43"/>
      <c r="M719" s="235"/>
      <c r="N719" s="207"/>
      <c r="O719" s="39"/>
      <c r="P719" s="230"/>
      <c r="Q719" s="275"/>
      <c r="R719" s="176"/>
      <c r="S719" s="276"/>
    </row>
    <row r="720" spans="1:19" x14ac:dyDescent="0.35">
      <c r="A720" s="46"/>
      <c r="B720" s="52"/>
      <c r="C720" s="34"/>
      <c r="D720" s="34"/>
      <c r="E720" s="137"/>
      <c r="F720" s="36"/>
      <c r="G720" s="37"/>
      <c r="H720" s="162"/>
      <c r="I720" s="37"/>
      <c r="J720" s="110"/>
      <c r="K720" s="234"/>
      <c r="L720" s="43"/>
      <c r="M720" s="235"/>
      <c r="N720" s="207"/>
      <c r="O720" s="39"/>
      <c r="P720" s="230"/>
      <c r="Q720" s="275"/>
      <c r="R720" s="176"/>
      <c r="S720" s="276"/>
    </row>
    <row r="721" spans="1:19" x14ac:dyDescent="0.35">
      <c r="A721" s="46"/>
      <c r="B721" s="52"/>
      <c r="C721" s="34"/>
      <c r="D721" s="34"/>
      <c r="E721" s="161" t="s">
        <v>972</v>
      </c>
      <c r="F721" s="36"/>
      <c r="G721" s="37"/>
      <c r="H721" s="37"/>
      <c r="I721" s="37"/>
      <c r="J721" s="110"/>
      <c r="K721" s="234">
        <f t="shared" si="99"/>
        <v>0</v>
      </c>
      <c r="L721" s="43"/>
      <c r="M721" s="235"/>
      <c r="N721" s="207"/>
      <c r="O721" s="39"/>
      <c r="P721" s="230"/>
      <c r="Q721" s="275"/>
      <c r="R721" s="176"/>
      <c r="S721" s="276"/>
    </row>
    <row r="722" spans="1:19" x14ac:dyDescent="0.35">
      <c r="A722" s="46"/>
      <c r="B722" s="52"/>
      <c r="C722" s="34"/>
      <c r="D722" s="34"/>
      <c r="E722" s="137" t="s">
        <v>1070</v>
      </c>
      <c r="F722" s="36"/>
      <c r="G722" s="37">
        <v>1</v>
      </c>
      <c r="H722" s="37">
        <v>1.88</v>
      </c>
      <c r="I722" s="37">
        <f>0.45*2+0.35*2</f>
        <v>1.6</v>
      </c>
      <c r="J722" s="110"/>
      <c r="K722" s="234">
        <f t="shared" si="99"/>
        <v>3.008</v>
      </c>
      <c r="L722" s="43"/>
      <c r="M722" s="235"/>
      <c r="N722" s="207"/>
      <c r="O722" s="39"/>
      <c r="P722" s="230"/>
      <c r="Q722" s="275"/>
      <c r="R722" s="176"/>
      <c r="S722" s="276"/>
    </row>
    <row r="723" spans="1:19" x14ac:dyDescent="0.35">
      <c r="A723" s="46"/>
      <c r="B723" s="52"/>
      <c r="C723" s="34"/>
      <c r="D723" s="34"/>
      <c r="E723" s="137" t="s">
        <v>974</v>
      </c>
      <c r="F723" s="36"/>
      <c r="G723" s="37">
        <v>1</v>
      </c>
      <c r="H723" s="37">
        <v>1.3</v>
      </c>
      <c r="I723" s="37">
        <v>1.2</v>
      </c>
      <c r="J723" s="110"/>
      <c r="K723" s="234">
        <f t="shared" si="99"/>
        <v>1.56</v>
      </c>
      <c r="L723" s="43"/>
      <c r="M723" s="235"/>
      <c r="N723" s="207"/>
      <c r="O723" s="39"/>
      <c r="P723" s="230"/>
      <c r="Q723" s="275"/>
      <c r="R723" s="176"/>
      <c r="S723" s="276"/>
    </row>
    <row r="724" spans="1:19" x14ac:dyDescent="0.35">
      <c r="A724" s="46"/>
      <c r="B724" s="52"/>
      <c r="C724" s="34"/>
      <c r="D724" s="34"/>
      <c r="E724" s="137" t="s">
        <v>975</v>
      </c>
      <c r="F724" s="36"/>
      <c r="G724" s="37">
        <v>1</v>
      </c>
      <c r="H724" s="37">
        <v>2.2400000000000002</v>
      </c>
      <c r="I724" s="37">
        <f t="shared" ref="I724:I735" si="102">0.45*2+0.35*2</f>
        <v>1.6</v>
      </c>
      <c r="J724" s="110"/>
      <c r="K724" s="234">
        <f t="shared" si="99"/>
        <v>3.5840000000000005</v>
      </c>
      <c r="L724" s="43"/>
      <c r="M724" s="235"/>
      <c r="N724" s="207"/>
      <c r="O724" s="39"/>
      <c r="P724" s="230"/>
      <c r="Q724" s="275"/>
      <c r="R724" s="176"/>
      <c r="S724" s="276"/>
    </row>
    <row r="725" spans="1:19" x14ac:dyDescent="0.35">
      <c r="A725" s="46"/>
      <c r="B725" s="52"/>
      <c r="C725" s="34"/>
      <c r="D725" s="34"/>
      <c r="E725" s="137" t="s">
        <v>976</v>
      </c>
      <c r="F725" s="36"/>
      <c r="G725" s="37">
        <v>1</v>
      </c>
      <c r="H725" s="37">
        <v>1.85</v>
      </c>
      <c r="I725" s="37">
        <v>1.6</v>
      </c>
      <c r="J725" s="110"/>
      <c r="K725" s="234">
        <f t="shared" si="99"/>
        <v>2.9600000000000004</v>
      </c>
      <c r="L725" s="43"/>
      <c r="M725" s="235"/>
      <c r="N725" s="207"/>
      <c r="O725" s="39"/>
      <c r="P725" s="230"/>
      <c r="Q725" s="275"/>
      <c r="R725" s="176"/>
      <c r="S725" s="276"/>
    </row>
    <row r="726" spans="1:19" x14ac:dyDescent="0.35">
      <c r="A726" s="46"/>
      <c r="B726" s="52"/>
      <c r="C726" s="34"/>
      <c r="D726" s="34"/>
      <c r="E726" s="137" t="s">
        <v>977</v>
      </c>
      <c r="F726" s="36"/>
      <c r="G726" s="37">
        <v>1</v>
      </c>
      <c r="H726" s="37">
        <v>1.6</v>
      </c>
      <c r="I726" s="37">
        <v>1.22</v>
      </c>
      <c r="J726" s="110"/>
      <c r="K726" s="234">
        <f t="shared" si="99"/>
        <v>1.952</v>
      </c>
      <c r="L726" s="43"/>
      <c r="M726" s="235"/>
      <c r="N726" s="207"/>
      <c r="O726" s="39"/>
      <c r="P726" s="230"/>
      <c r="Q726" s="275"/>
      <c r="R726" s="176"/>
      <c r="S726" s="276"/>
    </row>
    <row r="727" spans="1:19" x14ac:dyDescent="0.35">
      <c r="A727" s="46"/>
      <c r="B727" s="52"/>
      <c r="C727" s="34"/>
      <c r="D727" s="34"/>
      <c r="E727" s="137" t="s">
        <v>1071</v>
      </c>
      <c r="F727" s="36"/>
      <c r="G727" s="37">
        <v>1</v>
      </c>
      <c r="H727" s="37">
        <v>1.88</v>
      </c>
      <c r="I727" s="37">
        <f t="shared" si="102"/>
        <v>1.6</v>
      </c>
      <c r="J727" s="110"/>
      <c r="K727" s="234">
        <f t="shared" si="99"/>
        <v>3.008</v>
      </c>
      <c r="L727" s="43"/>
      <c r="M727" s="235"/>
      <c r="N727" s="207"/>
      <c r="O727" s="39"/>
      <c r="P727" s="230"/>
      <c r="Q727" s="275"/>
      <c r="R727" s="176"/>
      <c r="S727" s="276"/>
    </row>
    <row r="728" spans="1:19" x14ac:dyDescent="0.35">
      <c r="A728" s="46"/>
      <c r="B728" s="52"/>
      <c r="C728" s="34"/>
      <c r="D728" s="34"/>
      <c r="E728" s="137" t="s">
        <v>978</v>
      </c>
      <c r="F728" s="36"/>
      <c r="G728" s="37">
        <v>1</v>
      </c>
      <c r="H728" s="37">
        <v>1.3</v>
      </c>
      <c r="I728" s="37">
        <v>1.2</v>
      </c>
      <c r="J728" s="110"/>
      <c r="K728" s="234">
        <f t="shared" si="99"/>
        <v>1.56</v>
      </c>
      <c r="L728" s="43"/>
      <c r="M728" s="235"/>
      <c r="N728" s="207"/>
      <c r="O728" s="39"/>
      <c r="P728" s="230"/>
      <c r="Q728" s="275"/>
      <c r="R728" s="176"/>
      <c r="S728" s="276"/>
    </row>
    <row r="729" spans="1:19" x14ac:dyDescent="0.35">
      <c r="A729" s="46"/>
      <c r="B729" s="52"/>
      <c r="C729" s="34"/>
      <c r="D729" s="34"/>
      <c r="E729" s="137" t="s">
        <v>1072</v>
      </c>
      <c r="F729" s="36"/>
      <c r="G729" s="37">
        <v>1</v>
      </c>
      <c r="H729" s="37">
        <v>2.21</v>
      </c>
      <c r="I729" s="37">
        <f t="shared" si="102"/>
        <v>1.6</v>
      </c>
      <c r="J729" s="110"/>
      <c r="K729" s="234">
        <f t="shared" si="99"/>
        <v>3.536</v>
      </c>
      <c r="L729" s="43"/>
      <c r="M729" s="235"/>
      <c r="N729" s="207"/>
      <c r="O729" s="39"/>
      <c r="P729" s="230"/>
      <c r="Q729" s="275"/>
      <c r="R729" s="176"/>
      <c r="S729" s="276"/>
    </row>
    <row r="730" spans="1:19" x14ac:dyDescent="0.35">
      <c r="A730" s="46"/>
      <c r="B730" s="52"/>
      <c r="C730" s="34"/>
      <c r="D730" s="34"/>
      <c r="E730" s="137" t="s">
        <v>979</v>
      </c>
      <c r="F730" s="36"/>
      <c r="G730" s="37">
        <v>1</v>
      </c>
      <c r="H730" s="37">
        <v>2.2400000000000002</v>
      </c>
      <c r="I730" s="37">
        <f t="shared" si="102"/>
        <v>1.6</v>
      </c>
      <c r="J730" s="110"/>
      <c r="K730" s="234">
        <f t="shared" si="99"/>
        <v>3.5840000000000005</v>
      </c>
      <c r="L730" s="43"/>
      <c r="M730" s="235"/>
      <c r="N730" s="207"/>
      <c r="O730" s="39"/>
      <c r="P730" s="230"/>
      <c r="Q730" s="275"/>
      <c r="R730" s="176"/>
      <c r="S730" s="276"/>
    </row>
    <row r="731" spans="1:19" x14ac:dyDescent="0.35">
      <c r="A731" s="46"/>
      <c r="B731" s="52"/>
      <c r="C731" s="34"/>
      <c r="D731" s="34"/>
      <c r="E731" s="137" t="s">
        <v>980</v>
      </c>
      <c r="F731" s="36"/>
      <c r="G731" s="37">
        <v>1</v>
      </c>
      <c r="H731" s="37">
        <v>2.2400000000000002</v>
      </c>
      <c r="I731" s="37">
        <v>1.6</v>
      </c>
      <c r="J731" s="110"/>
      <c r="K731" s="234">
        <f t="shared" si="99"/>
        <v>3.5840000000000005</v>
      </c>
      <c r="L731" s="43"/>
      <c r="M731" s="235"/>
      <c r="N731" s="207"/>
      <c r="O731" s="39"/>
      <c r="P731" s="230"/>
      <c r="Q731" s="275"/>
      <c r="R731" s="176"/>
      <c r="S731" s="276"/>
    </row>
    <row r="732" spans="1:19" x14ac:dyDescent="0.35">
      <c r="A732" s="46"/>
      <c r="B732" s="52"/>
      <c r="C732" s="34"/>
      <c r="D732" s="34"/>
      <c r="E732" s="137" t="s">
        <v>981</v>
      </c>
      <c r="F732" s="36"/>
      <c r="G732" s="37">
        <v>1</v>
      </c>
      <c r="H732" s="37">
        <v>1.6</v>
      </c>
      <c r="I732" s="37">
        <v>7.78</v>
      </c>
      <c r="J732" s="110"/>
      <c r="K732" s="234">
        <f t="shared" si="99"/>
        <v>12.448</v>
      </c>
      <c r="L732" s="43"/>
      <c r="M732" s="235"/>
      <c r="N732" s="207"/>
      <c r="O732" s="39"/>
      <c r="P732" s="230"/>
      <c r="Q732" s="275"/>
      <c r="R732" s="176"/>
      <c r="S732" s="276"/>
    </row>
    <row r="733" spans="1:19" x14ac:dyDescent="0.35">
      <c r="A733" s="46"/>
      <c r="B733" s="52"/>
      <c r="C733" s="34"/>
      <c r="D733" s="34"/>
      <c r="E733" s="137" t="s">
        <v>982</v>
      </c>
      <c r="F733" s="36"/>
      <c r="G733" s="37">
        <v>1</v>
      </c>
      <c r="H733" s="37">
        <v>1.86</v>
      </c>
      <c r="I733" s="37">
        <v>1.6</v>
      </c>
      <c r="J733" s="110"/>
      <c r="K733" s="234">
        <f t="shared" si="99"/>
        <v>2.9760000000000004</v>
      </c>
      <c r="L733" s="43"/>
      <c r="M733" s="235"/>
      <c r="N733" s="207"/>
      <c r="O733" s="39"/>
      <c r="P733" s="230"/>
      <c r="Q733" s="275"/>
      <c r="R733" s="176"/>
      <c r="S733" s="276"/>
    </row>
    <row r="734" spans="1:19" x14ac:dyDescent="0.35">
      <c r="A734" s="46"/>
      <c r="B734" s="52"/>
      <c r="C734" s="34"/>
      <c r="D734" s="34"/>
      <c r="E734" s="137" t="s">
        <v>1073</v>
      </c>
      <c r="F734" s="36"/>
      <c r="G734" s="37">
        <v>1</v>
      </c>
      <c r="H734" s="37">
        <v>1.6</v>
      </c>
      <c r="I734" s="37">
        <v>1.95</v>
      </c>
      <c r="J734" s="110"/>
      <c r="K734" s="234">
        <f t="shared" si="99"/>
        <v>3.12</v>
      </c>
      <c r="L734" s="43"/>
      <c r="M734" s="235"/>
      <c r="N734" s="207"/>
      <c r="O734" s="39"/>
      <c r="P734" s="230"/>
      <c r="Q734" s="275"/>
      <c r="R734" s="176"/>
      <c r="S734" s="276"/>
    </row>
    <row r="735" spans="1:19" x14ac:dyDescent="0.35">
      <c r="A735" s="46"/>
      <c r="B735" s="52"/>
      <c r="C735" s="34"/>
      <c r="D735" s="34"/>
      <c r="E735" s="137" t="s">
        <v>1074</v>
      </c>
      <c r="F735" s="36"/>
      <c r="G735" s="37">
        <v>1</v>
      </c>
      <c r="H735" s="37">
        <v>1.86</v>
      </c>
      <c r="I735" s="37">
        <f t="shared" si="102"/>
        <v>1.6</v>
      </c>
      <c r="J735" s="110"/>
      <c r="K735" s="234">
        <f t="shared" si="99"/>
        <v>2.9760000000000004</v>
      </c>
      <c r="L735" s="43"/>
      <c r="M735" s="235"/>
      <c r="N735" s="207"/>
      <c r="O735" s="39"/>
      <c r="P735" s="230"/>
      <c r="Q735" s="275"/>
      <c r="R735" s="176"/>
      <c r="S735" s="276"/>
    </row>
    <row r="736" spans="1:19" x14ac:dyDescent="0.35">
      <c r="A736" s="46"/>
      <c r="B736" s="52"/>
      <c r="C736" s="34"/>
      <c r="D736" s="34"/>
      <c r="E736" s="137" t="s">
        <v>983</v>
      </c>
      <c r="F736" s="36"/>
      <c r="G736" s="37">
        <v>1</v>
      </c>
      <c r="H736" s="37">
        <v>1.6</v>
      </c>
      <c r="I736" s="37">
        <v>1.1399999999999999</v>
      </c>
      <c r="J736" s="110"/>
      <c r="K736" s="234">
        <f t="shared" si="99"/>
        <v>1.8239999999999998</v>
      </c>
      <c r="L736" s="43"/>
      <c r="M736" s="235"/>
      <c r="N736" s="207"/>
      <c r="O736" s="39"/>
      <c r="P736" s="230"/>
      <c r="Q736" s="275"/>
      <c r="R736" s="176"/>
      <c r="S736" s="276"/>
    </row>
    <row r="737" spans="1:19" x14ac:dyDescent="0.35">
      <c r="A737" s="46"/>
      <c r="B737" s="52"/>
      <c r="C737" s="34"/>
      <c r="D737" s="34"/>
      <c r="E737" s="137" t="s">
        <v>984</v>
      </c>
      <c r="F737" s="36"/>
      <c r="G737" s="37">
        <v>1</v>
      </c>
      <c r="H737" s="37">
        <v>1.86</v>
      </c>
      <c r="I737" s="37">
        <v>1.6</v>
      </c>
      <c r="J737" s="110"/>
      <c r="K737" s="234">
        <f t="shared" si="99"/>
        <v>2.9760000000000004</v>
      </c>
      <c r="L737" s="43"/>
      <c r="M737" s="235"/>
      <c r="N737" s="207"/>
      <c r="O737" s="39"/>
      <c r="P737" s="230"/>
      <c r="Q737" s="275"/>
      <c r="R737" s="176"/>
      <c r="S737" s="276"/>
    </row>
    <row r="738" spans="1:19" x14ac:dyDescent="0.35">
      <c r="A738" s="46"/>
      <c r="B738" s="52"/>
      <c r="C738" s="34"/>
      <c r="D738" s="34"/>
      <c r="E738" s="137"/>
      <c r="F738" s="36"/>
      <c r="G738" s="37"/>
      <c r="H738" s="37"/>
      <c r="I738" s="37"/>
      <c r="J738" s="110"/>
      <c r="K738" s="234"/>
      <c r="L738" s="43"/>
      <c r="M738" s="235"/>
      <c r="N738" s="207"/>
      <c r="O738" s="39"/>
      <c r="P738" s="230"/>
      <c r="Q738" s="275"/>
      <c r="R738" s="176"/>
      <c r="S738" s="276"/>
    </row>
    <row r="739" spans="1:19" x14ac:dyDescent="0.35">
      <c r="A739" s="46"/>
      <c r="B739" s="52"/>
      <c r="C739" s="34"/>
      <c r="D739" s="34"/>
      <c r="E739" s="161" t="s">
        <v>985</v>
      </c>
      <c r="F739" s="36"/>
      <c r="G739" s="37"/>
      <c r="H739" s="37"/>
      <c r="I739" s="37"/>
      <c r="J739" s="110"/>
      <c r="K739" s="234">
        <f t="shared" si="99"/>
        <v>0</v>
      </c>
      <c r="L739" s="43"/>
      <c r="M739" s="235"/>
      <c r="N739" s="207"/>
      <c r="O739" s="39"/>
      <c r="P739" s="230"/>
      <c r="Q739" s="275"/>
      <c r="R739" s="176"/>
      <c r="S739" s="276"/>
    </row>
    <row r="740" spans="1:19" x14ac:dyDescent="0.35">
      <c r="A740" s="46"/>
      <c r="B740" s="52"/>
      <c r="C740" s="34"/>
      <c r="D740" s="34"/>
      <c r="E740" s="137" t="s">
        <v>1076</v>
      </c>
      <c r="F740" s="36"/>
      <c r="G740" s="37">
        <v>1</v>
      </c>
      <c r="H740" s="37">
        <v>2.14</v>
      </c>
      <c r="I740" s="37">
        <v>0.75</v>
      </c>
      <c r="J740" s="110"/>
      <c r="K740" s="234">
        <f t="shared" si="99"/>
        <v>1.605</v>
      </c>
      <c r="L740" s="43"/>
      <c r="M740" s="235"/>
      <c r="N740" s="207"/>
      <c r="O740" s="39"/>
      <c r="P740" s="230"/>
      <c r="Q740" s="275"/>
      <c r="R740" s="176"/>
      <c r="S740" s="276"/>
    </row>
    <row r="741" spans="1:19" x14ac:dyDescent="0.35">
      <c r="A741" s="46"/>
      <c r="B741" s="52"/>
      <c r="C741" s="34"/>
      <c r="D741" s="34"/>
      <c r="E741" s="137" t="s">
        <v>1077</v>
      </c>
      <c r="F741" s="36"/>
      <c r="G741" s="37">
        <v>1</v>
      </c>
      <c r="H741" s="37">
        <v>2.4500000000000002</v>
      </c>
      <c r="I741" s="37">
        <v>1.2</v>
      </c>
      <c r="J741" s="110"/>
      <c r="K741" s="234">
        <f t="shared" si="99"/>
        <v>2.94</v>
      </c>
      <c r="L741" s="43"/>
      <c r="M741" s="235"/>
      <c r="N741" s="207"/>
      <c r="O741" s="39"/>
      <c r="P741" s="230"/>
      <c r="Q741" s="275"/>
      <c r="R741" s="176"/>
      <c r="S741" s="276"/>
    </row>
    <row r="742" spans="1:19" x14ac:dyDescent="0.35">
      <c r="A742" s="46"/>
      <c r="B742" s="52"/>
      <c r="C742" s="34"/>
      <c r="D742" s="34"/>
      <c r="E742" s="137" t="s">
        <v>1078</v>
      </c>
      <c r="F742" s="36"/>
      <c r="G742" s="37">
        <v>1</v>
      </c>
      <c r="H742" s="37">
        <v>2.14</v>
      </c>
      <c r="I742" s="37">
        <v>0.75</v>
      </c>
      <c r="J742" s="110"/>
      <c r="K742" s="234">
        <f t="shared" si="99"/>
        <v>1.605</v>
      </c>
      <c r="L742" s="43"/>
      <c r="M742" s="235"/>
      <c r="N742" s="207"/>
      <c r="O742" s="39"/>
      <c r="P742" s="230"/>
      <c r="Q742" s="275"/>
      <c r="R742" s="176"/>
      <c r="S742" s="276"/>
    </row>
    <row r="743" spans="1:19" x14ac:dyDescent="0.35">
      <c r="A743" s="46"/>
      <c r="B743" s="52"/>
      <c r="C743" s="34"/>
      <c r="D743" s="34"/>
      <c r="E743" s="137" t="s">
        <v>1079</v>
      </c>
      <c r="F743" s="36"/>
      <c r="G743" s="37">
        <v>1</v>
      </c>
      <c r="H743" s="37">
        <v>2.4500000000000002</v>
      </c>
      <c r="I743" s="37">
        <v>1.2</v>
      </c>
      <c r="J743" s="110"/>
      <c r="K743" s="234">
        <f t="shared" si="99"/>
        <v>2.94</v>
      </c>
      <c r="L743" s="43"/>
      <c r="M743" s="235"/>
      <c r="N743" s="207"/>
      <c r="O743" s="39"/>
      <c r="P743" s="230"/>
      <c r="Q743" s="275"/>
      <c r="R743" s="176"/>
      <c r="S743" s="276"/>
    </row>
    <row r="744" spans="1:19" x14ac:dyDescent="0.35">
      <c r="A744" s="46"/>
      <c r="B744" s="52"/>
      <c r="C744" s="34"/>
      <c r="D744" s="34"/>
      <c r="E744" s="137" t="s">
        <v>986</v>
      </c>
      <c r="F744" s="36"/>
      <c r="G744" s="37">
        <v>1</v>
      </c>
      <c r="H744" s="37">
        <v>1.8</v>
      </c>
      <c r="I744" s="37">
        <v>1.1000000000000001</v>
      </c>
      <c r="J744" s="110"/>
      <c r="K744" s="234">
        <f t="shared" si="99"/>
        <v>1.9800000000000002</v>
      </c>
      <c r="L744" s="43"/>
      <c r="M744" s="235"/>
      <c r="N744" s="207"/>
      <c r="O744" s="39"/>
      <c r="P744" s="230"/>
      <c r="Q744" s="275"/>
      <c r="R744" s="176"/>
      <c r="S744" s="276"/>
    </row>
    <row r="745" spans="1:19" x14ac:dyDescent="0.35">
      <c r="A745" s="46"/>
      <c r="B745" s="52"/>
      <c r="C745" s="34"/>
      <c r="D745" s="34"/>
      <c r="E745" s="137" t="s">
        <v>1080</v>
      </c>
      <c r="F745" s="36"/>
      <c r="G745" s="37">
        <v>1</v>
      </c>
      <c r="H745" s="37">
        <v>2.2400000000000002</v>
      </c>
      <c r="I745" s="37">
        <v>1.6</v>
      </c>
      <c r="J745" s="110"/>
      <c r="K745" s="234">
        <f t="shared" si="99"/>
        <v>3.5840000000000005</v>
      </c>
      <c r="L745" s="43"/>
      <c r="M745" s="235"/>
      <c r="N745" s="207"/>
      <c r="O745" s="39"/>
      <c r="P745" s="230"/>
      <c r="Q745" s="275"/>
      <c r="R745" s="176"/>
      <c r="S745" s="276"/>
    </row>
    <row r="746" spans="1:19" x14ac:dyDescent="0.35">
      <c r="A746" s="46"/>
      <c r="B746" s="52"/>
      <c r="C746" s="34"/>
      <c r="D746" s="34"/>
      <c r="E746" s="137" t="s">
        <v>987</v>
      </c>
      <c r="F746" s="36"/>
      <c r="G746" s="37">
        <v>1</v>
      </c>
      <c r="H746" s="37">
        <v>1.8</v>
      </c>
      <c r="I746" s="39">
        <v>0.75</v>
      </c>
      <c r="J746" s="230"/>
      <c r="K746" s="207">
        <f t="shared" si="99"/>
        <v>1.35</v>
      </c>
      <c r="L746" s="43"/>
      <c r="M746" s="235"/>
      <c r="N746" s="207"/>
      <c r="O746" s="39"/>
      <c r="P746" s="230"/>
      <c r="Q746" s="275"/>
      <c r="R746" s="176"/>
      <c r="S746" s="276"/>
    </row>
    <row r="747" spans="1:19" x14ac:dyDescent="0.35">
      <c r="A747" s="46"/>
      <c r="B747" s="52"/>
      <c r="C747" s="34"/>
      <c r="D747" s="34"/>
      <c r="E747" s="137" t="s">
        <v>1081</v>
      </c>
      <c r="F747" s="36"/>
      <c r="G747" s="37">
        <v>1</v>
      </c>
      <c r="H747" s="39">
        <v>2.2400000000000002</v>
      </c>
      <c r="I747" s="172">
        <v>1.6</v>
      </c>
      <c r="J747" s="230"/>
      <c r="K747" s="256">
        <f t="shared" si="99"/>
        <v>3.5840000000000005</v>
      </c>
      <c r="L747" s="43"/>
      <c r="M747" s="235"/>
      <c r="N747" s="207"/>
      <c r="O747" s="39"/>
      <c r="P747" s="230"/>
      <c r="Q747" s="275"/>
      <c r="R747" s="176"/>
      <c r="S747" s="276"/>
    </row>
    <row r="748" spans="1:19" x14ac:dyDescent="0.35">
      <c r="A748" s="46"/>
      <c r="B748" s="52"/>
      <c r="C748" s="34"/>
      <c r="D748" s="34"/>
      <c r="E748" s="137" t="s">
        <v>988</v>
      </c>
      <c r="F748" s="36"/>
      <c r="G748" s="37">
        <v>1</v>
      </c>
      <c r="H748" s="37">
        <v>1.61</v>
      </c>
      <c r="I748" s="37">
        <v>9.14</v>
      </c>
      <c r="J748" s="110"/>
      <c r="K748" s="234">
        <f t="shared" ref="K748:K756" si="103">I748*H748*G748</f>
        <v>14.715400000000002</v>
      </c>
      <c r="L748" s="43"/>
      <c r="M748" s="235"/>
      <c r="N748" s="207"/>
      <c r="O748" s="39"/>
      <c r="P748" s="230"/>
      <c r="Q748" s="275"/>
      <c r="R748" s="176"/>
      <c r="S748" s="276"/>
    </row>
    <row r="749" spans="1:19" x14ac:dyDescent="0.35">
      <c r="A749" s="46"/>
      <c r="B749" s="52"/>
      <c r="C749" s="34"/>
      <c r="D749" s="34"/>
      <c r="E749" s="137" t="s">
        <v>989</v>
      </c>
      <c r="F749" s="36"/>
      <c r="G749" s="37">
        <v>1</v>
      </c>
      <c r="H749" s="37">
        <v>2.2400000000000002</v>
      </c>
      <c r="I749" s="37">
        <v>1.6</v>
      </c>
      <c r="J749" s="110"/>
      <c r="K749" s="234">
        <f t="shared" si="103"/>
        <v>3.5840000000000005</v>
      </c>
      <c r="L749" s="43"/>
      <c r="M749" s="235"/>
      <c r="N749" s="207"/>
      <c r="O749" s="39"/>
      <c r="P749" s="230"/>
      <c r="Q749" s="275"/>
      <c r="R749" s="176"/>
      <c r="S749" s="276"/>
    </row>
    <row r="750" spans="1:19" x14ac:dyDescent="0.35">
      <c r="A750" s="46"/>
      <c r="B750" s="52"/>
      <c r="C750" s="34"/>
      <c r="D750" s="34"/>
      <c r="E750" s="137" t="s">
        <v>1082</v>
      </c>
      <c r="F750" s="36"/>
      <c r="G750" s="37">
        <v>1</v>
      </c>
      <c r="H750" s="37">
        <v>1.6</v>
      </c>
      <c r="I750" s="37">
        <v>1.95</v>
      </c>
      <c r="J750" s="110"/>
      <c r="K750" s="234">
        <f t="shared" si="103"/>
        <v>3.12</v>
      </c>
      <c r="L750" s="43"/>
      <c r="M750" s="235"/>
      <c r="N750" s="207"/>
      <c r="O750" s="39"/>
      <c r="P750" s="230"/>
      <c r="Q750" s="275"/>
      <c r="R750" s="176"/>
      <c r="S750" s="276"/>
    </row>
    <row r="751" spans="1:19" x14ac:dyDescent="0.35">
      <c r="A751" s="46"/>
      <c r="B751" s="52"/>
      <c r="C751" s="34"/>
      <c r="D751" s="34"/>
      <c r="E751" s="137" t="s">
        <v>1083</v>
      </c>
      <c r="F751" s="36"/>
      <c r="G751" s="37">
        <v>1</v>
      </c>
      <c r="H751" s="37">
        <v>2.21</v>
      </c>
      <c r="I751" s="37">
        <v>1.6</v>
      </c>
      <c r="J751" s="110"/>
      <c r="K751" s="234">
        <f t="shared" si="103"/>
        <v>3.536</v>
      </c>
      <c r="L751" s="43"/>
      <c r="M751" s="235"/>
      <c r="N751" s="207"/>
      <c r="O751" s="39"/>
      <c r="P751" s="230"/>
      <c r="Q751" s="275"/>
      <c r="R751" s="176"/>
      <c r="S751" s="276"/>
    </row>
    <row r="752" spans="1:19" x14ac:dyDescent="0.35">
      <c r="A752" s="46"/>
      <c r="B752" s="52"/>
      <c r="C752" s="34"/>
      <c r="D752" s="34"/>
      <c r="E752" s="137" t="s">
        <v>990</v>
      </c>
      <c r="F752" s="36"/>
      <c r="G752" s="37">
        <v>1</v>
      </c>
      <c r="H752" s="37">
        <v>1.82</v>
      </c>
      <c r="I752" s="37">
        <v>0.3</v>
      </c>
      <c r="J752" s="110"/>
      <c r="K752" s="234">
        <f t="shared" si="103"/>
        <v>0.54600000000000004</v>
      </c>
      <c r="L752" s="43"/>
      <c r="M752" s="235"/>
      <c r="N752" s="207"/>
      <c r="O752" s="39"/>
      <c r="P752" s="230"/>
      <c r="Q752" s="275"/>
      <c r="R752" s="176"/>
      <c r="S752" s="276"/>
    </row>
    <row r="753" spans="1:19" x14ac:dyDescent="0.35">
      <c r="A753" s="46"/>
      <c r="B753" s="52"/>
      <c r="C753" s="34"/>
      <c r="D753" s="34"/>
      <c r="E753" s="137" t="s">
        <v>991</v>
      </c>
      <c r="F753" s="36"/>
      <c r="G753" s="37">
        <v>1</v>
      </c>
      <c r="H753" s="37">
        <v>1.82</v>
      </c>
      <c r="I753" s="37">
        <v>0.3</v>
      </c>
      <c r="J753" s="110"/>
      <c r="K753" s="234">
        <f t="shared" si="103"/>
        <v>0.54600000000000004</v>
      </c>
      <c r="L753" s="43"/>
      <c r="M753" s="235"/>
      <c r="N753" s="207"/>
      <c r="O753" s="39"/>
      <c r="P753" s="230"/>
      <c r="Q753" s="275"/>
      <c r="R753" s="176"/>
      <c r="S753" s="276"/>
    </row>
    <row r="754" spans="1:19" x14ac:dyDescent="0.35">
      <c r="A754" s="46"/>
      <c r="B754" s="52"/>
      <c r="C754" s="34"/>
      <c r="D754" s="34"/>
      <c r="E754" s="137" t="s">
        <v>992</v>
      </c>
      <c r="F754" s="36"/>
      <c r="G754" s="37">
        <v>1</v>
      </c>
      <c r="H754" s="37">
        <v>1.82</v>
      </c>
      <c r="I754" s="37">
        <v>1.6</v>
      </c>
      <c r="J754" s="110"/>
      <c r="K754" s="234">
        <f t="shared" si="103"/>
        <v>2.9120000000000004</v>
      </c>
      <c r="L754" s="43"/>
      <c r="M754" s="235"/>
      <c r="N754" s="207"/>
      <c r="O754" s="39"/>
      <c r="P754" s="230"/>
      <c r="Q754" s="275"/>
      <c r="R754" s="176"/>
      <c r="S754" s="276"/>
    </row>
    <row r="755" spans="1:19" x14ac:dyDescent="0.35">
      <c r="A755" s="46"/>
      <c r="B755" s="52"/>
      <c r="C755" s="34"/>
      <c r="D755" s="34"/>
      <c r="E755" s="137" t="s">
        <v>1075</v>
      </c>
      <c r="F755" s="36"/>
      <c r="G755" s="37">
        <v>1</v>
      </c>
      <c r="H755" s="37">
        <v>1.82</v>
      </c>
      <c r="I755" s="37">
        <v>1.6</v>
      </c>
      <c r="J755" s="110"/>
      <c r="K755" s="234">
        <f t="shared" si="103"/>
        <v>2.9120000000000004</v>
      </c>
      <c r="L755" s="43"/>
      <c r="M755" s="235"/>
      <c r="N755" s="207"/>
      <c r="O755" s="39"/>
      <c r="P755" s="230"/>
      <c r="Q755" s="275"/>
      <c r="R755" s="176"/>
      <c r="S755" s="276"/>
    </row>
    <row r="756" spans="1:19" x14ac:dyDescent="0.35">
      <c r="A756" s="46"/>
      <c r="B756" s="52"/>
      <c r="C756" s="34"/>
      <c r="D756" s="34"/>
      <c r="E756" s="137" t="s">
        <v>1084</v>
      </c>
      <c r="F756" s="36"/>
      <c r="G756" s="37">
        <v>1</v>
      </c>
      <c r="H756" s="37">
        <v>1.8</v>
      </c>
      <c r="I756" s="37">
        <v>2.9</v>
      </c>
      <c r="J756" s="110"/>
      <c r="K756" s="234">
        <f t="shared" si="103"/>
        <v>5.22</v>
      </c>
      <c r="L756" s="43"/>
      <c r="M756" s="235"/>
      <c r="N756" s="207"/>
      <c r="O756" s="39"/>
      <c r="P756" s="230"/>
      <c r="Q756" s="275"/>
      <c r="R756" s="176"/>
      <c r="S756" s="276"/>
    </row>
    <row r="757" spans="1:19" x14ac:dyDescent="0.35">
      <c r="A757" s="46"/>
      <c r="B757" s="52"/>
      <c r="C757" s="34"/>
      <c r="D757" s="34"/>
      <c r="E757" s="137"/>
      <c r="F757" s="36"/>
      <c r="G757" s="37"/>
      <c r="H757" s="37"/>
      <c r="I757" s="37"/>
      <c r="J757" s="110"/>
      <c r="K757" s="234"/>
      <c r="L757" s="43"/>
      <c r="M757" s="235"/>
      <c r="N757" s="207"/>
      <c r="O757" s="39"/>
      <c r="P757" s="230"/>
      <c r="Q757" s="275"/>
      <c r="R757" s="176"/>
      <c r="S757" s="276"/>
    </row>
    <row r="758" spans="1:19" x14ac:dyDescent="0.35">
      <c r="A758" s="46"/>
      <c r="B758" s="52"/>
      <c r="C758" s="34"/>
      <c r="D758" s="34" t="s">
        <v>36</v>
      </c>
      <c r="E758" s="137" t="s">
        <v>447</v>
      </c>
      <c r="F758" s="36" t="s">
        <v>193</v>
      </c>
      <c r="G758" s="37"/>
      <c r="H758" s="37"/>
      <c r="I758" s="37"/>
      <c r="J758" s="110"/>
      <c r="K758" s="234">
        <v>2</v>
      </c>
      <c r="L758" s="43">
        <v>1461.66</v>
      </c>
      <c r="M758" s="235">
        <f>L758*$K758</f>
        <v>2923.32</v>
      </c>
      <c r="N758" s="207">
        <v>2</v>
      </c>
      <c r="O758" s="39">
        <v>1461.66</v>
      </c>
      <c r="P758" s="230">
        <f>O758*N758</f>
        <v>2923.32</v>
      </c>
      <c r="Q758" s="275">
        <f t="shared" ref="Q758:Q820" si="104">K758-N758</f>
        <v>0</v>
      </c>
      <c r="R758" s="176">
        <f t="shared" ref="R758:R820" si="105">L758-O758</f>
        <v>0</v>
      </c>
      <c r="S758" s="276">
        <f t="shared" ref="S758:S820" si="106">M758-P758</f>
        <v>0</v>
      </c>
    </row>
    <row r="759" spans="1:19" x14ac:dyDescent="0.35">
      <c r="A759" s="46" t="s">
        <v>619</v>
      </c>
      <c r="B759" s="52"/>
      <c r="C759" s="34"/>
      <c r="D759" s="34"/>
      <c r="E759" s="46"/>
      <c r="F759" s="52"/>
      <c r="G759" s="53"/>
      <c r="H759" s="53"/>
      <c r="I759" s="53"/>
      <c r="J759" s="219"/>
      <c r="K759" s="236"/>
      <c r="L759" s="56"/>
      <c r="M759" s="210">
        <f>SUM(M690:M758)</f>
        <v>231317.43000000002</v>
      </c>
      <c r="N759" s="207"/>
      <c r="O759" s="39"/>
      <c r="P759" s="271">
        <f>SUM(P691:P758)</f>
        <v>31923.32</v>
      </c>
      <c r="Q759" s="277">
        <f t="shared" si="104"/>
        <v>0</v>
      </c>
      <c r="R759" s="266">
        <f t="shared" si="105"/>
        <v>0</v>
      </c>
      <c r="S759" s="278">
        <f t="shared" si="106"/>
        <v>199394.11000000002</v>
      </c>
    </row>
    <row r="760" spans="1:19" x14ac:dyDescent="0.35">
      <c r="A760" s="89"/>
      <c r="B760" s="92" t="s">
        <v>620</v>
      </c>
      <c r="C760" s="34"/>
      <c r="D760" s="34"/>
      <c r="E760" s="89" t="s">
        <v>449</v>
      </c>
      <c r="F760" s="92"/>
      <c r="G760" s="135"/>
      <c r="H760" s="135"/>
      <c r="I760" s="135"/>
      <c r="J760" s="229"/>
      <c r="K760" s="255"/>
      <c r="L760" s="136"/>
      <c r="M760" s="210"/>
      <c r="N760" s="207"/>
      <c r="O760" s="39"/>
      <c r="P760" s="230"/>
      <c r="Q760" s="275"/>
      <c r="R760" s="176"/>
      <c r="S760" s="276"/>
    </row>
    <row r="761" spans="1:19" ht="46" x14ac:dyDescent="0.35">
      <c r="A761" s="46"/>
      <c r="B761" s="52"/>
      <c r="C761" s="34" t="s">
        <v>8</v>
      </c>
      <c r="D761" s="34"/>
      <c r="E761" s="138" t="s">
        <v>450</v>
      </c>
      <c r="F761" s="39"/>
      <c r="G761" s="118"/>
      <c r="H761" s="118"/>
      <c r="I761" s="118"/>
      <c r="J761" s="227"/>
      <c r="K761" s="234"/>
      <c r="L761" s="43"/>
      <c r="M761" s="235"/>
      <c r="N761" s="207"/>
      <c r="O761" s="39"/>
      <c r="P761" s="230"/>
      <c r="Q761" s="275"/>
      <c r="R761" s="176"/>
      <c r="S761" s="276"/>
    </row>
    <row r="762" spans="1:19" x14ac:dyDescent="0.35">
      <c r="A762" s="46"/>
      <c r="B762" s="52"/>
      <c r="C762" s="34" t="s">
        <v>11</v>
      </c>
      <c r="D762" s="34"/>
      <c r="E762" s="97" t="s">
        <v>451</v>
      </c>
      <c r="F762" s="36" t="s">
        <v>443</v>
      </c>
      <c r="G762" s="37"/>
      <c r="H762" s="37"/>
      <c r="I762" s="37"/>
      <c r="J762" s="110"/>
      <c r="K762" s="234">
        <v>0</v>
      </c>
      <c r="L762" s="43">
        <v>666.06</v>
      </c>
      <c r="M762" s="235">
        <f>L762*$K762</f>
        <v>0</v>
      </c>
      <c r="N762" s="207">
        <v>0</v>
      </c>
      <c r="O762" s="39">
        <v>666</v>
      </c>
      <c r="P762" s="230">
        <f>O762*N762</f>
        <v>0</v>
      </c>
      <c r="Q762" s="275">
        <f t="shared" si="104"/>
        <v>0</v>
      </c>
      <c r="R762" s="176">
        <f t="shared" si="105"/>
        <v>5.999999999994543E-2</v>
      </c>
      <c r="S762" s="276">
        <f t="shared" si="106"/>
        <v>0</v>
      </c>
    </row>
    <row r="763" spans="1:19" x14ac:dyDescent="0.35">
      <c r="A763" s="46"/>
      <c r="B763" s="52"/>
      <c r="C763" s="34" t="s">
        <v>14</v>
      </c>
      <c r="D763" s="34"/>
      <c r="E763" s="97" t="s">
        <v>452</v>
      </c>
      <c r="F763" s="36" t="s">
        <v>443</v>
      </c>
      <c r="G763" s="37"/>
      <c r="H763" s="37"/>
      <c r="I763" s="37"/>
      <c r="J763" s="110"/>
      <c r="K763" s="234">
        <f>SUM(K765:K810)</f>
        <v>112.17525000000002</v>
      </c>
      <c r="L763" s="43">
        <v>532.44000000000005</v>
      </c>
      <c r="M763" s="235">
        <f>L763*$K763</f>
        <v>59726.590110000019</v>
      </c>
      <c r="N763" s="207">
        <v>24</v>
      </c>
      <c r="O763" s="39">
        <v>532.44000000000005</v>
      </c>
      <c r="P763" s="230">
        <f t="shared" ref="P763:P811" si="107">O763*N763</f>
        <v>12778.560000000001</v>
      </c>
      <c r="Q763" s="275">
        <f t="shared" si="104"/>
        <v>88.17525000000002</v>
      </c>
      <c r="R763" s="176">
        <f t="shared" si="105"/>
        <v>0</v>
      </c>
      <c r="S763" s="276">
        <f t="shared" si="106"/>
        <v>46948.030110000022</v>
      </c>
    </row>
    <row r="764" spans="1:19" x14ac:dyDescent="0.35">
      <c r="A764" s="46"/>
      <c r="B764" s="52"/>
      <c r="C764" s="34"/>
      <c r="D764" s="34"/>
      <c r="E764" s="161" t="s">
        <v>1121</v>
      </c>
      <c r="F764" s="36"/>
      <c r="G764" s="37"/>
      <c r="H764" s="37"/>
      <c r="I764" s="37"/>
      <c r="J764" s="110"/>
      <c r="K764" s="234"/>
      <c r="L764" s="43"/>
      <c r="M764" s="235"/>
      <c r="N764" s="207"/>
      <c r="O764" s="39"/>
      <c r="P764" s="230"/>
      <c r="Q764" s="275"/>
      <c r="R764" s="176"/>
      <c r="S764" s="276"/>
    </row>
    <row r="765" spans="1:19" x14ac:dyDescent="0.35">
      <c r="A765" s="46"/>
      <c r="B765" s="52"/>
      <c r="C765" s="34"/>
      <c r="D765" s="34"/>
      <c r="E765" s="137" t="s">
        <v>1061</v>
      </c>
      <c r="F765" s="36"/>
      <c r="G765" s="37">
        <v>1</v>
      </c>
      <c r="H765" s="37">
        <v>1.833</v>
      </c>
      <c r="I765" s="37">
        <v>0.75</v>
      </c>
      <c r="J765" s="110"/>
      <c r="K765" s="234">
        <f>I765*H765*G765</f>
        <v>1.3747499999999999</v>
      </c>
      <c r="L765" s="43"/>
      <c r="M765" s="235"/>
      <c r="N765" s="207"/>
      <c r="O765" s="39"/>
      <c r="P765" s="230"/>
      <c r="Q765" s="275"/>
      <c r="R765" s="176"/>
      <c r="S765" s="276"/>
    </row>
    <row r="766" spans="1:19" x14ac:dyDescent="0.35">
      <c r="A766" s="46"/>
      <c r="B766" s="52"/>
      <c r="C766" s="34"/>
      <c r="D766" s="34"/>
      <c r="E766" s="137" t="s">
        <v>1062</v>
      </c>
      <c r="F766" s="36"/>
      <c r="G766" s="37">
        <v>1</v>
      </c>
      <c r="H766" s="37">
        <v>1.83</v>
      </c>
      <c r="I766" s="37">
        <v>0.75</v>
      </c>
      <c r="J766" s="110"/>
      <c r="K766" s="234">
        <f t="shared" ref="K766:K787" si="108">I766*H766*G766</f>
        <v>1.3725000000000001</v>
      </c>
      <c r="L766" s="43"/>
      <c r="M766" s="235"/>
      <c r="N766" s="207"/>
      <c r="O766" s="39"/>
      <c r="P766" s="230"/>
      <c r="Q766" s="275"/>
      <c r="R766" s="176"/>
      <c r="S766" s="276"/>
    </row>
    <row r="767" spans="1:19" x14ac:dyDescent="0.35">
      <c r="A767" s="46"/>
      <c r="B767" s="52"/>
      <c r="C767" s="34"/>
      <c r="D767" s="34"/>
      <c r="E767" s="137" t="s">
        <v>962</v>
      </c>
      <c r="F767" s="36"/>
      <c r="G767" s="37">
        <v>1</v>
      </c>
      <c r="H767" s="37">
        <v>1.2</v>
      </c>
      <c r="I767" s="37">
        <v>1.96</v>
      </c>
      <c r="J767" s="110"/>
      <c r="K767" s="234">
        <f t="shared" si="108"/>
        <v>2.3519999999999999</v>
      </c>
      <c r="L767" s="43"/>
      <c r="M767" s="235"/>
      <c r="N767" s="207"/>
      <c r="O767" s="39"/>
      <c r="P767" s="230"/>
      <c r="Q767" s="275"/>
      <c r="R767" s="176"/>
      <c r="S767" s="276"/>
    </row>
    <row r="768" spans="1:19" x14ac:dyDescent="0.35">
      <c r="A768" s="46"/>
      <c r="B768" s="52"/>
      <c r="C768" s="34"/>
      <c r="D768" s="34"/>
      <c r="E768" s="137" t="s">
        <v>963</v>
      </c>
      <c r="F768" s="36"/>
      <c r="G768" s="37">
        <v>1</v>
      </c>
      <c r="H768" s="37">
        <v>1.82</v>
      </c>
      <c r="I768" s="37">
        <f t="shared" ref="I768" si="109">0.5*2+0.25*2</f>
        <v>1.5</v>
      </c>
      <c r="J768" s="110"/>
      <c r="K768" s="234">
        <f t="shared" si="108"/>
        <v>2.73</v>
      </c>
      <c r="L768" s="43"/>
      <c r="M768" s="235"/>
      <c r="N768" s="207"/>
      <c r="O768" s="39"/>
      <c r="P768" s="230"/>
      <c r="Q768" s="275"/>
      <c r="R768" s="176"/>
      <c r="S768" s="276"/>
    </row>
    <row r="769" spans="1:19" x14ac:dyDescent="0.35">
      <c r="A769" s="46"/>
      <c r="B769" s="52"/>
      <c r="C769" s="34"/>
      <c r="D769" s="34"/>
      <c r="E769" s="137" t="s">
        <v>1063</v>
      </c>
      <c r="F769" s="36"/>
      <c r="G769" s="37">
        <v>1</v>
      </c>
      <c r="H769" s="37">
        <v>1.83</v>
      </c>
      <c r="I769" s="37">
        <v>0.75</v>
      </c>
      <c r="J769" s="110"/>
      <c r="K769" s="234">
        <f t="shared" si="108"/>
        <v>1.3725000000000001</v>
      </c>
      <c r="L769" s="43"/>
      <c r="M769" s="235"/>
      <c r="N769" s="207"/>
      <c r="O769" s="39"/>
      <c r="P769" s="230"/>
      <c r="Q769" s="275"/>
      <c r="R769" s="176"/>
      <c r="S769" s="276"/>
    </row>
    <row r="770" spans="1:19" x14ac:dyDescent="0.35">
      <c r="A770" s="46"/>
      <c r="B770" s="52"/>
      <c r="C770" s="34"/>
      <c r="D770" s="34"/>
      <c r="E770" s="137" t="s">
        <v>964</v>
      </c>
      <c r="F770" s="36"/>
      <c r="G770" s="37">
        <v>1</v>
      </c>
      <c r="H770" s="37">
        <v>1.6</v>
      </c>
      <c r="I770" s="37">
        <v>1.23</v>
      </c>
      <c r="J770" s="110"/>
      <c r="K770" s="234">
        <f t="shared" si="108"/>
        <v>1.968</v>
      </c>
      <c r="L770" s="43"/>
      <c r="M770" s="235"/>
      <c r="N770" s="207"/>
      <c r="O770" s="39"/>
      <c r="P770" s="230"/>
      <c r="Q770" s="275"/>
      <c r="R770" s="176"/>
      <c r="S770" s="276"/>
    </row>
    <row r="771" spans="1:19" x14ac:dyDescent="0.35">
      <c r="A771" s="46"/>
      <c r="B771" s="52"/>
      <c r="C771" s="34"/>
      <c r="D771" s="34"/>
      <c r="E771" s="137" t="s">
        <v>965</v>
      </c>
      <c r="F771" s="36"/>
      <c r="G771" s="37">
        <v>1</v>
      </c>
      <c r="H771" s="37">
        <v>1.5</v>
      </c>
      <c r="I771" s="37">
        <v>2.1</v>
      </c>
      <c r="J771" s="110"/>
      <c r="K771" s="234">
        <f t="shared" si="108"/>
        <v>3.1500000000000004</v>
      </c>
      <c r="L771" s="43"/>
      <c r="M771" s="235"/>
      <c r="N771" s="207"/>
      <c r="O771" s="39"/>
      <c r="P771" s="230"/>
      <c r="Q771" s="275"/>
      <c r="R771" s="176"/>
      <c r="S771" s="276"/>
    </row>
    <row r="772" spans="1:19" x14ac:dyDescent="0.35">
      <c r="A772" s="46"/>
      <c r="B772" s="52"/>
      <c r="C772" s="34"/>
      <c r="D772" s="34"/>
      <c r="E772" s="137" t="s">
        <v>1064</v>
      </c>
      <c r="F772" s="36"/>
      <c r="G772" s="37">
        <v>1</v>
      </c>
      <c r="H772" s="37">
        <v>1.83</v>
      </c>
      <c r="I772" s="37">
        <v>0.75</v>
      </c>
      <c r="J772" s="110"/>
      <c r="K772" s="234">
        <f t="shared" si="108"/>
        <v>1.3725000000000001</v>
      </c>
      <c r="L772" s="43"/>
      <c r="M772" s="235"/>
      <c r="N772" s="207"/>
      <c r="O772" s="39"/>
      <c r="P772" s="230"/>
      <c r="Q772" s="275"/>
      <c r="R772" s="176"/>
      <c r="S772" s="276"/>
    </row>
    <row r="773" spans="1:19" x14ac:dyDescent="0.35">
      <c r="A773" s="46"/>
      <c r="B773" s="52"/>
      <c r="C773" s="34"/>
      <c r="D773" s="34"/>
      <c r="E773" s="137" t="s">
        <v>966</v>
      </c>
      <c r="F773" s="36"/>
      <c r="G773" s="37">
        <v>1</v>
      </c>
      <c r="H773" s="162">
        <v>1.6</v>
      </c>
      <c r="I773" s="37">
        <v>1.23</v>
      </c>
      <c r="J773" s="110"/>
      <c r="K773" s="234">
        <f t="shared" si="108"/>
        <v>1.968</v>
      </c>
      <c r="L773" s="43"/>
      <c r="M773" s="235"/>
      <c r="N773" s="207"/>
      <c r="O773" s="39"/>
      <c r="P773" s="230"/>
      <c r="Q773" s="275"/>
      <c r="R773" s="176"/>
      <c r="S773" s="276"/>
    </row>
    <row r="774" spans="1:19" x14ac:dyDescent="0.35">
      <c r="A774" s="46"/>
      <c r="B774" s="52"/>
      <c r="C774" s="34"/>
      <c r="D774" s="34"/>
      <c r="E774" s="137" t="s">
        <v>967</v>
      </c>
      <c r="F774" s="36"/>
      <c r="G774" s="37">
        <v>1</v>
      </c>
      <c r="H774" s="162">
        <v>1.89</v>
      </c>
      <c r="I774" s="37">
        <f t="shared" ref="I774" si="110">0.6*2+0.3*2</f>
        <v>1.7999999999999998</v>
      </c>
      <c r="J774" s="110"/>
      <c r="K774" s="234">
        <f t="shared" si="108"/>
        <v>3.4019999999999997</v>
      </c>
      <c r="L774" s="43"/>
      <c r="M774" s="235"/>
      <c r="N774" s="207"/>
      <c r="O774" s="39"/>
      <c r="P774" s="230"/>
      <c r="Q774" s="275"/>
      <c r="R774" s="176"/>
      <c r="S774" s="276"/>
    </row>
    <row r="775" spans="1:19" x14ac:dyDescent="0.35">
      <c r="A775" s="46"/>
      <c r="B775" s="52"/>
      <c r="C775" s="34"/>
      <c r="D775" s="34"/>
      <c r="E775" s="137" t="s">
        <v>1065</v>
      </c>
      <c r="F775" s="36"/>
      <c r="G775" s="37">
        <v>1</v>
      </c>
      <c r="H775" s="162">
        <v>1.83</v>
      </c>
      <c r="I775" s="37">
        <v>0.75</v>
      </c>
      <c r="J775" s="110"/>
      <c r="K775" s="234">
        <f t="shared" si="108"/>
        <v>1.3725000000000001</v>
      </c>
      <c r="L775" s="43"/>
      <c r="M775" s="235"/>
      <c r="N775" s="207"/>
      <c r="O775" s="39"/>
      <c r="P775" s="230"/>
      <c r="Q775" s="275"/>
      <c r="R775" s="176"/>
      <c r="S775" s="276"/>
    </row>
    <row r="776" spans="1:19" x14ac:dyDescent="0.35">
      <c r="A776" s="46"/>
      <c r="B776" s="52"/>
      <c r="C776" s="34"/>
      <c r="D776" s="34"/>
      <c r="E776" s="137" t="s">
        <v>968</v>
      </c>
      <c r="F776" s="36"/>
      <c r="G776" s="37">
        <v>1</v>
      </c>
      <c r="H776" s="162">
        <v>1.8</v>
      </c>
      <c r="I776" s="37">
        <v>3.53</v>
      </c>
      <c r="J776" s="110"/>
      <c r="K776" s="234">
        <f t="shared" si="108"/>
        <v>6.3540000000000001</v>
      </c>
      <c r="L776" s="43"/>
      <c r="M776" s="235"/>
      <c r="N776" s="207"/>
      <c r="O776" s="39"/>
      <c r="P776" s="230"/>
      <c r="Q776" s="275"/>
      <c r="R776" s="176"/>
      <c r="S776" s="276"/>
    </row>
    <row r="777" spans="1:19" x14ac:dyDescent="0.35">
      <c r="A777" s="46"/>
      <c r="B777" s="52"/>
      <c r="C777" s="34"/>
      <c r="D777" s="34"/>
      <c r="E777" s="137" t="s">
        <v>1066</v>
      </c>
      <c r="F777" s="36"/>
      <c r="G777" s="37">
        <v>1</v>
      </c>
      <c r="H777" s="162">
        <v>1.83</v>
      </c>
      <c r="I777" s="37">
        <v>0.75</v>
      </c>
      <c r="J777" s="110"/>
      <c r="K777" s="234">
        <f t="shared" si="108"/>
        <v>1.3725000000000001</v>
      </c>
      <c r="L777" s="43"/>
      <c r="M777" s="235"/>
      <c r="N777" s="207"/>
      <c r="O777" s="39"/>
      <c r="P777" s="230"/>
      <c r="Q777" s="275"/>
      <c r="R777" s="176"/>
      <c r="S777" s="276"/>
    </row>
    <row r="778" spans="1:19" x14ac:dyDescent="0.35">
      <c r="A778" s="46"/>
      <c r="B778" s="52"/>
      <c r="C778" s="34"/>
      <c r="D778" s="34"/>
      <c r="E778" s="137" t="s">
        <v>1067</v>
      </c>
      <c r="F778" s="36"/>
      <c r="G778" s="37">
        <v>1</v>
      </c>
      <c r="H778" s="162">
        <v>1.83</v>
      </c>
      <c r="I778" s="37">
        <v>0.6</v>
      </c>
      <c r="J778" s="110"/>
      <c r="K778" s="234">
        <f t="shared" si="108"/>
        <v>1.0980000000000001</v>
      </c>
      <c r="L778" s="43"/>
      <c r="M778" s="235"/>
      <c r="N778" s="207"/>
      <c r="O778" s="39"/>
      <c r="P778" s="230"/>
      <c r="Q778" s="275"/>
      <c r="R778" s="176"/>
      <c r="S778" s="276"/>
    </row>
    <row r="779" spans="1:19" x14ac:dyDescent="0.35">
      <c r="A779" s="46"/>
      <c r="B779" s="52"/>
      <c r="C779" s="34"/>
      <c r="D779" s="34"/>
      <c r="E779" s="137" t="s">
        <v>1068</v>
      </c>
      <c r="F779" s="36"/>
      <c r="G779" s="37">
        <v>1</v>
      </c>
      <c r="H779" s="162">
        <v>1.83</v>
      </c>
      <c r="I779" s="37">
        <v>0.6</v>
      </c>
      <c r="J779" s="110"/>
      <c r="K779" s="234">
        <f t="shared" si="108"/>
        <v>1.0980000000000001</v>
      </c>
      <c r="L779" s="43"/>
      <c r="M779" s="235"/>
      <c r="N779" s="207"/>
      <c r="O779" s="39"/>
      <c r="P779" s="230"/>
      <c r="Q779" s="275"/>
      <c r="R779" s="176"/>
      <c r="S779" s="276"/>
    </row>
    <row r="780" spans="1:19" x14ac:dyDescent="0.35">
      <c r="A780" s="46"/>
      <c r="B780" s="52"/>
      <c r="C780" s="34"/>
      <c r="D780" s="34"/>
      <c r="E780" s="137" t="s">
        <v>969</v>
      </c>
      <c r="F780" s="36"/>
      <c r="G780" s="37">
        <v>1</v>
      </c>
      <c r="H780" s="162">
        <v>1.45</v>
      </c>
      <c r="I780" s="37">
        <v>2.67</v>
      </c>
      <c r="J780" s="110"/>
      <c r="K780" s="234">
        <f t="shared" si="108"/>
        <v>3.8714999999999997</v>
      </c>
      <c r="L780" s="43"/>
      <c r="M780" s="235"/>
      <c r="N780" s="207"/>
      <c r="O780" s="39"/>
      <c r="P780" s="230"/>
      <c r="Q780" s="275"/>
      <c r="R780" s="176"/>
      <c r="S780" s="276"/>
    </row>
    <row r="781" spans="1:19" x14ac:dyDescent="0.35">
      <c r="A781" s="46"/>
      <c r="B781" s="52"/>
      <c r="C781" s="34"/>
      <c r="D781" s="34"/>
      <c r="E781" s="137" t="s">
        <v>970</v>
      </c>
      <c r="F781" s="36"/>
      <c r="G781" s="37">
        <v>1</v>
      </c>
      <c r="H781" s="162">
        <v>1.6</v>
      </c>
      <c r="I781" s="37">
        <v>1.23</v>
      </c>
      <c r="J781" s="110"/>
      <c r="K781" s="234">
        <f t="shared" si="108"/>
        <v>1.968</v>
      </c>
      <c r="L781" s="43"/>
      <c r="M781" s="235"/>
      <c r="N781" s="207"/>
      <c r="O781" s="39"/>
      <c r="P781" s="230"/>
      <c r="Q781" s="275"/>
      <c r="R781" s="176"/>
      <c r="S781" s="276"/>
    </row>
    <row r="782" spans="1:19" x14ac:dyDescent="0.35">
      <c r="A782" s="46"/>
      <c r="B782" s="52"/>
      <c r="C782" s="34"/>
      <c r="D782" s="34"/>
      <c r="E782" s="137" t="s">
        <v>971</v>
      </c>
      <c r="F782" s="36"/>
      <c r="G782" s="37">
        <v>1</v>
      </c>
      <c r="H782" s="162">
        <v>1.6</v>
      </c>
      <c r="I782" s="37">
        <v>1.23</v>
      </c>
      <c r="J782" s="110"/>
      <c r="K782" s="234">
        <f t="shared" si="108"/>
        <v>1.968</v>
      </c>
      <c r="L782" s="43"/>
      <c r="M782" s="235"/>
      <c r="N782" s="207"/>
      <c r="O782" s="39"/>
      <c r="P782" s="230"/>
      <c r="Q782" s="275"/>
      <c r="R782" s="176"/>
      <c r="S782" s="276"/>
    </row>
    <row r="783" spans="1:19" x14ac:dyDescent="0.35">
      <c r="A783" s="46"/>
      <c r="B783" s="52"/>
      <c r="C783" s="34"/>
      <c r="D783" s="34"/>
      <c r="E783" s="137" t="s">
        <v>1057</v>
      </c>
      <c r="F783" s="36"/>
      <c r="G783" s="37">
        <v>1</v>
      </c>
      <c r="H783" s="162">
        <v>1.4</v>
      </c>
      <c r="I783" s="37">
        <v>2.35</v>
      </c>
      <c r="J783" s="110"/>
      <c r="K783" s="234">
        <f t="shared" si="108"/>
        <v>3.29</v>
      </c>
      <c r="L783" s="43"/>
      <c r="M783" s="235"/>
      <c r="N783" s="207"/>
      <c r="O783" s="39"/>
      <c r="P783" s="230"/>
      <c r="Q783" s="275"/>
      <c r="R783" s="176"/>
      <c r="S783" s="276"/>
    </row>
    <row r="784" spans="1:19" x14ac:dyDescent="0.35">
      <c r="A784" s="46"/>
      <c r="B784" s="52"/>
      <c r="C784" s="34"/>
      <c r="D784" s="34"/>
      <c r="E784" s="137" t="s">
        <v>1058</v>
      </c>
      <c r="F784" s="36"/>
      <c r="G784" s="37">
        <v>1</v>
      </c>
      <c r="H784" s="162">
        <v>1.4</v>
      </c>
      <c r="I784" s="37">
        <v>1.23</v>
      </c>
      <c r="J784" s="110"/>
      <c r="K784" s="234">
        <f t="shared" si="108"/>
        <v>1.722</v>
      </c>
      <c r="L784" s="43"/>
      <c r="M784" s="235"/>
      <c r="N784" s="207"/>
      <c r="O784" s="39"/>
      <c r="P784" s="230"/>
      <c r="Q784" s="275"/>
      <c r="R784" s="176"/>
      <c r="S784" s="276"/>
    </row>
    <row r="785" spans="1:19" x14ac:dyDescent="0.35">
      <c r="A785" s="46"/>
      <c r="B785" s="52"/>
      <c r="C785" s="34"/>
      <c r="D785" s="34"/>
      <c r="E785" s="137" t="s">
        <v>1059</v>
      </c>
      <c r="F785" s="36"/>
      <c r="G785" s="37">
        <v>1</v>
      </c>
      <c r="H785" s="162">
        <v>2.2400000000000002</v>
      </c>
      <c r="I785" s="37">
        <v>1.8</v>
      </c>
      <c r="J785" s="110"/>
      <c r="K785" s="234">
        <f t="shared" si="108"/>
        <v>4.0320000000000009</v>
      </c>
      <c r="L785" s="43"/>
      <c r="M785" s="235"/>
      <c r="N785" s="207"/>
      <c r="O785" s="39"/>
      <c r="P785" s="230"/>
      <c r="Q785" s="275"/>
      <c r="R785" s="176"/>
      <c r="S785" s="276"/>
    </row>
    <row r="786" spans="1:19" x14ac:dyDescent="0.35">
      <c r="A786" s="46"/>
      <c r="B786" s="52"/>
      <c r="C786" s="34"/>
      <c r="D786" s="34"/>
      <c r="E786" s="137" t="s">
        <v>1060</v>
      </c>
      <c r="F786" s="36"/>
      <c r="G786" s="37">
        <v>1</v>
      </c>
      <c r="H786" s="162">
        <v>1.3</v>
      </c>
      <c r="I786" s="37">
        <v>0.94</v>
      </c>
      <c r="J786" s="110"/>
      <c r="K786" s="234">
        <f t="shared" si="108"/>
        <v>1.222</v>
      </c>
      <c r="L786" s="43"/>
      <c r="M786" s="235"/>
      <c r="N786" s="207"/>
      <c r="O786" s="39"/>
      <c r="P786" s="230"/>
      <c r="Q786" s="275"/>
      <c r="R786" s="176"/>
      <c r="S786" s="276"/>
    </row>
    <row r="787" spans="1:19" x14ac:dyDescent="0.35">
      <c r="A787" s="46"/>
      <c r="B787" s="52"/>
      <c r="C787" s="34"/>
      <c r="D787" s="34"/>
      <c r="E787" s="137" t="s">
        <v>1069</v>
      </c>
      <c r="F787" s="36"/>
      <c r="G787" s="37">
        <v>1</v>
      </c>
      <c r="H787" s="162">
        <v>1.83</v>
      </c>
      <c r="I787" s="37">
        <v>0.75</v>
      </c>
      <c r="J787" s="110"/>
      <c r="K787" s="234">
        <f t="shared" si="108"/>
        <v>1.3725000000000001</v>
      </c>
      <c r="L787" s="43"/>
      <c r="M787" s="235"/>
      <c r="N787" s="207"/>
      <c r="O787" s="39"/>
      <c r="P787" s="230"/>
      <c r="Q787" s="275"/>
      <c r="R787" s="176"/>
      <c r="S787" s="276"/>
    </row>
    <row r="788" spans="1:19" x14ac:dyDescent="0.35">
      <c r="A788" s="46"/>
      <c r="B788" s="52"/>
      <c r="C788" s="34"/>
      <c r="D788" s="34"/>
      <c r="E788" s="137"/>
      <c r="F788" s="36"/>
      <c r="G788" s="37"/>
      <c r="H788" s="162"/>
      <c r="I788" s="37"/>
      <c r="J788" s="110"/>
      <c r="K788" s="234"/>
      <c r="L788" s="43"/>
      <c r="M788" s="235"/>
      <c r="N788" s="207"/>
      <c r="O788" s="39"/>
      <c r="P788" s="230"/>
      <c r="Q788" s="275"/>
      <c r="R788" s="176"/>
      <c r="S788" s="276"/>
    </row>
    <row r="789" spans="1:19" x14ac:dyDescent="0.35">
      <c r="A789" s="46"/>
      <c r="B789" s="52"/>
      <c r="C789" s="34"/>
      <c r="D789" s="34"/>
      <c r="E789" s="161" t="s">
        <v>972</v>
      </c>
      <c r="F789" s="36"/>
      <c r="G789" s="37"/>
      <c r="H789" s="37"/>
      <c r="I789" s="37"/>
      <c r="J789" s="110"/>
      <c r="K789" s="234">
        <f t="shared" ref="K789:K800" si="111">I789*H789*G789</f>
        <v>0</v>
      </c>
      <c r="L789" s="43"/>
      <c r="M789" s="235"/>
      <c r="N789" s="207"/>
      <c r="O789" s="39"/>
      <c r="P789" s="230"/>
      <c r="Q789" s="275"/>
      <c r="R789" s="176"/>
      <c r="S789" s="276"/>
    </row>
    <row r="790" spans="1:19" x14ac:dyDescent="0.35">
      <c r="A790" s="46"/>
      <c r="B790" s="52"/>
      <c r="C790" s="34"/>
      <c r="D790" s="34"/>
      <c r="E790" s="137" t="s">
        <v>1070</v>
      </c>
      <c r="F790" s="36"/>
      <c r="G790" s="37">
        <v>1</v>
      </c>
      <c r="H790" s="37">
        <v>1.88</v>
      </c>
      <c r="I790" s="37">
        <f>0.45*2+0.35*2</f>
        <v>1.6</v>
      </c>
      <c r="J790" s="110"/>
      <c r="K790" s="234">
        <f t="shared" si="111"/>
        <v>3.008</v>
      </c>
      <c r="L790" s="43"/>
      <c r="M790" s="235"/>
      <c r="N790" s="207"/>
      <c r="O790" s="39"/>
      <c r="P790" s="230"/>
      <c r="Q790" s="275"/>
      <c r="R790" s="176"/>
      <c r="S790" s="276"/>
    </row>
    <row r="791" spans="1:19" x14ac:dyDescent="0.35">
      <c r="A791" s="46"/>
      <c r="B791" s="52"/>
      <c r="C791" s="34"/>
      <c r="D791" s="34"/>
      <c r="E791" s="137" t="s">
        <v>974</v>
      </c>
      <c r="F791" s="36"/>
      <c r="G791" s="37">
        <v>1</v>
      </c>
      <c r="H791" s="37">
        <v>1.3</v>
      </c>
      <c r="I791" s="37">
        <v>1.2</v>
      </c>
      <c r="J791" s="110"/>
      <c r="K791" s="234">
        <f t="shared" si="111"/>
        <v>1.56</v>
      </c>
      <c r="L791" s="43"/>
      <c r="M791" s="235"/>
      <c r="N791" s="207"/>
      <c r="O791" s="39"/>
      <c r="P791" s="230"/>
      <c r="Q791" s="275"/>
      <c r="R791" s="176"/>
      <c r="S791" s="276"/>
    </row>
    <row r="792" spans="1:19" x14ac:dyDescent="0.35">
      <c r="A792" s="46"/>
      <c r="B792" s="52"/>
      <c r="C792" s="34"/>
      <c r="D792" s="34"/>
      <c r="E792" s="137" t="s">
        <v>975</v>
      </c>
      <c r="F792" s="36"/>
      <c r="G792" s="37">
        <v>1</v>
      </c>
      <c r="H792" s="37">
        <v>2.2400000000000002</v>
      </c>
      <c r="I792" s="37">
        <f t="shared" ref="I792:I798" si="112">0.45*2+0.35*2</f>
        <v>1.6</v>
      </c>
      <c r="J792" s="110"/>
      <c r="K792" s="234">
        <f t="shared" si="111"/>
        <v>3.5840000000000005</v>
      </c>
      <c r="L792" s="43"/>
      <c r="M792" s="235"/>
      <c r="N792" s="207"/>
      <c r="O792" s="39"/>
      <c r="P792" s="230"/>
      <c r="Q792" s="275"/>
      <c r="R792" s="176"/>
      <c r="S792" s="276"/>
    </row>
    <row r="793" spans="1:19" x14ac:dyDescent="0.35">
      <c r="A793" s="46"/>
      <c r="B793" s="52"/>
      <c r="C793" s="34"/>
      <c r="D793" s="34"/>
      <c r="E793" s="137" t="s">
        <v>976</v>
      </c>
      <c r="F793" s="36"/>
      <c r="G793" s="37">
        <v>1</v>
      </c>
      <c r="H793" s="37">
        <v>1.85</v>
      </c>
      <c r="I793" s="37">
        <v>1.6</v>
      </c>
      <c r="J793" s="110"/>
      <c r="K793" s="234">
        <f t="shared" si="111"/>
        <v>2.9600000000000004</v>
      </c>
      <c r="L793" s="43"/>
      <c r="M793" s="235"/>
      <c r="N793" s="207"/>
      <c r="O793" s="39"/>
      <c r="P793" s="230"/>
      <c r="Q793" s="275"/>
      <c r="R793" s="176"/>
      <c r="S793" s="276"/>
    </row>
    <row r="794" spans="1:19" x14ac:dyDescent="0.35">
      <c r="A794" s="46"/>
      <c r="B794" s="52"/>
      <c r="C794" s="34"/>
      <c r="D794" s="34"/>
      <c r="E794" s="137" t="s">
        <v>977</v>
      </c>
      <c r="F794" s="36"/>
      <c r="G794" s="37">
        <v>1</v>
      </c>
      <c r="H794" s="37">
        <v>1.6</v>
      </c>
      <c r="I794" s="37">
        <v>1.22</v>
      </c>
      <c r="J794" s="110"/>
      <c r="K794" s="234">
        <f t="shared" si="111"/>
        <v>1.952</v>
      </c>
      <c r="L794" s="43"/>
      <c r="M794" s="235"/>
      <c r="N794" s="207"/>
      <c r="O794" s="39"/>
      <c r="P794" s="230"/>
      <c r="Q794" s="275"/>
      <c r="R794" s="176"/>
      <c r="S794" s="276"/>
    </row>
    <row r="795" spans="1:19" x14ac:dyDescent="0.35">
      <c r="A795" s="46"/>
      <c r="B795" s="52"/>
      <c r="C795" s="34"/>
      <c r="D795" s="34"/>
      <c r="E795" s="137" t="s">
        <v>1071</v>
      </c>
      <c r="F795" s="36"/>
      <c r="G795" s="37">
        <v>1</v>
      </c>
      <c r="H795" s="37">
        <v>1.88</v>
      </c>
      <c r="I795" s="37">
        <f t="shared" si="112"/>
        <v>1.6</v>
      </c>
      <c r="J795" s="110"/>
      <c r="K795" s="234">
        <f t="shared" si="111"/>
        <v>3.008</v>
      </c>
      <c r="L795" s="43"/>
      <c r="M795" s="235"/>
      <c r="N795" s="207"/>
      <c r="O795" s="39"/>
      <c r="P795" s="230"/>
      <c r="Q795" s="275"/>
      <c r="R795" s="176"/>
      <c r="S795" s="276"/>
    </row>
    <row r="796" spans="1:19" x14ac:dyDescent="0.35">
      <c r="A796" s="46"/>
      <c r="B796" s="52"/>
      <c r="C796" s="34"/>
      <c r="D796" s="34"/>
      <c r="E796" s="137" t="s">
        <v>978</v>
      </c>
      <c r="F796" s="36"/>
      <c r="G796" s="37">
        <v>1</v>
      </c>
      <c r="H796" s="37">
        <v>1.3</v>
      </c>
      <c r="I796" s="37">
        <v>1.2</v>
      </c>
      <c r="J796" s="110"/>
      <c r="K796" s="234">
        <f t="shared" si="111"/>
        <v>1.56</v>
      </c>
      <c r="L796" s="43"/>
      <c r="M796" s="235"/>
      <c r="N796" s="207"/>
      <c r="O796" s="39"/>
      <c r="P796" s="230"/>
      <c r="Q796" s="275"/>
      <c r="R796" s="176"/>
      <c r="S796" s="276"/>
    </row>
    <row r="797" spans="1:19" x14ac:dyDescent="0.35">
      <c r="A797" s="46"/>
      <c r="B797" s="52"/>
      <c r="C797" s="34"/>
      <c r="D797" s="34"/>
      <c r="E797" s="137" t="s">
        <v>1072</v>
      </c>
      <c r="F797" s="36"/>
      <c r="G797" s="37">
        <v>1</v>
      </c>
      <c r="H797" s="37">
        <v>2.21</v>
      </c>
      <c r="I797" s="37">
        <f t="shared" si="112"/>
        <v>1.6</v>
      </c>
      <c r="J797" s="110"/>
      <c r="K797" s="234">
        <f t="shared" si="111"/>
        <v>3.536</v>
      </c>
      <c r="L797" s="43"/>
      <c r="M797" s="235"/>
      <c r="N797" s="207"/>
      <c r="O797" s="39"/>
      <c r="P797" s="230"/>
      <c r="Q797" s="275"/>
      <c r="R797" s="176"/>
      <c r="S797" s="276"/>
    </row>
    <row r="798" spans="1:19" x14ac:dyDescent="0.35">
      <c r="A798" s="46"/>
      <c r="B798" s="52"/>
      <c r="C798" s="34"/>
      <c r="D798" s="34"/>
      <c r="E798" s="137" t="s">
        <v>979</v>
      </c>
      <c r="F798" s="36"/>
      <c r="G798" s="37">
        <v>1</v>
      </c>
      <c r="H798" s="37">
        <v>2.2400000000000002</v>
      </c>
      <c r="I798" s="37">
        <f t="shared" si="112"/>
        <v>1.6</v>
      </c>
      <c r="J798" s="110"/>
      <c r="K798" s="234">
        <f t="shared" si="111"/>
        <v>3.5840000000000005</v>
      </c>
      <c r="L798" s="43"/>
      <c r="M798" s="235"/>
      <c r="N798" s="207"/>
      <c r="O798" s="39"/>
      <c r="P798" s="230"/>
      <c r="Q798" s="275"/>
      <c r="R798" s="176"/>
      <c r="S798" s="276"/>
    </row>
    <row r="799" spans="1:19" x14ac:dyDescent="0.35">
      <c r="A799" s="46"/>
      <c r="B799" s="52"/>
      <c r="C799" s="34"/>
      <c r="D799" s="34"/>
      <c r="E799" s="137" t="s">
        <v>980</v>
      </c>
      <c r="F799" s="36"/>
      <c r="G799" s="37">
        <v>1</v>
      </c>
      <c r="H799" s="37">
        <v>2.2400000000000002</v>
      </c>
      <c r="I799" s="37">
        <v>1.6</v>
      </c>
      <c r="J799" s="110"/>
      <c r="K799" s="234">
        <f t="shared" si="111"/>
        <v>3.5840000000000005</v>
      </c>
      <c r="L799" s="43"/>
      <c r="M799" s="235"/>
      <c r="N799" s="207"/>
      <c r="O799" s="39"/>
      <c r="P799" s="230"/>
      <c r="Q799" s="275"/>
      <c r="R799" s="176"/>
      <c r="S799" s="276"/>
    </row>
    <row r="800" spans="1:19" x14ac:dyDescent="0.35">
      <c r="A800" s="46"/>
      <c r="B800" s="52"/>
      <c r="C800" s="34"/>
      <c r="D800" s="34"/>
      <c r="E800" s="137" t="s">
        <v>981</v>
      </c>
      <c r="F800" s="36"/>
      <c r="G800" s="37">
        <v>1</v>
      </c>
      <c r="H800" s="37">
        <v>1.6</v>
      </c>
      <c r="I800" s="37">
        <v>7.78</v>
      </c>
      <c r="J800" s="110"/>
      <c r="K800" s="234">
        <f t="shared" si="111"/>
        <v>12.448</v>
      </c>
      <c r="L800" s="43"/>
      <c r="M800" s="235"/>
      <c r="N800" s="207"/>
      <c r="O800" s="39"/>
      <c r="P800" s="230"/>
      <c r="Q800" s="275"/>
      <c r="R800" s="176"/>
      <c r="S800" s="276"/>
    </row>
    <row r="801" spans="1:19" x14ac:dyDescent="0.35">
      <c r="A801" s="46"/>
      <c r="B801" s="52"/>
      <c r="C801" s="34"/>
      <c r="D801" s="34"/>
      <c r="E801" s="137"/>
      <c r="F801" s="36"/>
      <c r="G801" s="37"/>
      <c r="H801" s="37"/>
      <c r="I801" s="37"/>
      <c r="J801" s="110"/>
      <c r="K801" s="234"/>
      <c r="L801" s="43"/>
      <c r="M801" s="235"/>
      <c r="N801" s="207"/>
      <c r="O801" s="39"/>
      <c r="P801" s="230"/>
      <c r="Q801" s="275"/>
      <c r="R801" s="176"/>
      <c r="S801" s="276"/>
    </row>
    <row r="802" spans="1:19" x14ac:dyDescent="0.35">
      <c r="A802" s="46"/>
      <c r="B802" s="52"/>
      <c r="C802" s="34"/>
      <c r="D802" s="34"/>
      <c r="E802" s="161" t="s">
        <v>985</v>
      </c>
      <c r="F802" s="36"/>
      <c r="G802" s="37"/>
      <c r="H802" s="37"/>
      <c r="I802" s="37"/>
      <c r="J802" s="110"/>
      <c r="K802" s="234">
        <f t="shared" ref="K802:K810" si="113">I802*H802*G802</f>
        <v>0</v>
      </c>
      <c r="L802" s="43"/>
      <c r="M802" s="235"/>
      <c r="N802" s="207"/>
      <c r="O802" s="39"/>
      <c r="P802" s="230"/>
      <c r="Q802" s="275"/>
      <c r="R802" s="176"/>
      <c r="S802" s="276"/>
    </row>
    <row r="803" spans="1:19" x14ac:dyDescent="0.35">
      <c r="A803" s="46"/>
      <c r="B803" s="52"/>
      <c r="C803" s="34"/>
      <c r="D803" s="34"/>
      <c r="E803" s="137" t="s">
        <v>1076</v>
      </c>
      <c r="F803" s="36"/>
      <c r="G803" s="37">
        <v>1</v>
      </c>
      <c r="H803" s="37">
        <v>2.14</v>
      </c>
      <c r="I803" s="37">
        <v>0.75</v>
      </c>
      <c r="J803" s="110"/>
      <c r="K803" s="234">
        <f t="shared" si="113"/>
        <v>1.605</v>
      </c>
      <c r="L803" s="43"/>
      <c r="M803" s="235"/>
      <c r="N803" s="207"/>
      <c r="O803" s="39"/>
      <c r="P803" s="230"/>
      <c r="Q803" s="275"/>
      <c r="R803" s="176"/>
      <c r="S803" s="276"/>
    </row>
    <row r="804" spans="1:19" x14ac:dyDescent="0.35">
      <c r="A804" s="46"/>
      <c r="B804" s="52"/>
      <c r="C804" s="34"/>
      <c r="D804" s="34"/>
      <c r="E804" s="137" t="s">
        <v>1077</v>
      </c>
      <c r="F804" s="36"/>
      <c r="G804" s="37">
        <v>1</v>
      </c>
      <c r="H804" s="37">
        <v>2.4500000000000002</v>
      </c>
      <c r="I804" s="37">
        <v>1.2</v>
      </c>
      <c r="J804" s="110"/>
      <c r="K804" s="234">
        <f t="shared" si="113"/>
        <v>2.94</v>
      </c>
      <c r="L804" s="43"/>
      <c r="M804" s="235"/>
      <c r="N804" s="207"/>
      <c r="O804" s="39"/>
      <c r="P804" s="230"/>
      <c r="Q804" s="275"/>
      <c r="R804" s="176"/>
      <c r="S804" s="276"/>
    </row>
    <row r="805" spans="1:19" x14ac:dyDescent="0.35">
      <c r="A805" s="46"/>
      <c r="B805" s="52"/>
      <c r="C805" s="34"/>
      <c r="D805" s="34"/>
      <c r="E805" s="137" t="s">
        <v>1078</v>
      </c>
      <c r="F805" s="36"/>
      <c r="G805" s="37">
        <v>1</v>
      </c>
      <c r="H805" s="37">
        <v>2.14</v>
      </c>
      <c r="I805" s="37">
        <v>0.75</v>
      </c>
      <c r="J805" s="110"/>
      <c r="K805" s="234">
        <f t="shared" si="113"/>
        <v>1.605</v>
      </c>
      <c r="L805" s="43"/>
      <c r="M805" s="235"/>
      <c r="N805" s="207"/>
      <c r="O805" s="39"/>
      <c r="P805" s="230"/>
      <c r="Q805" s="275"/>
      <c r="R805" s="176"/>
      <c r="S805" s="276"/>
    </row>
    <row r="806" spans="1:19" x14ac:dyDescent="0.35">
      <c r="A806" s="46"/>
      <c r="B806" s="52"/>
      <c r="C806" s="34"/>
      <c r="D806" s="34"/>
      <c r="E806" s="137" t="s">
        <v>1079</v>
      </c>
      <c r="F806" s="36"/>
      <c r="G806" s="37">
        <v>1</v>
      </c>
      <c r="H806" s="37">
        <v>2.4500000000000002</v>
      </c>
      <c r="I806" s="37">
        <v>1.2</v>
      </c>
      <c r="J806" s="110"/>
      <c r="K806" s="234">
        <f t="shared" si="113"/>
        <v>2.94</v>
      </c>
      <c r="L806" s="43"/>
      <c r="M806" s="235"/>
      <c r="N806" s="207"/>
      <c r="O806" s="39"/>
      <c r="P806" s="230"/>
      <c r="Q806" s="275"/>
      <c r="R806" s="176"/>
      <c r="S806" s="276"/>
    </row>
    <row r="807" spans="1:19" x14ac:dyDescent="0.35">
      <c r="A807" s="46"/>
      <c r="B807" s="52"/>
      <c r="C807" s="34"/>
      <c r="D807" s="34"/>
      <c r="E807" s="137" t="s">
        <v>986</v>
      </c>
      <c r="F807" s="36"/>
      <c r="G807" s="37">
        <v>1</v>
      </c>
      <c r="H807" s="37">
        <v>1.8</v>
      </c>
      <c r="I807" s="37">
        <v>1.1000000000000001</v>
      </c>
      <c r="J807" s="110"/>
      <c r="K807" s="234">
        <f t="shared" si="113"/>
        <v>1.9800000000000002</v>
      </c>
      <c r="L807" s="43"/>
      <c r="M807" s="235"/>
      <c r="N807" s="207"/>
      <c r="O807" s="39"/>
      <c r="P807" s="230"/>
      <c r="Q807" s="275"/>
      <c r="R807" s="176"/>
      <c r="S807" s="276"/>
    </row>
    <row r="808" spans="1:19" x14ac:dyDescent="0.35">
      <c r="A808" s="46"/>
      <c r="B808" s="52"/>
      <c r="C808" s="34"/>
      <c r="D808" s="34"/>
      <c r="E808" s="137" t="s">
        <v>1080</v>
      </c>
      <c r="F808" s="36"/>
      <c r="G808" s="37">
        <v>1</v>
      </c>
      <c r="H808" s="37">
        <v>2.2400000000000002</v>
      </c>
      <c r="I808" s="37">
        <v>1.6</v>
      </c>
      <c r="J808" s="110"/>
      <c r="K808" s="234">
        <f t="shared" si="113"/>
        <v>3.5840000000000005</v>
      </c>
      <c r="L808" s="43"/>
      <c r="M808" s="235"/>
      <c r="N808" s="207"/>
      <c r="O808" s="39"/>
      <c r="P808" s="230"/>
      <c r="Q808" s="275"/>
      <c r="R808" s="176"/>
      <c r="S808" s="276"/>
    </row>
    <row r="809" spans="1:19" x14ac:dyDescent="0.35">
      <c r="A809" s="46"/>
      <c r="B809" s="52"/>
      <c r="C809" s="34"/>
      <c r="D809" s="34"/>
      <c r="E809" s="137" t="s">
        <v>987</v>
      </c>
      <c r="F809" s="36"/>
      <c r="G809" s="37">
        <v>1</v>
      </c>
      <c r="H809" s="37">
        <v>1.8</v>
      </c>
      <c r="I809" s="39">
        <v>0.75</v>
      </c>
      <c r="J809" s="230"/>
      <c r="K809" s="207">
        <f t="shared" si="113"/>
        <v>1.35</v>
      </c>
      <c r="L809" s="43"/>
      <c r="M809" s="235"/>
      <c r="N809" s="207"/>
      <c r="O809" s="39"/>
      <c r="P809" s="230"/>
      <c r="Q809" s="275"/>
      <c r="R809" s="176"/>
      <c r="S809" s="276"/>
    </row>
    <row r="810" spans="1:19" x14ac:dyDescent="0.35">
      <c r="A810" s="46"/>
      <c r="B810" s="52"/>
      <c r="C810" s="34"/>
      <c r="D810" s="34"/>
      <c r="E810" s="137" t="s">
        <v>1081</v>
      </c>
      <c r="F810" s="36"/>
      <c r="G810" s="37">
        <v>1</v>
      </c>
      <c r="H810" s="39">
        <v>2.2400000000000002</v>
      </c>
      <c r="I810" s="172">
        <v>1.6</v>
      </c>
      <c r="J810" s="230"/>
      <c r="K810" s="256">
        <f t="shared" si="113"/>
        <v>3.5840000000000005</v>
      </c>
      <c r="L810" s="43"/>
      <c r="M810" s="235"/>
      <c r="N810" s="207"/>
      <c r="O810" s="39"/>
      <c r="P810" s="230"/>
      <c r="Q810" s="275"/>
      <c r="R810" s="176"/>
      <c r="S810" s="276"/>
    </row>
    <row r="811" spans="1:19" x14ac:dyDescent="0.35">
      <c r="A811" s="46"/>
      <c r="B811" s="52"/>
      <c r="C811" s="34" t="s">
        <v>16</v>
      </c>
      <c r="D811" s="34"/>
      <c r="E811" s="97" t="s">
        <v>453</v>
      </c>
      <c r="F811" s="36" t="s">
        <v>443</v>
      </c>
      <c r="G811" s="37"/>
      <c r="H811" s="37"/>
      <c r="I811" s="37"/>
      <c r="J811" s="110"/>
      <c r="K811" s="234"/>
      <c r="L811" s="43">
        <v>603.84</v>
      </c>
      <c r="M811" s="235">
        <f>L811*$K811</f>
        <v>0</v>
      </c>
      <c r="N811" s="207">
        <v>13</v>
      </c>
      <c r="O811" s="39">
        <v>603.84</v>
      </c>
      <c r="P811" s="230">
        <f t="shared" si="107"/>
        <v>7849.92</v>
      </c>
      <c r="Q811" s="275">
        <f t="shared" si="104"/>
        <v>-13</v>
      </c>
      <c r="R811" s="176">
        <f t="shared" si="105"/>
        <v>0</v>
      </c>
      <c r="S811" s="276">
        <f t="shared" si="106"/>
        <v>-7849.92</v>
      </c>
    </row>
    <row r="812" spans="1:19" x14ac:dyDescent="0.35">
      <c r="A812" s="46" t="s">
        <v>621</v>
      </c>
      <c r="B812" s="52"/>
      <c r="C812" s="34"/>
      <c r="D812" s="34"/>
      <c r="E812" s="46"/>
      <c r="F812" s="52"/>
      <c r="G812" s="53"/>
      <c r="H812" s="53"/>
      <c r="I812" s="53"/>
      <c r="J812" s="219"/>
      <c r="K812" s="236"/>
      <c r="L812" s="56"/>
      <c r="M812" s="210">
        <f>SUM(M762:M811)</f>
        <v>59726.590110000019</v>
      </c>
      <c r="N812" s="207"/>
      <c r="O812" s="39"/>
      <c r="P812" s="265">
        <f>SUM(P761:P811)</f>
        <v>20628.480000000003</v>
      </c>
      <c r="Q812" s="277">
        <f t="shared" si="104"/>
        <v>0</v>
      </c>
      <c r="R812" s="266">
        <f t="shared" si="105"/>
        <v>0</v>
      </c>
      <c r="S812" s="278">
        <f t="shared" si="106"/>
        <v>39098.110110000016</v>
      </c>
    </row>
    <row r="813" spans="1:19" x14ac:dyDescent="0.35">
      <c r="A813" s="89"/>
      <c r="B813" s="92" t="s">
        <v>448</v>
      </c>
      <c r="C813" s="34"/>
      <c r="D813" s="34"/>
      <c r="E813" s="89" t="s">
        <v>455</v>
      </c>
      <c r="F813" s="92"/>
      <c r="G813" s="135"/>
      <c r="H813" s="135"/>
      <c r="I813" s="135"/>
      <c r="J813" s="229"/>
      <c r="K813" s="255"/>
      <c r="L813" s="136"/>
      <c r="M813" s="210"/>
      <c r="N813" s="207"/>
      <c r="O813" s="39"/>
      <c r="P813" s="230"/>
      <c r="Q813" s="275"/>
      <c r="R813" s="176"/>
      <c r="S813" s="276"/>
    </row>
    <row r="814" spans="1:19" ht="80.5" x14ac:dyDescent="0.35">
      <c r="A814" s="46"/>
      <c r="B814" s="52"/>
      <c r="C814" s="34" t="s">
        <v>8</v>
      </c>
      <c r="D814" s="36"/>
      <c r="E814" s="97" t="s">
        <v>954</v>
      </c>
      <c r="F814" s="36" t="s">
        <v>136</v>
      </c>
      <c r="G814" s="37"/>
      <c r="H814" s="37"/>
      <c r="I814" s="37"/>
      <c r="J814" s="110"/>
      <c r="K814" s="234">
        <v>0</v>
      </c>
      <c r="L814" s="43">
        <v>898.62</v>
      </c>
      <c r="M814" s="235">
        <f>L814*$K814</f>
        <v>0</v>
      </c>
      <c r="N814" s="207">
        <v>0</v>
      </c>
      <c r="O814" s="39">
        <v>898.62</v>
      </c>
      <c r="P814" s="230">
        <f>O814*N814</f>
        <v>0</v>
      </c>
      <c r="Q814" s="275">
        <f t="shared" si="104"/>
        <v>0</v>
      </c>
      <c r="R814" s="176">
        <f t="shared" si="105"/>
        <v>0</v>
      </c>
      <c r="S814" s="276">
        <f t="shared" si="106"/>
        <v>0</v>
      </c>
    </row>
    <row r="815" spans="1:19" ht="34.5" x14ac:dyDescent="0.35">
      <c r="A815" s="46"/>
      <c r="B815" s="52"/>
      <c r="C815" s="34" t="s">
        <v>26</v>
      </c>
      <c r="D815" s="36"/>
      <c r="E815" s="97" t="s">
        <v>955</v>
      </c>
      <c r="F815" s="36" t="s">
        <v>136</v>
      </c>
      <c r="G815" s="37"/>
      <c r="H815" s="37"/>
      <c r="I815" s="37"/>
      <c r="J815" s="110"/>
      <c r="K815" s="234">
        <v>0</v>
      </c>
      <c r="L815" s="43">
        <v>2754</v>
      </c>
      <c r="M815" s="235">
        <f>L815*$K815</f>
        <v>0</v>
      </c>
      <c r="N815" s="207">
        <v>0</v>
      </c>
      <c r="O815" s="39">
        <v>2754</v>
      </c>
      <c r="P815" s="230">
        <f t="shared" ref="P815:P816" si="114">O815*N815</f>
        <v>0</v>
      </c>
      <c r="Q815" s="275">
        <f t="shared" si="104"/>
        <v>0</v>
      </c>
      <c r="R815" s="176">
        <f t="shared" si="105"/>
        <v>0</v>
      </c>
      <c r="S815" s="276">
        <f t="shared" si="106"/>
        <v>0</v>
      </c>
    </row>
    <row r="816" spans="1:19" ht="23" x14ac:dyDescent="0.35">
      <c r="A816" s="46"/>
      <c r="B816" s="52"/>
      <c r="C816" s="34" t="s">
        <v>38</v>
      </c>
      <c r="D816" s="36"/>
      <c r="E816" s="139" t="s">
        <v>956</v>
      </c>
      <c r="F816" s="36" t="s">
        <v>136</v>
      </c>
      <c r="G816" s="37"/>
      <c r="H816" s="37"/>
      <c r="I816" s="37"/>
      <c r="J816" s="110"/>
      <c r="K816" s="234">
        <v>0</v>
      </c>
      <c r="L816" s="43">
        <v>663</v>
      </c>
      <c r="M816" s="235">
        <f>L816*$K816</f>
        <v>0</v>
      </c>
      <c r="N816" s="207">
        <v>0</v>
      </c>
      <c r="O816" s="39">
        <v>663</v>
      </c>
      <c r="P816" s="230">
        <f t="shared" si="114"/>
        <v>0</v>
      </c>
      <c r="Q816" s="275">
        <f t="shared" si="104"/>
        <v>0</v>
      </c>
      <c r="R816" s="176">
        <f t="shared" si="105"/>
        <v>0</v>
      </c>
      <c r="S816" s="276">
        <f t="shared" si="106"/>
        <v>0</v>
      </c>
    </row>
    <row r="817" spans="1:19" x14ac:dyDescent="0.35">
      <c r="A817" s="46" t="s">
        <v>622</v>
      </c>
      <c r="B817" s="52"/>
      <c r="C817" s="34"/>
      <c r="D817" s="34"/>
      <c r="E817" s="46"/>
      <c r="F817" s="52"/>
      <c r="G817" s="53"/>
      <c r="H817" s="53"/>
      <c r="I817" s="53"/>
      <c r="J817" s="219"/>
      <c r="K817" s="236"/>
      <c r="L817" s="56"/>
      <c r="M817" s="210">
        <f>SUM(M814:M816)</f>
        <v>0</v>
      </c>
      <c r="N817" s="207"/>
      <c r="O817" s="39"/>
      <c r="P817" s="271">
        <f>SUM(P814:P816)</f>
        <v>0</v>
      </c>
      <c r="Q817" s="275">
        <f t="shared" si="104"/>
        <v>0</v>
      </c>
      <c r="R817" s="266">
        <f t="shared" si="105"/>
        <v>0</v>
      </c>
      <c r="S817" s="278">
        <f t="shared" si="106"/>
        <v>0</v>
      </c>
    </row>
    <row r="818" spans="1:19" x14ac:dyDescent="0.35">
      <c r="A818" s="131"/>
      <c r="B818" s="34" t="s">
        <v>454</v>
      </c>
      <c r="C818" s="34"/>
      <c r="D818" s="34"/>
      <c r="E818" s="89" t="s">
        <v>612</v>
      </c>
      <c r="F818" s="34"/>
      <c r="G818" s="90"/>
      <c r="H818" s="90"/>
      <c r="I818" s="90"/>
      <c r="J818" s="181"/>
      <c r="K818" s="245"/>
      <c r="L818" s="91"/>
      <c r="M818" s="210"/>
      <c r="N818" s="207"/>
      <c r="O818" s="39"/>
      <c r="P818" s="230"/>
      <c r="Q818" s="275">
        <f t="shared" si="104"/>
        <v>0</v>
      </c>
      <c r="R818" s="176"/>
      <c r="S818" s="276"/>
    </row>
    <row r="819" spans="1:19" ht="34.5" x14ac:dyDescent="0.35">
      <c r="A819" s="151"/>
      <c r="B819" s="99"/>
      <c r="C819" s="34" t="s">
        <v>11</v>
      </c>
      <c r="D819" s="34"/>
      <c r="E819" s="140" t="s">
        <v>394</v>
      </c>
      <c r="F819" s="103" t="s">
        <v>266</v>
      </c>
      <c r="G819" s="104"/>
      <c r="H819" s="104"/>
      <c r="I819" s="104"/>
      <c r="J819" s="107"/>
      <c r="K819" s="234">
        <v>0</v>
      </c>
      <c r="L819" s="43">
        <v>2157.3000000000002</v>
      </c>
      <c r="M819" s="235">
        <f>L819*$K819</f>
        <v>0</v>
      </c>
      <c r="N819" s="207">
        <v>1</v>
      </c>
      <c r="O819" s="39">
        <v>2157.3000000000002</v>
      </c>
      <c r="P819" s="230">
        <f>O819*N819</f>
        <v>2157.3000000000002</v>
      </c>
      <c r="Q819" s="275">
        <f t="shared" si="104"/>
        <v>-1</v>
      </c>
      <c r="R819" s="176">
        <f t="shared" si="105"/>
        <v>0</v>
      </c>
      <c r="S819" s="276">
        <f t="shared" si="106"/>
        <v>-2157.3000000000002</v>
      </c>
    </row>
    <row r="820" spans="1:19" x14ac:dyDescent="0.35">
      <c r="A820" s="151"/>
      <c r="B820" s="99"/>
      <c r="C820" s="34" t="s">
        <v>14</v>
      </c>
      <c r="D820" s="34"/>
      <c r="E820" s="140" t="s">
        <v>395</v>
      </c>
      <c r="F820" s="103" t="s">
        <v>266</v>
      </c>
      <c r="G820" s="104"/>
      <c r="H820" s="104"/>
      <c r="I820" s="104"/>
      <c r="J820" s="107"/>
      <c r="K820" s="234">
        <v>0</v>
      </c>
      <c r="L820" s="43">
        <v>4627.74</v>
      </c>
      <c r="M820" s="235">
        <f>L820*$K820</f>
        <v>0</v>
      </c>
      <c r="N820" s="207">
        <v>1</v>
      </c>
      <c r="O820" s="39">
        <v>4627.74</v>
      </c>
      <c r="P820" s="230">
        <f t="shared" ref="P820:P823" si="115">O820*N820</f>
        <v>4627.74</v>
      </c>
      <c r="Q820" s="275">
        <f t="shared" si="104"/>
        <v>-1</v>
      </c>
      <c r="R820" s="176">
        <f t="shared" si="105"/>
        <v>0</v>
      </c>
      <c r="S820" s="276">
        <f t="shared" si="106"/>
        <v>-4627.74</v>
      </c>
    </row>
    <row r="821" spans="1:19" x14ac:dyDescent="0.35">
      <c r="A821" s="151"/>
      <c r="B821" s="99"/>
      <c r="C821" s="34" t="s">
        <v>16</v>
      </c>
      <c r="D821" s="34"/>
      <c r="E821" s="140" t="s">
        <v>396</v>
      </c>
      <c r="F821" s="103" t="s">
        <v>266</v>
      </c>
      <c r="G821" s="104"/>
      <c r="H821" s="104"/>
      <c r="I821" s="104"/>
      <c r="J821" s="107"/>
      <c r="K821" s="234">
        <v>0</v>
      </c>
      <c r="L821" s="43">
        <v>9180</v>
      </c>
      <c r="M821" s="235">
        <f>L821*$K821</f>
        <v>0</v>
      </c>
      <c r="N821" s="207">
        <v>0</v>
      </c>
      <c r="O821" s="39">
        <v>9180</v>
      </c>
      <c r="P821" s="230">
        <f t="shared" si="115"/>
        <v>0</v>
      </c>
      <c r="Q821" s="275">
        <f t="shared" ref="Q821:Q872" si="116">K821-N821</f>
        <v>0</v>
      </c>
      <c r="R821" s="176">
        <f t="shared" ref="R821:R872" si="117">L821-O821</f>
        <v>0</v>
      </c>
      <c r="S821" s="276">
        <f t="shared" ref="S821:S873" si="118">M821-P821</f>
        <v>0</v>
      </c>
    </row>
    <row r="822" spans="1:19" x14ac:dyDescent="0.35">
      <c r="A822" s="151"/>
      <c r="B822" s="99"/>
      <c r="C822" s="34" t="s">
        <v>18</v>
      </c>
      <c r="D822" s="34"/>
      <c r="E822" s="140" t="s">
        <v>397</v>
      </c>
      <c r="F822" s="103" t="s">
        <v>266</v>
      </c>
      <c r="G822" s="104"/>
      <c r="H822" s="104"/>
      <c r="I822" s="104"/>
      <c r="J822" s="107"/>
      <c r="K822" s="234">
        <v>0</v>
      </c>
      <c r="L822" s="43">
        <v>4080</v>
      </c>
      <c r="M822" s="235">
        <f>L822*$K822</f>
        <v>0</v>
      </c>
      <c r="N822" s="207">
        <v>0</v>
      </c>
      <c r="O822" s="39">
        <v>4080</v>
      </c>
      <c r="P822" s="230">
        <f t="shared" si="115"/>
        <v>0</v>
      </c>
      <c r="Q822" s="275">
        <f t="shared" si="116"/>
        <v>0</v>
      </c>
      <c r="R822" s="176">
        <f t="shared" si="117"/>
        <v>0</v>
      </c>
      <c r="S822" s="276">
        <f t="shared" si="118"/>
        <v>0</v>
      </c>
    </row>
    <row r="823" spans="1:19" x14ac:dyDescent="0.35">
      <c r="A823" s="151"/>
      <c r="B823" s="99"/>
      <c r="C823" s="34" t="s">
        <v>20</v>
      </c>
      <c r="D823" s="34"/>
      <c r="E823" s="140" t="s">
        <v>398</v>
      </c>
      <c r="F823" s="103" t="s">
        <v>266</v>
      </c>
      <c r="G823" s="104"/>
      <c r="H823" s="104"/>
      <c r="I823" s="104"/>
      <c r="J823" s="107"/>
      <c r="K823" s="234"/>
      <c r="L823" s="43">
        <v>2157.3000000000002</v>
      </c>
      <c r="M823" s="235">
        <f>L823*$K823</f>
        <v>0</v>
      </c>
      <c r="N823" s="207">
        <v>0</v>
      </c>
      <c r="O823" s="39">
        <v>2157</v>
      </c>
      <c r="P823" s="230">
        <f t="shared" si="115"/>
        <v>0</v>
      </c>
      <c r="Q823" s="275">
        <f t="shared" si="116"/>
        <v>0</v>
      </c>
      <c r="R823" s="176">
        <f t="shared" si="117"/>
        <v>0.3000000000001819</v>
      </c>
      <c r="S823" s="276">
        <f t="shared" si="118"/>
        <v>0</v>
      </c>
    </row>
    <row r="824" spans="1:19" x14ac:dyDescent="0.35">
      <c r="A824" s="46" t="s">
        <v>623</v>
      </c>
      <c r="B824" s="52"/>
      <c r="C824" s="34"/>
      <c r="D824" s="34"/>
      <c r="E824" s="46"/>
      <c r="F824" s="52"/>
      <c r="G824" s="53"/>
      <c r="H824" s="53"/>
      <c r="I824" s="53"/>
      <c r="J824" s="219"/>
      <c r="K824" s="236"/>
      <c r="L824" s="56"/>
      <c r="M824" s="210">
        <f>SUM(M819:M823)</f>
        <v>0</v>
      </c>
      <c r="N824" s="207"/>
      <c r="O824" s="39"/>
      <c r="P824" s="265">
        <f>SUM(P819:P823)</f>
        <v>6785.04</v>
      </c>
      <c r="Q824" s="275">
        <f t="shared" si="116"/>
        <v>0</v>
      </c>
      <c r="R824" s="176">
        <f t="shared" si="117"/>
        <v>0</v>
      </c>
      <c r="S824" s="276">
        <f t="shared" si="118"/>
        <v>-6785.04</v>
      </c>
    </row>
    <row r="825" spans="1:19" x14ac:dyDescent="0.35">
      <c r="A825" s="150" t="s">
        <v>456</v>
      </c>
      <c r="B825" s="86"/>
      <c r="C825" s="85"/>
      <c r="D825" s="85"/>
      <c r="E825" s="86" t="s">
        <v>457</v>
      </c>
      <c r="F825" s="86"/>
      <c r="G825" s="141"/>
      <c r="H825" s="141"/>
      <c r="I825" s="141"/>
      <c r="J825" s="231"/>
      <c r="K825" s="257"/>
      <c r="L825" s="142"/>
      <c r="M825" s="244"/>
      <c r="N825" s="207"/>
      <c r="O825" s="39"/>
      <c r="P825" s="230"/>
      <c r="Q825" s="275"/>
      <c r="R825" s="176"/>
      <c r="S825" s="276"/>
    </row>
    <row r="826" spans="1:19" x14ac:dyDescent="0.35">
      <c r="A826" s="89"/>
      <c r="B826" s="34" t="s">
        <v>458</v>
      </c>
      <c r="C826" s="34"/>
      <c r="D826" s="34"/>
      <c r="E826" s="89" t="s">
        <v>459</v>
      </c>
      <c r="F826" s="92"/>
      <c r="G826" s="135"/>
      <c r="H826" s="135"/>
      <c r="I826" s="135"/>
      <c r="J826" s="229"/>
      <c r="K826" s="255"/>
      <c r="L826" s="136"/>
      <c r="M826" s="210"/>
      <c r="N826" s="207"/>
      <c r="O826" s="39"/>
      <c r="P826" s="230"/>
      <c r="Q826" s="275"/>
      <c r="R826" s="176"/>
      <c r="S826" s="276"/>
    </row>
    <row r="827" spans="1:19" ht="80.5" x14ac:dyDescent="0.35">
      <c r="A827" s="131"/>
      <c r="B827" s="34"/>
      <c r="C827" s="36" t="s">
        <v>8</v>
      </c>
      <c r="D827" s="36" t="s">
        <v>460</v>
      </c>
      <c r="E827" s="44" t="s">
        <v>461</v>
      </c>
      <c r="F827" s="36" t="s">
        <v>462</v>
      </c>
      <c r="G827" s="37"/>
      <c r="H827" s="37"/>
      <c r="I827" s="37"/>
      <c r="J827" s="110"/>
      <c r="K827" s="234">
        <v>0</v>
      </c>
      <c r="L827" s="43">
        <v>596.70000000000005</v>
      </c>
      <c r="M827" s="235">
        <f t="shared" ref="M827:M835" si="119">L827*$K827</f>
        <v>0</v>
      </c>
      <c r="N827" s="207">
        <v>0</v>
      </c>
      <c r="O827" s="39">
        <v>356.7</v>
      </c>
      <c r="P827" s="230">
        <f>O827*N827</f>
        <v>0</v>
      </c>
      <c r="Q827" s="275">
        <f t="shared" si="116"/>
        <v>0</v>
      </c>
      <c r="R827" s="176">
        <f t="shared" si="117"/>
        <v>240.00000000000006</v>
      </c>
      <c r="S827" s="276">
        <f t="shared" si="118"/>
        <v>0</v>
      </c>
    </row>
    <row r="828" spans="1:19" ht="23" x14ac:dyDescent="0.35">
      <c r="A828" s="131"/>
      <c r="B828" s="34"/>
      <c r="C828" s="36" t="s">
        <v>26</v>
      </c>
      <c r="D828" s="36"/>
      <c r="E828" s="44" t="s">
        <v>463</v>
      </c>
      <c r="F828" s="36" t="s">
        <v>464</v>
      </c>
      <c r="G828" s="37"/>
      <c r="H828" s="37"/>
      <c r="I828" s="37"/>
      <c r="J828" s="110"/>
      <c r="K828" s="234">
        <v>0</v>
      </c>
      <c r="L828" s="43">
        <v>3596.52</v>
      </c>
      <c r="M828" s="235">
        <f t="shared" si="119"/>
        <v>0</v>
      </c>
      <c r="N828" s="207">
        <v>0</v>
      </c>
      <c r="O828" s="39">
        <v>3596.52</v>
      </c>
      <c r="P828" s="230">
        <f t="shared" ref="P828:P835" si="120">O828*N828</f>
        <v>0</v>
      </c>
      <c r="Q828" s="275">
        <f t="shared" si="116"/>
        <v>0</v>
      </c>
      <c r="R828" s="176">
        <f t="shared" si="117"/>
        <v>0</v>
      </c>
      <c r="S828" s="276">
        <f t="shared" si="118"/>
        <v>0</v>
      </c>
    </row>
    <row r="829" spans="1:19" x14ac:dyDescent="0.35">
      <c r="A829" s="131"/>
      <c r="B829" s="34"/>
      <c r="C829" s="36" t="s">
        <v>38</v>
      </c>
      <c r="D829" s="36" t="s">
        <v>465</v>
      </c>
      <c r="E829" s="44" t="s">
        <v>466</v>
      </c>
      <c r="F829" s="36" t="s">
        <v>115</v>
      </c>
      <c r="G829" s="37"/>
      <c r="H829" s="37"/>
      <c r="I829" s="37"/>
      <c r="J829" s="110"/>
      <c r="K829" s="234">
        <v>0</v>
      </c>
      <c r="L829" s="43">
        <v>146.88</v>
      </c>
      <c r="M829" s="235">
        <f t="shared" si="119"/>
        <v>0</v>
      </c>
      <c r="N829" s="207">
        <v>0</v>
      </c>
      <c r="O829" s="39">
        <v>146.88</v>
      </c>
      <c r="P829" s="230">
        <f t="shared" si="120"/>
        <v>0</v>
      </c>
      <c r="Q829" s="275">
        <f t="shared" si="116"/>
        <v>0</v>
      </c>
      <c r="R829" s="176">
        <f t="shared" si="117"/>
        <v>0</v>
      </c>
      <c r="S829" s="276">
        <f t="shared" si="118"/>
        <v>0</v>
      </c>
    </row>
    <row r="830" spans="1:19" ht="23" x14ac:dyDescent="0.35">
      <c r="A830" s="152"/>
      <c r="B830" s="97"/>
      <c r="C830" s="36" t="s">
        <v>57</v>
      </c>
      <c r="D830" s="36"/>
      <c r="E830" s="42" t="s">
        <v>467</v>
      </c>
      <c r="F830" s="36" t="s">
        <v>468</v>
      </c>
      <c r="G830" s="37"/>
      <c r="H830" s="37"/>
      <c r="I830" s="37"/>
      <c r="J830" s="110"/>
      <c r="K830" s="234">
        <v>0</v>
      </c>
      <c r="L830" s="43">
        <v>20.399999999999999</v>
      </c>
      <c r="M830" s="235">
        <f t="shared" si="119"/>
        <v>0</v>
      </c>
      <c r="N830" s="207">
        <v>0</v>
      </c>
      <c r="O830" s="39">
        <v>20.399999999999999</v>
      </c>
      <c r="P830" s="230">
        <f t="shared" si="120"/>
        <v>0</v>
      </c>
      <c r="Q830" s="275">
        <f t="shared" si="116"/>
        <v>0</v>
      </c>
      <c r="R830" s="176">
        <f t="shared" si="117"/>
        <v>0</v>
      </c>
      <c r="S830" s="276">
        <f t="shared" si="118"/>
        <v>0</v>
      </c>
    </row>
    <row r="831" spans="1:19" x14ac:dyDescent="0.35">
      <c r="A831" s="152"/>
      <c r="B831" s="97"/>
      <c r="C831" s="36" t="s">
        <v>59</v>
      </c>
      <c r="D831" s="36"/>
      <c r="E831" s="42" t="s">
        <v>469</v>
      </c>
      <c r="F831" s="100" t="s">
        <v>470</v>
      </c>
      <c r="G831" s="101"/>
      <c r="H831" s="101"/>
      <c r="I831" s="101"/>
      <c r="J831" s="111"/>
      <c r="K831" s="234">
        <v>0</v>
      </c>
      <c r="L831" s="43">
        <v>20.399999999999999</v>
      </c>
      <c r="M831" s="235">
        <f t="shared" si="119"/>
        <v>0</v>
      </c>
      <c r="N831" s="207">
        <v>0</v>
      </c>
      <c r="O831" s="39">
        <v>20.399999999999999</v>
      </c>
      <c r="P831" s="230">
        <f t="shared" si="120"/>
        <v>0</v>
      </c>
      <c r="Q831" s="275">
        <f t="shared" si="116"/>
        <v>0</v>
      </c>
      <c r="R831" s="176">
        <f t="shared" si="117"/>
        <v>0</v>
      </c>
      <c r="S831" s="276">
        <f t="shared" si="118"/>
        <v>0</v>
      </c>
    </row>
    <row r="832" spans="1:19" ht="34.5" x14ac:dyDescent="0.35">
      <c r="A832" s="152"/>
      <c r="B832" s="97"/>
      <c r="C832" s="36" t="s">
        <v>92</v>
      </c>
      <c r="D832" s="36"/>
      <c r="E832" s="42" t="s">
        <v>471</v>
      </c>
      <c r="F832" s="36" t="s">
        <v>193</v>
      </c>
      <c r="G832" s="37"/>
      <c r="H832" s="37"/>
      <c r="I832" s="37"/>
      <c r="J832" s="110"/>
      <c r="K832" s="234">
        <v>0</v>
      </c>
      <c r="L832" s="43">
        <v>1428</v>
      </c>
      <c r="M832" s="235">
        <f t="shared" si="119"/>
        <v>0</v>
      </c>
      <c r="N832" s="207">
        <v>4</v>
      </c>
      <c r="O832" s="39">
        <v>1428</v>
      </c>
      <c r="P832" s="230">
        <f t="shared" si="120"/>
        <v>5712</v>
      </c>
      <c r="Q832" s="275">
        <f t="shared" si="116"/>
        <v>-4</v>
      </c>
      <c r="R832" s="176">
        <f t="shared" si="117"/>
        <v>0</v>
      </c>
      <c r="S832" s="276">
        <f t="shared" si="118"/>
        <v>-5712</v>
      </c>
    </row>
    <row r="833" spans="1:19" x14ac:dyDescent="0.35">
      <c r="A833" s="152"/>
      <c r="B833" s="97"/>
      <c r="C833" s="36" t="s">
        <v>86</v>
      </c>
      <c r="D833" s="36"/>
      <c r="E833" s="97" t="s">
        <v>472</v>
      </c>
      <c r="F833" s="36" t="s">
        <v>186</v>
      </c>
      <c r="G833" s="37"/>
      <c r="H833" s="37"/>
      <c r="I833" s="37"/>
      <c r="J833" s="110"/>
      <c r="K833" s="234">
        <v>0</v>
      </c>
      <c r="L833" s="43">
        <v>469.2</v>
      </c>
      <c r="M833" s="235">
        <f t="shared" si="119"/>
        <v>0</v>
      </c>
      <c r="N833" s="207">
        <v>0</v>
      </c>
      <c r="O833" s="39">
        <v>469</v>
      </c>
      <c r="P833" s="230">
        <f t="shared" si="120"/>
        <v>0</v>
      </c>
      <c r="Q833" s="275">
        <f t="shared" si="116"/>
        <v>0</v>
      </c>
      <c r="R833" s="176">
        <f t="shared" si="117"/>
        <v>0.19999999999998863</v>
      </c>
      <c r="S833" s="276">
        <f t="shared" si="118"/>
        <v>0</v>
      </c>
    </row>
    <row r="834" spans="1:19" ht="23" x14ac:dyDescent="0.35">
      <c r="A834" s="152"/>
      <c r="B834" s="97"/>
      <c r="C834" s="36" t="s">
        <v>94</v>
      </c>
      <c r="D834" s="36"/>
      <c r="E834" s="97" t="s">
        <v>473</v>
      </c>
      <c r="F834" s="36" t="s">
        <v>193</v>
      </c>
      <c r="G834" s="37"/>
      <c r="H834" s="37"/>
      <c r="I834" s="37"/>
      <c r="J834" s="110"/>
      <c r="K834" s="234">
        <v>0</v>
      </c>
      <c r="L834" s="43">
        <v>2528.58</v>
      </c>
      <c r="M834" s="235">
        <f t="shared" si="119"/>
        <v>0</v>
      </c>
      <c r="N834" s="207">
        <v>2</v>
      </c>
      <c r="O834" s="39">
        <v>2528.58</v>
      </c>
      <c r="P834" s="230">
        <f t="shared" si="120"/>
        <v>5057.16</v>
      </c>
      <c r="Q834" s="275">
        <f t="shared" si="116"/>
        <v>-2</v>
      </c>
      <c r="R834" s="176">
        <f t="shared" si="117"/>
        <v>0</v>
      </c>
      <c r="S834" s="276">
        <f t="shared" si="118"/>
        <v>-5057.16</v>
      </c>
    </row>
    <row r="835" spans="1:19" x14ac:dyDescent="0.35">
      <c r="A835" s="152"/>
      <c r="B835" s="97"/>
      <c r="C835" s="36" t="s">
        <v>97</v>
      </c>
      <c r="D835" s="36"/>
      <c r="E835" s="97" t="s">
        <v>474</v>
      </c>
      <c r="F835" s="36" t="s">
        <v>115</v>
      </c>
      <c r="G835" s="37"/>
      <c r="H835" s="37"/>
      <c r="I835" s="37"/>
      <c r="J835" s="110"/>
      <c r="K835" s="234">
        <v>0</v>
      </c>
      <c r="L835" s="43">
        <v>103.02</v>
      </c>
      <c r="M835" s="235">
        <f t="shared" si="119"/>
        <v>0</v>
      </c>
      <c r="N835" s="207">
        <v>0</v>
      </c>
      <c r="O835" s="39">
        <v>103.02</v>
      </c>
      <c r="P835" s="230">
        <f t="shared" si="120"/>
        <v>0</v>
      </c>
      <c r="Q835" s="275">
        <f t="shared" si="116"/>
        <v>0</v>
      </c>
      <c r="R835" s="176">
        <f t="shared" si="117"/>
        <v>0</v>
      </c>
      <c r="S835" s="276">
        <f t="shared" si="118"/>
        <v>0</v>
      </c>
    </row>
    <row r="836" spans="1:19" x14ac:dyDescent="0.35">
      <c r="A836" s="46" t="s">
        <v>624</v>
      </c>
      <c r="B836" s="52"/>
      <c r="C836" s="34"/>
      <c r="D836" s="34"/>
      <c r="E836" s="46"/>
      <c r="F836" s="52"/>
      <c r="G836" s="53"/>
      <c r="H836" s="53"/>
      <c r="I836" s="53"/>
      <c r="J836" s="219"/>
      <c r="K836" s="236"/>
      <c r="L836" s="56"/>
      <c r="M836" s="210">
        <f>SUM(M827:M835)</f>
        <v>0</v>
      </c>
      <c r="N836" s="207"/>
      <c r="O836" s="39"/>
      <c r="P836" s="271">
        <f>SUM(P827:P835)</f>
        <v>10769.16</v>
      </c>
      <c r="Q836" s="275">
        <f t="shared" si="116"/>
        <v>0</v>
      </c>
      <c r="R836" s="176">
        <f t="shared" si="117"/>
        <v>0</v>
      </c>
      <c r="S836" s="276">
        <f t="shared" si="118"/>
        <v>-10769.16</v>
      </c>
    </row>
    <row r="837" spans="1:19" x14ac:dyDescent="0.35">
      <c r="A837" s="89"/>
      <c r="B837" s="92" t="s">
        <v>475</v>
      </c>
      <c r="C837" s="34"/>
      <c r="D837" s="34"/>
      <c r="E837" s="89" t="s">
        <v>476</v>
      </c>
      <c r="F837" s="92"/>
      <c r="G837" s="135"/>
      <c r="H837" s="135"/>
      <c r="I837" s="135"/>
      <c r="J837" s="229"/>
      <c r="K837" s="255"/>
      <c r="L837" s="136"/>
      <c r="M837" s="210"/>
      <c r="N837" s="207"/>
      <c r="O837" s="39"/>
      <c r="P837" s="230"/>
      <c r="Q837" s="275">
        <f t="shared" si="116"/>
        <v>0</v>
      </c>
      <c r="R837" s="176">
        <f t="shared" si="117"/>
        <v>0</v>
      </c>
      <c r="S837" s="276">
        <f t="shared" si="118"/>
        <v>0</v>
      </c>
    </row>
    <row r="838" spans="1:19" x14ac:dyDescent="0.35">
      <c r="A838" s="152"/>
      <c r="B838" s="97"/>
      <c r="C838" s="36" t="s">
        <v>8</v>
      </c>
      <c r="D838" s="36"/>
      <c r="E838" s="42" t="s">
        <v>477</v>
      </c>
      <c r="F838" s="100" t="s">
        <v>266</v>
      </c>
      <c r="G838" s="101"/>
      <c r="H838" s="101"/>
      <c r="I838" s="101"/>
      <c r="J838" s="111"/>
      <c r="K838" s="234">
        <v>0</v>
      </c>
      <c r="L838" s="43">
        <v>181.56</v>
      </c>
      <c r="M838" s="235">
        <f t="shared" ref="M838:M871" si="121">L838*$K838</f>
        <v>0</v>
      </c>
      <c r="N838" s="207">
        <v>0</v>
      </c>
      <c r="O838" s="39">
        <v>181.56</v>
      </c>
      <c r="P838" s="230">
        <f>O838*N838</f>
        <v>0</v>
      </c>
      <c r="Q838" s="275">
        <f t="shared" si="116"/>
        <v>0</v>
      </c>
      <c r="R838" s="176">
        <f t="shared" si="117"/>
        <v>0</v>
      </c>
      <c r="S838" s="276">
        <f t="shared" si="118"/>
        <v>0</v>
      </c>
    </row>
    <row r="839" spans="1:19" x14ac:dyDescent="0.35">
      <c r="A839" s="152"/>
      <c r="B839" s="97"/>
      <c r="C839" s="36" t="s">
        <v>26</v>
      </c>
      <c r="D839" s="36"/>
      <c r="E839" s="42" t="s">
        <v>478</v>
      </c>
      <c r="F839" s="100" t="s">
        <v>266</v>
      </c>
      <c r="G839" s="101"/>
      <c r="H839" s="101"/>
      <c r="I839" s="101"/>
      <c r="J839" s="111"/>
      <c r="K839" s="234">
        <v>4</v>
      </c>
      <c r="L839" s="43">
        <v>224.4</v>
      </c>
      <c r="M839" s="235">
        <f t="shared" si="121"/>
        <v>897.6</v>
      </c>
      <c r="N839" s="207">
        <v>4</v>
      </c>
      <c r="O839" s="39">
        <v>224</v>
      </c>
      <c r="P839" s="230">
        <f t="shared" ref="P839:P871" si="122">O839*N839</f>
        <v>896</v>
      </c>
      <c r="Q839" s="275">
        <f t="shared" si="116"/>
        <v>0</v>
      </c>
      <c r="R839" s="176">
        <f t="shared" si="117"/>
        <v>0.40000000000000568</v>
      </c>
      <c r="S839" s="276">
        <f t="shared" si="118"/>
        <v>1.6000000000000227</v>
      </c>
    </row>
    <row r="840" spans="1:19" x14ac:dyDescent="0.35">
      <c r="A840" s="152"/>
      <c r="B840" s="97"/>
      <c r="C840" s="36" t="s">
        <v>38</v>
      </c>
      <c r="D840" s="36"/>
      <c r="E840" s="42" t="s">
        <v>479</v>
      </c>
      <c r="F840" s="100" t="s">
        <v>266</v>
      </c>
      <c r="G840" s="101"/>
      <c r="H840" s="101"/>
      <c r="I840" s="101"/>
      <c r="J840" s="111"/>
      <c r="K840" s="234"/>
      <c r="L840" s="43">
        <v>205.02</v>
      </c>
      <c r="M840" s="235">
        <f t="shared" si="121"/>
        <v>0</v>
      </c>
      <c r="N840" s="207">
        <v>1</v>
      </c>
      <c r="O840" s="39">
        <v>205.02</v>
      </c>
      <c r="P840" s="230">
        <f t="shared" si="122"/>
        <v>205.02</v>
      </c>
      <c r="Q840" s="275">
        <f t="shared" si="116"/>
        <v>-1</v>
      </c>
      <c r="R840" s="176">
        <f t="shared" si="117"/>
        <v>0</v>
      </c>
      <c r="S840" s="276">
        <f t="shared" si="118"/>
        <v>-205.02</v>
      </c>
    </row>
    <row r="841" spans="1:19" x14ac:dyDescent="0.35">
      <c r="A841" s="152"/>
      <c r="B841" s="97"/>
      <c r="C841" s="36" t="s">
        <v>57</v>
      </c>
      <c r="D841" s="36"/>
      <c r="E841" s="42" t="s">
        <v>480</v>
      </c>
      <c r="F841" s="100" t="s">
        <v>266</v>
      </c>
      <c r="G841" s="101"/>
      <c r="H841" s="101"/>
      <c r="I841" s="101"/>
      <c r="J841" s="111"/>
      <c r="K841" s="234">
        <v>0</v>
      </c>
      <c r="L841" s="43">
        <v>426.36</v>
      </c>
      <c r="M841" s="235">
        <f t="shared" si="121"/>
        <v>0</v>
      </c>
      <c r="N841" s="207">
        <v>2</v>
      </c>
      <c r="O841" s="39">
        <v>426.36</v>
      </c>
      <c r="P841" s="230">
        <f t="shared" si="122"/>
        <v>852.72</v>
      </c>
      <c r="Q841" s="275">
        <f t="shared" si="116"/>
        <v>-2</v>
      </c>
      <c r="R841" s="176">
        <f t="shared" si="117"/>
        <v>0</v>
      </c>
      <c r="S841" s="276">
        <f t="shared" si="118"/>
        <v>-852.72</v>
      </c>
    </row>
    <row r="842" spans="1:19" x14ac:dyDescent="0.35">
      <c r="A842" s="152"/>
      <c r="B842" s="97"/>
      <c r="C842" s="36" t="s">
        <v>59</v>
      </c>
      <c r="D842" s="36"/>
      <c r="E842" s="42" t="s">
        <v>481</v>
      </c>
      <c r="F842" s="100" t="s">
        <v>266</v>
      </c>
      <c r="G842" s="101"/>
      <c r="H842" s="101"/>
      <c r="I842" s="101"/>
      <c r="J842" s="111"/>
      <c r="K842" s="234">
        <v>1</v>
      </c>
      <c r="L842" s="43">
        <v>1514.7</v>
      </c>
      <c r="M842" s="235">
        <f t="shared" si="121"/>
        <v>1514.7</v>
      </c>
      <c r="N842" s="207">
        <v>1</v>
      </c>
      <c r="O842" s="39">
        <v>1515</v>
      </c>
      <c r="P842" s="230">
        <f t="shared" si="122"/>
        <v>1515</v>
      </c>
      <c r="Q842" s="275">
        <f t="shared" si="116"/>
        <v>0</v>
      </c>
      <c r="R842" s="176">
        <f t="shared" si="117"/>
        <v>-0.29999999999995453</v>
      </c>
      <c r="S842" s="276">
        <f t="shared" si="118"/>
        <v>-0.29999999999995453</v>
      </c>
    </row>
    <row r="843" spans="1:19" x14ac:dyDescent="0.35">
      <c r="A843" s="152"/>
      <c r="B843" s="97"/>
      <c r="C843" s="36" t="s">
        <v>92</v>
      </c>
      <c r="D843" s="36"/>
      <c r="E843" s="42" t="s">
        <v>482</v>
      </c>
      <c r="F843" s="100" t="s">
        <v>266</v>
      </c>
      <c r="G843" s="101"/>
      <c r="H843" s="101"/>
      <c r="I843" s="101"/>
      <c r="J843" s="111"/>
      <c r="K843" s="234"/>
      <c r="L843" s="43">
        <v>121.38</v>
      </c>
      <c r="M843" s="235">
        <f t="shared" si="121"/>
        <v>0</v>
      </c>
      <c r="N843" s="207">
        <v>6</v>
      </c>
      <c r="O843" s="39">
        <v>121.38</v>
      </c>
      <c r="P843" s="230">
        <f t="shared" si="122"/>
        <v>728.28</v>
      </c>
      <c r="Q843" s="275">
        <f t="shared" si="116"/>
        <v>-6</v>
      </c>
      <c r="R843" s="176">
        <f t="shared" si="117"/>
        <v>0</v>
      </c>
      <c r="S843" s="276">
        <f t="shared" si="118"/>
        <v>-728.28</v>
      </c>
    </row>
    <row r="844" spans="1:19" x14ac:dyDescent="0.35">
      <c r="A844" s="152"/>
      <c r="B844" s="97"/>
      <c r="C844" s="36" t="s">
        <v>86</v>
      </c>
      <c r="D844" s="36"/>
      <c r="E844" s="42" t="s">
        <v>483</v>
      </c>
      <c r="F844" s="100" t="s">
        <v>266</v>
      </c>
      <c r="G844" s="101"/>
      <c r="H844" s="101"/>
      <c r="I844" s="101"/>
      <c r="J844" s="111"/>
      <c r="K844" s="234">
        <v>1</v>
      </c>
      <c r="L844" s="43">
        <v>195.84</v>
      </c>
      <c r="M844" s="235">
        <f t="shared" si="121"/>
        <v>195.84</v>
      </c>
      <c r="N844" s="207">
        <v>3</v>
      </c>
      <c r="O844" s="39">
        <v>195.84</v>
      </c>
      <c r="P844" s="230">
        <f t="shared" si="122"/>
        <v>587.52</v>
      </c>
      <c r="Q844" s="275">
        <f t="shared" si="116"/>
        <v>-2</v>
      </c>
      <c r="R844" s="176">
        <f t="shared" si="117"/>
        <v>0</v>
      </c>
      <c r="S844" s="276">
        <f t="shared" si="118"/>
        <v>-391.67999999999995</v>
      </c>
    </row>
    <row r="845" spans="1:19" x14ac:dyDescent="0.35">
      <c r="A845" s="152"/>
      <c r="B845" s="97"/>
      <c r="C845" s="36" t="s">
        <v>94</v>
      </c>
      <c r="D845" s="36"/>
      <c r="E845" s="42" t="s">
        <v>484</v>
      </c>
      <c r="F845" s="100" t="s">
        <v>266</v>
      </c>
      <c r="G845" s="101"/>
      <c r="H845" s="101"/>
      <c r="I845" s="101"/>
      <c r="J845" s="111"/>
      <c r="K845" s="234"/>
      <c r="L845" s="43">
        <v>168.3</v>
      </c>
      <c r="M845" s="235">
        <f t="shared" si="121"/>
        <v>0</v>
      </c>
      <c r="N845" s="207">
        <v>3</v>
      </c>
      <c r="O845" s="39">
        <v>168</v>
      </c>
      <c r="P845" s="230">
        <f t="shared" si="122"/>
        <v>504</v>
      </c>
      <c r="Q845" s="275">
        <f t="shared" si="116"/>
        <v>-3</v>
      </c>
      <c r="R845" s="176">
        <f t="shared" si="117"/>
        <v>0.30000000000001137</v>
      </c>
      <c r="S845" s="276">
        <f t="shared" si="118"/>
        <v>-504</v>
      </c>
    </row>
    <row r="846" spans="1:19" x14ac:dyDescent="0.35">
      <c r="A846" s="152"/>
      <c r="B846" s="97"/>
      <c r="C846" s="36" t="s">
        <v>97</v>
      </c>
      <c r="D846" s="36"/>
      <c r="E846" s="42" t="s">
        <v>485</v>
      </c>
      <c r="F846" s="100" t="s">
        <v>486</v>
      </c>
      <c r="G846" s="101"/>
      <c r="H846" s="101"/>
      <c r="I846" s="101"/>
      <c r="J846" s="111"/>
      <c r="K846" s="234">
        <v>1</v>
      </c>
      <c r="L846" s="43">
        <v>2309.2800000000002</v>
      </c>
      <c r="M846" s="235">
        <f t="shared" si="121"/>
        <v>2309.2800000000002</v>
      </c>
      <c r="N846" s="207">
        <v>1</v>
      </c>
      <c r="O846" s="39">
        <v>2309</v>
      </c>
      <c r="P846" s="230">
        <f t="shared" si="122"/>
        <v>2309</v>
      </c>
      <c r="Q846" s="275">
        <f t="shared" si="116"/>
        <v>0</v>
      </c>
      <c r="R846" s="176">
        <f t="shared" si="117"/>
        <v>0.28000000000020009</v>
      </c>
      <c r="S846" s="276">
        <f t="shared" si="118"/>
        <v>0.28000000000020009</v>
      </c>
    </row>
    <row r="847" spans="1:19" x14ac:dyDescent="0.35">
      <c r="A847" s="152"/>
      <c r="B847" s="97"/>
      <c r="C847" s="36" t="s">
        <v>98</v>
      </c>
      <c r="D847" s="36"/>
      <c r="E847" s="42" t="s">
        <v>487</v>
      </c>
      <c r="F847" s="100" t="s">
        <v>486</v>
      </c>
      <c r="G847" s="101"/>
      <c r="H847" s="101"/>
      <c r="I847" s="101"/>
      <c r="J847" s="111"/>
      <c r="K847" s="234"/>
      <c r="L847" s="43">
        <v>1448.4</v>
      </c>
      <c r="M847" s="235">
        <f t="shared" si="121"/>
        <v>0</v>
      </c>
      <c r="N847" s="207">
        <v>1</v>
      </c>
      <c r="O847" s="39">
        <v>1448.4</v>
      </c>
      <c r="P847" s="230">
        <f t="shared" si="122"/>
        <v>1448.4</v>
      </c>
      <c r="Q847" s="275">
        <f t="shared" si="116"/>
        <v>-1</v>
      </c>
      <c r="R847" s="176">
        <f t="shared" si="117"/>
        <v>0</v>
      </c>
      <c r="S847" s="276">
        <f t="shared" si="118"/>
        <v>-1448.4</v>
      </c>
    </row>
    <row r="848" spans="1:19" x14ac:dyDescent="0.35">
      <c r="A848" s="152"/>
      <c r="B848" s="97"/>
      <c r="C848" s="36" t="s">
        <v>99</v>
      </c>
      <c r="D848" s="36"/>
      <c r="E848" s="42" t="s">
        <v>488</v>
      </c>
      <c r="F848" s="100" t="s">
        <v>266</v>
      </c>
      <c r="G848" s="101"/>
      <c r="H848" s="101"/>
      <c r="I848" s="101"/>
      <c r="J848" s="111"/>
      <c r="K848" s="234">
        <v>1</v>
      </c>
      <c r="L848" s="43">
        <v>847.62</v>
      </c>
      <c r="M848" s="235">
        <f t="shared" si="121"/>
        <v>847.62</v>
      </c>
      <c r="N848" s="207">
        <v>1</v>
      </c>
      <c r="O848" s="39">
        <v>847.62</v>
      </c>
      <c r="P848" s="230">
        <f t="shared" si="122"/>
        <v>847.62</v>
      </c>
      <c r="Q848" s="275">
        <f t="shared" si="116"/>
        <v>0</v>
      </c>
      <c r="R848" s="176">
        <f t="shared" si="117"/>
        <v>0</v>
      </c>
      <c r="S848" s="276">
        <f t="shared" si="118"/>
        <v>0</v>
      </c>
    </row>
    <row r="849" spans="1:19" x14ac:dyDescent="0.35">
      <c r="A849" s="152"/>
      <c r="B849" s="97"/>
      <c r="C849" s="36" t="s">
        <v>100</v>
      </c>
      <c r="D849" s="36"/>
      <c r="E849" s="42" t="s">
        <v>489</v>
      </c>
      <c r="F849" s="100" t="s">
        <v>193</v>
      </c>
      <c r="G849" s="101"/>
      <c r="H849" s="101"/>
      <c r="I849" s="101"/>
      <c r="J849" s="111"/>
      <c r="K849" s="234">
        <v>7</v>
      </c>
      <c r="L849" s="43">
        <v>3672</v>
      </c>
      <c r="M849" s="235">
        <f t="shared" si="121"/>
        <v>25704</v>
      </c>
      <c r="N849" s="207">
        <v>2</v>
      </c>
      <c r="O849" s="39">
        <v>3672</v>
      </c>
      <c r="P849" s="230">
        <f t="shared" si="122"/>
        <v>7344</v>
      </c>
      <c r="Q849" s="275">
        <f t="shared" si="116"/>
        <v>5</v>
      </c>
      <c r="R849" s="176">
        <f t="shared" si="117"/>
        <v>0</v>
      </c>
      <c r="S849" s="276">
        <f t="shared" si="118"/>
        <v>18360</v>
      </c>
    </row>
    <row r="850" spans="1:19" x14ac:dyDescent="0.35">
      <c r="A850" s="152"/>
      <c r="B850" s="97"/>
      <c r="C850" s="36" t="s">
        <v>101</v>
      </c>
      <c r="D850" s="36"/>
      <c r="E850" s="42" t="s">
        <v>490</v>
      </c>
      <c r="F850" s="100" t="s">
        <v>193</v>
      </c>
      <c r="G850" s="101"/>
      <c r="H850" s="101"/>
      <c r="I850" s="101"/>
      <c r="J850" s="111"/>
      <c r="K850" s="234">
        <v>28</v>
      </c>
      <c r="L850" s="43">
        <v>2537.7600000000002</v>
      </c>
      <c r="M850" s="235">
        <f t="shared" si="121"/>
        <v>71057.279999999999</v>
      </c>
      <c r="N850" s="207">
        <v>2</v>
      </c>
      <c r="O850" s="39">
        <v>2537.7600000000002</v>
      </c>
      <c r="P850" s="230">
        <f t="shared" si="122"/>
        <v>5075.5200000000004</v>
      </c>
      <c r="Q850" s="275">
        <f t="shared" si="116"/>
        <v>26</v>
      </c>
      <c r="R850" s="176">
        <f t="shared" si="117"/>
        <v>0</v>
      </c>
      <c r="S850" s="276">
        <f t="shared" si="118"/>
        <v>65981.759999999995</v>
      </c>
    </row>
    <row r="851" spans="1:19" x14ac:dyDescent="0.35">
      <c r="A851" s="152"/>
      <c r="B851" s="97"/>
      <c r="C851" s="36" t="s">
        <v>102</v>
      </c>
      <c r="D851" s="36"/>
      <c r="E851" s="42" t="s">
        <v>491</v>
      </c>
      <c r="F851" s="100" t="s">
        <v>193</v>
      </c>
      <c r="G851" s="101"/>
      <c r="H851" s="101"/>
      <c r="I851" s="101"/>
      <c r="J851" s="111"/>
      <c r="K851" s="234">
        <v>0</v>
      </c>
      <c r="L851" s="43">
        <v>2346</v>
      </c>
      <c r="M851" s="235">
        <f t="shared" si="121"/>
        <v>0</v>
      </c>
      <c r="N851" s="207">
        <v>1</v>
      </c>
      <c r="O851" s="39">
        <v>2346</v>
      </c>
      <c r="P851" s="230">
        <f t="shared" si="122"/>
        <v>2346</v>
      </c>
      <c r="Q851" s="275">
        <f t="shared" si="116"/>
        <v>-1</v>
      </c>
      <c r="R851" s="176">
        <f t="shared" si="117"/>
        <v>0</v>
      </c>
      <c r="S851" s="276">
        <f t="shared" si="118"/>
        <v>-2346</v>
      </c>
    </row>
    <row r="852" spans="1:19" x14ac:dyDescent="0.35">
      <c r="A852" s="152"/>
      <c r="B852" s="97"/>
      <c r="C852" s="36" t="s">
        <v>103</v>
      </c>
      <c r="D852" s="36"/>
      <c r="E852" s="42" t="s">
        <v>492</v>
      </c>
      <c r="F852" s="100" t="s">
        <v>266</v>
      </c>
      <c r="G852" s="101"/>
      <c r="H852" s="101"/>
      <c r="I852" s="101"/>
      <c r="J852" s="111"/>
      <c r="K852" s="234">
        <v>3</v>
      </c>
      <c r="L852" s="43">
        <v>1285.2</v>
      </c>
      <c r="M852" s="235">
        <f t="shared" si="121"/>
        <v>3855.6000000000004</v>
      </c>
      <c r="N852" s="207">
        <v>1</v>
      </c>
      <c r="O852" s="39">
        <v>1285.2</v>
      </c>
      <c r="P852" s="230">
        <f t="shared" si="122"/>
        <v>1285.2</v>
      </c>
      <c r="Q852" s="275">
        <f t="shared" si="116"/>
        <v>2</v>
      </c>
      <c r="R852" s="176">
        <f t="shared" si="117"/>
        <v>0</v>
      </c>
      <c r="S852" s="276">
        <f t="shared" si="118"/>
        <v>2570.4000000000005</v>
      </c>
    </row>
    <row r="853" spans="1:19" x14ac:dyDescent="0.35">
      <c r="A853" s="152"/>
      <c r="B853" s="97"/>
      <c r="C853" s="36" t="s">
        <v>105</v>
      </c>
      <c r="D853" s="36"/>
      <c r="E853" s="42" t="s">
        <v>493</v>
      </c>
      <c r="F853" s="100" t="s">
        <v>266</v>
      </c>
      <c r="G853" s="101"/>
      <c r="H853" s="101"/>
      <c r="I853" s="101"/>
      <c r="J853" s="111"/>
      <c r="K853" s="234">
        <v>2</v>
      </c>
      <c r="L853" s="43">
        <v>108.12</v>
      </c>
      <c r="M853" s="235">
        <f t="shared" si="121"/>
        <v>216.24</v>
      </c>
      <c r="N853" s="207">
        <v>0</v>
      </c>
      <c r="O853" s="39">
        <v>108.12</v>
      </c>
      <c r="P853" s="230">
        <f t="shared" si="122"/>
        <v>0</v>
      </c>
      <c r="Q853" s="275">
        <f t="shared" si="116"/>
        <v>2</v>
      </c>
      <c r="R853" s="176">
        <f t="shared" si="117"/>
        <v>0</v>
      </c>
      <c r="S853" s="276">
        <f t="shared" si="118"/>
        <v>216.24</v>
      </c>
    </row>
    <row r="854" spans="1:19" x14ac:dyDescent="0.35">
      <c r="A854" s="152"/>
      <c r="B854" s="97"/>
      <c r="C854" s="36" t="s">
        <v>107</v>
      </c>
      <c r="D854" s="36"/>
      <c r="E854" s="42" t="s">
        <v>494</v>
      </c>
      <c r="F854" s="100" t="s">
        <v>266</v>
      </c>
      <c r="G854" s="101"/>
      <c r="H854" s="101"/>
      <c r="I854" s="101"/>
      <c r="J854" s="111"/>
      <c r="K854" s="234">
        <v>6</v>
      </c>
      <c r="L854" s="43">
        <v>209.1</v>
      </c>
      <c r="M854" s="235">
        <f t="shared" si="121"/>
        <v>1254.5999999999999</v>
      </c>
      <c r="N854" s="207">
        <v>6</v>
      </c>
      <c r="O854" s="39">
        <v>209.1</v>
      </c>
      <c r="P854" s="230">
        <f t="shared" si="122"/>
        <v>1254.5999999999999</v>
      </c>
      <c r="Q854" s="275">
        <f t="shared" si="116"/>
        <v>0</v>
      </c>
      <c r="R854" s="176">
        <f t="shared" si="117"/>
        <v>0</v>
      </c>
      <c r="S854" s="276">
        <f t="shared" si="118"/>
        <v>0</v>
      </c>
    </row>
    <row r="855" spans="1:19" x14ac:dyDescent="0.35">
      <c r="A855" s="152"/>
      <c r="B855" s="97"/>
      <c r="C855" s="36" t="s">
        <v>108</v>
      </c>
      <c r="D855" s="36"/>
      <c r="E855" s="42" t="s">
        <v>495</v>
      </c>
      <c r="F855" s="100" t="s">
        <v>266</v>
      </c>
      <c r="G855" s="101"/>
      <c r="H855" s="101"/>
      <c r="I855" s="101"/>
      <c r="J855" s="111"/>
      <c r="K855" s="234">
        <v>2</v>
      </c>
      <c r="L855" s="43">
        <v>336.6</v>
      </c>
      <c r="M855" s="235">
        <f t="shared" si="121"/>
        <v>673.2</v>
      </c>
      <c r="N855" s="207">
        <v>2</v>
      </c>
      <c r="O855" s="39">
        <v>336.6</v>
      </c>
      <c r="P855" s="230">
        <f t="shared" si="122"/>
        <v>673.2</v>
      </c>
      <c r="Q855" s="275">
        <f t="shared" si="116"/>
        <v>0</v>
      </c>
      <c r="R855" s="176">
        <f t="shared" si="117"/>
        <v>0</v>
      </c>
      <c r="S855" s="276">
        <f t="shared" si="118"/>
        <v>0</v>
      </c>
    </row>
    <row r="856" spans="1:19" x14ac:dyDescent="0.35">
      <c r="A856" s="152"/>
      <c r="B856" s="97"/>
      <c r="C856" s="36" t="s">
        <v>109</v>
      </c>
      <c r="D856" s="36"/>
      <c r="E856" s="42" t="s">
        <v>496</v>
      </c>
      <c r="F856" s="100" t="s">
        <v>266</v>
      </c>
      <c r="G856" s="101"/>
      <c r="H856" s="101"/>
      <c r="I856" s="101"/>
      <c r="J856" s="111"/>
      <c r="K856" s="234">
        <v>1</v>
      </c>
      <c r="L856" s="43">
        <v>308.04000000000002</v>
      </c>
      <c r="M856" s="235">
        <f t="shared" si="121"/>
        <v>308.04000000000002</v>
      </c>
      <c r="N856" s="207">
        <v>4</v>
      </c>
      <c r="O856" s="39">
        <v>308.04000000000002</v>
      </c>
      <c r="P856" s="230">
        <f t="shared" si="122"/>
        <v>1232.1600000000001</v>
      </c>
      <c r="Q856" s="275">
        <f t="shared" si="116"/>
        <v>-3</v>
      </c>
      <c r="R856" s="176">
        <f t="shared" si="117"/>
        <v>0</v>
      </c>
      <c r="S856" s="276">
        <f t="shared" si="118"/>
        <v>-924.12000000000012</v>
      </c>
    </row>
    <row r="857" spans="1:19" x14ac:dyDescent="0.35">
      <c r="A857" s="152"/>
      <c r="B857" s="97"/>
      <c r="C857" s="36" t="s">
        <v>112</v>
      </c>
      <c r="D857" s="36"/>
      <c r="E857" s="42" t="s">
        <v>497</v>
      </c>
      <c r="F857" s="100" t="s">
        <v>266</v>
      </c>
      <c r="G857" s="101"/>
      <c r="H857" s="101"/>
      <c r="I857" s="101"/>
      <c r="J857" s="111"/>
      <c r="K857" s="234">
        <v>1</v>
      </c>
      <c r="L857" s="43">
        <v>3000</v>
      </c>
      <c r="M857" s="235">
        <f t="shared" si="121"/>
        <v>3000</v>
      </c>
      <c r="N857" s="207">
        <v>1</v>
      </c>
      <c r="O857" s="39">
        <v>3000</v>
      </c>
      <c r="P857" s="230">
        <f t="shared" si="122"/>
        <v>3000</v>
      </c>
      <c r="Q857" s="275">
        <f t="shared" si="116"/>
        <v>0</v>
      </c>
      <c r="R857" s="176">
        <f t="shared" si="117"/>
        <v>0</v>
      </c>
      <c r="S857" s="276">
        <f t="shared" si="118"/>
        <v>0</v>
      </c>
    </row>
    <row r="858" spans="1:19" x14ac:dyDescent="0.35">
      <c r="A858" s="152"/>
      <c r="B858" s="97"/>
      <c r="C858" s="36" t="s">
        <v>113</v>
      </c>
      <c r="D858" s="36"/>
      <c r="E858" s="42" t="s">
        <v>498</v>
      </c>
      <c r="F858" s="100" t="s">
        <v>266</v>
      </c>
      <c r="G858" s="101"/>
      <c r="H858" s="101"/>
      <c r="I858" s="101"/>
      <c r="J858" s="111"/>
      <c r="K858" s="234">
        <v>0</v>
      </c>
      <c r="L858" s="43">
        <v>2100</v>
      </c>
      <c r="M858" s="235">
        <f t="shared" si="121"/>
        <v>0</v>
      </c>
      <c r="N858" s="207">
        <v>1</v>
      </c>
      <c r="O858" s="39">
        <v>2100</v>
      </c>
      <c r="P858" s="230">
        <f t="shared" si="122"/>
        <v>2100</v>
      </c>
      <c r="Q858" s="275">
        <f t="shared" si="116"/>
        <v>-1</v>
      </c>
      <c r="R858" s="176">
        <f t="shared" si="117"/>
        <v>0</v>
      </c>
      <c r="S858" s="276">
        <f t="shared" si="118"/>
        <v>-2100</v>
      </c>
    </row>
    <row r="859" spans="1:19" x14ac:dyDescent="0.35">
      <c r="A859" s="148"/>
      <c r="B859" s="97"/>
      <c r="C859" s="36" t="s">
        <v>116</v>
      </c>
      <c r="D859" s="36"/>
      <c r="E859" s="42" t="s">
        <v>500</v>
      </c>
      <c r="F859" s="100" t="s">
        <v>136</v>
      </c>
      <c r="G859" s="101"/>
      <c r="H859" s="101"/>
      <c r="I859" s="101"/>
      <c r="J859" s="111"/>
      <c r="K859" s="234">
        <v>1500</v>
      </c>
      <c r="L859" s="43">
        <v>8.16</v>
      </c>
      <c r="M859" s="235">
        <f>IFERROR(L859*$K859,0)</f>
        <v>12240</v>
      </c>
      <c r="N859" s="207">
        <v>0</v>
      </c>
      <c r="O859" s="39">
        <v>8.16</v>
      </c>
      <c r="P859" s="230">
        <f t="shared" si="122"/>
        <v>0</v>
      </c>
      <c r="Q859" s="275">
        <f t="shared" si="116"/>
        <v>1500</v>
      </c>
      <c r="R859" s="176">
        <f t="shared" si="117"/>
        <v>0</v>
      </c>
      <c r="S859" s="276">
        <f t="shared" si="118"/>
        <v>12240</v>
      </c>
    </row>
    <row r="860" spans="1:19" x14ac:dyDescent="0.35">
      <c r="A860" s="148"/>
      <c r="B860" s="97"/>
      <c r="C860" s="36" t="s">
        <v>625</v>
      </c>
      <c r="D860" s="36"/>
      <c r="E860" s="42" t="s">
        <v>501</v>
      </c>
      <c r="F860" s="100" t="s">
        <v>266</v>
      </c>
      <c r="G860" s="101"/>
      <c r="H860" s="101"/>
      <c r="I860" s="101"/>
      <c r="J860" s="111"/>
      <c r="K860" s="234">
        <v>2</v>
      </c>
      <c r="L860" s="43">
        <v>2815.92</v>
      </c>
      <c r="M860" s="235">
        <f>IFERROR(L860*$K860,0)</f>
        <v>5631.84</v>
      </c>
      <c r="N860" s="207">
        <v>0</v>
      </c>
      <c r="O860" s="39">
        <v>2815.92</v>
      </c>
      <c r="P860" s="230">
        <f t="shared" si="122"/>
        <v>0</v>
      </c>
      <c r="Q860" s="275">
        <f t="shared" si="116"/>
        <v>2</v>
      </c>
      <c r="R860" s="176">
        <f t="shared" si="117"/>
        <v>0</v>
      </c>
      <c r="S860" s="276">
        <f t="shared" si="118"/>
        <v>5631.84</v>
      </c>
    </row>
    <row r="861" spans="1:19" x14ac:dyDescent="0.35">
      <c r="A861" s="152"/>
      <c r="B861" s="97"/>
      <c r="C861" s="36" t="s">
        <v>626</v>
      </c>
      <c r="D861" s="36"/>
      <c r="E861" s="42" t="s">
        <v>502</v>
      </c>
      <c r="F861" s="100" t="s">
        <v>266</v>
      </c>
      <c r="G861" s="101"/>
      <c r="H861" s="101"/>
      <c r="I861" s="101"/>
      <c r="J861" s="111"/>
      <c r="K861" s="234"/>
      <c r="L861" s="43">
        <v>2550</v>
      </c>
      <c r="M861" s="235">
        <f>IFERROR(L861*$K861,0)</f>
        <v>0</v>
      </c>
      <c r="N861" s="207">
        <v>0</v>
      </c>
      <c r="O861" s="39">
        <v>2550</v>
      </c>
      <c r="P861" s="230">
        <f t="shared" si="122"/>
        <v>0</v>
      </c>
      <c r="Q861" s="275">
        <f t="shared" si="116"/>
        <v>0</v>
      </c>
      <c r="R861" s="176">
        <f t="shared" si="117"/>
        <v>0</v>
      </c>
      <c r="S861" s="276">
        <f t="shared" si="118"/>
        <v>0</v>
      </c>
    </row>
    <row r="862" spans="1:19" x14ac:dyDescent="0.35">
      <c r="A862" s="152"/>
      <c r="B862" s="97"/>
      <c r="C862" s="36" t="s">
        <v>627</v>
      </c>
      <c r="D862" s="36"/>
      <c r="E862" s="42" t="s">
        <v>503</v>
      </c>
      <c r="F862" s="100" t="s">
        <v>266</v>
      </c>
      <c r="G862" s="101"/>
      <c r="H862" s="101"/>
      <c r="I862" s="101"/>
      <c r="J862" s="111"/>
      <c r="K862" s="258"/>
      <c r="L862" s="43">
        <v>612</v>
      </c>
      <c r="M862" s="235">
        <f>IFERROR(L862*$K862,0)</f>
        <v>0</v>
      </c>
      <c r="N862" s="207">
        <v>0</v>
      </c>
      <c r="O862" s="39">
        <v>612</v>
      </c>
      <c r="P862" s="230">
        <f t="shared" si="122"/>
        <v>0</v>
      </c>
      <c r="Q862" s="275">
        <f t="shared" si="116"/>
        <v>0</v>
      </c>
      <c r="R862" s="176">
        <f t="shared" si="117"/>
        <v>0</v>
      </c>
      <c r="S862" s="276">
        <f t="shared" si="118"/>
        <v>0</v>
      </c>
    </row>
    <row r="863" spans="1:19" x14ac:dyDescent="0.35">
      <c r="A863" s="152"/>
      <c r="B863" s="97"/>
      <c r="C863" s="36" t="s">
        <v>628</v>
      </c>
      <c r="D863" s="36"/>
      <c r="E863" s="42" t="s">
        <v>504</v>
      </c>
      <c r="F863" s="100" t="s">
        <v>266</v>
      </c>
      <c r="G863" s="101"/>
      <c r="H863" s="101"/>
      <c r="I863" s="101"/>
      <c r="J863" s="111"/>
      <c r="K863" s="234"/>
      <c r="L863" s="43">
        <v>3468</v>
      </c>
      <c r="M863" s="235">
        <f t="shared" si="121"/>
        <v>0</v>
      </c>
      <c r="N863" s="207">
        <v>0</v>
      </c>
      <c r="O863" s="39">
        <v>3468</v>
      </c>
      <c r="P863" s="230">
        <f t="shared" si="122"/>
        <v>0</v>
      </c>
      <c r="Q863" s="275">
        <f t="shared" si="116"/>
        <v>0</v>
      </c>
      <c r="R863" s="176">
        <f t="shared" si="117"/>
        <v>0</v>
      </c>
      <c r="S863" s="276">
        <f t="shared" si="118"/>
        <v>0</v>
      </c>
    </row>
    <row r="864" spans="1:19" x14ac:dyDescent="0.35">
      <c r="A864" s="152"/>
      <c r="B864" s="97"/>
      <c r="C864" s="36" t="s">
        <v>629</v>
      </c>
      <c r="D864" s="36"/>
      <c r="E864" s="42" t="s">
        <v>505</v>
      </c>
      <c r="F864" s="100" t="s">
        <v>266</v>
      </c>
      <c r="G864" s="101"/>
      <c r="H864" s="101"/>
      <c r="I864" s="101"/>
      <c r="J864" s="111"/>
      <c r="K864" s="234"/>
      <c r="L864" s="43">
        <v>4590</v>
      </c>
      <c r="M864" s="235">
        <f t="shared" si="121"/>
        <v>0</v>
      </c>
      <c r="N864" s="207">
        <v>0</v>
      </c>
      <c r="O864" s="39">
        <v>4590</v>
      </c>
      <c r="P864" s="230">
        <f t="shared" si="122"/>
        <v>0</v>
      </c>
      <c r="Q864" s="275">
        <f t="shared" si="116"/>
        <v>0</v>
      </c>
      <c r="R864" s="176">
        <f t="shared" si="117"/>
        <v>0</v>
      </c>
      <c r="S864" s="276">
        <f t="shared" si="118"/>
        <v>0</v>
      </c>
    </row>
    <row r="865" spans="1:20" x14ac:dyDescent="0.35">
      <c r="A865" s="152"/>
      <c r="B865" s="97"/>
      <c r="C865" s="36" t="s">
        <v>630</v>
      </c>
      <c r="D865" s="36"/>
      <c r="E865" s="42" t="s">
        <v>506</v>
      </c>
      <c r="F865" s="100" t="s">
        <v>266</v>
      </c>
      <c r="G865" s="101"/>
      <c r="H865" s="101"/>
      <c r="I865" s="101"/>
      <c r="J865" s="111"/>
      <c r="K865" s="234"/>
      <c r="L865" s="43">
        <v>1836</v>
      </c>
      <c r="M865" s="235">
        <f t="shared" si="121"/>
        <v>0</v>
      </c>
      <c r="N865" s="207">
        <v>0</v>
      </c>
      <c r="O865" s="39">
        <v>1836</v>
      </c>
      <c r="P865" s="230">
        <f t="shared" si="122"/>
        <v>0</v>
      </c>
      <c r="Q865" s="275">
        <f t="shared" si="116"/>
        <v>0</v>
      </c>
      <c r="R865" s="176">
        <f t="shared" si="117"/>
        <v>0</v>
      </c>
      <c r="S865" s="276">
        <f t="shared" si="118"/>
        <v>0</v>
      </c>
    </row>
    <row r="866" spans="1:20" x14ac:dyDescent="0.35">
      <c r="A866" s="152"/>
      <c r="B866" s="97"/>
      <c r="C866" s="36" t="s">
        <v>640</v>
      </c>
      <c r="D866" s="36"/>
      <c r="E866" s="123" t="s">
        <v>715</v>
      </c>
      <c r="F866" s="103" t="s">
        <v>266</v>
      </c>
      <c r="G866" s="104"/>
      <c r="H866" s="104"/>
      <c r="I866" s="104"/>
      <c r="J866" s="107"/>
      <c r="K866" s="234">
        <v>0</v>
      </c>
      <c r="L866" s="43">
        <v>146.46</v>
      </c>
      <c r="M866" s="235">
        <f t="shared" si="121"/>
        <v>0</v>
      </c>
      <c r="N866" s="207">
        <v>59</v>
      </c>
      <c r="O866" s="39">
        <v>146.46</v>
      </c>
      <c r="P866" s="230">
        <f t="shared" si="122"/>
        <v>8641.1400000000012</v>
      </c>
      <c r="Q866" s="275">
        <f t="shared" si="116"/>
        <v>-59</v>
      </c>
      <c r="R866" s="176">
        <f t="shared" si="117"/>
        <v>0</v>
      </c>
      <c r="S866" s="276">
        <f t="shared" si="118"/>
        <v>-8641.1400000000012</v>
      </c>
    </row>
    <row r="867" spans="1:20" x14ac:dyDescent="0.35">
      <c r="A867" s="152"/>
      <c r="B867" s="97"/>
      <c r="C867" s="36" t="s">
        <v>641</v>
      </c>
      <c r="D867" s="36"/>
      <c r="E867" s="39" t="s">
        <v>639</v>
      </c>
      <c r="F867" s="103" t="s">
        <v>353</v>
      </c>
      <c r="G867" s="104"/>
      <c r="H867" s="104"/>
      <c r="I867" s="104"/>
      <c r="J867" s="107"/>
      <c r="K867" s="234">
        <v>0</v>
      </c>
      <c r="L867" s="43">
        <v>568.14</v>
      </c>
      <c r="M867" s="235">
        <f t="shared" si="121"/>
        <v>0</v>
      </c>
      <c r="N867" s="207">
        <v>0</v>
      </c>
      <c r="O867" s="39">
        <v>568.14</v>
      </c>
      <c r="P867" s="230">
        <f t="shared" si="122"/>
        <v>0</v>
      </c>
      <c r="Q867" s="275">
        <f t="shared" si="116"/>
        <v>0</v>
      </c>
      <c r="R867" s="176">
        <f t="shared" si="117"/>
        <v>0</v>
      </c>
      <c r="S867" s="276">
        <f t="shared" si="118"/>
        <v>0</v>
      </c>
    </row>
    <row r="868" spans="1:20" ht="34.5" x14ac:dyDescent="0.35">
      <c r="A868" s="152"/>
      <c r="B868" s="97"/>
      <c r="C868" s="36" t="s">
        <v>642</v>
      </c>
      <c r="D868" s="36"/>
      <c r="E868" s="97" t="s">
        <v>354</v>
      </c>
      <c r="F868" s="103" t="s">
        <v>266</v>
      </c>
      <c r="G868" s="104"/>
      <c r="H868" s="104"/>
      <c r="I868" s="104"/>
      <c r="J868" s="107"/>
      <c r="K868" s="234">
        <v>11</v>
      </c>
      <c r="L868" s="43">
        <v>1265</v>
      </c>
      <c r="M868" s="235">
        <f t="shared" si="121"/>
        <v>13915</v>
      </c>
      <c r="N868" s="207">
        <v>11</v>
      </c>
      <c r="O868" s="39">
        <v>1265</v>
      </c>
      <c r="P868" s="230">
        <f t="shared" si="122"/>
        <v>13915</v>
      </c>
      <c r="Q868" s="275">
        <f t="shared" si="116"/>
        <v>0</v>
      </c>
      <c r="R868" s="176">
        <f t="shared" si="117"/>
        <v>0</v>
      </c>
      <c r="S868" s="276">
        <f t="shared" si="118"/>
        <v>0</v>
      </c>
    </row>
    <row r="869" spans="1:20" x14ac:dyDescent="0.35">
      <c r="A869" s="152"/>
      <c r="B869" s="97"/>
      <c r="C869" s="36" t="s">
        <v>652</v>
      </c>
      <c r="D869" s="36"/>
      <c r="E869" s="97" t="s">
        <v>650</v>
      </c>
      <c r="F869" s="103" t="s">
        <v>266</v>
      </c>
      <c r="G869" s="104"/>
      <c r="H869" s="104"/>
      <c r="I869" s="104"/>
      <c r="J869" s="107"/>
      <c r="K869" s="234">
        <v>0</v>
      </c>
      <c r="L869" s="43">
        <v>2815.92</v>
      </c>
      <c r="M869" s="235">
        <f t="shared" si="121"/>
        <v>0</v>
      </c>
      <c r="N869" s="207">
        <v>0</v>
      </c>
      <c r="O869" s="39">
        <v>2815.96</v>
      </c>
      <c r="P869" s="230">
        <f t="shared" si="122"/>
        <v>0</v>
      </c>
      <c r="Q869" s="275">
        <f t="shared" si="116"/>
        <v>0</v>
      </c>
      <c r="R869" s="176">
        <f t="shared" si="117"/>
        <v>-3.999999999996362E-2</v>
      </c>
      <c r="S869" s="276">
        <f t="shared" si="118"/>
        <v>0</v>
      </c>
    </row>
    <row r="870" spans="1:20" x14ac:dyDescent="0.35">
      <c r="A870" s="152"/>
      <c r="B870" s="97"/>
      <c r="C870" s="36" t="s">
        <v>653</v>
      </c>
      <c r="D870" s="36"/>
      <c r="E870" s="97" t="s">
        <v>651</v>
      </c>
      <c r="F870" s="103" t="s">
        <v>266</v>
      </c>
      <c r="G870" s="104"/>
      <c r="H870" s="104"/>
      <c r="I870" s="104"/>
      <c r="J870" s="107"/>
      <c r="K870" s="234">
        <v>0</v>
      </c>
      <c r="L870" s="43">
        <v>2815.92</v>
      </c>
      <c r="M870" s="235">
        <f t="shared" si="121"/>
        <v>0</v>
      </c>
      <c r="N870" s="207">
        <v>0</v>
      </c>
      <c r="O870" s="39">
        <v>2815.96</v>
      </c>
      <c r="P870" s="230">
        <f t="shared" si="122"/>
        <v>0</v>
      </c>
      <c r="Q870" s="275">
        <f t="shared" si="116"/>
        <v>0</v>
      </c>
      <c r="R870" s="176">
        <f t="shared" si="117"/>
        <v>-3.999999999996362E-2</v>
      </c>
      <c r="S870" s="276">
        <f t="shared" si="118"/>
        <v>0</v>
      </c>
    </row>
    <row r="871" spans="1:20" ht="23" x14ac:dyDescent="0.35">
      <c r="A871" s="152"/>
      <c r="B871" s="97"/>
      <c r="C871" s="36" t="s">
        <v>781</v>
      </c>
      <c r="D871" s="36"/>
      <c r="E871" s="97" t="s">
        <v>783</v>
      </c>
      <c r="F871" s="103" t="s">
        <v>266</v>
      </c>
      <c r="G871" s="104"/>
      <c r="H871" s="104"/>
      <c r="I871" s="104"/>
      <c r="J871" s="107"/>
      <c r="K871" s="234">
        <v>1</v>
      </c>
      <c r="L871" s="43">
        <v>3600</v>
      </c>
      <c r="M871" s="235">
        <f t="shared" si="121"/>
        <v>3600</v>
      </c>
      <c r="N871" s="207">
        <v>1</v>
      </c>
      <c r="O871" s="39">
        <v>3600</v>
      </c>
      <c r="P871" s="230">
        <f t="shared" si="122"/>
        <v>3600</v>
      </c>
      <c r="Q871" s="275">
        <f t="shared" si="116"/>
        <v>0</v>
      </c>
      <c r="R871" s="176">
        <f t="shared" si="117"/>
        <v>0</v>
      </c>
      <c r="S871" s="276">
        <f t="shared" si="118"/>
        <v>0</v>
      </c>
    </row>
    <row r="872" spans="1:20" x14ac:dyDescent="0.35">
      <c r="A872" s="46" t="s">
        <v>499</v>
      </c>
      <c r="B872" s="52"/>
      <c r="C872" s="34"/>
      <c r="D872" s="34"/>
      <c r="E872" s="46"/>
      <c r="F872" s="52"/>
      <c r="G872" s="53"/>
      <c r="H872" s="53"/>
      <c r="I872" s="53"/>
      <c r="J872" s="219"/>
      <c r="K872" s="236"/>
      <c r="L872" s="57"/>
      <c r="M872" s="210">
        <f>SUM(M838:M871)</f>
        <v>147220.84000000003</v>
      </c>
      <c r="N872" s="207"/>
      <c r="O872" s="175"/>
      <c r="P872" s="271">
        <f>SUM(P838:P871)</f>
        <v>60360.38</v>
      </c>
      <c r="Q872" s="275">
        <f t="shared" si="116"/>
        <v>0</v>
      </c>
      <c r="R872" s="176">
        <f t="shared" si="117"/>
        <v>0</v>
      </c>
      <c r="S872" s="276">
        <f t="shared" si="118"/>
        <v>86860.460000000021</v>
      </c>
    </row>
    <row r="873" spans="1:20" x14ac:dyDescent="0.35">
      <c r="A873" s="46"/>
      <c r="B873" s="52"/>
      <c r="C873" s="34"/>
      <c r="D873" s="34"/>
      <c r="E873" s="46"/>
      <c r="F873" s="52"/>
      <c r="G873" s="53"/>
      <c r="H873" s="53"/>
      <c r="I873" s="443" t="s">
        <v>961</v>
      </c>
      <c r="J873" s="444"/>
      <c r="K873" s="236"/>
      <c r="L873" s="57" t="s">
        <v>860</v>
      </c>
      <c r="M873" s="215">
        <f>SUM(M872+M836+M824+M817+M812+M759+M687+M673+M659+M655+M647+M632+M618+M584+M502+M479+M449+M425+M405+M401+M375+M339+M321+M310+M289+M273+M235+M231+M223+M168+M122+M112+M82+M74)</f>
        <v>1602902.563291949</v>
      </c>
      <c r="N873" s="207"/>
      <c r="O873" s="172"/>
      <c r="P873" s="204">
        <f>P872+P836+P824+P817+P812+P759+P687+P673+P659+P655+P647+P632+P618+P584+P502+P449+P425+P405+P401+P375+P339+P321+P310+P289+P273+P235+P231+P223+P168+P122+P112+P82+P74</f>
        <v>1241208.5451</v>
      </c>
      <c r="Q873" s="275"/>
      <c r="R873" s="176"/>
      <c r="S873" s="282">
        <f t="shared" si="118"/>
        <v>361694.018191949</v>
      </c>
    </row>
    <row r="874" spans="1:20" x14ac:dyDescent="0.35">
      <c r="A874" s="46"/>
      <c r="B874" s="52"/>
      <c r="C874" s="34"/>
      <c r="D874" s="34"/>
      <c r="E874" s="46"/>
      <c r="F874" s="52"/>
      <c r="G874" s="53"/>
      <c r="H874" s="53"/>
      <c r="I874" s="53"/>
      <c r="J874" s="219"/>
      <c r="K874" s="236"/>
      <c r="L874" s="57"/>
      <c r="M874" s="215"/>
      <c r="N874" s="207"/>
      <c r="O874" s="39"/>
      <c r="P874" s="204"/>
      <c r="Q874" s="207"/>
      <c r="R874" s="39"/>
      <c r="S874" s="209"/>
    </row>
    <row r="875" spans="1:20" ht="23" x14ac:dyDescent="0.35">
      <c r="A875" s="46"/>
      <c r="B875" s="52"/>
      <c r="C875" s="34"/>
      <c r="D875" s="34"/>
      <c r="E875" s="46"/>
      <c r="F875" s="52"/>
      <c r="G875" s="53"/>
      <c r="H875" s="53"/>
      <c r="I875" s="53"/>
      <c r="J875" s="219"/>
      <c r="K875" s="236"/>
      <c r="L875" s="173" t="s">
        <v>1122</v>
      </c>
      <c r="M875" s="259" t="e">
        <f>#REF!</f>
        <v>#REF!</v>
      </c>
      <c r="N875" s="207"/>
      <c r="O875" s="39"/>
      <c r="P875" s="204"/>
      <c r="Q875" s="207"/>
      <c r="R875" s="39"/>
      <c r="S875" s="209"/>
    </row>
    <row r="876" spans="1:20" ht="23" x14ac:dyDescent="0.35">
      <c r="A876" s="46"/>
      <c r="B876" s="52"/>
      <c r="C876" s="34"/>
      <c r="D876" s="289"/>
      <c r="E876" s="290"/>
      <c r="F876" s="291"/>
      <c r="G876" s="292"/>
      <c r="H876" s="292"/>
      <c r="I876" s="292"/>
      <c r="J876" s="293"/>
      <c r="K876" s="294"/>
      <c r="L876" s="295" t="s">
        <v>1123</v>
      </c>
      <c r="M876" s="296"/>
      <c r="N876" s="297"/>
      <c r="O876" s="298"/>
      <c r="P876" s="299"/>
      <c r="Q876" s="297"/>
      <c r="R876" s="298"/>
      <c r="S876" s="300"/>
      <c r="T876" s="301"/>
    </row>
    <row r="877" spans="1:20" x14ac:dyDescent="0.35">
      <c r="A877" s="148"/>
      <c r="B877" s="39"/>
      <c r="C877" s="36"/>
      <c r="D877" s="36"/>
      <c r="E877" s="39"/>
      <c r="F877" s="57"/>
      <c r="G877" s="57"/>
      <c r="H877" s="57"/>
      <c r="I877" s="57"/>
      <c r="J877" s="204"/>
      <c r="K877" s="260"/>
      <c r="L877" s="57" t="s">
        <v>825</v>
      </c>
      <c r="M877" s="261" t="e">
        <f>SUM(M873:M876)</f>
        <v>#REF!</v>
      </c>
      <c r="N877" s="207"/>
      <c r="O877" s="39"/>
      <c r="P877" s="261"/>
      <c r="Q877" s="207"/>
      <c r="R877" s="39"/>
      <c r="S877" s="209"/>
    </row>
    <row r="878" spans="1:20" x14ac:dyDescent="0.35">
      <c r="A878" s="148"/>
      <c r="B878" s="39"/>
      <c r="C878" s="36"/>
      <c r="D878" s="36"/>
      <c r="E878" s="39"/>
      <c r="F878" s="39"/>
      <c r="G878" s="118"/>
      <c r="H878" s="118"/>
      <c r="I878" s="118"/>
      <c r="J878" s="227"/>
      <c r="K878" s="262"/>
      <c r="L878" s="57" t="s">
        <v>960</v>
      </c>
      <c r="M878" s="261" t="e">
        <f>M877*0.18</f>
        <v>#REF!</v>
      </c>
      <c r="N878" s="207"/>
      <c r="O878" s="39"/>
      <c r="P878" s="261">
        <f>P873*18%</f>
        <v>223417.538118</v>
      </c>
      <c r="Q878" s="207"/>
      <c r="R878" s="39"/>
      <c r="S878" s="209"/>
    </row>
    <row r="879" spans="1:20" ht="12" thickBot="1" x14ac:dyDescent="0.4">
      <c r="A879" s="148"/>
      <c r="B879" s="39"/>
      <c r="C879" s="36"/>
      <c r="D879" s="36"/>
      <c r="E879" s="39"/>
      <c r="F879" s="39"/>
      <c r="G879" s="118"/>
      <c r="H879" s="118"/>
      <c r="I879" s="118"/>
      <c r="J879" s="227"/>
      <c r="K879" s="263"/>
      <c r="L879" s="288" t="s">
        <v>861</v>
      </c>
      <c r="M879" s="264" t="e">
        <f>M878+M877</f>
        <v>#REF!</v>
      </c>
      <c r="N879" s="216"/>
      <c r="O879" s="217"/>
      <c r="P879" s="264">
        <f>P873+P878</f>
        <v>1464626.0832179999</v>
      </c>
      <c r="Q879" s="216"/>
      <c r="R879" s="217"/>
      <c r="S879" s="218"/>
    </row>
  </sheetData>
  <autoFilter ref="A4:M4"/>
  <mergeCells count="59">
    <mergeCell ref="I873:J873"/>
    <mergeCell ref="A1:E1"/>
    <mergeCell ref="C488:C494"/>
    <mergeCell ref="B488:B494"/>
    <mergeCell ref="A488:A494"/>
    <mergeCell ref="D488:D494"/>
    <mergeCell ref="A442:A448"/>
    <mergeCell ref="B442:B448"/>
    <mergeCell ref="A428:A434"/>
    <mergeCell ref="C435:C441"/>
    <mergeCell ref="B428:B434"/>
    <mergeCell ref="C428:C434"/>
    <mergeCell ref="A435:A441"/>
    <mergeCell ref="B435:B441"/>
    <mergeCell ref="C442:C448"/>
    <mergeCell ref="A495:A501"/>
    <mergeCell ref="B495:B501"/>
    <mergeCell ref="C495:C501"/>
    <mergeCell ref="D495:D501"/>
    <mergeCell ref="B459:B468"/>
    <mergeCell ref="C481:C487"/>
    <mergeCell ref="D481:D487"/>
    <mergeCell ref="C459:C468"/>
    <mergeCell ref="B481:B487"/>
    <mergeCell ref="A481:A487"/>
    <mergeCell ref="B451:B458"/>
    <mergeCell ref="F469:F478"/>
    <mergeCell ref="D435:D441"/>
    <mergeCell ref="F435:F441"/>
    <mergeCell ref="A459:A468"/>
    <mergeCell ref="C451:C458"/>
    <mergeCell ref="D451:D458"/>
    <mergeCell ref="A451:A458"/>
    <mergeCell ref="A469:A478"/>
    <mergeCell ref="B469:B478"/>
    <mergeCell ref="C469:C478"/>
    <mergeCell ref="D469:D478"/>
    <mergeCell ref="F428:F434"/>
    <mergeCell ref="D428:D434"/>
    <mergeCell ref="F442:F448"/>
    <mergeCell ref="D442:D448"/>
    <mergeCell ref="D459:D468"/>
    <mergeCell ref="F451:F458"/>
    <mergeCell ref="F459:F468"/>
    <mergeCell ref="K488:K494"/>
    <mergeCell ref="K495:K501"/>
    <mergeCell ref="F495:F501"/>
    <mergeCell ref="F488:F494"/>
    <mergeCell ref="F481:F487"/>
    <mergeCell ref="K442:K448"/>
    <mergeCell ref="K451:K458"/>
    <mergeCell ref="K459:K468"/>
    <mergeCell ref="K469:K478"/>
    <mergeCell ref="K481:K487"/>
    <mergeCell ref="K3:M3"/>
    <mergeCell ref="N3:P3"/>
    <mergeCell ref="Q3:S3"/>
    <mergeCell ref="K428:K434"/>
    <mergeCell ref="K435:K441"/>
  </mergeCells>
  <pageMargins left="0.31496062992125984" right="0.31496062992125984" top="0.59055118110236227" bottom="0.35433070866141736" header="0.31496062992125984" footer="0.31496062992125984"/>
  <pageSetup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4"/>
  <sheetViews>
    <sheetView workbookViewId="0">
      <selection activeCell="G13" sqref="G13"/>
    </sheetView>
  </sheetViews>
  <sheetFormatPr defaultColWidth="24.6328125" defaultRowHeight="14.5" x14ac:dyDescent="0.35"/>
  <cols>
    <col min="1" max="1" width="5.54296875" bestFit="1" customWidth="1"/>
    <col min="2" max="2" width="41.08984375" bestFit="1" customWidth="1"/>
    <col min="3" max="3" width="5.54296875" bestFit="1" customWidth="1"/>
    <col min="4" max="4" width="7.6328125" bestFit="1" customWidth="1"/>
    <col min="5" max="5" width="9.08984375" bestFit="1" customWidth="1"/>
    <col min="6" max="6" width="10.6328125" bestFit="1" customWidth="1"/>
  </cols>
  <sheetData>
    <row r="2" spans="1:6" x14ac:dyDescent="0.35">
      <c r="A2" s="10" t="s">
        <v>842</v>
      </c>
      <c r="B2" s="10" t="s">
        <v>843</v>
      </c>
      <c r="C2" s="11" t="s">
        <v>844</v>
      </c>
      <c r="D2" s="10"/>
      <c r="E2" s="10" t="s">
        <v>845</v>
      </c>
      <c r="F2" s="10" t="s">
        <v>716</v>
      </c>
    </row>
    <row r="3" spans="1:6" x14ac:dyDescent="0.35">
      <c r="A3" s="12">
        <v>1</v>
      </c>
      <c r="B3" s="13" t="s">
        <v>856</v>
      </c>
      <c r="C3" s="14">
        <v>3</v>
      </c>
      <c r="D3" s="14" t="s">
        <v>846</v>
      </c>
      <c r="E3" s="14">
        <v>9000</v>
      </c>
      <c r="F3" s="14">
        <f>C3*E3</f>
        <v>27000</v>
      </c>
    </row>
    <row r="4" spans="1:6" x14ac:dyDescent="0.35">
      <c r="A4" s="12">
        <v>2</v>
      </c>
      <c r="B4" s="13" t="s">
        <v>857</v>
      </c>
      <c r="C4" s="14">
        <v>3</v>
      </c>
      <c r="D4" s="14" t="s">
        <v>846</v>
      </c>
      <c r="E4" s="14">
        <v>14000</v>
      </c>
      <c r="F4" s="14">
        <f>C4*E4</f>
        <v>42000</v>
      </c>
    </row>
    <row r="5" spans="1:6" x14ac:dyDescent="0.35">
      <c r="A5" s="12">
        <v>3</v>
      </c>
      <c r="B5" s="13" t="s">
        <v>847</v>
      </c>
      <c r="C5" s="14">
        <v>3</v>
      </c>
      <c r="D5" s="14" t="s">
        <v>846</v>
      </c>
      <c r="E5" s="14">
        <v>15000</v>
      </c>
      <c r="F5" s="14">
        <f>C5*E5</f>
        <v>45000</v>
      </c>
    </row>
    <row r="6" spans="1:6" x14ac:dyDescent="0.35">
      <c r="A6" s="15"/>
      <c r="B6" s="445" t="s">
        <v>848</v>
      </c>
      <c r="C6" s="445"/>
      <c r="D6" s="445"/>
      <c r="E6" s="16"/>
      <c r="F6" s="16"/>
    </row>
    <row r="7" spans="1:6" ht="29" x14ac:dyDescent="0.35">
      <c r="A7" s="12">
        <v>4</v>
      </c>
      <c r="B7" s="13" t="s">
        <v>849</v>
      </c>
      <c r="C7" s="14">
        <v>9</v>
      </c>
      <c r="D7" s="14" t="s">
        <v>193</v>
      </c>
      <c r="E7" s="14">
        <v>750</v>
      </c>
      <c r="F7" s="14">
        <f t="shared" ref="F7:F13" si="0">E7*C7</f>
        <v>6750</v>
      </c>
    </row>
    <row r="8" spans="1:6" x14ac:dyDescent="0.35">
      <c r="A8" s="12"/>
      <c r="B8" s="13" t="s">
        <v>850</v>
      </c>
      <c r="C8" s="14">
        <v>12</v>
      </c>
      <c r="D8" s="14" t="s">
        <v>193</v>
      </c>
      <c r="E8" s="14">
        <f>700</f>
        <v>700</v>
      </c>
      <c r="F8" s="14">
        <f t="shared" si="0"/>
        <v>8400</v>
      </c>
    </row>
    <row r="9" spans="1:6" x14ac:dyDescent="0.35">
      <c r="A9" s="12">
        <v>5</v>
      </c>
      <c r="B9" s="13" t="s">
        <v>851</v>
      </c>
      <c r="C9" s="14">
        <v>6</v>
      </c>
      <c r="D9" s="14" t="s">
        <v>193</v>
      </c>
      <c r="E9" s="14">
        <f>700</f>
        <v>700</v>
      </c>
      <c r="F9" s="14">
        <f t="shared" si="0"/>
        <v>4200</v>
      </c>
    </row>
    <row r="10" spans="1:6" x14ac:dyDescent="0.35">
      <c r="A10" s="12">
        <v>6</v>
      </c>
      <c r="B10" s="13" t="s">
        <v>852</v>
      </c>
      <c r="C10" s="14">
        <v>12</v>
      </c>
      <c r="D10" s="14" t="s">
        <v>193</v>
      </c>
      <c r="E10" s="14">
        <f>650</f>
        <v>650</v>
      </c>
      <c r="F10" s="14">
        <f t="shared" si="0"/>
        <v>7800</v>
      </c>
    </row>
    <row r="11" spans="1:6" x14ac:dyDescent="0.35">
      <c r="A11" s="12">
        <v>7</v>
      </c>
      <c r="B11" s="13" t="s">
        <v>853</v>
      </c>
      <c r="C11" s="14">
        <v>10</v>
      </c>
      <c r="D11" s="14" t="s">
        <v>193</v>
      </c>
      <c r="E11" s="14">
        <f>600</f>
        <v>600</v>
      </c>
      <c r="F11" s="14">
        <f t="shared" si="0"/>
        <v>6000</v>
      </c>
    </row>
    <row r="12" spans="1:6" x14ac:dyDescent="0.35">
      <c r="A12" s="12">
        <v>8</v>
      </c>
      <c r="B12" s="13" t="s">
        <v>854</v>
      </c>
      <c r="C12" s="14">
        <v>12</v>
      </c>
      <c r="D12" s="14" t="s">
        <v>193</v>
      </c>
      <c r="E12" s="14">
        <f>750</f>
        <v>750</v>
      </c>
      <c r="F12" s="14">
        <f t="shared" si="0"/>
        <v>9000</v>
      </c>
    </row>
    <row r="13" spans="1:6" x14ac:dyDescent="0.35">
      <c r="A13" s="12">
        <v>9</v>
      </c>
      <c r="B13" s="13" t="s">
        <v>855</v>
      </c>
      <c r="C13" s="14">
        <f>SUM(C7:C12)</f>
        <v>61</v>
      </c>
      <c r="D13" s="14" t="s">
        <v>193</v>
      </c>
      <c r="E13" s="14">
        <v>250</v>
      </c>
      <c r="F13" s="14">
        <f t="shared" si="0"/>
        <v>15250</v>
      </c>
    </row>
    <row r="14" spans="1:6" x14ac:dyDescent="0.35">
      <c r="A14" s="15"/>
      <c r="B14" s="15"/>
      <c r="C14" s="16"/>
      <c r="D14" s="15"/>
      <c r="E14" s="10" t="s">
        <v>825</v>
      </c>
      <c r="F14" s="11">
        <f>SUM(F3:F13)</f>
        <v>171400</v>
      </c>
    </row>
  </sheetData>
  <mergeCells count="1">
    <mergeCell ref="B6:D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2607D605F803F429EC742EC90162634" ma:contentTypeVersion="21" ma:contentTypeDescription="Create a new document." ma:contentTypeScope="" ma:versionID="a95d505c3e5d20148240ced058cade55">
  <xsd:schema xmlns:xsd="http://www.w3.org/2001/XMLSchema" xmlns:xs="http://www.w3.org/2001/XMLSchema" xmlns:p="http://schemas.microsoft.com/office/2006/metadata/properties" xmlns:ns1="http://schemas.microsoft.com/sharepoint/v3" xmlns:ns2="4bbc83bb-f4ba-4c36-bab3-5589d9d2bde5" xmlns:ns3="f8ff5d5a-8ee0-4304-8e65-845a62f84fb6" targetNamespace="http://schemas.microsoft.com/office/2006/metadata/properties" ma:root="true" ma:fieldsID="222b9a1bd6c70970c88ee1b26fe7e895" ns1:_="" ns2:_="" ns3:_="">
    <xsd:import namespace="http://schemas.microsoft.com/sharepoint/v3"/>
    <xsd:import namespace="4bbc83bb-f4ba-4c36-bab3-5589d9d2bde5"/>
    <xsd:import namespace="f8ff5d5a-8ee0-4304-8e65-845a62f84fb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MediaServiceAutoKeyPoints" minOccurs="0"/>
                <xsd:element ref="ns3:MediaServiceKeyPoints" minOccurs="0"/>
                <xsd:element ref="ns3:MediaLengthInSeconds" minOccurs="0"/>
                <xsd:element ref="ns3:_Flow_SignoffStatus" minOccurs="0"/>
                <xsd:element ref="ns3:lcf76f155ced4ddcb4097134ff3c332f" minOccurs="0"/>
                <xsd:element ref="ns2:TaxCatchAll" minOccurs="0"/>
                <xsd:element ref="ns1:_ip_UnifiedCompliancePolicyProperties" minOccurs="0"/>
                <xsd:element ref="ns1:_ip_UnifiedCompliancePolicyUIAc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bbc83bb-f4ba-4c36-bab3-5589d9d2bde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ba171929-12f0-4df4-82b5-877951c3c95a}" ma:internalName="TaxCatchAll" ma:showField="CatchAllData" ma:web="4bbc83bb-f4ba-4c36-bab3-5589d9d2bde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8ff5d5a-8ee0-4304-8e65-845a62f84fb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18c749e9-322c-4b7e-a801-00e3604f8a5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4bbc83bb-f4ba-4c36-bab3-5589d9d2bde5" xsi:nil="true"/>
    <_Flow_SignoffStatus xmlns="f8ff5d5a-8ee0-4304-8e65-845a62f84fb6" xsi:nil="true"/>
    <_ip_UnifiedCompliancePolicyProperties xmlns="http://schemas.microsoft.com/sharepoint/v3" xsi:nil="true"/>
    <lcf76f155ced4ddcb4097134ff3c332f xmlns="f8ff5d5a-8ee0-4304-8e65-845a62f84fb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4372957-30B3-4131-8065-75E962C31967}">
  <ds:schemaRefs>
    <ds:schemaRef ds:uri="http://schemas.microsoft.com/sharepoint/v3/contenttype/forms"/>
  </ds:schemaRefs>
</ds:datastoreItem>
</file>

<file path=customXml/itemProps2.xml><?xml version="1.0" encoding="utf-8"?>
<ds:datastoreItem xmlns:ds="http://schemas.openxmlformats.org/officeDocument/2006/customXml" ds:itemID="{191B75A4-40C9-48B0-BE93-1B3488A5982A}"/>
</file>

<file path=customXml/itemProps3.xml><?xml version="1.0" encoding="utf-8"?>
<ds:datastoreItem xmlns:ds="http://schemas.openxmlformats.org/officeDocument/2006/customXml" ds:itemID="{AEA086FC-8DB8-4632-97D9-A0B025387C13}">
  <ds:schemaRefs>
    <ds:schemaRef ds:uri="http://purl.org/dc/dcmitype/"/>
    <ds:schemaRef ds:uri="http://schemas.microsoft.com/office/2006/documentManagement/types"/>
    <ds:schemaRef ds:uri="http://www.w3.org/XML/1998/namespace"/>
    <ds:schemaRef ds:uri="http://schemas.microsoft.com/office/2006/metadata/properties"/>
    <ds:schemaRef ds:uri="72b43016-16a7-42f7-bc1a-063c27e5d515"/>
    <ds:schemaRef ds:uri="7326994b-23a0-4b5e-a973-7b87443abe0a"/>
    <ds:schemaRef ds:uri="http://purl.org/dc/terms/"/>
    <ds:schemaRef ds:uri="http://purl.org/dc/elements/1.1/"/>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summary</vt:lpstr>
      <vt:lpstr>Civil &amp; Interior_work</vt:lpstr>
      <vt:lpstr>electrical circuit breaku</vt:lpstr>
      <vt:lpstr>Civil &amp; Interior_ not to cons</vt:lpstr>
      <vt:lpstr>Addition cost as per site</vt:lpstr>
      <vt:lpstr>'electrical circuit breaku'!Print_Area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Singh Rana</dc:creator>
  <cp:lastModifiedBy>Urmila Jadhav</cp:lastModifiedBy>
  <cp:lastPrinted>2024-02-22T08:15:18Z</cp:lastPrinted>
  <dcterms:created xsi:type="dcterms:W3CDTF">2023-01-31T11:51:23Z</dcterms:created>
  <dcterms:modified xsi:type="dcterms:W3CDTF">2024-08-23T10:49:46Z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0x010100537A43EC52BEE34C898FAD69A0A90781</vt:lpwstr>
  </property>
</Properties>
</file>