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Jaipur/"/>
    </mc:Choice>
  </mc:AlternateContent>
  <bookViews>
    <workbookView xWindow="-110" yWindow="-110" windowWidth="19420" windowHeight="10300" tabRatio="839"/>
  </bookViews>
  <sheets>
    <sheet name=" Summary RAB-02" sheetId="15" r:id="rId1"/>
    <sheet name="WORK ODER ISSUED" sheetId="33" r:id="rId2"/>
    <sheet name="C&amp;I BOQ " sheetId="8" r:id="rId3"/>
    <sheet name="Sheet1" sheetId="31" state="hidden" r:id="rId4"/>
    <sheet name="MB " sheetId="26" state="hidden" r:id="rId5"/>
    <sheet name="C&amp;I M.B Sheet" sheetId="35" r:id="rId6"/>
    <sheet name="Structural Steel Work BOQ" sheetId="30" r:id="rId7"/>
    <sheet name="Structural Steel Work M.B" sheetId="50" r:id="rId8"/>
    <sheet name="MEP SUMMARY" sheetId="40" r:id="rId9"/>
    <sheet name="ELECTRICAL" sheetId="45" r:id="rId10"/>
    <sheet name="MB ELELCTRICAL" sheetId="46" r:id="rId11"/>
    <sheet name="HVAC " sheetId="41" r:id="rId12"/>
    <sheet name="MB HVAC " sheetId="42" r:id="rId13"/>
    <sheet name="PHE &amp;FF" sheetId="43" r:id="rId14"/>
    <sheet name="MB PHE " sheetId="44" r:id="rId15"/>
    <sheet name="LIGHT FITTING" sheetId="48" r:id="rId16"/>
    <sheet name="LIGHT MB" sheetId="53" r:id="rId17"/>
    <sheet name="FURNITURE BOQ" sheetId="47" r:id="rId18"/>
    <sheet name="FURNITURE MB " sheetId="52" r:id="rId19"/>
    <sheet name="C&amp;S Extra items " sheetId="38" r:id="rId20"/>
    <sheet name="HVAC EXTRA ITEM" sheetId="49" r:id="rId21"/>
  </sheets>
  <externalReferences>
    <externalReference r:id="rId22"/>
    <externalReference r:id="rId23"/>
    <externalReference r:id="rId24"/>
    <externalReference r:id="rId25"/>
    <externalReference r:id="rId26"/>
  </externalReferences>
  <definedNames>
    <definedName name="_xlnm.Print_Area" localSheetId="0">' Summary RAB-02'!$A$1:$I$50</definedName>
    <definedName name="_xlnm.Print_Area" localSheetId="2">'C&amp;I BOQ '!$A$1:$M$239</definedName>
    <definedName name="_xlnm.Print_Area" localSheetId="5">'C&amp;I M.B Sheet'!$A$1:$G$662</definedName>
    <definedName name="_xlnm.Print_Area" localSheetId="9">ELECTRICAL!$A$1:$M$203</definedName>
    <definedName name="_xlnm.Print_Area" localSheetId="11">'HVAC '!$A$1:$L$378</definedName>
    <definedName name="_xlnm.Print_Area" localSheetId="20">'HVAC EXTRA ITEM'!$A$1:$G$24</definedName>
    <definedName name="_xlnm.Print_Area" localSheetId="10">'MB ELELCTRICAL'!$A$1:$I$828</definedName>
    <definedName name="_xlnm.Print_Area" localSheetId="14">'MB PHE '!$A$1:$G$75</definedName>
    <definedName name="_xlnm.Print_Area" localSheetId="8">'MEP SUMMARY'!$A$1:$J$41</definedName>
    <definedName name="_xlnm.Print_Area" localSheetId="13">'PHE &amp;FF'!$A$1:$L$85</definedName>
    <definedName name="_xlnm.Print_Area" localSheetId="1">'WORK ODER ISSUED'!$A$1:$I$17</definedName>
    <definedName name="_xlnm.Print_Titles" localSheetId="2">'C&amp;I BOQ '!$3:$3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5" l="1"/>
  <c r="I26" i="15"/>
  <c r="I42" i="15"/>
  <c r="I39" i="15"/>
  <c r="I37" i="15"/>
  <c r="I36" i="15"/>
  <c r="I34" i="15"/>
  <c r="I29" i="15"/>
  <c r="I27" i="15"/>
  <c r="I23" i="15"/>
  <c r="I21" i="15"/>
  <c r="I19" i="15"/>
  <c r="I17" i="15"/>
  <c r="I15" i="15"/>
  <c r="I13" i="15"/>
  <c r="I9" i="15"/>
  <c r="H50" i="15"/>
  <c r="H48" i="15"/>
  <c r="H31" i="15"/>
  <c r="H26" i="15"/>
  <c r="H42" i="15"/>
  <c r="H39" i="15"/>
  <c r="H37" i="15"/>
  <c r="H36" i="15"/>
  <c r="H34" i="15"/>
  <c r="H29" i="15"/>
  <c r="H27" i="15"/>
  <c r="H23" i="15"/>
  <c r="H21" i="15"/>
  <c r="H19" i="15"/>
  <c r="H17" i="15"/>
  <c r="H15" i="15"/>
  <c r="H13" i="15"/>
  <c r="H9" i="15"/>
  <c r="G50" i="15"/>
  <c r="G48" i="15"/>
  <c r="G42" i="15"/>
  <c r="G39" i="15"/>
  <c r="G37" i="15"/>
  <c r="G36" i="15"/>
  <c r="G34" i="15"/>
  <c r="G31" i="15"/>
  <c r="G29" i="15"/>
  <c r="G27" i="15"/>
  <c r="G26" i="15"/>
  <c r="G23" i="15"/>
  <c r="G21" i="15"/>
  <c r="G19" i="15"/>
  <c r="G17" i="15"/>
  <c r="G15" i="15"/>
  <c r="G13" i="15"/>
  <c r="G9" i="15"/>
  <c r="F48" i="15" l="1"/>
  <c r="F42" i="15"/>
  <c r="F39" i="15"/>
  <c r="F37" i="15"/>
  <c r="F36" i="15"/>
  <c r="F34" i="15"/>
  <c r="F29" i="15"/>
  <c r="F27" i="15"/>
  <c r="F31" i="15" s="1"/>
  <c r="F23" i="15"/>
  <c r="F21" i="15"/>
  <c r="F19" i="15"/>
  <c r="F17" i="15"/>
  <c r="F15" i="15"/>
  <c r="F13" i="15"/>
  <c r="F9" i="15"/>
  <c r="F26" i="15" s="1"/>
  <c r="F50" i="15" l="1"/>
  <c r="L31" i="43"/>
  <c r="L85" i="43"/>
  <c r="L79" i="43"/>
  <c r="F31" i="40" s="1"/>
  <c r="L77" i="43"/>
  <c r="K36" i="43"/>
  <c r="L36" i="43" s="1"/>
  <c r="L45" i="43" s="1"/>
  <c r="F29" i="40" s="1"/>
  <c r="L139" i="45" l="1"/>
  <c r="K23" i="45" l="1"/>
  <c r="L23" i="45" s="1"/>
  <c r="K18" i="45"/>
  <c r="L18" i="45" s="1"/>
  <c r="K194" i="41" l="1"/>
  <c r="L194" i="41" s="1"/>
  <c r="K191" i="41"/>
  <c r="L191" i="41" s="1"/>
  <c r="L103" i="41"/>
  <c r="L24" i="41"/>
  <c r="L198" i="45"/>
  <c r="L84" i="45"/>
  <c r="F9" i="40" s="1"/>
  <c r="L160" i="45"/>
  <c r="L150" i="45"/>
  <c r="L148" i="45"/>
  <c r="L147" i="45"/>
  <c r="K171" i="45"/>
  <c r="L171" i="45" s="1"/>
  <c r="L175" i="45" s="1"/>
  <c r="F13" i="40" s="1"/>
  <c r="K160" i="45"/>
  <c r="K150" i="45"/>
  <c r="K148" i="45"/>
  <c r="I148" i="45"/>
  <c r="I574" i="46"/>
  <c r="K147" i="45"/>
  <c r="K12" i="45"/>
  <c r="L12" i="45" s="1"/>
  <c r="K13" i="45"/>
  <c r="L13" i="45" s="1"/>
  <c r="I214" i="8"/>
  <c r="I204" i="8"/>
  <c r="I196" i="8"/>
  <c r="I194" i="8"/>
  <c r="I192" i="8"/>
  <c r="I187" i="8"/>
  <c r="I164" i="8"/>
  <c r="I134" i="8"/>
  <c r="I132" i="8"/>
  <c r="I130" i="8"/>
  <c r="I126" i="8"/>
  <c r="I122" i="8"/>
  <c r="I109" i="8"/>
  <c r="L60" i="8"/>
  <c r="L54" i="8"/>
  <c r="L47" i="8"/>
  <c r="L33" i="8"/>
  <c r="L29" i="8"/>
  <c r="I86" i="8"/>
  <c r="I81" i="8"/>
  <c r="I64" i="8"/>
  <c r="I37" i="8"/>
  <c r="I27" i="8"/>
  <c r="K25" i="8"/>
  <c r="L25" i="8" s="1"/>
  <c r="I25" i="8"/>
  <c r="L167" i="45" l="1"/>
  <c r="F11" i="40" s="1"/>
  <c r="L376" i="41"/>
  <c r="L377" i="41" s="1"/>
  <c r="F21" i="40" s="1"/>
  <c r="L56" i="45"/>
  <c r="G27" i="35"/>
  <c r="L177" i="45" l="1"/>
  <c r="F5" i="40"/>
  <c r="F15" i="40" s="1"/>
  <c r="H235" i="8"/>
  <c r="F235" i="8"/>
  <c r="I171" i="45"/>
  <c r="I714" i="46"/>
  <c r="I160" i="45"/>
  <c r="I150" i="45"/>
  <c r="I147" i="45"/>
  <c r="I23" i="45"/>
  <c r="I18" i="45"/>
  <c r="I13" i="45"/>
  <c r="I12" i="45"/>
  <c r="I676" i="46"/>
  <c r="I582" i="46"/>
  <c r="I567" i="46"/>
  <c r="I228" i="46"/>
  <c r="I179" i="46"/>
  <c r="I97" i="46"/>
  <c r="I33" i="46"/>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8" i="45"/>
  <c r="H17" i="45"/>
  <c r="H16" i="45"/>
  <c r="H15" i="45"/>
  <c r="H14" i="45"/>
  <c r="H13" i="45"/>
  <c r="H12" i="45"/>
  <c r="H11" i="45"/>
  <c r="H10" i="45"/>
  <c r="I194" i="41"/>
  <c r="I191" i="41"/>
  <c r="G140" i="42"/>
  <c r="G139" i="42"/>
  <c r="I62" i="41"/>
  <c r="I24" i="41"/>
  <c r="I25" i="41"/>
  <c r="G127" i="42"/>
  <c r="H85" i="43"/>
  <c r="H84" i="43"/>
  <c r="H83" i="43"/>
  <c r="H77" i="43"/>
  <c r="H73" i="43"/>
  <c r="H69" i="43"/>
  <c r="H65" i="43"/>
  <c r="H63" i="43"/>
  <c r="H55" i="43"/>
  <c r="H53" i="43"/>
  <c r="H52" i="43"/>
  <c r="H79" i="43" s="1"/>
  <c r="H44" i="43"/>
  <c r="H42" i="43"/>
  <c r="H37" i="43"/>
  <c r="H36" i="43"/>
  <c r="H29" i="43"/>
  <c r="H22" i="43"/>
  <c r="H21" i="43"/>
  <c r="H16" i="43"/>
  <c r="H15" i="43"/>
  <c r="H14" i="43"/>
  <c r="H31" i="43" s="1"/>
  <c r="H56" i="45" l="1"/>
  <c r="H45" i="43"/>
  <c r="I36" i="43"/>
  <c r="G60" i="44"/>
  <c r="I36" i="47" l="1"/>
  <c r="I35" i="47"/>
  <c r="I34" i="47"/>
  <c r="I38" i="47" s="1"/>
  <c r="H2" i="50"/>
  <c r="H7" i="50"/>
  <c r="H6" i="50"/>
  <c r="H5" i="50"/>
  <c r="H4" i="50"/>
  <c r="H201" i="41" l="1"/>
  <c r="H200" i="41"/>
  <c r="H194" i="41"/>
  <c r="H191" i="41"/>
  <c r="H376" i="41" s="1"/>
  <c r="H115" i="41"/>
  <c r="H101" i="41"/>
  <c r="H97" i="41"/>
  <c r="H103" i="41" s="1"/>
  <c r="H91" i="41"/>
  <c r="H73" i="41"/>
  <c r="H69" i="41"/>
  <c r="H52" i="41"/>
  <c r="H46" i="41"/>
  <c r="H44" i="41"/>
  <c r="H29" i="41"/>
  <c r="G110" i="41"/>
  <c r="H110" i="41" s="1"/>
  <c r="G109" i="41"/>
  <c r="H109" i="41" s="1"/>
  <c r="G62" i="41"/>
  <c r="H62" i="41" s="1"/>
  <c r="G25" i="41"/>
  <c r="H25" i="41" s="1"/>
  <c r="G24" i="41"/>
  <c r="H24" i="41" s="1"/>
  <c r="H82" i="30"/>
  <c r="H85" i="30" s="1"/>
  <c r="H77" i="30"/>
  <c r="J235" i="8"/>
  <c r="J234" i="8"/>
  <c r="H236" i="8"/>
  <c r="H234" i="8"/>
  <c r="H233" i="8"/>
  <c r="H231" i="8"/>
  <c r="H230" i="8"/>
  <c r="H228" i="8"/>
  <c r="H227" i="8"/>
  <c r="H226" i="8"/>
  <c r="H224" i="8"/>
  <c r="H223" i="8"/>
  <c r="H222" i="8"/>
  <c r="H221" i="8"/>
  <c r="H219" i="8"/>
  <c r="H217" i="8"/>
  <c r="H215" i="8"/>
  <c r="H213" i="8"/>
  <c r="H212" i="8"/>
  <c r="H210" i="8"/>
  <c r="H208" i="8"/>
  <c r="H206" i="8"/>
  <c r="H205" i="8"/>
  <c r="H203" i="8"/>
  <c r="H202" i="8"/>
  <c r="H201" i="8"/>
  <c r="H199" i="8"/>
  <c r="H198" i="8"/>
  <c r="H197" i="8"/>
  <c r="H195" i="8"/>
  <c r="H193" i="8"/>
  <c r="H191" i="8"/>
  <c r="H190" i="8"/>
  <c r="H188" i="8"/>
  <c r="H186" i="8"/>
  <c r="H184" i="8"/>
  <c r="H182" i="8"/>
  <c r="H181" i="8"/>
  <c r="H180" i="8"/>
  <c r="H178" i="8"/>
  <c r="H176" i="8"/>
  <c r="H174" i="8"/>
  <c r="H172" i="8"/>
  <c r="H171" i="8"/>
  <c r="H170" i="8"/>
  <c r="H168" i="8"/>
  <c r="H166" i="8"/>
  <c r="H165" i="8"/>
  <c r="H162" i="8"/>
  <c r="H161" i="8"/>
  <c r="H160" i="8"/>
  <c r="H158" i="8"/>
  <c r="H157" i="8"/>
  <c r="H156" i="8"/>
  <c r="H154" i="8"/>
  <c r="H153" i="8"/>
  <c r="H152" i="8"/>
  <c r="H151" i="8"/>
  <c r="H149" i="8"/>
  <c r="H147" i="8"/>
  <c r="H145" i="8"/>
  <c r="H144" i="8"/>
  <c r="H143" i="8"/>
  <c r="H142" i="8"/>
  <c r="H141" i="8"/>
  <c r="H140" i="8"/>
  <c r="H139" i="8"/>
  <c r="H137" i="8"/>
  <c r="H136" i="8"/>
  <c r="H135" i="8"/>
  <c r="H133" i="8"/>
  <c r="H131" i="8"/>
  <c r="H129" i="8"/>
  <c r="H128" i="8"/>
  <c r="H127" i="8"/>
  <c r="H125" i="8"/>
  <c r="H123" i="8"/>
  <c r="H121" i="8"/>
  <c r="H120" i="8"/>
  <c r="H118" i="8"/>
  <c r="H116" i="8"/>
  <c r="H115" i="8"/>
  <c r="H114" i="8"/>
  <c r="H112" i="8"/>
  <c r="H110" i="8"/>
  <c r="H108" i="8"/>
  <c r="H107" i="8"/>
  <c r="H106" i="8"/>
  <c r="H105" i="8"/>
  <c r="H104" i="8"/>
  <c r="H103" i="8"/>
  <c r="H102" i="8"/>
  <c r="H101" i="8"/>
  <c r="H100" i="8"/>
  <c r="H99" i="8"/>
  <c r="H97" i="8"/>
  <c r="H95" i="8"/>
  <c r="H93" i="8"/>
  <c r="H92" i="8"/>
  <c r="H91" i="8"/>
  <c r="H89" i="8"/>
  <c r="H87" i="8"/>
  <c r="H85" i="8"/>
  <c r="H84" i="8"/>
  <c r="H83" i="8"/>
  <c r="H82" i="8"/>
  <c r="H80" i="8"/>
  <c r="H79" i="8"/>
  <c r="H78" i="8"/>
  <c r="H76" i="8"/>
  <c r="H75" i="8"/>
  <c r="H73" i="8"/>
  <c r="H72" i="8"/>
  <c r="H71" i="8"/>
  <c r="H70" i="8"/>
  <c r="H69" i="8"/>
  <c r="H68" i="8"/>
  <c r="H67" i="8"/>
  <c r="H66" i="8"/>
  <c r="H65" i="8"/>
  <c r="H63" i="8"/>
  <c r="H62" i="8"/>
  <c r="H61" i="8"/>
  <c r="H59" i="8"/>
  <c r="H58" i="8"/>
  <c r="H57" i="8"/>
  <c r="H56" i="8"/>
  <c r="H55" i="8"/>
  <c r="H53" i="8"/>
  <c r="H52" i="8"/>
  <c r="H51" i="8"/>
  <c r="H50" i="8"/>
  <c r="H49" i="8"/>
  <c r="H48" i="8"/>
  <c r="H46" i="8"/>
  <c r="H45" i="8"/>
  <c r="H44" i="8"/>
  <c r="H43" i="8"/>
  <c r="H42" i="8"/>
  <c r="H41" i="8"/>
  <c r="H40" i="8"/>
  <c r="H38" i="8"/>
  <c r="H36" i="8"/>
  <c r="H34" i="8"/>
  <c r="H32" i="8"/>
  <c r="H31" i="8"/>
  <c r="H30" i="8"/>
  <c r="H28" i="8"/>
  <c r="H26" i="8"/>
  <c r="H24" i="8"/>
  <c r="H23" i="8"/>
  <c r="H22" i="8"/>
  <c r="H21" i="8"/>
  <c r="H20" i="8"/>
  <c r="H18" i="8"/>
  <c r="H17" i="8"/>
  <c r="H16" i="8"/>
  <c r="H15" i="8"/>
  <c r="H14" i="8"/>
  <c r="H13" i="8"/>
  <c r="H12" i="8"/>
  <c r="H11" i="8"/>
  <c r="H10" i="8"/>
  <c r="H9" i="8"/>
  <c r="H8" i="8"/>
  <c r="G237" i="8"/>
  <c r="H237" i="8" s="1"/>
  <c r="G225" i="8"/>
  <c r="H225" i="8" s="1"/>
  <c r="G220" i="8"/>
  <c r="H220" i="8" s="1"/>
  <c r="G218" i="8"/>
  <c r="H218" i="8" s="1"/>
  <c r="G216" i="8"/>
  <c r="H216" i="8" s="1"/>
  <c r="G214" i="8"/>
  <c r="H214" i="8" s="1"/>
  <c r="G211" i="8"/>
  <c r="H211" i="8" s="1"/>
  <c r="G209" i="8"/>
  <c r="H209" i="8" s="1"/>
  <c r="G207" i="8"/>
  <c r="H207" i="8" s="1"/>
  <c r="G204" i="8"/>
  <c r="H204" i="8" s="1"/>
  <c r="G196" i="8"/>
  <c r="H196" i="8" s="1"/>
  <c r="G194" i="8"/>
  <c r="H194" i="8" s="1"/>
  <c r="G192" i="8"/>
  <c r="H192" i="8" s="1"/>
  <c r="G189" i="8"/>
  <c r="H189" i="8" s="1"/>
  <c r="G187" i="8"/>
  <c r="H187" i="8" s="1"/>
  <c r="G185" i="8"/>
  <c r="H185" i="8" s="1"/>
  <c r="G183" i="8"/>
  <c r="H183" i="8" s="1"/>
  <c r="G177" i="8"/>
  <c r="H177" i="8" s="1"/>
  <c r="G175" i="8"/>
  <c r="H175" i="8" s="1"/>
  <c r="G173" i="8"/>
  <c r="H173" i="8" s="1"/>
  <c r="G167" i="8"/>
  <c r="H167" i="8" s="1"/>
  <c r="G164" i="8"/>
  <c r="H164" i="8" s="1"/>
  <c r="G163" i="8"/>
  <c r="H163" i="8" s="1"/>
  <c r="G155" i="8"/>
  <c r="H155" i="8" s="1"/>
  <c r="G150" i="8"/>
  <c r="H150" i="8" s="1"/>
  <c r="G148" i="8"/>
  <c r="H148" i="8" s="1"/>
  <c r="G146" i="8"/>
  <c r="H146" i="8" s="1"/>
  <c r="G138" i="8"/>
  <c r="H138" i="8" s="1"/>
  <c r="G134" i="8"/>
  <c r="H134" i="8" s="1"/>
  <c r="G132" i="8"/>
  <c r="H132" i="8" s="1"/>
  <c r="G130" i="8"/>
  <c r="H130" i="8" s="1"/>
  <c r="G126" i="8"/>
  <c r="H126" i="8" s="1"/>
  <c r="G124" i="8"/>
  <c r="H124" i="8" s="1"/>
  <c r="G122" i="8"/>
  <c r="H122" i="8" s="1"/>
  <c r="G117" i="8"/>
  <c r="H117" i="8" s="1"/>
  <c r="G113" i="8"/>
  <c r="H113" i="8" s="1"/>
  <c r="G111" i="8"/>
  <c r="H111" i="8" s="1"/>
  <c r="G109" i="8"/>
  <c r="H109" i="8" s="1"/>
  <c r="G98" i="8"/>
  <c r="H98" i="8" s="1"/>
  <c r="G96" i="8"/>
  <c r="H96" i="8" s="1"/>
  <c r="G94" i="8"/>
  <c r="H94" i="8" s="1"/>
  <c r="G88" i="8"/>
  <c r="H88" i="8" s="1"/>
  <c r="G86" i="8"/>
  <c r="H86" i="8" s="1"/>
  <c r="G81" i="8"/>
  <c r="H81" i="8" s="1"/>
  <c r="G77" i="8"/>
  <c r="H77" i="8" s="1"/>
  <c r="G74" i="8"/>
  <c r="H74" i="8" s="1"/>
  <c r="G64" i="8"/>
  <c r="H64" i="8" s="1"/>
  <c r="G60" i="8"/>
  <c r="H60" i="8" s="1"/>
  <c r="G54" i="8"/>
  <c r="H54" i="8" s="1"/>
  <c r="G47" i="8"/>
  <c r="H47" i="8" s="1"/>
  <c r="G37" i="8"/>
  <c r="H37" i="8" s="1"/>
  <c r="G35" i="8"/>
  <c r="H35" i="8" s="1"/>
  <c r="G33" i="8"/>
  <c r="H33" i="8" s="1"/>
  <c r="G29" i="8"/>
  <c r="H29" i="8" s="1"/>
  <c r="G27" i="8"/>
  <c r="H27" i="8" s="1"/>
  <c r="G25" i="8"/>
  <c r="H25" i="8" s="1"/>
  <c r="G608" i="35"/>
  <c r="G610" i="35" s="1"/>
  <c r="H196" i="45"/>
  <c r="H195" i="45"/>
  <c r="H194" i="45"/>
  <c r="H193" i="45"/>
  <c r="H192" i="45"/>
  <c r="H191" i="45"/>
  <c r="H190" i="45"/>
  <c r="H189" i="45"/>
  <c r="H188" i="45"/>
  <c r="H187" i="45"/>
  <c r="H186" i="45"/>
  <c r="H185" i="45"/>
  <c r="H184" i="45"/>
  <c r="H183" i="45"/>
  <c r="H182" i="45"/>
  <c r="H181" i="45"/>
  <c r="H180" i="45"/>
  <c r="H178" i="45"/>
  <c r="H176" i="45"/>
  <c r="H174" i="45"/>
  <c r="H173" i="45"/>
  <c r="H172" i="45"/>
  <c r="H171" i="45"/>
  <c r="H170" i="45"/>
  <c r="H168"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0"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H104" i="45"/>
  <c r="H103" i="45"/>
  <c r="H102" i="45"/>
  <c r="H101" i="45"/>
  <c r="H100" i="45"/>
  <c r="H99" i="45"/>
  <c r="H98" i="45"/>
  <c r="H97" i="45"/>
  <c r="H96" i="45"/>
  <c r="H95" i="45"/>
  <c r="H94" i="45"/>
  <c r="H93" i="45"/>
  <c r="H92" i="45"/>
  <c r="H91" i="45"/>
  <c r="H90" i="45"/>
  <c r="H89" i="45"/>
  <c r="H88" i="45"/>
  <c r="H87" i="45"/>
  <c r="H85" i="45"/>
  <c r="H83" i="45"/>
  <c r="H82" i="45"/>
  <c r="H81" i="45"/>
  <c r="H80" i="45"/>
  <c r="H79" i="45"/>
  <c r="H78" i="45"/>
  <c r="H77" i="45"/>
  <c r="H76" i="45"/>
  <c r="H75" i="45"/>
  <c r="H74" i="45"/>
  <c r="H73" i="45"/>
  <c r="H72" i="45"/>
  <c r="H71" i="45"/>
  <c r="H70" i="45"/>
  <c r="H69" i="45"/>
  <c r="H68" i="45"/>
  <c r="H67" i="45"/>
  <c r="H66" i="45"/>
  <c r="H65" i="45"/>
  <c r="H64" i="45"/>
  <c r="H63" i="45"/>
  <c r="H62" i="45"/>
  <c r="H61" i="45"/>
  <c r="H60" i="45"/>
  <c r="H59" i="45"/>
  <c r="H57" i="45"/>
  <c r="H139" i="45" l="1"/>
  <c r="G611" i="35"/>
  <c r="K214" i="8"/>
  <c r="L214" i="8" s="1"/>
  <c r="H84" i="45"/>
  <c r="H167" i="45"/>
  <c r="H175" i="45"/>
  <c r="H198" i="45"/>
  <c r="H239" i="8"/>
  <c r="H154" i="41"/>
  <c r="H377" i="41" s="1"/>
  <c r="H179" i="8"/>
  <c r="H90" i="8"/>
  <c r="H229" i="8"/>
  <c r="H119" i="8"/>
  <c r="H200" i="8"/>
  <c r="H159" i="8"/>
  <c r="H169" i="8"/>
  <c r="H39" i="8"/>
  <c r="H75" i="41"/>
  <c r="H76" i="41" s="1"/>
  <c r="H177" i="45" l="1"/>
  <c r="G629" i="35" l="1"/>
  <c r="G475" i="35" l="1"/>
  <c r="G275" i="35"/>
  <c r="G314" i="35"/>
  <c r="G277" i="35"/>
  <c r="G138" i="35"/>
  <c r="G139" i="35"/>
  <c r="G141" i="35"/>
  <c r="G142" i="35"/>
  <c r="G143" i="35"/>
  <c r="F21" i="49"/>
  <c r="F16" i="49"/>
  <c r="F9" i="49"/>
  <c r="F8" i="49"/>
  <c r="F7" i="49"/>
  <c r="G23" i="49" s="1"/>
  <c r="F34" i="38"/>
  <c r="F33" i="38"/>
  <c r="F32" i="38"/>
  <c r="F29" i="38"/>
  <c r="F28" i="38"/>
  <c r="F27" i="38"/>
  <c r="F26" i="38"/>
  <c r="F25" i="38"/>
  <c r="F24" i="38"/>
  <c r="F20" i="38"/>
  <c r="F19" i="38"/>
  <c r="F18" i="38"/>
  <c r="F17" i="38"/>
  <c r="F16" i="38"/>
  <c r="F15" i="38"/>
  <c r="F14" i="38"/>
  <c r="F13" i="38"/>
  <c r="F12" i="38"/>
  <c r="F11" i="38"/>
  <c r="F10" i="38"/>
  <c r="F9" i="38"/>
  <c r="F8" i="38"/>
  <c r="F7" i="38"/>
  <c r="I28" i="47"/>
  <c r="I27" i="47"/>
  <c r="G27" i="47"/>
  <c r="I26" i="47"/>
  <c r="I25" i="47"/>
  <c r="G25" i="47"/>
  <c r="I24" i="47"/>
  <c r="G24" i="47"/>
  <c r="I23" i="47"/>
  <c r="I22" i="47"/>
  <c r="G22" i="47"/>
  <c r="I21" i="47"/>
  <c r="G21" i="47"/>
  <c r="I20" i="47"/>
  <c r="G20" i="47"/>
  <c r="I19" i="47"/>
  <c r="G19" i="47"/>
  <c r="I18" i="47"/>
  <c r="G18" i="47"/>
  <c r="I17" i="47"/>
  <c r="G17" i="47"/>
  <c r="I16" i="47"/>
  <c r="G16" i="47"/>
  <c r="I15" i="47"/>
  <c r="G15" i="47"/>
  <c r="I14" i="47"/>
  <c r="G14" i="47"/>
  <c r="I13" i="47"/>
  <c r="G13" i="47"/>
  <c r="I12" i="47"/>
  <c r="G12" i="47"/>
  <c r="I11" i="47"/>
  <c r="G11" i="47"/>
  <c r="I10" i="47"/>
  <c r="G10" i="47"/>
  <c r="I9" i="47"/>
  <c r="G9" i="47"/>
  <c r="I8" i="47"/>
  <c r="G8" i="47"/>
  <c r="I7" i="47"/>
  <c r="G7" i="47"/>
  <c r="I6" i="47"/>
  <c r="G6" i="47"/>
  <c r="H23" i="48"/>
  <c r="H24" i="48" s="1"/>
  <c r="H17" i="48"/>
  <c r="F17" i="48"/>
  <c r="H16" i="48"/>
  <c r="F16" i="48"/>
  <c r="H15" i="48"/>
  <c r="F15" i="48"/>
  <c r="H14" i="48"/>
  <c r="F14" i="48"/>
  <c r="H13" i="48"/>
  <c r="F13" i="48"/>
  <c r="H12" i="48"/>
  <c r="F12" i="48"/>
  <c r="H11" i="48"/>
  <c r="F11" i="48"/>
  <c r="H10" i="48"/>
  <c r="F10" i="48"/>
  <c r="H9" i="48"/>
  <c r="F9" i="48"/>
  <c r="G44" i="44"/>
  <c r="I44" i="43" s="1"/>
  <c r="J44" i="43" s="1"/>
  <c r="G40" i="44"/>
  <c r="G41" i="44" s="1"/>
  <c r="I42" i="43" s="1"/>
  <c r="J42" i="43" s="1"/>
  <c r="A38" i="44"/>
  <c r="A43" i="44" s="1"/>
  <c r="G35" i="44"/>
  <c r="G36" i="44" s="1"/>
  <c r="I37" i="43" s="1"/>
  <c r="J37" i="43" s="1"/>
  <c r="G28" i="44"/>
  <c r="G29" i="44" s="1"/>
  <c r="G20" i="44"/>
  <c r="I16" i="43" s="1"/>
  <c r="J16" i="43" s="1"/>
  <c r="G15" i="44"/>
  <c r="G11" i="44"/>
  <c r="I14" i="43" s="1"/>
  <c r="J14" i="43" s="1"/>
  <c r="G10" i="44"/>
  <c r="G9" i="44"/>
  <c r="J84" i="43"/>
  <c r="J83" i="43"/>
  <c r="J77" i="43"/>
  <c r="F77" i="43"/>
  <c r="J73" i="43"/>
  <c r="F73" i="43"/>
  <c r="J69" i="43"/>
  <c r="F69" i="43"/>
  <c r="J65" i="43"/>
  <c r="F65" i="43"/>
  <c r="J63" i="43"/>
  <c r="F63" i="43"/>
  <c r="A60" i="43"/>
  <c r="A67" i="43" s="1"/>
  <c r="A71" i="43" s="1"/>
  <c r="A75" i="43" s="1"/>
  <c r="F58" i="43"/>
  <c r="F57" i="43"/>
  <c r="F56" i="43"/>
  <c r="J55" i="43"/>
  <c r="F55" i="43"/>
  <c r="F54" i="43"/>
  <c r="J53" i="43"/>
  <c r="F53" i="43"/>
  <c r="J52" i="43"/>
  <c r="F52" i="43"/>
  <c r="F44" i="43"/>
  <c r="F42" i="43"/>
  <c r="A40" i="43"/>
  <c r="A44" i="43" s="1"/>
  <c r="F38" i="43"/>
  <c r="F37" i="43"/>
  <c r="J36" i="43"/>
  <c r="F36" i="43"/>
  <c r="F45" i="43" s="1"/>
  <c r="J29" i="43"/>
  <c r="F29" i="43"/>
  <c r="F26" i="43"/>
  <c r="J22" i="43"/>
  <c r="F22" i="43"/>
  <c r="J21" i="43"/>
  <c r="F21" i="43"/>
  <c r="F20" i="43"/>
  <c r="F19" i="43"/>
  <c r="A17" i="43"/>
  <c r="A24" i="43" s="1"/>
  <c r="I15" i="43"/>
  <c r="J15" i="43" s="1"/>
  <c r="F15" i="43"/>
  <c r="F14" i="43"/>
  <c r="F13" i="43"/>
  <c r="L122" i="42"/>
  <c r="K122" i="42"/>
  <c r="L109" i="42"/>
  <c r="D128" i="42" s="1"/>
  <c r="F128" i="42" s="1"/>
  <c r="K109" i="42"/>
  <c r="D127" i="42" s="1"/>
  <c r="D331" i="41"/>
  <c r="D324" i="41"/>
  <c r="A221" i="4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51" i="41" s="1"/>
  <c r="A262" i="41" s="1"/>
  <c r="A269" i="41" s="1"/>
  <c r="A276" i="41" s="1"/>
  <c r="A280" i="41" s="1"/>
  <c r="A290" i="41" s="1"/>
  <c r="A298" i="41" s="1"/>
  <c r="A302" i="41" s="1"/>
  <c r="A306" i="41" s="1"/>
  <c r="A310" i="41" s="1"/>
  <c r="A312" i="41" s="1"/>
  <c r="A314" i="41" s="1"/>
  <c r="A319" i="41" s="1"/>
  <c r="A333" i="41" s="1"/>
  <c r="A342" i="41" s="1"/>
  <c r="A346" i="41" s="1"/>
  <c r="A350" i="41" s="1"/>
  <c r="A354" i="41" s="1"/>
  <c r="A360" i="41" s="1"/>
  <c r="A364" i="41" s="1"/>
  <c r="A368" i="41" s="1"/>
  <c r="A370" i="41" s="1"/>
  <c r="A372" i="41" s="1"/>
  <c r="A374" i="41" s="1"/>
  <c r="F204" i="41"/>
  <c r="F203" i="41"/>
  <c r="F202" i="41"/>
  <c r="J201" i="41"/>
  <c r="F201" i="41"/>
  <c r="J200" i="41"/>
  <c r="F200" i="41"/>
  <c r="J194" i="41"/>
  <c r="F194" i="41"/>
  <c r="J191" i="41"/>
  <c r="J376" i="41" s="1"/>
  <c r="F191" i="41"/>
  <c r="F123" i="41"/>
  <c r="F121" i="41"/>
  <c r="F117" i="41"/>
  <c r="J115" i="41"/>
  <c r="F115" i="41"/>
  <c r="F112" i="41"/>
  <c r="F111" i="41"/>
  <c r="J110" i="41"/>
  <c r="F110" i="41"/>
  <c r="J109" i="41"/>
  <c r="F109" i="41"/>
  <c r="J101" i="41"/>
  <c r="F101" i="41"/>
  <c r="J97" i="41"/>
  <c r="F97" i="41"/>
  <c r="J91" i="41"/>
  <c r="J103" i="41" s="1"/>
  <c r="F91" i="41"/>
  <c r="F73" i="41"/>
  <c r="F69" i="41"/>
  <c r="J62" i="41"/>
  <c r="F62" i="41"/>
  <c r="J52" i="41"/>
  <c r="F52" i="41"/>
  <c r="J46" i="41"/>
  <c r="F46" i="41"/>
  <c r="J44" i="41"/>
  <c r="F44" i="41"/>
  <c r="F42" i="41"/>
  <c r="F31" i="41"/>
  <c r="J29" i="41"/>
  <c r="F29" i="41"/>
  <c r="F26" i="41"/>
  <c r="F75" i="41" s="1"/>
  <c r="F76" i="41" s="1"/>
  <c r="J25" i="41"/>
  <c r="F25" i="41"/>
  <c r="J24" i="41"/>
  <c r="F24" i="41"/>
  <c r="F18" i="41"/>
  <c r="I822" i="46"/>
  <c r="F818" i="46"/>
  <c r="I818" i="46" s="1"/>
  <c r="F817" i="46"/>
  <c r="I817" i="46" s="1"/>
  <c r="F816" i="46"/>
  <c r="I816" i="46" s="1"/>
  <c r="F815" i="46"/>
  <c r="I815" i="46" s="1"/>
  <c r="F814" i="46"/>
  <c r="I814" i="46" s="1"/>
  <c r="F811" i="46"/>
  <c r="I811" i="46" s="1"/>
  <c r="F810" i="46"/>
  <c r="I810" i="46" s="1"/>
  <c r="F809" i="46"/>
  <c r="I809" i="46" s="1"/>
  <c r="F808" i="46"/>
  <c r="I808" i="46" s="1"/>
  <c r="F807" i="46"/>
  <c r="I807" i="46" s="1"/>
  <c r="F806" i="46"/>
  <c r="I806" i="46" s="1"/>
  <c r="F805" i="46"/>
  <c r="I805" i="46" s="1"/>
  <c r="F804" i="46"/>
  <c r="I804" i="46" s="1"/>
  <c r="F803" i="46"/>
  <c r="I803" i="46" s="1"/>
  <c r="F802" i="46"/>
  <c r="I802" i="46" s="1"/>
  <c r="F799" i="46"/>
  <c r="I799" i="46" s="1"/>
  <c r="F798" i="46"/>
  <c r="I798" i="46" s="1"/>
  <c r="F797" i="46"/>
  <c r="I797" i="46" s="1"/>
  <c r="F796" i="46"/>
  <c r="I796" i="46" s="1"/>
  <c r="I795" i="46"/>
  <c r="F795" i="46"/>
  <c r="F794" i="46"/>
  <c r="I794" i="46" s="1"/>
  <c r="F793" i="46"/>
  <c r="I793" i="46" s="1"/>
  <c r="F792" i="46"/>
  <c r="I792" i="46" s="1"/>
  <c r="F791" i="46"/>
  <c r="I791" i="46" s="1"/>
  <c r="F790" i="46"/>
  <c r="I790" i="46" s="1"/>
  <c r="F789" i="46"/>
  <c r="I789" i="46" s="1"/>
  <c r="F788" i="46"/>
  <c r="I788" i="46" s="1"/>
  <c r="F787" i="46"/>
  <c r="I787" i="46" s="1"/>
  <c r="I781" i="46"/>
  <c r="I780" i="46"/>
  <c r="I779" i="46"/>
  <c r="I778" i="46"/>
  <c r="I777" i="46"/>
  <c r="I776" i="46"/>
  <c r="I769" i="46"/>
  <c r="I768" i="46"/>
  <c r="I767" i="46"/>
  <c r="I766" i="46"/>
  <c r="I765" i="46"/>
  <c r="I764" i="46"/>
  <c r="I758" i="46"/>
  <c r="I757" i="46"/>
  <c r="I756" i="46"/>
  <c r="I755" i="46"/>
  <c r="I188" i="45" s="1"/>
  <c r="I754" i="46"/>
  <c r="I750" i="46"/>
  <c r="I749" i="46"/>
  <c r="I748" i="46"/>
  <c r="I747" i="46"/>
  <c r="I746" i="46"/>
  <c r="I745" i="46"/>
  <c r="I744" i="46"/>
  <c r="I743" i="46"/>
  <c r="I742" i="46"/>
  <c r="I741" i="46"/>
  <c r="I740" i="46"/>
  <c r="I739" i="46"/>
  <c r="I738" i="46"/>
  <c r="I737" i="46"/>
  <c r="I736" i="46"/>
  <c r="I186" i="45" s="1"/>
  <c r="F731" i="46"/>
  <c r="I731" i="46" s="1"/>
  <c r="I730" i="46"/>
  <c r="F730" i="46"/>
  <c r="F729" i="46"/>
  <c r="I729" i="46" s="1"/>
  <c r="F728" i="46"/>
  <c r="I728" i="46" s="1"/>
  <c r="F727" i="46"/>
  <c r="I727" i="46" s="1"/>
  <c r="F726" i="46"/>
  <c r="I726" i="46" s="1"/>
  <c r="F725" i="46"/>
  <c r="I725" i="46" s="1"/>
  <c r="F724" i="46"/>
  <c r="I724" i="46" s="1"/>
  <c r="F723" i="46"/>
  <c r="I723" i="46" s="1"/>
  <c r="F722" i="46"/>
  <c r="I722" i="46" s="1"/>
  <c r="F721" i="46"/>
  <c r="I721" i="46" s="1"/>
  <c r="F720" i="46"/>
  <c r="I720" i="46" s="1"/>
  <c r="I718" i="46"/>
  <c r="I715" i="46"/>
  <c r="I710" i="46"/>
  <c r="I709" i="46"/>
  <c r="I708" i="46"/>
  <c r="I707" i="46"/>
  <c r="I706" i="46"/>
  <c r="I705" i="46"/>
  <c r="I704" i="46"/>
  <c r="I703" i="46"/>
  <c r="I702" i="46"/>
  <c r="I701" i="46"/>
  <c r="I700" i="46"/>
  <c r="I699" i="46"/>
  <c r="I690" i="46"/>
  <c r="I691" i="46" s="1"/>
  <c r="I165" i="45" s="1"/>
  <c r="J165" i="45" s="1"/>
  <c r="I687" i="46"/>
  <c r="I163" i="45"/>
  <c r="J163" i="45" s="1"/>
  <c r="I684" i="46"/>
  <c r="I681" i="46"/>
  <c r="I678" i="46"/>
  <c r="I671" i="46"/>
  <c r="I670" i="46"/>
  <c r="I669" i="46"/>
  <c r="I668" i="46"/>
  <c r="I667" i="46"/>
  <c r="I666" i="46"/>
  <c r="I665" i="46"/>
  <c r="I664" i="46"/>
  <c r="I663" i="46"/>
  <c r="I662" i="46"/>
  <c r="I661" i="46"/>
  <c r="I660" i="46"/>
  <c r="I659" i="46"/>
  <c r="F652" i="46"/>
  <c r="I652" i="46" s="1"/>
  <c r="F651" i="46"/>
  <c r="I651" i="46" s="1"/>
  <c r="F650" i="46"/>
  <c r="I650" i="46" s="1"/>
  <c r="F649" i="46"/>
  <c r="I649" i="46" s="1"/>
  <c r="F648" i="46"/>
  <c r="I648" i="46" s="1"/>
  <c r="F647" i="46"/>
  <c r="I647" i="46" s="1"/>
  <c r="F646" i="46"/>
  <c r="I646" i="46" s="1"/>
  <c r="F645" i="46"/>
  <c r="I645" i="46" s="1"/>
  <c r="I644" i="46"/>
  <c r="F644" i="46"/>
  <c r="F643" i="46"/>
  <c r="I643" i="46" s="1"/>
  <c r="F642" i="46"/>
  <c r="I642" i="46" s="1"/>
  <c r="F641" i="46"/>
  <c r="I641" i="46" s="1"/>
  <c r="F640" i="46"/>
  <c r="I640" i="46" s="1"/>
  <c r="F637" i="46"/>
  <c r="I637" i="46" s="1"/>
  <c r="F636" i="46"/>
  <c r="I636" i="46" s="1"/>
  <c r="F635" i="46"/>
  <c r="I635" i="46" s="1"/>
  <c r="F634" i="46"/>
  <c r="I634" i="46" s="1"/>
  <c r="F633" i="46"/>
  <c r="I633" i="46" s="1"/>
  <c r="F632" i="46"/>
  <c r="I632" i="46" s="1"/>
  <c r="F631" i="46"/>
  <c r="I631" i="46" s="1"/>
  <c r="F630" i="46"/>
  <c r="I630" i="46" s="1"/>
  <c r="F629" i="46"/>
  <c r="I629" i="46" s="1"/>
  <c r="F628" i="46"/>
  <c r="I628" i="46" s="1"/>
  <c r="F627" i="46"/>
  <c r="I627" i="46" s="1"/>
  <c r="F626" i="46"/>
  <c r="I626" i="46" s="1"/>
  <c r="F625" i="46"/>
  <c r="I625" i="46" s="1"/>
  <c r="F624" i="46"/>
  <c r="I624" i="46" s="1"/>
  <c r="F623" i="46"/>
  <c r="I623" i="46" s="1"/>
  <c r="F622" i="46"/>
  <c r="I622" i="46" s="1"/>
  <c r="F621" i="46"/>
  <c r="I621" i="46" s="1"/>
  <c r="F620" i="46"/>
  <c r="I620" i="46" s="1"/>
  <c r="F619" i="46"/>
  <c r="I619" i="46" s="1"/>
  <c r="F618" i="46"/>
  <c r="I618" i="46" s="1"/>
  <c r="F617" i="46"/>
  <c r="I617" i="46" s="1"/>
  <c r="F616" i="46"/>
  <c r="I616" i="46" s="1"/>
  <c r="F615" i="46"/>
  <c r="I615" i="46" s="1"/>
  <c r="F614" i="46"/>
  <c r="I614" i="46" s="1"/>
  <c r="F613" i="46"/>
  <c r="I613" i="46" s="1"/>
  <c r="F612" i="46"/>
  <c r="I612" i="46" s="1"/>
  <c r="F611" i="46"/>
  <c r="I611" i="46" s="1"/>
  <c r="F610" i="46"/>
  <c r="I610" i="46" s="1"/>
  <c r="F609" i="46"/>
  <c r="I609" i="46" s="1"/>
  <c r="I608" i="46"/>
  <c r="F608" i="46"/>
  <c r="F607" i="46"/>
  <c r="I607" i="46" s="1"/>
  <c r="F606" i="46"/>
  <c r="I606" i="46" s="1"/>
  <c r="F605" i="46"/>
  <c r="I605" i="46" s="1"/>
  <c r="F604" i="46"/>
  <c r="I604" i="46" s="1"/>
  <c r="F603" i="46"/>
  <c r="I603" i="46" s="1"/>
  <c r="F602" i="46"/>
  <c r="I602" i="46" s="1"/>
  <c r="F601" i="46"/>
  <c r="I601" i="46" s="1"/>
  <c r="F600" i="46"/>
  <c r="I600" i="46" s="1"/>
  <c r="F599" i="46"/>
  <c r="I599" i="46" s="1"/>
  <c r="F598" i="46"/>
  <c r="I598" i="46" s="1"/>
  <c r="F597" i="46"/>
  <c r="I597" i="46" s="1"/>
  <c r="F596" i="46"/>
  <c r="I596" i="46" s="1"/>
  <c r="F595" i="46"/>
  <c r="I595" i="46" s="1"/>
  <c r="I591" i="46"/>
  <c r="I592" i="46" s="1"/>
  <c r="I154" i="45" s="1"/>
  <c r="J154" i="45" s="1"/>
  <c r="I588" i="46"/>
  <c r="I589" i="46" s="1"/>
  <c r="I584" i="46"/>
  <c r="I578" i="46"/>
  <c r="I579" i="46" s="1"/>
  <c r="I570" i="46"/>
  <c r="I571" i="46" s="1"/>
  <c r="J148" i="45" s="1"/>
  <c r="I562" i="46"/>
  <c r="I561" i="46"/>
  <c r="I560" i="46"/>
  <c r="I559" i="46"/>
  <c r="I558" i="46"/>
  <c r="I557" i="46"/>
  <c r="I556" i="46"/>
  <c r="I555" i="46"/>
  <c r="I554" i="46"/>
  <c r="I553" i="46"/>
  <c r="I552" i="46"/>
  <c r="I551" i="46"/>
  <c r="I550" i="46"/>
  <c r="I549" i="46"/>
  <c r="I548" i="46"/>
  <c r="I547" i="46"/>
  <c r="I546" i="46"/>
  <c r="I545" i="46"/>
  <c r="I544" i="46"/>
  <c r="I543" i="46"/>
  <c r="I542" i="46"/>
  <c r="I541" i="46"/>
  <c r="I540" i="46"/>
  <c r="I539" i="46"/>
  <c r="I538" i="46"/>
  <c r="I534" i="46"/>
  <c r="I535" i="46" s="1"/>
  <c r="I146" i="45" s="1"/>
  <c r="J146" i="45" s="1"/>
  <c r="I523" i="46"/>
  <c r="I516" i="46"/>
  <c r="I515" i="46"/>
  <c r="I511" i="46"/>
  <c r="I512" i="46" s="1"/>
  <c r="I475" i="46"/>
  <c r="I476" i="46" s="1"/>
  <c r="I95" i="45" s="1"/>
  <c r="J95" i="45" s="1"/>
  <c r="I468" i="46"/>
  <c r="I469" i="46" s="1"/>
  <c r="I91" i="45" s="1"/>
  <c r="J91" i="45" s="1"/>
  <c r="I464" i="46"/>
  <c r="I465" i="46" s="1"/>
  <c r="I89" i="45" s="1"/>
  <c r="J89" i="45" s="1"/>
  <c r="I454" i="46"/>
  <c r="I443" i="46"/>
  <c r="I72" i="45" s="1"/>
  <c r="J72" i="45" s="1"/>
  <c r="I438" i="46"/>
  <c r="I434" i="46"/>
  <c r="I433" i="46"/>
  <c r="I432" i="46"/>
  <c r="I69" i="45" s="1"/>
  <c r="J69" i="45" s="1"/>
  <c r="I428" i="46"/>
  <c r="I427" i="46"/>
  <c r="F422" i="46"/>
  <c r="I422" i="46" s="1"/>
  <c r="I418" i="46"/>
  <c r="I417" i="46"/>
  <c r="I416" i="46"/>
  <c r="F415" i="46"/>
  <c r="I415" i="46" s="1"/>
  <c r="F414" i="46"/>
  <c r="I414" i="46" s="1"/>
  <c r="F413" i="46"/>
  <c r="I413" i="46" s="1"/>
  <c r="F412" i="46"/>
  <c r="I412" i="46" s="1"/>
  <c r="I408" i="46"/>
  <c r="F407" i="46"/>
  <c r="I407" i="46" s="1"/>
  <c r="I406" i="46"/>
  <c r="F405" i="46"/>
  <c r="I405" i="46" s="1"/>
  <c r="F404" i="46"/>
  <c r="I404" i="46" s="1"/>
  <c r="F403" i="46"/>
  <c r="I403" i="46" s="1"/>
  <c r="I387" i="46"/>
  <c r="I386" i="46"/>
  <c r="I385" i="46"/>
  <c r="I384" i="46"/>
  <c r="I383" i="46"/>
  <c r="I382" i="46"/>
  <c r="I381" i="46"/>
  <c r="I380" i="46"/>
  <c r="I379" i="46"/>
  <c r="I378" i="46"/>
  <c r="I377" i="46"/>
  <c r="I376" i="46"/>
  <c r="I375" i="46"/>
  <c r="I374" i="46"/>
  <c r="I373" i="46"/>
  <c r="I372" i="46"/>
  <c r="I371" i="46"/>
  <c r="I370" i="46"/>
  <c r="I369" i="46"/>
  <c r="I368" i="46"/>
  <c r="I367" i="46"/>
  <c r="I366" i="46"/>
  <c r="I365" i="46"/>
  <c r="I364" i="46"/>
  <c r="I363" i="46"/>
  <c r="I362" i="46"/>
  <c r="I361" i="46"/>
  <c r="I360" i="46"/>
  <c r="I359" i="46"/>
  <c r="I358" i="46"/>
  <c r="I357" i="46"/>
  <c r="I356" i="46"/>
  <c r="I355" i="46"/>
  <c r="I354" i="46"/>
  <c r="I353" i="46"/>
  <c r="I352" i="46"/>
  <c r="I351" i="46"/>
  <c r="I350" i="46"/>
  <c r="I349" i="46"/>
  <c r="I348" i="46"/>
  <c r="I347" i="46"/>
  <c r="I346" i="46"/>
  <c r="I345" i="46"/>
  <c r="I344" i="46"/>
  <c r="I343" i="46"/>
  <c r="I342" i="46"/>
  <c r="I341" i="46"/>
  <c r="I340" i="46"/>
  <c r="I339" i="46"/>
  <c r="I338" i="46"/>
  <c r="I337" i="46"/>
  <c r="I336" i="46"/>
  <c r="I51" i="45" s="1"/>
  <c r="J51" i="45" s="1"/>
  <c r="I335" i="46"/>
  <c r="I334" i="46"/>
  <c r="I333" i="46"/>
  <c r="F323" i="46"/>
  <c r="I323" i="46" s="1"/>
  <c r="F322" i="46"/>
  <c r="I322" i="46" s="1"/>
  <c r="F321" i="46"/>
  <c r="I321" i="46" s="1"/>
  <c r="F320" i="46"/>
  <c r="I320" i="46" s="1"/>
  <c r="F318" i="46"/>
  <c r="I318" i="46" s="1"/>
  <c r="F317" i="46"/>
  <c r="I317" i="46" s="1"/>
  <c r="I316" i="46"/>
  <c r="F315" i="46"/>
  <c r="I315" i="46" s="1"/>
  <c r="F314" i="46"/>
  <c r="I314" i="46" s="1"/>
  <c r="I313" i="46"/>
  <c r="I312" i="46"/>
  <c r="I311" i="46"/>
  <c r="F311" i="46"/>
  <c r="F310" i="46"/>
  <c r="I310" i="46" s="1"/>
  <c r="F308" i="46"/>
  <c r="I308" i="46" s="1"/>
  <c r="F307" i="46"/>
  <c r="I307" i="46" s="1"/>
  <c r="F306" i="46"/>
  <c r="I306" i="46" s="1"/>
  <c r="F305" i="46"/>
  <c r="I305" i="46" s="1"/>
  <c r="F304" i="46"/>
  <c r="I304" i="46" s="1"/>
  <c r="F303" i="46"/>
  <c r="I303" i="46" s="1"/>
  <c r="F302" i="46"/>
  <c r="I302" i="46" s="1"/>
  <c r="F301" i="46"/>
  <c r="I301" i="46" s="1"/>
  <c r="F300" i="46"/>
  <c r="I300" i="46" s="1"/>
  <c r="F299" i="46"/>
  <c r="I299" i="46" s="1"/>
  <c r="E274" i="46"/>
  <c r="I274" i="46" s="1"/>
  <c r="E273" i="46"/>
  <c r="I273" i="46" s="1"/>
  <c r="E272" i="46"/>
  <c r="I272" i="46" s="1"/>
  <c r="E271" i="46"/>
  <c r="I271" i="46" s="1"/>
  <c r="E270" i="46"/>
  <c r="I270" i="46" s="1"/>
  <c r="E269" i="46"/>
  <c r="I269" i="46" s="1"/>
  <c r="E268" i="46"/>
  <c r="I268" i="46" s="1"/>
  <c r="E267" i="46"/>
  <c r="I267" i="46" s="1"/>
  <c r="E266" i="46"/>
  <c r="I266" i="46" s="1"/>
  <c r="E265" i="46"/>
  <c r="I265" i="46" s="1"/>
  <c r="E264" i="46"/>
  <c r="I264" i="46" s="1"/>
  <c r="E263" i="46"/>
  <c r="I263" i="46" s="1"/>
  <c r="E262" i="46"/>
  <c r="I262" i="46" s="1"/>
  <c r="E261" i="46"/>
  <c r="I261" i="46" s="1"/>
  <c r="I29" i="45" s="1"/>
  <c r="J29" i="45" s="1"/>
  <c r="I256" i="46"/>
  <c r="I255" i="46"/>
  <c r="I254" i="46"/>
  <c r="I253" i="46"/>
  <c r="I252" i="46"/>
  <c r="I251" i="46"/>
  <c r="I250" i="46"/>
  <c r="I249" i="46"/>
  <c r="I28" i="45" s="1"/>
  <c r="J28" i="45" s="1"/>
  <c r="I245" i="46"/>
  <c r="I244" i="46"/>
  <c r="I243" i="46"/>
  <c r="I242" i="46"/>
  <c r="I26" i="45" s="1"/>
  <c r="J26" i="45" s="1"/>
  <c r="I234" i="46"/>
  <c r="I233" i="46"/>
  <c r="I232" i="46"/>
  <c r="I224" i="46"/>
  <c r="I223" i="46"/>
  <c r="I222" i="46"/>
  <c r="I221" i="46"/>
  <c r="I220" i="46"/>
  <c r="I219" i="46"/>
  <c r="I218" i="46"/>
  <c r="I217" i="46"/>
  <c r="I216" i="46"/>
  <c r="I215" i="46"/>
  <c r="I214" i="46"/>
  <c r="I213" i="46"/>
  <c r="I212" i="46"/>
  <c r="I211" i="46"/>
  <c r="I210" i="46"/>
  <c r="I209" i="46"/>
  <c r="I208" i="46"/>
  <c r="I207" i="46"/>
  <c r="I206" i="46"/>
  <c r="I205" i="46"/>
  <c r="I204" i="46"/>
  <c r="I203" i="46"/>
  <c r="I202" i="46"/>
  <c r="I197" i="46"/>
  <c r="I196" i="46"/>
  <c r="I22" i="45" s="1"/>
  <c r="J22" i="45" s="1"/>
  <c r="I188" i="46"/>
  <c r="I187" i="46"/>
  <c r="I175" i="46"/>
  <c r="I174" i="46"/>
  <c r="I173" i="46"/>
  <c r="I172" i="46"/>
  <c r="I171" i="46"/>
  <c r="I170" i="46"/>
  <c r="I168" i="46"/>
  <c r="I167" i="46"/>
  <c r="I166" i="46"/>
  <c r="I165" i="46"/>
  <c r="I164" i="46"/>
  <c r="I158" i="46"/>
  <c r="I157" i="46"/>
  <c r="I156" i="46"/>
  <c r="I155" i="46"/>
  <c r="I154" i="46"/>
  <c r="I153" i="46"/>
  <c r="I150" i="46"/>
  <c r="I149" i="46"/>
  <c r="I148" i="46"/>
  <c r="I147" i="46"/>
  <c r="I142" i="46"/>
  <c r="I141" i="46"/>
  <c r="I140" i="46"/>
  <c r="I139" i="46"/>
  <c r="I138" i="46"/>
  <c r="I137" i="46"/>
  <c r="I136" i="46"/>
  <c r="I135" i="46"/>
  <c r="I16" i="45" s="1"/>
  <c r="J16" i="45" s="1"/>
  <c r="I129" i="46"/>
  <c r="I128" i="46"/>
  <c r="I127" i="46"/>
  <c r="I126" i="46"/>
  <c r="I125" i="46"/>
  <c r="I124" i="46"/>
  <c r="I123" i="46"/>
  <c r="I118" i="46"/>
  <c r="I117" i="46"/>
  <c r="I116" i="46"/>
  <c r="I115" i="46"/>
  <c r="I114" i="46"/>
  <c r="I113" i="46"/>
  <c r="I109" i="46"/>
  <c r="I108" i="46"/>
  <c r="I107" i="46"/>
  <c r="I110" i="46" s="1"/>
  <c r="I103" i="46"/>
  <c r="I102" i="46"/>
  <c r="I101" i="46"/>
  <c r="I104" i="46" s="1"/>
  <c r="I92" i="46"/>
  <c r="I91" i="46"/>
  <c r="I90" i="46"/>
  <c r="I87" i="46"/>
  <c r="I86" i="46"/>
  <c r="I85" i="46"/>
  <c r="I84" i="46"/>
  <c r="I83" i="46"/>
  <c r="I80" i="46"/>
  <c r="I77" i="46"/>
  <c r="I76" i="46"/>
  <c r="I75" i="46"/>
  <c r="I74" i="46"/>
  <c r="I73" i="46"/>
  <c r="I70" i="46"/>
  <c r="I69" i="46"/>
  <c r="I68" i="46"/>
  <c r="I67" i="46"/>
  <c r="I66" i="46"/>
  <c r="I63" i="46"/>
  <c r="I62" i="46"/>
  <c r="I61" i="46"/>
  <c r="I60" i="46"/>
  <c r="I59" i="46"/>
  <c r="I58" i="46"/>
  <c r="I57" i="46"/>
  <c r="I56" i="46"/>
  <c r="I53" i="46"/>
  <c r="I52" i="46"/>
  <c r="I51" i="46"/>
  <c r="I50" i="46"/>
  <c r="I49" i="46"/>
  <c r="I46" i="46"/>
  <c r="I45" i="46"/>
  <c r="I44" i="46"/>
  <c r="I43" i="46"/>
  <c r="I42" i="46"/>
  <c r="I40" i="46"/>
  <c r="I39" i="46"/>
  <c r="I38" i="46"/>
  <c r="I37" i="46"/>
  <c r="I36" i="46"/>
  <c r="I29" i="46"/>
  <c r="I28" i="46"/>
  <c r="I27" i="46"/>
  <c r="I22" i="46"/>
  <c r="I21" i="46"/>
  <c r="I17" i="46"/>
  <c r="I16" i="46"/>
  <c r="I15" i="46"/>
  <c r="I14" i="46"/>
  <c r="I13" i="46"/>
  <c r="I12" i="46"/>
  <c r="I11" i="46"/>
  <c r="I10" i="46"/>
  <c r="I9" i="46"/>
  <c r="I8" i="46"/>
  <c r="I196" i="45"/>
  <c r="I173" i="45"/>
  <c r="J173" i="45" s="1"/>
  <c r="F173" i="45"/>
  <c r="I172" i="45"/>
  <c r="J172" i="45" s="1"/>
  <c r="F172" i="45"/>
  <c r="F171" i="45"/>
  <c r="F175" i="45" s="1"/>
  <c r="J166" i="45"/>
  <c r="F165" i="45"/>
  <c r="I164" i="45"/>
  <c r="J164" i="45" s="1"/>
  <c r="F164" i="45"/>
  <c r="F163" i="45"/>
  <c r="I162" i="45"/>
  <c r="J162" i="45" s="1"/>
  <c r="F162" i="45"/>
  <c r="I161" i="45"/>
  <c r="J161" i="45" s="1"/>
  <c r="F160" i="45"/>
  <c r="J159" i="45"/>
  <c r="J158" i="45"/>
  <c r="J157" i="45"/>
  <c r="F157" i="45"/>
  <c r="J156" i="45"/>
  <c r="F155" i="45"/>
  <c r="F154" i="45"/>
  <c r="I153" i="45"/>
  <c r="J153" i="45" s="1"/>
  <c r="F153" i="45"/>
  <c r="I152" i="45"/>
  <c r="J152" i="45" s="1"/>
  <c r="I151" i="45"/>
  <c r="J151" i="45" s="1"/>
  <c r="F151" i="45"/>
  <c r="J150" i="45"/>
  <c r="F150" i="45"/>
  <c r="J149" i="45"/>
  <c r="F148" i="45"/>
  <c r="F147" i="45"/>
  <c r="F146" i="45"/>
  <c r="J145" i="45"/>
  <c r="J144" i="45"/>
  <c r="J143" i="45"/>
  <c r="J142" i="45"/>
  <c r="J138" i="45"/>
  <c r="F138" i="45"/>
  <c r="I137" i="45"/>
  <c r="J137" i="45" s="1"/>
  <c r="J136" i="45"/>
  <c r="J135" i="45"/>
  <c r="F135" i="45"/>
  <c r="J134" i="45"/>
  <c r="J133" i="45"/>
  <c r="I132" i="45"/>
  <c r="J132" i="45" s="1"/>
  <c r="F132" i="45"/>
  <c r="J131" i="45"/>
  <c r="J130" i="45"/>
  <c r="I129" i="45"/>
  <c r="J129" i="45" s="1"/>
  <c r="F129" i="45"/>
  <c r="J128" i="45"/>
  <c r="J127" i="45"/>
  <c r="J126" i="45"/>
  <c r="J125" i="45"/>
  <c r="J124" i="45"/>
  <c r="J123" i="45"/>
  <c r="J122" i="45"/>
  <c r="J120" i="45"/>
  <c r="J119" i="45"/>
  <c r="J118" i="45"/>
  <c r="J117" i="45"/>
  <c r="J116" i="45"/>
  <c r="J115" i="45"/>
  <c r="J114" i="45"/>
  <c r="J113" i="45"/>
  <c r="J112" i="45"/>
  <c r="J111" i="45"/>
  <c r="J110" i="45"/>
  <c r="J109" i="45"/>
  <c r="J108" i="45"/>
  <c r="J107" i="45"/>
  <c r="J106" i="45"/>
  <c r="J105" i="45"/>
  <c r="J104" i="45"/>
  <c r="J103" i="45"/>
  <c r="J102" i="45"/>
  <c r="J101" i="45"/>
  <c r="J100" i="45"/>
  <c r="J99" i="45"/>
  <c r="J98" i="45"/>
  <c r="J97" i="45"/>
  <c r="J96" i="45"/>
  <c r="F95" i="45"/>
  <c r="J94" i="45"/>
  <c r="I93" i="45"/>
  <c r="J93" i="45" s="1"/>
  <c r="F93" i="45"/>
  <c r="J92" i="45"/>
  <c r="F91" i="45"/>
  <c r="J90" i="45"/>
  <c r="F89" i="45"/>
  <c r="J82" i="45"/>
  <c r="F82" i="45"/>
  <c r="I81" i="45"/>
  <c r="J81" i="45" s="1"/>
  <c r="F81" i="45"/>
  <c r="J80" i="45"/>
  <c r="F80" i="45"/>
  <c r="J79" i="45"/>
  <c r="F79" i="45"/>
  <c r="J78" i="45"/>
  <c r="F78" i="45"/>
  <c r="J77" i="45"/>
  <c r="F77" i="45"/>
  <c r="J76" i="45"/>
  <c r="F76" i="45"/>
  <c r="F72" i="45"/>
  <c r="I70" i="45"/>
  <c r="J70" i="45" s="1"/>
  <c r="I68" i="45"/>
  <c r="J68" i="45" s="1"/>
  <c r="I66" i="45"/>
  <c r="J66" i="45" s="1"/>
  <c r="J62" i="45"/>
  <c r="F62" i="45"/>
  <c r="J60" i="45"/>
  <c r="F60" i="45"/>
  <c r="J55" i="45"/>
  <c r="J54" i="45"/>
  <c r="J53" i="45"/>
  <c r="F53" i="45"/>
  <c r="J52" i="45"/>
  <c r="F52" i="45"/>
  <c r="F51" i="45"/>
  <c r="J50" i="45"/>
  <c r="J49" i="45"/>
  <c r="J48" i="45"/>
  <c r="J47" i="45"/>
  <c r="F47" i="45"/>
  <c r="J46" i="45"/>
  <c r="F46" i="45"/>
  <c r="F45" i="45"/>
  <c r="J43" i="45"/>
  <c r="J42" i="45"/>
  <c r="J41" i="45"/>
  <c r="F41" i="45"/>
  <c r="J40" i="45"/>
  <c r="F40" i="45"/>
  <c r="J39" i="45"/>
  <c r="F39" i="45"/>
  <c r="J38" i="45"/>
  <c r="J37" i="45"/>
  <c r="J36" i="45"/>
  <c r="F36" i="45"/>
  <c r="J35" i="45"/>
  <c r="J34" i="45"/>
  <c r="J33" i="45"/>
  <c r="I31" i="45"/>
  <c r="J31" i="45" s="1"/>
  <c r="F31" i="45"/>
  <c r="I30" i="45"/>
  <c r="J30" i="45" s="1"/>
  <c r="F30" i="45"/>
  <c r="F29" i="45"/>
  <c r="F28" i="45"/>
  <c r="J27" i="45"/>
  <c r="F26" i="45"/>
  <c r="I25" i="45"/>
  <c r="J25" i="45" s="1"/>
  <c r="F25" i="45"/>
  <c r="F24" i="45"/>
  <c r="F23" i="45"/>
  <c r="F22" i="45"/>
  <c r="I21" i="45"/>
  <c r="J21" i="45" s="1"/>
  <c r="F21" i="45"/>
  <c r="F20" i="45"/>
  <c r="F19" i="45"/>
  <c r="F18" i="45"/>
  <c r="F17" i="45"/>
  <c r="F15" i="45"/>
  <c r="F14" i="45"/>
  <c r="F13" i="45"/>
  <c r="F12" i="45"/>
  <c r="F11" i="45"/>
  <c r="F10" i="45"/>
  <c r="D31" i="40"/>
  <c r="D29" i="40"/>
  <c r="D27" i="40"/>
  <c r="D21" i="40"/>
  <c r="B21" i="40"/>
  <c r="D19" i="40"/>
  <c r="B19" i="40"/>
  <c r="D13" i="40"/>
  <c r="B13" i="40"/>
  <c r="D11" i="40"/>
  <c r="B11" i="40"/>
  <c r="D9" i="40"/>
  <c r="B9" i="40"/>
  <c r="D7" i="40"/>
  <c r="B7" i="40"/>
  <c r="B5" i="40"/>
  <c r="H13" i="50"/>
  <c r="H12" i="50"/>
  <c r="H11" i="50"/>
  <c r="H3" i="50"/>
  <c r="F83" i="30"/>
  <c r="J82" i="30"/>
  <c r="F82" i="30"/>
  <c r="F78" i="30"/>
  <c r="F77" i="30"/>
  <c r="G655" i="35"/>
  <c r="G654" i="35"/>
  <c r="G653" i="35"/>
  <c r="G649" i="35"/>
  <c r="G650" i="35" s="1"/>
  <c r="G647" i="35"/>
  <c r="G643" i="35"/>
  <c r="G640" i="35"/>
  <c r="G641" i="35" s="1"/>
  <c r="G630" i="35"/>
  <c r="G627" i="35"/>
  <c r="G626" i="35"/>
  <c r="G625" i="35"/>
  <c r="G624" i="35"/>
  <c r="G623" i="35"/>
  <c r="I220" i="8"/>
  <c r="J220" i="8" s="1"/>
  <c r="I218" i="8"/>
  <c r="J218" i="8" s="1"/>
  <c r="J214" i="8"/>
  <c r="I211" i="8"/>
  <c r="J211" i="8" s="1"/>
  <c r="I209" i="8"/>
  <c r="J209" i="8" s="1"/>
  <c r="I207" i="8"/>
  <c r="J207" i="8" s="1"/>
  <c r="G593" i="35"/>
  <c r="G583" i="35"/>
  <c r="G582" i="35"/>
  <c r="G581" i="35"/>
  <c r="G580" i="35"/>
  <c r="G579" i="35"/>
  <c r="G578" i="35"/>
  <c r="G576" i="35"/>
  <c r="G575" i="35"/>
  <c r="G574" i="35"/>
  <c r="G573" i="35"/>
  <c r="G572" i="35"/>
  <c r="G571" i="35"/>
  <c r="G562" i="35"/>
  <c r="G561" i="35"/>
  <c r="G560" i="35"/>
  <c r="G559" i="35"/>
  <c r="G558" i="35"/>
  <c r="G556" i="35"/>
  <c r="G555" i="35"/>
  <c r="G548" i="35"/>
  <c r="G547" i="35"/>
  <c r="G546" i="35"/>
  <c r="G545" i="35"/>
  <c r="G544" i="35"/>
  <c r="G543" i="35"/>
  <c r="G542" i="35"/>
  <c r="G541" i="35"/>
  <c r="G540" i="35"/>
  <c r="G539" i="35"/>
  <c r="G538" i="35"/>
  <c r="G537" i="35"/>
  <c r="G535" i="35"/>
  <c r="G534" i="35"/>
  <c r="G533" i="35"/>
  <c r="G532" i="35"/>
  <c r="G531" i="35"/>
  <c r="G529" i="35"/>
  <c r="G528" i="35"/>
  <c r="G523" i="35"/>
  <c r="G522" i="35"/>
  <c r="G521" i="35"/>
  <c r="G520" i="35"/>
  <c r="G519" i="35"/>
  <c r="G518" i="35"/>
  <c r="G516" i="35"/>
  <c r="G509" i="35"/>
  <c r="G508" i="35"/>
  <c r="G507" i="35"/>
  <c r="G506" i="35"/>
  <c r="G505" i="35"/>
  <c r="G504" i="35"/>
  <c r="G503" i="35"/>
  <c r="G502" i="35"/>
  <c r="G501" i="35"/>
  <c r="G497" i="35"/>
  <c r="G493" i="35"/>
  <c r="G492" i="35"/>
  <c r="G490" i="35"/>
  <c r="G489" i="35"/>
  <c r="G488" i="35"/>
  <c r="G487" i="35"/>
  <c r="G486" i="35"/>
  <c r="G485" i="35"/>
  <c r="G484" i="35"/>
  <c r="G483" i="35"/>
  <c r="G482" i="35"/>
  <c r="G481" i="35"/>
  <c r="G473" i="35"/>
  <c r="G472" i="35"/>
  <c r="G471" i="35"/>
  <c r="G470" i="35"/>
  <c r="G469" i="35"/>
  <c r="G468" i="35"/>
  <c r="G467" i="35"/>
  <c r="G466" i="35"/>
  <c r="G465" i="35"/>
  <c r="G464" i="35"/>
  <c r="G463" i="35"/>
  <c r="G462" i="35"/>
  <c r="G461" i="35"/>
  <c r="G460" i="35"/>
  <c r="G459" i="35"/>
  <c r="G455" i="35"/>
  <c r="G454" i="35"/>
  <c r="G453" i="35"/>
  <c r="G452" i="35"/>
  <c r="G451" i="35"/>
  <c r="G450" i="35"/>
  <c r="G449" i="35"/>
  <c r="G448" i="35"/>
  <c r="G447" i="35"/>
  <c r="G446" i="35"/>
  <c r="G445" i="35"/>
  <c r="G444" i="35"/>
  <c r="G443" i="35"/>
  <c r="G442" i="35"/>
  <c r="G441" i="35"/>
  <c r="G440" i="35"/>
  <c r="G439" i="35"/>
  <c r="G438" i="35"/>
  <c r="G437" i="35"/>
  <c r="G436" i="35"/>
  <c r="G435" i="35"/>
  <c r="G434" i="35"/>
  <c r="G433" i="35"/>
  <c r="G432" i="35"/>
  <c r="G431" i="35"/>
  <c r="G426" i="35"/>
  <c r="G425" i="35"/>
  <c r="G424" i="35"/>
  <c r="G416" i="35"/>
  <c r="G415" i="35"/>
  <c r="G414" i="35"/>
  <c r="G413" i="35"/>
  <c r="G412" i="35"/>
  <c r="G409" i="35"/>
  <c r="G408" i="35"/>
  <c r="G401" i="35"/>
  <c r="G400" i="35"/>
  <c r="G399" i="35"/>
  <c r="G398" i="35"/>
  <c r="G397" i="35"/>
  <c r="G393" i="35"/>
  <c r="G394" i="35" s="1"/>
  <c r="I163" i="8" s="1"/>
  <c r="J163" i="8" s="1"/>
  <c r="G386" i="35"/>
  <c r="G387" i="35" s="1"/>
  <c r="I155" i="8" s="1"/>
  <c r="J155" i="8" s="1"/>
  <c r="G383" i="35"/>
  <c r="I150" i="8" s="1"/>
  <c r="J150" i="8" s="1"/>
  <c r="G379" i="35"/>
  <c r="I148" i="8" s="1"/>
  <c r="J148" i="8" s="1"/>
  <c r="G373" i="35"/>
  <c r="G372" i="35"/>
  <c r="G374" i="35" s="1"/>
  <c r="G367" i="35"/>
  <c r="G369" i="35" s="1"/>
  <c r="I138" i="8" s="1"/>
  <c r="J138" i="8" s="1"/>
  <c r="G358" i="35"/>
  <c r="G357" i="35"/>
  <c r="G356" i="35"/>
  <c r="G355" i="35"/>
  <c r="G354" i="35"/>
  <c r="G353" i="35"/>
  <c r="G352" i="35"/>
  <c r="G351" i="35"/>
  <c r="G350" i="35"/>
  <c r="G349" i="35"/>
  <c r="G348" i="35"/>
  <c r="G347" i="35"/>
  <c r="G346" i="35"/>
  <c r="G345" i="35"/>
  <c r="G344" i="35"/>
  <c r="G343" i="35"/>
  <c r="G342" i="35"/>
  <c r="G341" i="35"/>
  <c r="G333" i="35"/>
  <c r="G332" i="35"/>
  <c r="G331" i="35"/>
  <c r="G330" i="35"/>
  <c r="G329" i="35"/>
  <c r="G322" i="35"/>
  <c r="G321" i="35"/>
  <c r="G319" i="35"/>
  <c r="G318" i="35"/>
  <c r="G317" i="35"/>
  <c r="G316" i="35"/>
  <c r="G315" i="35"/>
  <c r="G313" i="35"/>
  <c r="G312" i="35"/>
  <c r="G311" i="35"/>
  <c r="G310" i="35"/>
  <c r="G309" i="35"/>
  <c r="G308" i="35"/>
  <c r="G307" i="35"/>
  <c r="G306" i="35"/>
  <c r="G305" i="35"/>
  <c r="G304" i="35"/>
  <c r="G303" i="35"/>
  <c r="G302" i="35"/>
  <c r="G301" i="35"/>
  <c r="G300" i="35"/>
  <c r="G299" i="35"/>
  <c r="G298" i="35"/>
  <c r="G297" i="35"/>
  <c r="G296" i="35"/>
  <c r="G295" i="35"/>
  <c r="G294" i="35"/>
  <c r="G287" i="35"/>
  <c r="G286" i="35"/>
  <c r="G285" i="35"/>
  <c r="G284" i="35"/>
  <c r="G283" i="35"/>
  <c r="G279" i="35"/>
  <c r="G276" i="35"/>
  <c r="G274" i="35"/>
  <c r="G273" i="35"/>
  <c r="G272" i="35"/>
  <c r="G271" i="35"/>
  <c r="G270" i="35"/>
  <c r="G269" i="35"/>
  <c r="G268" i="35"/>
  <c r="G267" i="35"/>
  <c r="G266" i="35"/>
  <c r="G265" i="35"/>
  <c r="G264" i="35"/>
  <c r="G263" i="35"/>
  <c r="G262" i="35"/>
  <c r="G261" i="35"/>
  <c r="G260" i="35"/>
  <c r="G259" i="35"/>
  <c r="G258" i="35"/>
  <c r="G257" i="35"/>
  <c r="G256" i="35"/>
  <c r="G255" i="35"/>
  <c r="G244" i="35"/>
  <c r="G243" i="35"/>
  <c r="G242" i="35"/>
  <c r="G241" i="35"/>
  <c r="G239" i="35"/>
  <c r="G238" i="35"/>
  <c r="G237" i="35"/>
  <c r="G236" i="35"/>
  <c r="G235" i="35"/>
  <c r="G234" i="35"/>
  <c r="G233" i="35"/>
  <c r="G232" i="35"/>
  <c r="G231" i="35"/>
  <c r="G230" i="35"/>
  <c r="G229" i="35"/>
  <c r="G228" i="35"/>
  <c r="G227" i="35"/>
  <c r="G226" i="35"/>
  <c r="G225" i="35"/>
  <c r="G224" i="35"/>
  <c r="G223" i="35"/>
  <c r="G222" i="35"/>
  <c r="G221" i="35"/>
  <c r="G220" i="35"/>
  <c r="G219" i="35"/>
  <c r="G218" i="35"/>
  <c r="G217" i="35"/>
  <c r="G212" i="35"/>
  <c r="G211" i="35"/>
  <c r="G206" i="35"/>
  <c r="G205" i="35"/>
  <c r="G204" i="35"/>
  <c r="G200" i="35"/>
  <c r="G199" i="35"/>
  <c r="G198" i="35"/>
  <c r="G191" i="35"/>
  <c r="G190" i="35"/>
  <c r="G185" i="35"/>
  <c r="G184" i="35"/>
  <c r="G179" i="35"/>
  <c r="G181" i="35" s="1"/>
  <c r="I96" i="8" s="1"/>
  <c r="J96" i="8" s="1"/>
  <c r="G174" i="35"/>
  <c r="G173" i="35"/>
  <c r="G167" i="35"/>
  <c r="G166" i="35"/>
  <c r="G159" i="35"/>
  <c r="G158" i="35"/>
  <c r="G156" i="35"/>
  <c r="G147" i="35"/>
  <c r="G148" i="35" s="1"/>
  <c r="G133" i="35"/>
  <c r="G132" i="35"/>
  <c r="G124" i="35"/>
  <c r="G123" i="35"/>
  <c r="G122" i="35"/>
  <c r="G118" i="35"/>
  <c r="G117" i="35"/>
  <c r="G116" i="35"/>
  <c r="G113" i="35"/>
  <c r="G112" i="35"/>
  <c r="G111" i="35"/>
  <c r="G110" i="35"/>
  <c r="G109" i="35"/>
  <c r="G108" i="35"/>
  <c r="G107" i="35"/>
  <c r="G106" i="35"/>
  <c r="G105" i="35"/>
  <c r="G101" i="35"/>
  <c r="G100" i="35"/>
  <c r="G95" i="35"/>
  <c r="G94" i="35"/>
  <c r="G93" i="35"/>
  <c r="G92" i="35"/>
  <c r="G91" i="35"/>
  <c r="G89" i="35"/>
  <c r="G88" i="35"/>
  <c r="G81" i="35"/>
  <c r="G80" i="35"/>
  <c r="G78" i="35"/>
  <c r="G77" i="35"/>
  <c r="G76" i="35"/>
  <c r="G75" i="35"/>
  <c r="G74" i="35"/>
  <c r="G73" i="35"/>
  <c r="G72" i="35"/>
  <c r="G71" i="35"/>
  <c r="G70" i="35"/>
  <c r="G69" i="35"/>
  <c r="G65" i="35"/>
  <c r="G64" i="35"/>
  <c r="G63" i="35"/>
  <c r="G58" i="35"/>
  <c r="G57" i="35"/>
  <c r="G56" i="35"/>
  <c r="G49" i="35"/>
  <c r="G48" i="35"/>
  <c r="G47" i="35"/>
  <c r="G46" i="35"/>
  <c r="G45" i="35"/>
  <c r="G44" i="35"/>
  <c r="G43" i="35"/>
  <c r="G42" i="35"/>
  <c r="G41" i="35"/>
  <c r="G40" i="35"/>
  <c r="G39" i="35"/>
  <c r="G32" i="35"/>
  <c r="G31" i="35"/>
  <c r="G23" i="35"/>
  <c r="G22" i="35"/>
  <c r="G19" i="35"/>
  <c r="G18" i="35"/>
  <c r="G17" i="35"/>
  <c r="G16" i="35"/>
  <c r="G15" i="35"/>
  <c r="G14" i="35"/>
  <c r="G13" i="35"/>
  <c r="G12" i="35"/>
  <c r="G7" i="35"/>
  <c r="I7" i="8" s="1"/>
  <c r="J7" i="8" s="1"/>
  <c r="J19" i="8" s="1"/>
  <c r="G726" i="26"/>
  <c r="G725" i="26"/>
  <c r="G724" i="26"/>
  <c r="G723" i="26"/>
  <c r="G722" i="26"/>
  <c r="G721" i="26"/>
  <c r="G720" i="26"/>
  <c r="G719" i="26"/>
  <c r="G718" i="26"/>
  <c r="G717" i="26"/>
  <c r="G713" i="26"/>
  <c r="D194" i="8" s="1"/>
  <c r="F194" i="8" s="1"/>
  <c r="G707" i="26"/>
  <c r="G706" i="26"/>
  <c r="G705" i="26"/>
  <c r="G704" i="26"/>
  <c r="G709" i="26" s="1"/>
  <c r="D192" i="8" s="1"/>
  <c r="F192" i="8" s="1"/>
  <c r="F704" i="26"/>
  <c r="G698" i="26"/>
  <c r="G696" i="26"/>
  <c r="G695" i="26"/>
  <c r="G694" i="26"/>
  <c r="G693" i="26"/>
  <c r="G692" i="26"/>
  <c r="G699" i="26" s="1"/>
  <c r="D189" i="8" s="1"/>
  <c r="F189" i="8" s="1"/>
  <c r="G686" i="26"/>
  <c r="G685" i="26"/>
  <c r="G684" i="26"/>
  <c r="G678" i="26"/>
  <c r="G677" i="26"/>
  <c r="G676" i="26"/>
  <c r="G675" i="26"/>
  <c r="G674" i="26"/>
  <c r="G680" i="26" s="1"/>
  <c r="D185" i="8" s="1"/>
  <c r="F185" i="8" s="1"/>
  <c r="G666" i="26"/>
  <c r="G665" i="26"/>
  <c r="G664" i="26"/>
  <c r="G663" i="26"/>
  <c r="G662" i="26"/>
  <c r="G661" i="26"/>
  <c r="G660" i="26"/>
  <c r="G659" i="26"/>
  <c r="G658" i="26"/>
  <c r="G657" i="26"/>
  <c r="G656" i="26"/>
  <c r="G655" i="26"/>
  <c r="G654" i="26"/>
  <c r="G653" i="26"/>
  <c r="G652" i="26"/>
  <c r="G651" i="26"/>
  <c r="G650" i="26"/>
  <c r="G649" i="26"/>
  <c r="G648" i="26"/>
  <c r="G647" i="26"/>
  <c r="G646" i="26"/>
  <c r="G645" i="26"/>
  <c r="G644" i="26"/>
  <c r="G643" i="26"/>
  <c r="G642" i="26"/>
  <c r="G636" i="26"/>
  <c r="G635" i="26"/>
  <c r="G634" i="26"/>
  <c r="G633" i="26"/>
  <c r="G632" i="26"/>
  <c r="G631" i="26"/>
  <c r="G630" i="26"/>
  <c r="G629" i="26"/>
  <c r="G628" i="26"/>
  <c r="G627" i="26"/>
  <c r="G626" i="26"/>
  <c r="G625" i="26"/>
  <c r="D624" i="26"/>
  <c r="G624" i="26" s="1"/>
  <c r="G616" i="26"/>
  <c r="G615" i="26"/>
  <c r="G614" i="26"/>
  <c r="G613" i="26"/>
  <c r="G612" i="26"/>
  <c r="G611" i="26"/>
  <c r="G610" i="26"/>
  <c r="G609" i="26"/>
  <c r="G608" i="26"/>
  <c r="G607" i="26"/>
  <c r="G600" i="26"/>
  <c r="D167" i="8" s="1"/>
  <c r="F167" i="8" s="1"/>
  <c r="G597" i="26"/>
  <c r="G591" i="26"/>
  <c r="G587" i="26"/>
  <c r="G580" i="26"/>
  <c r="G583" i="26" s="1"/>
  <c r="D157" i="8" s="1"/>
  <c r="F157" i="8" s="1"/>
  <c r="G577" i="26"/>
  <c r="D155" i="8" s="1"/>
  <c r="F155" i="8" s="1"/>
  <c r="G570" i="26"/>
  <c r="D150" i="8" s="1"/>
  <c r="F150" i="8" s="1"/>
  <c r="G566" i="26"/>
  <c r="D148" i="8" s="1"/>
  <c r="F148" i="8" s="1"/>
  <c r="G560" i="26"/>
  <c r="G559" i="26"/>
  <c r="G562" i="26" s="1"/>
  <c r="D146" i="8" s="1"/>
  <c r="F146" i="8" s="1"/>
  <c r="G552" i="26"/>
  <c r="G551" i="26"/>
  <c r="G550" i="26"/>
  <c r="G549" i="26"/>
  <c r="G548" i="26"/>
  <c r="G547" i="26"/>
  <c r="G540" i="26"/>
  <c r="G539" i="26"/>
  <c r="G538" i="26"/>
  <c r="G537" i="26"/>
  <c r="G536" i="26"/>
  <c r="G529" i="26"/>
  <c r="G528" i="26"/>
  <c r="G527" i="26"/>
  <c r="G526" i="26"/>
  <c r="G525" i="26"/>
  <c r="G524" i="26"/>
  <c r="G523" i="26"/>
  <c r="G522" i="26"/>
  <c r="G521" i="26"/>
  <c r="G520" i="26"/>
  <c r="G519" i="26"/>
  <c r="G518" i="26"/>
  <c r="G517" i="26"/>
  <c r="G516" i="26"/>
  <c r="G515" i="26"/>
  <c r="G514" i="26"/>
  <c r="G513" i="26"/>
  <c r="G512" i="26"/>
  <c r="G511" i="26"/>
  <c r="G510" i="26"/>
  <c r="G509" i="26"/>
  <c r="G508" i="26"/>
  <c r="G507" i="26"/>
  <c r="G506" i="26"/>
  <c r="G505" i="26"/>
  <c r="G504" i="26"/>
  <c r="G503" i="26"/>
  <c r="G502" i="26"/>
  <c r="G501" i="26"/>
  <c r="G500" i="26"/>
  <c r="G493" i="26"/>
  <c r="G492" i="26"/>
  <c r="G495" i="26" s="1"/>
  <c r="D132" i="8" s="1"/>
  <c r="F132" i="8" s="1"/>
  <c r="G487" i="26"/>
  <c r="G486" i="26"/>
  <c r="G485" i="26"/>
  <c r="G484" i="26"/>
  <c r="G483" i="26"/>
  <c r="G482" i="26"/>
  <c r="G481" i="26"/>
  <c r="G480" i="26"/>
  <c r="G479" i="26"/>
  <c r="G478" i="26"/>
  <c r="G477" i="26"/>
  <c r="G476" i="26"/>
  <c r="G475" i="26"/>
  <c r="D475" i="26"/>
  <c r="G470" i="26"/>
  <c r="G469" i="26"/>
  <c r="F468" i="26"/>
  <c r="G468" i="26" s="1"/>
  <c r="D468" i="26"/>
  <c r="G467" i="26"/>
  <c r="G466" i="26"/>
  <c r="G465" i="26"/>
  <c r="G464" i="26"/>
  <c r="G463" i="26"/>
  <c r="G462" i="26"/>
  <c r="G461" i="26"/>
  <c r="G460" i="26"/>
  <c r="G459" i="26"/>
  <c r="G458" i="26"/>
  <c r="G457" i="26"/>
  <c r="G456" i="26"/>
  <c r="G455" i="26"/>
  <c r="G454" i="26"/>
  <c r="G453" i="26"/>
  <c r="G452" i="26"/>
  <c r="G451" i="26"/>
  <c r="G450" i="26"/>
  <c r="G449" i="26"/>
  <c r="D448" i="26"/>
  <c r="G448" i="26" s="1"/>
  <c r="G447" i="26"/>
  <c r="G439" i="26"/>
  <c r="G438" i="26"/>
  <c r="G437" i="26"/>
  <c r="G436" i="26"/>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394" i="26"/>
  <c r="G385" i="26"/>
  <c r="G384" i="26"/>
  <c r="G383" i="26"/>
  <c r="G382" i="26"/>
  <c r="C381" i="26"/>
  <c r="C382" i="26" s="1"/>
  <c r="G380" i="26"/>
  <c r="D379" i="26"/>
  <c r="G379" i="26" s="1"/>
  <c r="G374" i="26"/>
  <c r="C374" i="26"/>
  <c r="F372" i="26"/>
  <c r="G372" i="26" s="1"/>
  <c r="G371" i="26"/>
  <c r="C364" i="26"/>
  <c r="G357" i="26"/>
  <c r="D356" i="26"/>
  <c r="G356" i="26" s="1"/>
  <c r="G355" i="26"/>
  <c r="G354" i="26"/>
  <c r="G353" i="26"/>
  <c r="G352" i="26"/>
  <c r="G351" i="26"/>
  <c r="G350" i="26"/>
  <c r="G349" i="26"/>
  <c r="G348" i="26"/>
  <c r="G347" i="26"/>
  <c r="G346" i="26"/>
  <c r="G345" i="26"/>
  <c r="G344" i="26"/>
  <c r="G343" i="26"/>
  <c r="G342" i="26"/>
  <c r="G341" i="26"/>
  <c r="G340" i="26"/>
  <c r="G339" i="26"/>
  <c r="G338" i="26"/>
  <c r="G337" i="26"/>
  <c r="G336" i="26"/>
  <c r="D335" i="26"/>
  <c r="G335" i="26" s="1"/>
  <c r="G334" i="26"/>
  <c r="G333" i="26"/>
  <c r="G332" i="26"/>
  <c r="G329" i="26"/>
  <c r="G327" i="26"/>
  <c r="G325" i="26"/>
  <c r="G319" i="26"/>
  <c r="D113" i="8" s="1"/>
  <c r="F113" i="8" s="1"/>
  <c r="G311" i="26"/>
  <c r="G300" i="26"/>
  <c r="G302" i="26" s="1"/>
  <c r="D108" i="8" s="1"/>
  <c r="F108" i="8" s="1"/>
  <c r="G291" i="26"/>
  <c r="G290" i="26"/>
  <c r="G289" i="26"/>
  <c r="G288" i="26"/>
  <c r="G287" i="26"/>
  <c r="G280" i="26"/>
  <c r="G282" i="26" s="1"/>
  <c r="D102" i="8" s="1"/>
  <c r="F102" i="8" s="1"/>
  <c r="G276" i="26"/>
  <c r="G278" i="26" s="1"/>
  <c r="D100" i="8" s="1"/>
  <c r="F100" i="8" s="1"/>
  <c r="G272" i="26"/>
  <c r="G271" i="26"/>
  <c r="G274" i="26" s="1"/>
  <c r="D98" i="8" s="1"/>
  <c r="F98" i="8" s="1"/>
  <c r="G265" i="26"/>
  <c r="G264" i="26"/>
  <c r="G267" i="26" s="1"/>
  <c r="D96" i="8" s="1"/>
  <c r="F96" i="8" s="1"/>
  <c r="G258" i="26"/>
  <c r="G257" i="26"/>
  <c r="G256" i="26"/>
  <c r="G255" i="26"/>
  <c r="G254" i="26"/>
  <c r="G261" i="26" s="1"/>
  <c r="D94" i="8" s="1"/>
  <c r="F94" i="8" s="1"/>
  <c r="G253" i="26"/>
  <c r="G244" i="26"/>
  <c r="G243" i="26"/>
  <c r="G242" i="26"/>
  <c r="G241" i="26"/>
  <c r="G240" i="26"/>
  <c r="G232" i="26"/>
  <c r="G231" i="26"/>
  <c r="G222" i="26"/>
  <c r="G221" i="26"/>
  <c r="G213" i="26"/>
  <c r="G212" i="26"/>
  <c r="G211" i="26"/>
  <c r="G210" i="26"/>
  <c r="G215" i="26" s="1"/>
  <c r="D77" i="8" s="1"/>
  <c r="F77" i="8" s="1"/>
  <c r="G203" i="26"/>
  <c r="G202" i="26"/>
  <c r="G201" i="26"/>
  <c r="G200" i="26"/>
  <c r="G199" i="26"/>
  <c r="G198" i="26"/>
  <c r="G197" i="26"/>
  <c r="G190" i="26"/>
  <c r="G189" i="26"/>
  <c r="G188" i="26"/>
  <c r="G187" i="26"/>
  <c r="G186" i="26"/>
  <c r="G185" i="26"/>
  <c r="G179" i="26"/>
  <c r="G178" i="26"/>
  <c r="G177" i="26"/>
  <c r="G171" i="26"/>
  <c r="G170" i="26"/>
  <c r="G169" i="26"/>
  <c r="G168" i="26"/>
  <c r="G167" i="26"/>
  <c r="G166" i="26"/>
  <c r="G159" i="26"/>
  <c r="G158" i="26"/>
  <c r="G157" i="26"/>
  <c r="G156" i="26"/>
  <c r="G161" i="26" s="1"/>
  <c r="D64" i="8" s="1"/>
  <c r="F64" i="8" s="1"/>
  <c r="G150" i="26"/>
  <c r="G149" i="26"/>
  <c r="G151" i="26" s="1"/>
  <c r="D62" i="8" s="1"/>
  <c r="F62" i="8" s="1"/>
  <c r="G144" i="26"/>
  <c r="G143" i="26"/>
  <c r="G142" i="26"/>
  <c r="G141" i="26"/>
  <c r="G140" i="26"/>
  <c r="G139" i="26"/>
  <c r="G138" i="26"/>
  <c r="G137" i="26"/>
  <c r="G136" i="26"/>
  <c r="G135" i="26"/>
  <c r="G134" i="26"/>
  <c r="G133" i="26"/>
  <c r="G132" i="26"/>
  <c r="G131" i="26"/>
  <c r="G130" i="26"/>
  <c r="G129" i="26"/>
  <c r="G125" i="26"/>
  <c r="D54" i="8" s="1"/>
  <c r="F54" i="8" s="1"/>
  <c r="G122" i="26"/>
  <c r="G121" i="26"/>
  <c r="G110" i="26"/>
  <c r="G109" i="26"/>
  <c r="G108" i="26"/>
  <c r="G107" i="26"/>
  <c r="G102" i="26"/>
  <c r="G101" i="26"/>
  <c r="G100" i="26"/>
  <c r="G99" i="26"/>
  <c r="G98" i="26"/>
  <c r="G97" i="26"/>
  <c r="G96" i="26"/>
  <c r="G95" i="26"/>
  <c r="G94" i="26"/>
  <c r="G92" i="26"/>
  <c r="G87" i="26"/>
  <c r="G86" i="26"/>
  <c r="G85" i="26"/>
  <c r="E84" i="26"/>
  <c r="G84" i="26" s="1"/>
  <c r="G83" i="26"/>
  <c r="G82" i="26"/>
  <c r="G76" i="26"/>
  <c r="G75" i="26"/>
  <c r="G74" i="26"/>
  <c r="E73" i="26"/>
  <c r="G73" i="26" s="1"/>
  <c r="G72" i="26"/>
  <c r="G71" i="26"/>
  <c r="G69" i="26"/>
  <c r="G64" i="26"/>
  <c r="G63" i="26"/>
  <c r="G59" i="26"/>
  <c r="G58" i="26"/>
  <c r="G57" i="26"/>
  <c r="G56" i="26"/>
  <c r="G55" i="26"/>
  <c r="G61" i="26" s="1"/>
  <c r="D29" i="8" s="1"/>
  <c r="F29" i="8" s="1"/>
  <c r="G51" i="26"/>
  <c r="D27" i="8" s="1"/>
  <c r="F27" i="8" s="1"/>
  <c r="G49" i="26"/>
  <c r="G47" i="26"/>
  <c r="G43" i="26"/>
  <c r="G42" i="26"/>
  <c r="G41" i="26"/>
  <c r="G40" i="26"/>
  <c r="G39" i="26"/>
  <c r="G38" i="26"/>
  <c r="G37" i="26"/>
  <c r="G36" i="26"/>
  <c r="G35" i="26"/>
  <c r="G34" i="26"/>
  <c r="G33" i="26"/>
  <c r="G32" i="26"/>
  <c r="G31" i="26"/>
  <c r="G30" i="26"/>
  <c r="G29" i="26"/>
  <c r="G7" i="26"/>
  <c r="G9" i="26" s="1"/>
  <c r="D7" i="8" s="1"/>
  <c r="G7" i="8" s="1"/>
  <c r="H7" i="8" s="1"/>
  <c r="H19" i="8" s="1"/>
  <c r="G3" i="26"/>
  <c r="F234" i="8"/>
  <c r="F233" i="8"/>
  <c r="F220" i="8"/>
  <c r="F218" i="8"/>
  <c r="F216" i="8"/>
  <c r="F214" i="8"/>
  <c r="F211" i="8"/>
  <c r="F209" i="8"/>
  <c r="F207" i="8"/>
  <c r="F204" i="8"/>
  <c r="D164" i="8"/>
  <c r="F164" i="8" s="1"/>
  <c r="D163" i="8"/>
  <c r="F163" i="8" s="1"/>
  <c r="J142" i="8"/>
  <c r="F122" i="8"/>
  <c r="F117" i="8"/>
  <c r="J115" i="8"/>
  <c r="D115" i="8"/>
  <c r="F115" i="8" s="1"/>
  <c r="D111" i="8"/>
  <c r="F111" i="8" s="1"/>
  <c r="F109" i="8"/>
  <c r="J108" i="8"/>
  <c r="J100" i="8"/>
  <c r="I94" i="8"/>
  <c r="J94" i="8" s="1"/>
  <c r="D86" i="8"/>
  <c r="F86" i="8" s="1"/>
  <c r="M60" i="8"/>
  <c r="M47" i="8"/>
  <c r="F17" i="8"/>
  <c r="F15" i="8"/>
  <c r="F13" i="8"/>
  <c r="F11" i="8"/>
  <c r="F9" i="8"/>
  <c r="G7" i="33"/>
  <c r="I46" i="15"/>
  <c r="E42" i="15"/>
  <c r="E39" i="15"/>
  <c r="E37" i="15"/>
  <c r="E36" i="15"/>
  <c r="E34" i="15"/>
  <c r="G29" i="47" l="1"/>
  <c r="G45" i="26"/>
  <c r="D25" i="8" s="1"/>
  <c r="F25" i="8" s="1"/>
  <c r="G233" i="26"/>
  <c r="G181" i="26"/>
  <c r="G542" i="26"/>
  <c r="D138" i="8" s="1"/>
  <c r="F138" i="8" s="1"/>
  <c r="G637" i="26"/>
  <c r="D177" i="8" s="1"/>
  <c r="F177" i="8" s="1"/>
  <c r="G36" i="38"/>
  <c r="J377" i="41"/>
  <c r="E21" i="40" s="1"/>
  <c r="G21" i="40" s="1"/>
  <c r="G358" i="26"/>
  <c r="C360" i="26" s="1"/>
  <c r="G618" i="26"/>
  <c r="D175" i="8" s="1"/>
  <c r="F175" i="8" s="1"/>
  <c r="G668" i="26"/>
  <c r="D183" i="8" s="1"/>
  <c r="F183" i="8" s="1"/>
  <c r="F376" i="41"/>
  <c r="G78" i="26"/>
  <c r="D33" i="8" s="1"/>
  <c r="F33" i="8" s="1"/>
  <c r="F31" i="43"/>
  <c r="G173" i="26"/>
  <c r="D67" i="8" s="1"/>
  <c r="F67" i="8" s="1"/>
  <c r="G381" i="26"/>
  <c r="G50" i="35"/>
  <c r="F84" i="45"/>
  <c r="F18" i="48"/>
  <c r="G32" i="44"/>
  <c r="F79" i="43"/>
  <c r="G432" i="26"/>
  <c r="D124" i="8" s="1"/>
  <c r="F124" i="8" s="1"/>
  <c r="G554" i="26"/>
  <c r="D142" i="8" s="1"/>
  <c r="F142" i="8" s="1"/>
  <c r="G206" i="26"/>
  <c r="D74" i="8" s="1"/>
  <c r="F74" i="8" s="1"/>
  <c r="G292" i="26"/>
  <c r="G488" i="26"/>
  <c r="G530" i="26"/>
  <c r="D134" i="8" s="1"/>
  <c r="F134" i="8" s="1"/>
  <c r="G104" i="26"/>
  <c r="D37" i="8" s="1"/>
  <c r="F37" i="8" s="1"/>
  <c r="G192" i="26"/>
  <c r="D71" i="8" s="1"/>
  <c r="F71" i="8" s="1"/>
  <c r="G441" i="26"/>
  <c r="D126" i="8" s="1"/>
  <c r="F126" i="8" s="1"/>
  <c r="G688" i="26"/>
  <c r="D187" i="8" s="1"/>
  <c r="F187" i="8" s="1"/>
  <c r="F200" i="8" s="1"/>
  <c r="E23" i="15" s="1"/>
  <c r="G67" i="26"/>
  <c r="D31" i="8" s="1"/>
  <c r="F31" i="8" s="1"/>
  <c r="G223" i="26"/>
  <c r="G224" i="26" s="1"/>
  <c r="D81" i="8" s="1"/>
  <c r="F81" i="8" s="1"/>
  <c r="G729" i="26"/>
  <c r="D196" i="8" s="1"/>
  <c r="F196" i="8" s="1"/>
  <c r="F103" i="41"/>
  <c r="K25" i="41"/>
  <c r="L25" i="41" s="1"/>
  <c r="L75" i="41" s="1"/>
  <c r="L76" i="41" s="1"/>
  <c r="F19" i="40" s="1"/>
  <c r="F23" i="40" s="1"/>
  <c r="G128" i="42"/>
  <c r="J204" i="8"/>
  <c r="G595" i="35"/>
  <c r="J236" i="8"/>
  <c r="K236" i="8"/>
  <c r="L236" i="8" s="1"/>
  <c r="J233" i="8"/>
  <c r="K233" i="8"/>
  <c r="L233" i="8" s="1"/>
  <c r="L239" i="8" s="1"/>
  <c r="F56" i="45"/>
  <c r="D5" i="40" s="1"/>
  <c r="D15" i="40" s="1"/>
  <c r="F167" i="45"/>
  <c r="F139" i="45"/>
  <c r="I185" i="8"/>
  <c r="J185" i="8" s="1"/>
  <c r="J81" i="8"/>
  <c r="G150" i="35"/>
  <c r="G512" i="35"/>
  <c r="G514" i="35" s="1"/>
  <c r="G51" i="35"/>
  <c r="G53" i="35" s="1"/>
  <c r="F179" i="8"/>
  <c r="E21" i="15" s="1"/>
  <c r="F229" i="8"/>
  <c r="E27" i="15" s="1"/>
  <c r="I41" i="46"/>
  <c r="I130" i="46"/>
  <c r="I15" i="45" s="1"/>
  <c r="J15" i="45" s="1"/>
  <c r="I225" i="46"/>
  <c r="J23" i="45" s="1"/>
  <c r="I18" i="46"/>
  <c r="I10" i="45" s="1"/>
  <c r="J10" i="45" s="1"/>
  <c r="J18" i="45"/>
  <c r="I176" i="46"/>
  <c r="I54" i="46"/>
  <c r="I88" i="46"/>
  <c r="I119" i="46"/>
  <c r="I120" i="46" s="1"/>
  <c r="I14" i="45" s="1"/>
  <c r="J14" i="45" s="1"/>
  <c r="I23" i="46"/>
  <c r="I11" i="45" s="1"/>
  <c r="J11" i="45" s="1"/>
  <c r="I673" i="46"/>
  <c r="J160" i="45" s="1"/>
  <c r="I189" i="46"/>
  <c r="I20" i="45" s="1"/>
  <c r="J20" i="45" s="1"/>
  <c r="I30" i="46"/>
  <c r="I47" i="46"/>
  <c r="I78" i="46"/>
  <c r="J12" i="45"/>
  <c r="I64" i="46"/>
  <c r="I71" i="46"/>
  <c r="I93" i="46"/>
  <c r="I159" i="46"/>
  <c r="I17" i="45" s="1"/>
  <c r="J17" i="45" s="1"/>
  <c r="I235" i="46"/>
  <c r="I24" i="45" s="1"/>
  <c r="J24" i="45" s="1"/>
  <c r="J85" i="43"/>
  <c r="I38" i="15" s="1"/>
  <c r="D23" i="40"/>
  <c r="H8" i="50"/>
  <c r="H10" i="50" s="1"/>
  <c r="H14" i="50" s="1"/>
  <c r="F169" i="8"/>
  <c r="E19" i="15" s="1"/>
  <c r="J79" i="43"/>
  <c r="E31" i="40" s="1"/>
  <c r="G31" i="40" s="1"/>
  <c r="J75" i="41"/>
  <c r="J76" i="41" s="1"/>
  <c r="E19" i="40" s="1"/>
  <c r="G19" i="40" s="1"/>
  <c r="H18" i="48"/>
  <c r="I29" i="47"/>
  <c r="E48" i="15"/>
  <c r="J216" i="8"/>
  <c r="G175" i="35"/>
  <c r="G144" i="35"/>
  <c r="I74" i="8" s="1"/>
  <c r="J74" i="8" s="1"/>
  <c r="G186" i="35"/>
  <c r="I98" i="8" s="1"/>
  <c r="J98" i="8" s="1"/>
  <c r="G102" i="35"/>
  <c r="I54" i="8" s="1"/>
  <c r="J54" i="8" s="1"/>
  <c r="G24" i="35"/>
  <c r="J25" i="8" s="1"/>
  <c r="G549" i="35"/>
  <c r="G33" i="35"/>
  <c r="G161" i="35"/>
  <c r="G288" i="35"/>
  <c r="I88" i="8"/>
  <c r="J88" i="8" s="1"/>
  <c r="G659" i="35"/>
  <c r="G82" i="35"/>
  <c r="G213" i="35"/>
  <c r="I117" i="8" s="1"/>
  <c r="J117" i="8" s="1"/>
  <c r="G361" i="35"/>
  <c r="I183" i="8"/>
  <c r="J183" i="8" s="1"/>
  <c r="G525" i="35"/>
  <c r="I189" i="8" s="1"/>
  <c r="J189" i="8" s="1"/>
  <c r="G192" i="35"/>
  <c r="G207" i="35"/>
  <c r="I113" i="8" s="1"/>
  <c r="J113" i="8" s="1"/>
  <c r="G334" i="35"/>
  <c r="G402" i="35"/>
  <c r="G418" i="35"/>
  <c r="I175" i="8"/>
  <c r="J175" i="8" s="1"/>
  <c r="G476" i="35"/>
  <c r="I177" i="8" s="1"/>
  <c r="J177" i="8" s="1"/>
  <c r="J187" i="8"/>
  <c r="G632" i="35"/>
  <c r="G201" i="35"/>
  <c r="I111" i="8" s="1"/>
  <c r="J111" i="8" s="1"/>
  <c r="I146" i="8"/>
  <c r="J146" i="8" s="1"/>
  <c r="G427" i="35"/>
  <c r="G563" i="35"/>
  <c r="G97" i="35"/>
  <c r="I47" i="8" s="1"/>
  <c r="J47" i="8" s="1"/>
  <c r="G66" i="35"/>
  <c r="I35" i="8" s="1"/>
  <c r="J35" i="8" s="1"/>
  <c r="F7" i="8"/>
  <c r="F19" i="8" s="1"/>
  <c r="E7" i="15" s="1"/>
  <c r="G89" i="26"/>
  <c r="G90" i="26" s="1"/>
  <c r="D35" i="8" s="1"/>
  <c r="F35" i="8" s="1"/>
  <c r="F39" i="8" s="1"/>
  <c r="E9" i="15" s="1"/>
  <c r="F119" i="8"/>
  <c r="E15" i="15" s="1"/>
  <c r="G471" i="26"/>
  <c r="D130" i="8" s="1"/>
  <c r="F130" i="8" s="1"/>
  <c r="G146" i="26"/>
  <c r="D60" i="8" s="1"/>
  <c r="F60" i="8" s="1"/>
  <c r="G119" i="35"/>
  <c r="I60" i="8" s="1"/>
  <c r="J60" i="8" s="1"/>
  <c r="G111" i="26"/>
  <c r="D47" i="8" s="1"/>
  <c r="F47" i="8" s="1"/>
  <c r="G246" i="26"/>
  <c r="D88" i="8" s="1"/>
  <c r="F88" i="8" s="1"/>
  <c r="C365" i="26"/>
  <c r="C366" i="26" s="1"/>
  <c r="C367" i="26" s="1"/>
  <c r="G367" i="26" s="1"/>
  <c r="G60" i="35"/>
  <c r="I33" i="8" s="1"/>
  <c r="J33" i="8" s="1"/>
  <c r="G245" i="35"/>
  <c r="G280" i="35"/>
  <c r="I124" i="8" s="1"/>
  <c r="J124" i="8" s="1"/>
  <c r="G323" i="35"/>
  <c r="I237" i="8"/>
  <c r="J237" i="8" s="1"/>
  <c r="D33" i="40"/>
  <c r="I65" i="45"/>
  <c r="J65" i="45" s="1"/>
  <c r="J139" i="45"/>
  <c r="E9" i="40" s="1"/>
  <c r="G9" i="40" s="1"/>
  <c r="I29" i="8"/>
  <c r="J29" i="8" s="1"/>
  <c r="G126" i="35"/>
  <c r="G134" i="35"/>
  <c r="I77" i="8" s="1"/>
  <c r="J77" i="8" s="1"/>
  <c r="G585" i="35"/>
  <c r="I45" i="45"/>
  <c r="J45" i="45" s="1"/>
  <c r="I64" i="45"/>
  <c r="J64" i="45" s="1"/>
  <c r="I155" i="45"/>
  <c r="J155" i="45" s="1"/>
  <c r="F85" i="30"/>
  <c r="E29" i="15" s="1"/>
  <c r="I711" i="46"/>
  <c r="J171" i="45" s="1"/>
  <c r="J175" i="45" s="1"/>
  <c r="I190" i="45"/>
  <c r="F154" i="41"/>
  <c r="F377" i="41" s="1"/>
  <c r="J31" i="43"/>
  <c r="I194" i="45"/>
  <c r="J45" i="43"/>
  <c r="E29" i="40" s="1"/>
  <c r="G29" i="40" s="1"/>
  <c r="I564" i="46"/>
  <c r="J147" i="45" s="1"/>
  <c r="I192" i="45"/>
  <c r="J154" i="41"/>
  <c r="C362" i="26" l="1"/>
  <c r="C363" i="26" s="1"/>
  <c r="G363" i="26" s="1"/>
  <c r="G387" i="26" s="1"/>
  <c r="C361" i="26"/>
  <c r="E27" i="40"/>
  <c r="F27" i="40"/>
  <c r="F33" i="40" s="1"/>
  <c r="G23" i="40"/>
  <c r="F35" i="40"/>
  <c r="F40" i="40" s="1"/>
  <c r="F159" i="8"/>
  <c r="E17" i="15" s="1"/>
  <c r="I77" i="30"/>
  <c r="J77" i="30" s="1"/>
  <c r="J85" i="30" s="1"/>
  <c r="H15" i="50"/>
  <c r="J225" i="8"/>
  <c r="J229" i="8" s="1"/>
  <c r="K225" i="8"/>
  <c r="L225" i="8" s="1"/>
  <c r="J196" i="8"/>
  <c r="G587" i="35"/>
  <c r="J192" i="8"/>
  <c r="G551" i="35"/>
  <c r="G515" i="35"/>
  <c r="K187" i="8"/>
  <c r="L187" i="8" s="1"/>
  <c r="G596" i="35"/>
  <c r="K204" i="8"/>
  <c r="L204" i="8" s="1"/>
  <c r="J130" i="8"/>
  <c r="G325" i="35"/>
  <c r="J86" i="8"/>
  <c r="G163" i="35"/>
  <c r="J27" i="8"/>
  <c r="G35" i="35"/>
  <c r="J134" i="8"/>
  <c r="G363" i="35"/>
  <c r="I167" i="8"/>
  <c r="J167" i="8" s="1"/>
  <c r="G420" i="35"/>
  <c r="G421" i="35" s="1"/>
  <c r="G564" i="35"/>
  <c r="J164" i="8"/>
  <c r="G404" i="35"/>
  <c r="J37" i="8"/>
  <c r="G84" i="35"/>
  <c r="G151" i="35"/>
  <c r="K81" i="8"/>
  <c r="L81" i="8" s="1"/>
  <c r="J173" i="8"/>
  <c r="J179" i="8" s="1"/>
  <c r="K173" i="8"/>
  <c r="L173" i="8" s="1"/>
  <c r="L179" i="8" s="1"/>
  <c r="J132" i="8"/>
  <c r="G336" i="35"/>
  <c r="J64" i="8"/>
  <c r="G128" i="35"/>
  <c r="J109" i="8"/>
  <c r="J119" i="8" s="1"/>
  <c r="G194" i="35"/>
  <c r="J126" i="8"/>
  <c r="G290" i="35"/>
  <c r="I94" i="46"/>
  <c r="J13" i="45" s="1"/>
  <c r="J56" i="45" s="1"/>
  <c r="E5" i="40" s="1"/>
  <c r="G5" i="40" s="1"/>
  <c r="F90" i="8"/>
  <c r="E13" i="15" s="1"/>
  <c r="J167" i="45"/>
  <c r="E11" i="40" s="1"/>
  <c r="G11" i="40" s="1"/>
  <c r="I35" i="15"/>
  <c r="E23" i="40"/>
  <c r="J84" i="45"/>
  <c r="E7" i="40" s="1"/>
  <c r="G248" i="35"/>
  <c r="D35" i="40"/>
  <c r="D40" i="40" s="1"/>
  <c r="J135" i="8"/>
  <c r="E13" i="40"/>
  <c r="G13" i="40" s="1"/>
  <c r="E26" i="15" l="1"/>
  <c r="E31" i="15" s="1"/>
  <c r="E50" i="15" s="1"/>
  <c r="G27" i="40"/>
  <c r="G33" i="40" s="1"/>
  <c r="L229" i="8"/>
  <c r="E33" i="40"/>
  <c r="J90" i="8"/>
  <c r="J39" i="8"/>
  <c r="J194" i="8"/>
  <c r="J200" i="8" s="1"/>
  <c r="G566" i="35"/>
  <c r="G552" i="35"/>
  <c r="K192" i="8"/>
  <c r="L192" i="8" s="1"/>
  <c r="G588" i="35"/>
  <c r="K196" i="8"/>
  <c r="L196" i="8" s="1"/>
  <c r="G15" i="40"/>
  <c r="G35" i="40" s="1"/>
  <c r="J169" i="8"/>
  <c r="K64" i="8"/>
  <c r="L64" i="8" s="1"/>
  <c r="G129" i="35"/>
  <c r="K37" i="8"/>
  <c r="L37" i="8" s="1"/>
  <c r="G85" i="35"/>
  <c r="G364" i="35"/>
  <c r="K134" i="8"/>
  <c r="L134" i="8" s="1"/>
  <c r="G405" i="35"/>
  <c r="K164" i="8"/>
  <c r="L164" i="8" s="1"/>
  <c r="L169" i="8" s="1"/>
  <c r="K27" i="8"/>
  <c r="L27" i="8" s="1"/>
  <c r="G36" i="35"/>
  <c r="J122" i="8"/>
  <c r="J159" i="8" s="1"/>
  <c r="G250" i="35"/>
  <c r="G164" i="35"/>
  <c r="K86" i="8"/>
  <c r="L86" i="8" s="1"/>
  <c r="G337" i="35"/>
  <c r="K132" i="8"/>
  <c r="L132" i="8" s="1"/>
  <c r="K109" i="8"/>
  <c r="L109" i="8" s="1"/>
  <c r="L119" i="8" s="1"/>
  <c r="G195" i="35"/>
  <c r="K130" i="8"/>
  <c r="L130" i="8" s="1"/>
  <c r="G326" i="35"/>
  <c r="G291" i="35"/>
  <c r="K126" i="8"/>
  <c r="L126" i="8" s="1"/>
  <c r="J177" i="45"/>
  <c r="E15" i="40"/>
  <c r="G567" i="35" l="1"/>
  <c r="K194" i="8"/>
  <c r="L194" i="8" s="1"/>
  <c r="L200" i="8" s="1"/>
  <c r="I31" i="15"/>
  <c r="L39" i="8"/>
  <c r="G251" i="35"/>
  <c r="K122" i="8"/>
  <c r="L122" i="8" s="1"/>
  <c r="L159" i="8" s="1"/>
  <c r="L90" i="8"/>
  <c r="I48" i="15"/>
  <c r="E35" i="40"/>
  <c r="E40" i="40" s="1"/>
  <c r="I50" i="15" l="1"/>
</calcChain>
</file>

<file path=xl/comments1.xml><?xml version="1.0" encoding="utf-8"?>
<comments xmlns="http://schemas.openxmlformats.org/spreadsheetml/2006/main">
  <authors>
    <author>ADMIN</author>
  </authors>
  <commentList>
    <comment ref="I191" authorId="0" shapeId="0">
      <text>
        <r>
          <rPr>
            <b/>
            <sz val="9"/>
            <color indexed="81"/>
            <rFont val="Tahoma"/>
            <family val="2"/>
          </rPr>
          <t>ADMIN:</t>
        </r>
        <r>
          <rPr>
            <sz val="9"/>
            <color indexed="81"/>
            <rFont val="Tahoma"/>
            <family val="2"/>
          </rPr>
          <t xml:space="preserve">
CHECKED QTY 2 , TENDER 1  BALANCE  IN RAB 3
</t>
        </r>
      </text>
    </comment>
    <comment ref="I194" authorId="0" shapeId="0">
      <text>
        <r>
          <rPr>
            <b/>
            <sz val="9"/>
            <color indexed="81"/>
            <rFont val="Tahoma"/>
            <family val="2"/>
          </rPr>
          <t>ADMIN:</t>
        </r>
        <r>
          <rPr>
            <sz val="9"/>
            <color indexed="81"/>
            <rFont val="Tahoma"/>
            <family val="2"/>
          </rPr>
          <t xml:space="preserve">
ACTUAL QTY 2 , CHEKCED 2 ,  IN TENDER 1
</t>
        </r>
      </text>
    </comment>
  </commentList>
</comments>
</file>

<file path=xl/sharedStrings.xml><?xml version="1.0" encoding="utf-8"?>
<sst xmlns="http://schemas.openxmlformats.org/spreadsheetml/2006/main" count="4684" uniqueCount="1939">
  <si>
    <t xml:space="preserve">SUMMARY  FOR CIVIL, INTERIOR &amp; STRUCTURAL STEEL WORK  FOR  PROPOSED IN LOUNGE  AT JAIPUR AIRPORT </t>
  </si>
  <si>
    <t>S.No</t>
  </si>
  <si>
    <t>DESCRIPTION</t>
  </si>
  <si>
    <t>CARPET AREA in SQM</t>
  </si>
  <si>
    <t>A</t>
  </si>
  <si>
    <t xml:space="preserve"> CIVIL WORK </t>
  </si>
  <si>
    <t>I</t>
  </si>
  <si>
    <t>DISMANTLING WORK</t>
  </si>
  <si>
    <t>II</t>
  </si>
  <si>
    <t xml:space="preserve">CIVIL WORK </t>
  </si>
  <si>
    <t>B</t>
  </si>
  <si>
    <t xml:space="preserve">INTERIOR WORK </t>
  </si>
  <si>
    <t>FLOORING &amp; WALL TILES / STONE  WORK</t>
  </si>
  <si>
    <t>DOOR WINDOW  WORK</t>
  </si>
  <si>
    <t>III</t>
  </si>
  <si>
    <t>OTHER WOOD WORK FOR WALL PANELLING, PARTITIONS  &amp; STORAGES</t>
  </si>
  <si>
    <t>IV</t>
  </si>
  <si>
    <t xml:space="preserve">FALSE CEILING WORK </t>
  </si>
  <si>
    <t>V</t>
  </si>
  <si>
    <t xml:space="preserve">FINISHING WORK </t>
  </si>
  <si>
    <t>VI</t>
  </si>
  <si>
    <t>MISC. WORK</t>
  </si>
  <si>
    <t xml:space="preserve">TOTAL OF CIVIL &amp; INTERIOR  WORK </t>
  </si>
  <si>
    <t>D</t>
  </si>
  <si>
    <t xml:space="preserve">SANITARY PLUMBING FIXTURES WORK </t>
  </si>
  <si>
    <t xml:space="preserve">E </t>
  </si>
  <si>
    <t xml:space="preserve">STRUCTURAL STEEL WORK </t>
  </si>
  <si>
    <t xml:space="preserve">TOTAL OF CIVIL &amp; INTERIOR &amp; STRUCTURE   WORK RAB-01 </t>
  </si>
  <si>
    <t>MEP</t>
  </si>
  <si>
    <t>ELECTRICAL WORK</t>
  </si>
  <si>
    <t>ELECTRICAL WORK NON TENDER ITEM</t>
  </si>
  <si>
    <t xml:space="preserve">HVAC WORK </t>
  </si>
  <si>
    <t xml:space="preserve">FIRE FIGHTING AND PHE WORK </t>
  </si>
  <si>
    <t>FIRE FIGHTING AND PHE WORK NON TENDER ITEM</t>
  </si>
  <si>
    <t xml:space="preserve">LIGHT FITTINGS </t>
  </si>
  <si>
    <t>LIGHT FITTINGS NON TENDER ITEM</t>
  </si>
  <si>
    <t xml:space="preserve">SANITARY PLUMBING WORK </t>
  </si>
  <si>
    <t xml:space="preserve">FURNITURE WORK </t>
  </si>
  <si>
    <t xml:space="preserve">EXTRA NEW ITEM IN FURNITURE </t>
  </si>
  <si>
    <t xml:space="preserve">EXTRA ITEM HVAC  2ND FLOORING DUCTING AS PER SKETCH RECEIVED </t>
  </si>
  <si>
    <t>EXTRA ITEM C&amp; S</t>
  </si>
  <si>
    <t>SUB TOTAL  RAB -02</t>
  </si>
  <si>
    <t xml:space="preserve">GRAND TOTAL  RAB-02 </t>
  </si>
  <si>
    <t>ISSUED BY</t>
  </si>
  <si>
    <t>DATE</t>
  </si>
  <si>
    <t>ODER NO</t>
  </si>
  <si>
    <t xml:space="preserve">TENDER AMOUNT BASIC RATES </t>
  </si>
  <si>
    <t xml:space="preserve">WO FOR DISMANTLING </t>
  </si>
  <si>
    <t>ADANI</t>
  </si>
  <si>
    <t>10.08.23</t>
  </si>
  <si>
    <t xml:space="preserve">WO FOR FITOUT WORK </t>
  </si>
  <si>
    <t>SEMOLINA KITCHENS PVT LTD</t>
  </si>
  <si>
    <t>08.08.23</t>
  </si>
  <si>
    <t>PO/SKPL/23-24/001035</t>
  </si>
  <si>
    <t>GRAND TOTAL</t>
  </si>
  <si>
    <t xml:space="preserve">EOT Explanation </t>
  </si>
  <si>
    <t xml:space="preserve">Sr. No </t>
  </si>
  <si>
    <t xml:space="preserve">Description </t>
  </si>
  <si>
    <t xml:space="preserve">client </t>
  </si>
  <si>
    <t xml:space="preserve">Reference </t>
  </si>
  <si>
    <t xml:space="preserve">Planned start date </t>
  </si>
  <si>
    <t xml:space="preserve">Planned Finish </t>
  </si>
  <si>
    <t xml:space="preserve">Actual Start Date </t>
  </si>
  <si>
    <t>Actual Finish Date</t>
  </si>
  <si>
    <t xml:space="preserve">constraints/ remarks </t>
  </si>
  <si>
    <t xml:space="preserve">Work order Awarded </t>
  </si>
  <si>
    <t>27.09.23</t>
  </si>
  <si>
    <t>20.08.23</t>
  </si>
  <si>
    <t>27.08.23</t>
  </si>
  <si>
    <t xml:space="preserve">We have asked the management that we  need 10  days for mobilization  and all barication flex design received on 18.08.23 </t>
  </si>
  <si>
    <t xml:space="preserve">Dismantling work </t>
  </si>
  <si>
    <t>C&amp;S</t>
  </si>
  <si>
    <t>18.08.23</t>
  </si>
  <si>
    <t>15.10.23</t>
  </si>
  <si>
    <t xml:space="preserve"> Due to many  challenges at site like  CISF IT main rack Shifting , ACP along all sides dismantling , All existing live services of client site reallocation , Live Active  main duct of floor uplifting took time to close as , all agencies from client sides and airport authorities are involved in it , afterwards based on the space constrains at site we have received the final revised  GFC to work </t>
  </si>
  <si>
    <t xml:space="preserve">Revised Drawings after dismantling </t>
  </si>
  <si>
    <t>10.09.23</t>
  </si>
  <si>
    <t>20.09.23</t>
  </si>
  <si>
    <t xml:space="preserve">Fit out work </t>
  </si>
  <si>
    <t>20.12.23</t>
  </si>
  <si>
    <t>15.01.24</t>
  </si>
  <si>
    <t xml:space="preserve">Due to many changes at site as mentioned in various MOM and mails the overall schedule deferred to the mentioned dates </t>
  </si>
  <si>
    <t xml:space="preserve">Final documentation and billing certification </t>
  </si>
  <si>
    <t>05.01.23</t>
  </si>
  <si>
    <t>25.01.24</t>
  </si>
  <si>
    <t xml:space="preserve"> CIVIL &amp; INTERIOR WORK BOQ  FOR PROPOSED LOUNGE  AT JAIPUR AIRPORT</t>
  </si>
  <si>
    <t>S.NO</t>
  </si>
  <si>
    <t>DESCRIPTION OF ITEMS</t>
  </si>
  <si>
    <t>UNIT</t>
  </si>
  <si>
    <t>QTY</t>
  </si>
  <si>
    <t xml:space="preserve">BOQ RATE </t>
  </si>
  <si>
    <t xml:space="preserve">BOQ AMOUNT </t>
  </si>
  <si>
    <t>Remarks</t>
  </si>
  <si>
    <t>DIAMANTLING WORK</t>
  </si>
  <si>
    <t xml:space="preserve">I </t>
  </si>
  <si>
    <t>Dismantling of existing aluminium Door, window frames including glazing, repairing the cavity in teh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</si>
  <si>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SQM</t>
  </si>
  <si>
    <t xml:space="preserve">Dismantling of existing false ceiling work including frame etc and stacking teh serviceable materials at a designated place including disposing/ shifting teh unserviceable material at the designated place for further disposal as per instructions of Project In Charge complete </t>
  </si>
  <si>
    <t>Job</t>
  </si>
  <si>
    <t>LS</t>
  </si>
  <si>
    <t>Dismantling of Airconditionning ducts including shifting teh serviceable &amp; non serviceable material at teh designated place as per directions of Project In Charge complete.</t>
  </si>
  <si>
    <t xml:space="preserve">Job </t>
  </si>
  <si>
    <t>Dismantling of electrical conduits, wiring, DBS, switches, switch boards, sockets etc as per directions of Project In Charge and shifting teh serviceable &amp; unserviceable materials at teh respective designated places for final disposal</t>
  </si>
  <si>
    <t>Removing teh existing carpet along with base materials if any any disposal of serviceable &amp; un serviceable materials at teh respective designated place for final disposal as per directions of Project In Charge complete.</t>
  </si>
  <si>
    <t xml:space="preserve">Dismantling of existing stone flooring and disposal of Malwa at teh designated place for final disposal as per directions of Project-in-Charge complete including cleaning teh RCC slab top with wire brushes after shifting of all teh materials as per above items. </t>
  </si>
  <si>
    <t xml:space="preserve">TOTAL </t>
  </si>
  <si>
    <t>CIVIL WORK</t>
  </si>
  <si>
    <t>Providing and laying 150mm / 200mm / 250mm  thick   ACC block wall with grade -1 AAC Blocks of density 551.to 650kg / cum conforming to IS : 2185 ( Part -3)  in superstructure above plinth level  with R.C.C. bend at cill &amp; Lintel level, RCC, Steel reinforcement &amp; CSS of Lintels, Bands etc shall be paid separately under relevant items,  with approved block laying polymer modified adhesive mortar all complete as per direction of Engineer-in-Charge. (The payment of RCC band and  reinforcement shall be made for separately).  size of block  (2'-0" x 0'-8" and width 0'-4" ).  including the cost of scaffolding, curing etc. complete as specified.</t>
  </si>
  <si>
    <t>Cum</t>
  </si>
  <si>
    <t>Rate Only</t>
  </si>
  <si>
    <t>Providing and laying 100mm thick   ACC block wall with grade -1 AAC Blocks of density 551.to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is inclusive of scaffolding, tools &amp; tackles, all leads &amp; heights etc. complete.</t>
  </si>
  <si>
    <t>Sqm</t>
  </si>
  <si>
    <t>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RCC, steel, shuttering &amp; de-shuttering, shuttering oil, binding wire, curing, tools tackles all leads &amp; heights as per direction of engineer- in -charge.</t>
  </si>
  <si>
    <t>Rmt</t>
  </si>
  <si>
    <t>R.C.C- ( 1 : 1.5 : 3 ) ( 1 cement : 1.5 coarse send : 3 graded stone aggregate 20mm nominal size ) for Band  where ever required  I/c  reinforcement 2Nos 8mm dia bar with 8mm dia links  @ 150mm c/c  including centering  shuttering for all levels and height,( bend cross section size 100mm wide  x 75mm thick ) etc. complete. The  rate includes RCC ( Cement Concrete + Reinforcemnet steel), Shuttering,  de-shuttering, shuttering oil, binding wire, curing, tools tackles all leads &amp; heights as per direction of engineer- in -charge.</t>
  </si>
  <si>
    <t>R.C.C in (  1: 1.5 : 3 )  for   counters, slabs ( 75mm thick)    I/c  reinforcement 10mm dia bar @ 150mm c/c both ways &amp; centering  shuttering for all levels and height. The  rate includes de-shuttering, shuttering oil, binding wire, curing, tools tackles all leads &amp; heights as per direction of engineer- in -charge.</t>
  </si>
  <si>
    <t>Providing &amp; laying 50mm  thick ( average thickness )  screeding with 1:2:4 cement conc. (1 cement :2 coarse sand :4 graded stone agg 10mm nominal size )  in line and level including required shuttering, curing etc. complete in all respect</t>
  </si>
  <si>
    <t>CUM</t>
  </si>
  <si>
    <t>Extra for above Item No-7 for floating quote of neat cement punning over screeding including curing etc.</t>
  </si>
  <si>
    <t>Providing and applying  15 mm thick cement plaster of mix in 1:4 (1 cement : 4 coarse sand) at all levels &amp; heights including scaffolding, curing etc. complete as specified.</t>
  </si>
  <si>
    <t>Same as AAC wall</t>
  </si>
  <si>
    <t>Total of block &amp; R.C.C. &amp; M.S.  work</t>
  </si>
  <si>
    <t>TILE FLOORING</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</si>
  <si>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</si>
  <si>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Glazed Vitrified Tiles Matt/Anti skid finish of 600x600mm size with basic cost as Rs.560  per sqm</t>
  </si>
  <si>
    <t>Deduct for not using 20 mm thick Cement Mortar 1:4 ( 1 Cement: 4 coarse sand) bedding in laying of floor tiles and jointing with grey cement slurry @ 3.3 kg/ sqm.</t>
  </si>
  <si>
    <t xml:space="preserve">R.O. </t>
  </si>
  <si>
    <t>Fixing glazed/ Ceramic/ Vitrified floor tiles with cement based high polymer modified quick-set tile adhesive (Water based) conforming to IS: 15477,in average 3mm thickness.</t>
  </si>
  <si>
    <t>R.O</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</si>
  <si>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 etc complete.( Basic cost of tile@ Rs.340/-  per Sqm ( Under Servery counter area floor Tiles )</t>
  </si>
  <si>
    <t xml:space="preserve">DADO TILES </t>
  </si>
  <si>
    <t xml:space="preserve">Providing and fixing 1st quality ceramic glazed wall tiles , 600 x 600mm Glazed/Matt/Anti skid finish etc (thickness to be specified by the manufacturer), of approved make, in all colours, shades  as approved by Engineer-in-Charge, for dados, over 12 mm thick bed of cement mortar 1:3 (1 cement : 3 coarse sand) and jointing with grey cement slurry @ 3.3kg per sqm, including pointing in white cement mixed with pigment of matching shade complete. ( Basic cost of tiles @ Rs.480/- Sqm ) </t>
  </si>
  <si>
    <t xml:space="preserve">Providing and fixing 1st quality ceramic glazed wall tiles , 600 x 600mm Glazed/Matt/Anti skid finish etc (thickness to be specified by the manufacturer), of approved make, in all colours, shades  as approved by Engineer-in-Charge, for dados, with cement based high polymer modified quick set adhesive ( water based) conforming to IS :15477, in average 6mm thickness  and jointing with grey cement slurry @ 3.3kg per sqm, including pointing in white cement mixed with pigment of matching shade complete. ( Basic cost of tiles @ Rs.480/- Sqm ) </t>
  </si>
  <si>
    <t xml:space="preserve">Providing &amp; fixing hand made mosaic tiles as per mood board design &amp; drawings with approved quality adhesive on the servery area walls complete as per directions of Project In Charge </t>
  </si>
  <si>
    <t>basic rate assumed 200/sqft</t>
  </si>
  <si>
    <t xml:space="preserve"> Providing and laying Vitrified tiles in different sizes (thickness to be specified by the manufacturer), with water absorption less than 0.08% and conforming to IS: 15622, of approved brand &amp; manufacturer, in all colours and shade, in skirting, riser of steps, laid with cement based high polymer modified quick set tile adhesive (water based) conforming to IS: 15477, in average 6 mm thickness, including grouting of joints (Payment for grouting of joints to be made separately).</t>
  </si>
  <si>
    <t>basic rate assumed 65/sqft</t>
  </si>
  <si>
    <t xml:space="preserve"> Size of Tile 600x600 mm</t>
  </si>
  <si>
    <t>C</t>
  </si>
  <si>
    <t>Stone Work</t>
  </si>
  <si>
    <r>
      <rPr>
        <sz val="10"/>
        <rFont val="Calibri"/>
        <family val="2"/>
      </rPr>
      <t xml:space="preserve">Providing and fixing  18mm thick </t>
    </r>
    <r>
      <rPr>
        <b/>
        <sz val="10"/>
        <rFont val="Calibri"/>
        <family val="2"/>
      </rPr>
      <t>Granite  Stone</t>
    </r>
    <r>
      <rPr>
        <sz val="10"/>
        <rFont val="Calibri"/>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Calibri"/>
        <family val="2"/>
      </rPr>
      <t>( Basic cost of Granite stone @ Rs. 200/- Sqft )</t>
    </r>
  </si>
  <si>
    <r>
      <rPr>
        <sz val="10"/>
        <rFont val="Calibri"/>
        <family val="2"/>
      </rPr>
      <t xml:space="preserve">Providing and fixing </t>
    </r>
    <r>
      <rPr>
        <b/>
        <sz val="10"/>
        <rFont val="Calibri"/>
        <family val="2"/>
      </rPr>
      <t xml:space="preserve"> 16 to 18mm thick Italian   Stone</t>
    </r>
    <r>
      <rPr>
        <sz val="10"/>
        <rFont val="Calibri"/>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Calibri"/>
        <family val="2"/>
      </rPr>
      <t>( Basic cost of Italian stone @ Rs. 4845/- Sqm )( Actual size of stone to be measured &amp; paid ).</t>
    </r>
  </si>
  <si>
    <t xml:space="preserve">Providing and fixing  16 to 18mm thick Italian   Stone for  wall   fixed with adhesive of approved make over existing partition  and  jointed with  adhesive  mixed  with pigment to match the shade of stone including necessary grooves &amp; polishing, edge chamfering, buffing,  polishing, complete in all respect. ( Basic cost of Italian stone @ Rs. 4845/- Sqm )( Actual size of stone to be measured &amp; paid ). Servery counter area wall &amp; counter facade finishing stone ). </t>
  </si>
  <si>
    <t>Wooden Flooring</t>
  </si>
  <si>
    <r>
      <rPr>
        <sz val="10"/>
        <rFont val="Calibri"/>
        <family val="2"/>
      </rPr>
      <t xml:space="preserve">Providing &amp; fixing </t>
    </r>
    <r>
      <rPr>
        <b/>
        <sz val="10"/>
        <rFont val="Calibri"/>
        <family val="2"/>
      </rPr>
      <t>15mm thick</t>
    </r>
    <r>
      <rPr>
        <sz val="10"/>
        <rFont val="Calibri"/>
        <family val="2"/>
      </rPr>
      <t xml:space="preserve"> Engineered wooden flooring of approved make &amp; shade in chevron pattern with 2mm thick base foam including all fixing arrangement &amp; required profile &amp; skirting complete in all respect. </t>
    </r>
    <r>
      <rPr>
        <b/>
        <sz val="10"/>
        <rFont val="Calibri"/>
        <family val="2"/>
      </rPr>
      <t>(Basic cost of Engineered Wooden  flooring@ Rs. 4035/- Sqm) (Actual carpet area at site to be measured &amp; paid ).  ( Business Dropdown, Bar Lounge Area, Reception, Servery area, Business centre area &amp; Toilet Vestibule ).</t>
    </r>
  </si>
  <si>
    <t>E</t>
  </si>
  <si>
    <t>CARPET FLOORING</t>
  </si>
  <si>
    <t>Providing, laying &amp; fixing carpet flooring of approved brand &amp; manufacture: HAND TUFTED 4.50 LBS. 12- 14MM THK. CUSTOMIZED NYLON HANDTUFTED BROADLOOM CARPET 100% NYLON (NF)</t>
  </si>
  <si>
    <t>SIZE &amp; specifications as per mood board  : AS PER DWG. RUBBER UNDERLAY 8 MM. etc complete as per Directions of Project In- Charge complete.</t>
  </si>
  <si>
    <t>basic rate assumed 150/sqft</t>
  </si>
  <si>
    <r>
      <rPr>
        <sz val="10"/>
        <rFont val="Calibri"/>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Calibri"/>
        <family val="2"/>
      </rPr>
      <t>.( Basic cost for aluminium  Transition profile @ Rs. 230/- Rmtr)</t>
    </r>
  </si>
  <si>
    <t xml:space="preserve">Total of Flooring Work </t>
  </si>
  <si>
    <t xml:space="preserve">DOOR WINDOW WORK </t>
  </si>
  <si>
    <t>Providing and fixing  door and window frames made out of White ASH Wood with necessary groove ( 6mm x 6 mm ) &amp;  single rebate  including necessary M.S. hold-fasts/ fastners , minimum four on each side of teh frame, in cement concrete blocks 1: 2: 4 / fasteners ( expendable 10mm dia ) on either side fixed in line and level, finishing with matching finish of teh wall etc.  The frame to be treated with necessary anti-termite chemical and fire retardant paint on partition side &amp; finally finished with PU polish  complete in all respect.</t>
  </si>
  <si>
    <t>Providing and fixing 38 mm. thick flush door shutters with vision slit ( 250mm x 900mm apro. as per drawing )  core of  block board ( MR Grade )  construction with  well matched 1mm thick  laminate  sheet  of approved make &amp; shade on both sides of shutter including  white ash wood  edge lipping (12mm thick) finish with  PU polish, all required fittings such as 4 nos. 125 mm. size SS 304v grade PVD Coated with approved shade, colour &amp; texture butt hinges per leaf  with necessary screws and S.S.304 grade PVD Coated handles of long length minimum 60 CMs of height, of approved shape, profile, grip similar finish in  tower bolts minimum 300mm long, similar finishes as that of handles door stopper, rubber buffer, vision slit as per design with 6mm thick glass with wooden beading on back side fixed into  a special rebate created in  block board core  of doors ( white ash wood ), handles,motrise dead lock with one side key knob cylinder finished as per handles in, with horizontal &amp; vertical PVD Coated SS 304 grade I or T channel of width 12 mmx6mmx6mm for verticals &amp; 6mmx6mm for horizontal and thickness not less than 6mm for T section    etc.  complete in all respect. .( Basic cost of laminate @ Rs. 970/-Sqm ) ( Actual size of shutter to be measured &amp; paid ). ( Kitchen Back &amp; Lounge side entry door  )</t>
  </si>
  <si>
    <t xml:space="preserve">Providing and fixing 38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t>
  </si>
  <si>
    <t>Extra for cutting rebate in flush door shutter to fix sliding mechanism as per manufacturer of sliding arrangement specifications etc complete as per Directions of Project In Charge complete including finishing the cut area of shutters with ash wood margin of required width &amp; thickness, polished as per edges complete. No deduction of lipping etc cut shall be made from teh measurements.</t>
  </si>
  <si>
    <t>RMT</t>
  </si>
  <si>
    <t xml:space="preserve">Extra for providing &amp; Fixing sliding arrangement, mechanism, rollers on bottom , corresponding embedded chanel fixtures of approved brand &amp; manufacture complete with all accessories, screws, fixing, alignment, hanging, finishing, grittiest, fastners, nails, screws etc in all respects of Hafele or equivalent make mechanism of Model SLIDO CLASSIC 80M OR equivalent as per directions of Project In Charge complete. </t>
  </si>
  <si>
    <t>Each</t>
  </si>
  <si>
    <t>34A</t>
  </si>
  <si>
    <t>Supply and installation of dormakaba ALTERRA Single glazed fixed glass partition using 10mm Toughened glass in proprietary natural anodised aluminium sections ALT 50 of size 50mm x 30mm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t>
  </si>
  <si>
    <t>All Profiles are min 1.5mm thickness excluding 20 microns of Anodizing, Standards applicable</t>
  </si>
  <si>
    <t>• Structural stability test accordance to BS 5234: Part2:1992 &amp; EN 1991-1-1:2002</t>
  </si>
  <si>
    <t>• Acoustic test for sound insulation in accordance to DIN EN ISO 10140-2 ASTME-E 90</t>
  </si>
  <si>
    <r>
      <rPr>
        <sz val="10"/>
        <rFont val="Calibri"/>
        <family val="2"/>
      </rPr>
      <t xml:space="preserve"> • ALT profile sections are manufactured and tested in accordance to EN573-3, EN755-2, DIN EN 12020 T2 , non</t>
    </r>
    <r>
      <rPr>
        <sz val="10"/>
        <rFont val="Arial"/>
        <family val="2"/>
      </rPr>
      <t>_</t>
    </r>
    <r>
      <rPr>
        <sz val="10"/>
        <rFont val="Calibri"/>
        <family val="2"/>
      </rPr>
      <t>x005f_x0002_dimensions manufacturing tolerance deviation DIN ISO 2768- 1 class C = coarse</t>
    </r>
  </si>
  <si>
    <t>34B</t>
  </si>
  <si>
    <t xml:space="preserve">Providing &amp; Fixing in position (in front of the Fixed Glass Glazing) SS 304 grade PVD Coated having outer frame of SS Box Section/ Flat &amp; intermediate SS Square Bar etc. as/drawing fixed to top &amp; bottom with the help of SS PVD Coated Screws matching with the Grill PVD shade etc. complete as per the direction in-charge. </t>
  </si>
  <si>
    <t>Providing &amp; fixing concealed Hydraulic door closer of approved make Hafele or equivalent, Model No. DCL 71, EN 2-5, DOOR WEIGHT 120 KG including all fixing arrangement complete in all respect.</t>
  </si>
  <si>
    <t>No</t>
  </si>
  <si>
    <t xml:space="preserve">Providing &amp; fixing  Door  Lock (  Motrise  lever one side knob cylinder &amp; one side key  finish in rose gold SS  ) of approved make including all fixing arrangement complete in all respect. DORSET MODEL NO. </t>
  </si>
  <si>
    <t>Providing &amp; fixing  Door  Lock (  Motrise  lever one side knob cylinder &amp; one side key  finish in  SS  ) of approved make including all fixing arrangement complete in all respect.</t>
  </si>
  <si>
    <t>PROVIDING &amp; FIXING 600mm long 'H' type pull handle, hand grip height of 400mm, 36mm dia, made of SS, finished in Rose Gold colour of Dorset or equivalent make as per directions of Project In Charge complete</t>
  </si>
  <si>
    <t>Set</t>
  </si>
  <si>
    <t xml:space="preserve">Total of Door Window Work </t>
  </si>
  <si>
    <t>Providing and fixing frame work for partitions/ wall lining etc. made of 50x50x1.6 mm hollow MS tube, placed along the walls, ceiling and floor in a grid pattern with spacing @ 60 cm centre to centre both ways (vertically &amp; horizontally) or at required spacing near opening, with necessary welding at junctions and fixing the frame to wall/ ceiling/floors with steel dash fasteners of 8 mm dia, 75 mm long bolt, including making provision for opening for doors,windows, electrical conduits,switch boards etc., including providing with two coats of approved steel primer etc. complete, all as per direction of Engineer-in-charge.</t>
  </si>
  <si>
    <t>KG</t>
  </si>
  <si>
    <t>Providing and fixing 12mm thick HDHMR ply of approved make &amp; manufacture in two layers, first layer on to existing wall.MS Frame, Wooden Frame with nails, screws, grittiest, cleats, clips as required and second layer with approved adhesive  including all fixing arrangement   complete in all respect .</t>
  </si>
  <si>
    <t>Providing and fixing 12mm thick flexible  MR grade ply in two layers,  of approved brand &amp; manufacture  on  existing M.S. frame work, 1st layer with screws, nails, cleats , clips as required and second layer with approved adhesive  including all fixing arrangement complete in all respect .</t>
  </si>
  <si>
    <t>Providing &amp; fixing first layer of 12mm thick waterproof MR grade  flexible ply of approved brand &amp; manufacture in panelling on wall/existing  M.S. /  termite treated wooden frame with screw then fixing/ pasting with approved adhesive  second layer  of 12mm thick flexible  ply  of approved make complete in all respect.(  )</t>
  </si>
  <si>
    <t>Rate only</t>
  </si>
  <si>
    <t>Providing and fixing 1mm thick laminate  panelling over existing partition as per approved sample including all fixing arrangement complete in all respect. Only finished area to be measured &amp; paid.( Basic cost of Laminate@ Rs.970/-Sqm ).</t>
  </si>
  <si>
    <t>Providing &amp; fixing 12mm thick HDHMR ply panelling on wall with  required  termite treated wooden frame work with the help of gutties &amp; screw , nails  complete in all respect. The base frame shall be made from approved quality Kali wood , kiln seasoned, termite treated etc of size 50x25mm( minimum) @600mm c/c with additional members on the ends etc as per Directions of Project In Charge, premium lounge wall and executive lunge wall of block work.</t>
  </si>
  <si>
    <t>Providing &amp; fixing 1.2mm thick aluminium.  Skirting  PVDF coated 100mm height rose gold finish or  as per approved sample over existing partition including all fixing arrangement complete in all respect. ( Basic cost Aluminium Skirting @ Rs. 450/-Rmtr)</t>
  </si>
  <si>
    <r>
      <rPr>
        <sz val="10"/>
        <rFont val="Calibri"/>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Calibri"/>
        <family val="2"/>
      </rPr>
      <t xml:space="preserve"> (Basic cost of laminate for internal surface @ Rs. 270/-Sqm &amp; external surface laminate@ Rs.970/-Sqm)</t>
    </r>
  </si>
  <si>
    <t>a</t>
  </si>
  <si>
    <t>450mm</t>
  </si>
  <si>
    <r>
      <rPr>
        <sz val="10"/>
        <rFont val="Calibri"/>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Calibri"/>
        <family val="2"/>
      </rPr>
      <t xml:space="preserve"> (Basic cost of laminate for internal surface @ Rs. 270/-Sqm &amp; external surface laminate@ Rs.970/-Sqm)</t>
    </r>
  </si>
  <si>
    <t xml:space="preserve">600mm deep </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</si>
  <si>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</si>
  <si>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1000 mm</t>
  </si>
  <si>
    <r>
      <rPr>
        <sz val="10"/>
        <rFont val="Calibri"/>
        <family val="2"/>
      </rPr>
      <t xml:space="preserve">Providing and fixing </t>
    </r>
    <r>
      <rPr>
        <b/>
        <sz val="10"/>
        <rFont val="Calibri"/>
        <family val="2"/>
      </rPr>
      <t>Reception Table ( 450mm to 600mm Deep )</t>
    </r>
    <r>
      <rPr>
        <sz val="10"/>
        <rFont val="Calibri"/>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Calibri"/>
        <family val="2"/>
      </rPr>
      <t xml:space="preserve"> ( Basic cost of internal laminate @ Rs.270/- Sqm &amp; external laminate  @ Rs970/-Sqm  &amp; Italian marble stone @ Rs. 4845/- Sqmt ) &amp; PVD coated rose gold finish 1mm thick SS sheet @ Rs.4420Sqm)</t>
    </r>
  </si>
  <si>
    <r>
      <rPr>
        <sz val="10"/>
        <rFont val="Calibri"/>
        <family val="2"/>
      </rPr>
      <t>Providing making &amp; fixing in position</t>
    </r>
    <r>
      <rPr>
        <b/>
        <sz val="10"/>
        <rFont val="Calibri"/>
        <family val="2"/>
      </rPr>
      <t xml:space="preserve"> 19mm thick India Map ( 1.58mtr x 1.87mtr) made of </t>
    </r>
    <r>
      <rPr>
        <sz val="10"/>
        <rFont val="Calibri"/>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Calibri"/>
        <family val="2"/>
      </rPr>
      <t xml:space="preserve">( Basic cost of PVD coated SS sheet @ Rs.4420/- Sqm ) </t>
    </r>
  </si>
  <si>
    <t xml:space="preserve">Providing Making &amp; fixing/pasting with approved adhesive in position 1mm thick SS Sheet of grade 304 PVD coated with approved colour, shade, texture &amp; finish over 12mm thick flexi fire retardant   ply of approved brand &amp; manufacture in circular portion of the display at top and on 12mmm thick MDF Board on horizontal/vertical surfaces. the fins of teh display shall be made 50mm thick, with projection of 300mm in straight portion UPTO height of about 2.40meters and thereafter it shall further add 200mm projection to 300mm projection making overall projected length at top most pont( at Ceiling) of 500mm. The top shall have another recessed semicircular ( 50mm inside from 500 mm overall projection at top) of R230mm etc as per drawings. The top surface and all inside surfaces and out side surfaces of fins forming display shall be wrapped with 1mm thick PVD coated SS304 grade sheet with coating of approved colour, shade and texture. The PVD sheet shall be wrapped with approved adhesive etc.. In addition to it a box shall be created at height from 450mm to 1100 mm i.e. 650mm front with wooden Hollock wood battens of appropriate size over it HDHMR board of 19mmm thickness shall be fixed and on this board 19mm thick Italian stone shall be fixed. The HDHMR Board shall be semi circular at teh bottom so shall be Italian stone  as per drawing. The top shall also have Italian stoneof size 300x500x19mm with bird beak corner grove joint with teh vertical stone surface, polished complete over HDHMR Board of 19mm thick of approved shade, colour, design, pattern &amp; profile as per drawing complete. The front area in between teh fins shall have 1mm thick laminate on the existing HDHMR partition. there shall be a 10mm thick glass of 500mm height placed above Italian stone with suitable opening &amp; locking arrangement, the glass box shall have top also of 10mmm thick toughened glass fixed to back with tubular section of SS304 grade as frame on corner for fixing glass to glass and glass to side fins and glass to back wall of size 25x10mm, with locking arrangement complete.   </t>
  </si>
  <si>
    <t xml:space="preserve">Rate is inclusive of frame of MS tubular section minimum thickness of 1.6mm and or of wooden chemically treated Hollock wood frame,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</si>
  <si>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b</t>
  </si>
  <si>
    <t>The rate is also inclusive of fixing 19mmx19mm edge Italian stone at the bottom semi circular portion with adhesive and in pieces in true semi circular profile of teh front Italian stone ( making visible thickness of stone at bottom as 19+19mm=38mm, polishes complete</t>
  </si>
  <si>
    <t>Providing , making &amp; fixing projected surface with frame of wooden/MS as described in above item having front face 12mm thick MDF Board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</si>
  <si>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 xml:space="preserve">SQM </t>
  </si>
  <si>
    <t>Total of  other wood work for wall Cladding &amp; Display Rack</t>
  </si>
  <si>
    <t xml:space="preserve">False ceiling Work </t>
  </si>
  <si>
    <t>Providing and fixing split level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PREMIUM LOUNGE AREA</t>
  </si>
  <si>
    <t>Providing and fixing  gypsum board   false ceiling with coves on sides along the walls to receive light fixtures, AC diffusers etc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EXECUTIVE LOUNGE, RECEPTION, ADMN ROOM etc</t>
  </si>
  <si>
    <t xml:space="preserve">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</si>
  <si>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r>
      <rPr>
        <sz val="10"/>
        <rFont val="Calibri"/>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Calibri"/>
        <family val="2"/>
      </rPr>
      <t>( Kitchen &amp; Kitchen Store false ceiling )</t>
    </r>
  </si>
  <si>
    <t xml:space="preserve">Total of False ceiling Work </t>
  </si>
  <si>
    <t xml:space="preserve">Finishing Work </t>
  </si>
  <si>
    <t>Providing &amp; applying P.O.P. punning on walls with an average thickness of 2mm including finishing the surface smooth in line &amp; level complete in all respect.</t>
  </si>
  <si>
    <r>
      <rPr>
        <sz val="10"/>
        <rFont val="Calibri"/>
        <family val="2"/>
      </rPr>
      <t xml:space="preserve">Providing three or more coats of </t>
    </r>
    <r>
      <rPr>
        <b/>
        <sz val="10"/>
        <rFont val="Calibri"/>
        <family val="2"/>
      </rPr>
      <t>Plastic Emulsion  paint</t>
    </r>
    <r>
      <rPr>
        <sz val="10"/>
        <rFont val="Calibri"/>
        <family val="2"/>
      </rPr>
      <t xml:space="preserve"> of approved make &amp; shade including preparation of base by cement based putty &amp; primer  complete in all respect. </t>
    </r>
    <r>
      <rPr>
        <b/>
        <sz val="10"/>
        <rFont val="Calibri"/>
        <family val="2"/>
      </rPr>
      <t>( Admin area inside wall paint )</t>
    </r>
  </si>
  <si>
    <r>
      <rPr>
        <sz val="10"/>
        <rFont val="Calibri"/>
        <family val="2"/>
      </rPr>
      <t>Providing &amp; fixing Fabric backed Vinyl Wall covering(10.05mtr. X .52mtr ) ( 300gsm Type-II)  fire  Retardant as per approved sample including all fixing arrangement complete in all respect.</t>
    </r>
    <r>
      <rPr>
        <b/>
        <sz val="10"/>
        <rFont val="Calibri"/>
        <family val="2"/>
      </rPr>
      <t>( Basic cost of Fabric backed Vinyl Wall covering @ Rs. 3230/- Sqm )</t>
    </r>
  </si>
  <si>
    <t xml:space="preserve">Total of finishing work </t>
  </si>
  <si>
    <t xml:space="preserve">Misc. Work </t>
  </si>
  <si>
    <r>
      <rPr>
        <sz val="10"/>
        <rFont val="Calibri"/>
        <family val="2"/>
      </rPr>
      <t xml:space="preserve">Providing &amp; filling 50mm thick Fibre  Glass wool </t>
    </r>
    <r>
      <rPr>
        <b/>
        <sz val="10"/>
        <rFont val="Calibri"/>
        <family val="2"/>
      </rPr>
      <t>( 64kg den</t>
    </r>
    <r>
      <rPr>
        <sz val="10"/>
        <rFont val="Calibri"/>
        <family val="2"/>
      </rPr>
      <t xml:space="preserve">sity ) in M. S. frame work for partition wall for making sound proof </t>
    </r>
  </si>
  <si>
    <r>
      <rPr>
        <sz val="10"/>
        <rFont val="Calibri"/>
        <family val="2"/>
      </rPr>
      <t xml:space="preserve">Providing &amp; fixing </t>
    </r>
    <r>
      <rPr>
        <sz val="10"/>
        <color rgb="FFFF0000"/>
        <rFont val="Calibri"/>
        <family val="2"/>
      </rPr>
      <t xml:space="preserve"> </t>
    </r>
    <r>
      <rPr>
        <sz val="10"/>
        <rFont val="Calibri"/>
        <family val="2"/>
      </rPr>
      <t xml:space="preserve">aluminium. T profile ( 19mm x 19mm x 6mm thick ) PVDF coated ( Rose gold finish )  as per approved sample including all fixing arrangement complete in all respect. </t>
    </r>
    <r>
      <rPr>
        <b/>
        <sz val="10"/>
        <rFont val="Calibri"/>
        <family val="2"/>
      </rPr>
      <t>( Basic cost of T Profile @ Rs. 250/- Rmtr. )</t>
    </r>
  </si>
  <si>
    <r>
      <rPr>
        <sz val="10"/>
        <rFont val="Calibri"/>
        <family val="2"/>
      </rPr>
      <t xml:space="preserve">Providing &amp; fixing Rose Gold finish L- angle aluminium profile ( 12mm x 12mm x 1.5mm thick  ) as per approved sample fixed with adhesive of approved make  including all fixing arrangement complete in all respect. </t>
    </r>
    <r>
      <rPr>
        <b/>
        <sz val="10"/>
        <rFont val="Calibri"/>
        <family val="2"/>
      </rPr>
      <t>( Basic cost of Angle @ Rs. 330 Rmtr. )</t>
    </r>
  </si>
  <si>
    <t>Rmtr</t>
  </si>
  <si>
    <r>
      <rPr>
        <sz val="10"/>
        <rFont val="Calibri"/>
        <family val="2"/>
      </rPr>
      <t>P/F 1mm thick PVD coated SS sheet fixing on existing wall panelling  as per approved sample including all fixing arrangement complete in all respect.</t>
    </r>
    <r>
      <rPr>
        <b/>
        <sz val="10"/>
        <rFont val="Calibri"/>
        <family val="2"/>
      </rPr>
      <t xml:space="preserve">( Basic cost of PVD coated SS sheet @ Rs.4420/- Sqm ) </t>
    </r>
  </si>
  <si>
    <t xml:space="preserve">Providing &amp; doing water proofing of sunken areas of Toilets, balconies etc, of following operations:                                                         i) Cleaning the sunken area surface using wire brush and then broom making teh surface dust free.                                                     Ii) Repairing the holes, depressions or taking out loose materials of brick work/cement plater/concrete and grouting the same with cement concrete (1:11/2:3) or cement plater (1:3) as teh case may be and only if required.                                                                       Iii) Applying two coats of base primer of URP301 of Dr Fixit or equivalent as per manufacturers specifications.                                   Iv) (laying of pipes, PCC on pipes ) and applying URP301 two coats on teh PCC surfaces and the other ares which got damaged due to laying of pipes and subsequenty made good( grouted).                    V) Laying of water proof coat of 2K of Dr Fixit or equivalent as per manufacturer's specifications.                                                                  Vi) Allowing it dry then checking teh sunken areas by water ponding for two days and if leakage is observed then redoing the 2K coats all over again.                                                                                      VII) Laying water proof plaster in slope 1:100 towards spout fixed for drainage in cement mortar 1:3 mixed with water proofing compound with cement @2% by weight of cement , finished neat or as may be specified by teh manufacturer, curing for minimum seven days.                                                                                                           </t>
  </si>
  <si>
    <t>Kitchen Area ( raised or sunken)</t>
  </si>
  <si>
    <t>Providing &amp; filling Khanger in the sunken areas as per Directions of Project-in-Charge</t>
  </si>
  <si>
    <t xml:space="preserve">Providing and doing 12mm thick solid surface ( corian) of approved, shade, texture, make &amp; manufacture over base of 12mm water proof ply with all adhesives, including all processes &amp; making the curves smooth and joints seamless as per profile, drawings and instructions of Engineer incharge complete </t>
  </si>
  <si>
    <t>basic rate of corion assumed as 800/sqft</t>
  </si>
  <si>
    <t xml:space="preserve">Total of Misc. Work </t>
  </si>
  <si>
    <t xml:space="preserve">SANITARY  FIXTURES FITTINGS WORK </t>
  </si>
  <si>
    <t xml:space="preserve">P / F CP Brass 15mm Diameter  Angle Valve of KOHLER make Model-PARALLEL or as approved by the Project-in-Charge. </t>
  </si>
  <si>
    <t>Providing &amp; fixing ROB HOOK of EURONICS make Model No. EC02 or equivalent as approved by the Project-in-Charge.</t>
  </si>
  <si>
    <t xml:space="preserve">P / F S.S. Liquid Soap dispenser of aEURONICS  make Model No. ES80A or equivalent.  </t>
  </si>
  <si>
    <t xml:space="preserve">Providing  SS 304 grade  Dust Bin in W.C. area  of approved make and size of 6 L Capacity  of KOHLER Make reference Model No. K-17531T-ST or equivalent( approximately 300mm dia and 45 cms high) etc as per directions of Project -in-Charge </t>
  </si>
  <si>
    <t>Providing &amp; fixing Sink mixture of CERA make Model No. F 2002511 or equivalent as approved by the Project -in-Charge.</t>
  </si>
  <si>
    <t>Providing &amp; fixing single bowl single draining board , stain less steel grade 304 kitchen sink, with coating for sound absorption, CP waste, CP Brass bottle trap of 32mm dia of NIRALI make of size 1000x510x250mm or equivalent as approved by the Project-in-Charge.</t>
  </si>
  <si>
    <t xml:space="preserve">Providing &amp; fixing Bar Sink in SS ( 304 grade )  of KAFF Make reference Model No. KS 22 SB (R10) of size 220x440x200mm Bowl size of 180x400x200mm, 1 mm thick SS Sheet, with sound reduction pad all around &amp; bottom, anti condensation coating etc with all fixtures, firings, brackets , screws, fasteners for fixing to wall and or counter as per drawing  or equivalent Make as approved by the Project-in-Charge complete as per drawings &amp; instructions of Project-in-Charge. </t>
  </si>
  <si>
    <t>Providing &amp; fixing dual level spout  of CP Brass of KOHLER Make reference Model No.CUFF K-37316IN-4-CP OR OF EQUIVALENT MAKE AS as  approved by Project-in-Charge for bar sink etc complete.</t>
  </si>
  <si>
    <r>
      <rPr>
        <sz val="10"/>
        <rFont val="Calibri"/>
        <family val="2"/>
      </rPr>
      <t xml:space="preserve">Providing and fixing </t>
    </r>
    <r>
      <rPr>
        <b/>
        <sz val="10"/>
        <rFont val="Calibri"/>
        <family val="2"/>
      </rPr>
      <t>12mm thick flexible  ply (curved area)</t>
    </r>
    <r>
      <rPr>
        <sz val="10"/>
        <rFont val="Calibri"/>
        <family val="2"/>
      </rPr>
      <t xml:space="preserve"> of approved make over   existing partition f</t>
    </r>
    <r>
      <rPr>
        <b/>
        <sz val="10"/>
        <rFont val="Calibri"/>
        <family val="2"/>
      </rPr>
      <t xml:space="preserve">or wall paper &amp; Laminate panelling base </t>
    </r>
    <r>
      <rPr>
        <sz val="10"/>
        <rFont val="Calibri"/>
        <family val="2"/>
      </rPr>
      <t xml:space="preserve"> including all fixing arrangement   complete in all respect .</t>
    </r>
  </si>
  <si>
    <r>
      <rPr>
        <sz val="10"/>
        <rFont val="Calibri"/>
        <family val="2"/>
      </rPr>
      <t xml:space="preserve">Providing &amp; fixing </t>
    </r>
    <r>
      <rPr>
        <b/>
        <sz val="10"/>
        <rFont val="Calibri"/>
        <family val="2"/>
      </rPr>
      <t>12mm thick gypsum board</t>
    </r>
    <r>
      <rPr>
        <sz val="10"/>
        <rFont val="Calibri"/>
        <family val="2"/>
      </rPr>
      <t xml:space="preserve"> over existing partition for  paint base including all fixing arrangement complete in all respect.</t>
    </r>
  </si>
  <si>
    <r>
      <rPr>
        <sz val="10"/>
        <rFont val="Calibri"/>
        <family val="2"/>
      </rPr>
      <t xml:space="preserve">Providing and fixing 12mm thick HDHMR ply </t>
    </r>
    <r>
      <rPr>
        <b/>
        <sz val="10"/>
        <rFont val="Calibri"/>
        <family val="2"/>
      </rPr>
      <t>of approved make   on   existing wall &amp; counter with the help of wooden gutties / PVC sleeves &amp; Screw including drilling etc.   for solid surface ( Corian ) base</t>
    </r>
    <r>
      <rPr>
        <sz val="10"/>
        <rFont val="Calibri"/>
        <family val="2"/>
      </rPr>
      <t xml:space="preserve"> including all fixing arrangement   complete in all respect .</t>
    </r>
  </si>
  <si>
    <t>Extra Non Tender Items</t>
  </si>
  <si>
    <t>Providing and fixing 12 mm thick CNC cut HDHMR jaali as per approved design and drawings finished with  Duco Paint  of approved shade to be cladded  on HHDMR wall from adhasive complete with all accessories .</t>
  </si>
  <si>
    <t xml:space="preserve">Providing and installation of coloured film as per aprooved design on front glass. </t>
  </si>
  <si>
    <t>Providing and fixing  wooden Rafter 80mm x 40 mm made out of soild wood  as per approved design finished with 1 mm laminate  of approved make complete in all respect.</t>
  </si>
  <si>
    <t xml:space="preserve">Providing and fixing  Foot rail at reception counter made of 50 mm hollow pipe cladded with  PVD coated ss sheet  in rose gold finish as per approved design </t>
  </si>
  <si>
    <t>Total Non Tender Items</t>
  </si>
  <si>
    <t>L</t>
  </si>
  <si>
    <t>H</t>
  </si>
  <si>
    <t>Total</t>
  </si>
  <si>
    <t>Carpet Area in Sqm</t>
  </si>
  <si>
    <t>Say  Area in Sqm</t>
  </si>
  <si>
    <t>Dismantling of existing aluminium Door, window frames including glazing, repairing the cavity in the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</si>
  <si>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Removing the existing carpet along with base materials if any and disposal of serviceable &amp; un serviceable materials at the respective designated place for final disposal as per directions of Project In Charge complete.</t>
  </si>
  <si>
    <t xml:space="preserve">Dismantling of existing stone flooring and disposal of Malwa at the designated place for final disposal as per directions of Project-in-Charge complete including cleaning teh RCC slab top with wire brushes after shifting of all the materials as per above items. </t>
  </si>
  <si>
    <t>Making   ACC block wall   in cement mortar 1:4 ( 1 cement : 4 c/sand) of 4" thick  block size (2'-0"x8" and width 4"))</t>
  </si>
  <si>
    <t>Sqft</t>
  </si>
  <si>
    <t>Executive Lounge End Wall 9 in place of glass)</t>
  </si>
  <si>
    <t xml:space="preserve">Store End Wall( abutting Coloumn) </t>
  </si>
  <si>
    <t>Wall of Store/ Premium Lounge</t>
  </si>
  <si>
    <t>Wall kitchen/servery &amp; Lounge</t>
  </si>
  <si>
    <t>Wall store/kitchen</t>
  </si>
  <si>
    <t>Less door</t>
  </si>
  <si>
    <t xml:space="preserve">Less beam projection </t>
  </si>
  <si>
    <t>End wall</t>
  </si>
  <si>
    <t xml:space="preserve">Less door lintel </t>
  </si>
  <si>
    <t>Kitchen/surgery wall</t>
  </si>
  <si>
    <t>Store end wall</t>
  </si>
  <si>
    <t>Store/kit wall</t>
  </si>
  <si>
    <t>Executive lounge end wall</t>
  </si>
  <si>
    <t>R.C.C- M-20 in   lintels, beams, soffits,  shelves counters,  slabs,  staircase, Lintel in arch etc or where ever required  I/c required reinforcement as per design  &amp;  centring  shuttering for all levels and height.</t>
  </si>
  <si>
    <t xml:space="preserve">100mm wide and 100mm high lintels </t>
  </si>
  <si>
    <t>Store room enterance door lintel(800mm opening)</t>
  </si>
  <si>
    <t xml:space="preserve">RCC Band @1.00m c/c in 100 mm thick AAC block walls </t>
  </si>
  <si>
    <t xml:space="preserve">Counter slab </t>
  </si>
  <si>
    <t xml:space="preserve">Kitchen </t>
  </si>
  <si>
    <t>Kitchen sink side</t>
  </si>
  <si>
    <t xml:space="preserve">Providing &amp; laying  cement conc. (1: 2 : 4) cement : 2 coarse sand :4 graded stone agg 10 mm nominal size ) </t>
  </si>
  <si>
    <t>Store ( tentative)</t>
  </si>
  <si>
    <t xml:space="preserve">Kitchen( </t>
  </si>
  <si>
    <t>Wooden flooring Area</t>
  </si>
  <si>
    <t>Carpet Flooring Area</t>
  </si>
  <si>
    <t>Italian Flooring Area</t>
  </si>
  <si>
    <t xml:space="preserve">Neat cement punning over screeding </t>
  </si>
  <si>
    <t xml:space="preserve">Wooden flooring area </t>
  </si>
  <si>
    <t>Providing and applying 15 mm thick cement plaster of mix in 1:4 (1 cement : 4 course sand) at all levels &amp; heights including scaffolding, curing etc. complete as specified.</t>
  </si>
  <si>
    <t>Executive Lounge End Wall ( in place of glass)</t>
  </si>
  <si>
    <r>
      <rPr>
        <sz val="10"/>
        <rFont val="Arial"/>
        <family val="2"/>
      </rPr>
      <t>P/F</t>
    </r>
    <r>
      <rPr>
        <b/>
        <sz val="10"/>
        <rFont val="Arial"/>
        <family val="2"/>
      </rPr>
      <t xml:space="preserve">  Vitrified tiles </t>
    </r>
    <r>
      <rPr>
        <sz val="10"/>
        <rFont val="Arial"/>
        <family val="2"/>
      </rPr>
      <t xml:space="preserve">of approved shade and size for flooring , skirting fixed with  cement mortar 12mm thick in 1:4   ratio  including filling  the joints with grout to match the shade of the tiles to give a smooth  surface. </t>
    </r>
  </si>
  <si>
    <t>Grey Color</t>
  </si>
  <si>
    <t xml:space="preserve">Kitchen flooring as per polyline area </t>
  </si>
  <si>
    <t xml:space="preserve">Store room floor </t>
  </si>
  <si>
    <t xml:space="preserve">Admin floor tiles P line basis </t>
  </si>
  <si>
    <t>Additional store Room</t>
  </si>
  <si>
    <t xml:space="preserve">Tile -3  </t>
  </si>
  <si>
    <t xml:space="preserve">Under Servery Counter area floor tiles </t>
  </si>
  <si>
    <t>Servery Counter area floor tiles ( Veg )</t>
  </si>
  <si>
    <t>Servery Counter area floor tiles (Non Veg. )</t>
  </si>
  <si>
    <r>
      <rPr>
        <sz val="10"/>
        <rFont val="Arial"/>
        <family val="2"/>
      </rPr>
      <t>P/F</t>
    </r>
    <r>
      <rPr>
        <b/>
        <sz val="10"/>
        <rFont val="Arial"/>
        <family val="2"/>
      </rPr>
      <t xml:space="preserve"> 6mm thick   ceramic tiles  of approved shade and size for kitchen  walls</t>
    </r>
    <r>
      <rPr>
        <sz val="10"/>
        <rFont val="Arial"/>
        <family val="2"/>
      </rPr>
      <t xml:space="preserve"> fixed with  cement mortar 12mm thick in 1:4   ratio  including filling  the joints mixed with pigment to match the shade of the tiles to give a smooth  surface</t>
    </r>
  </si>
  <si>
    <t xml:space="preserve">Store wall end &amp; door side wall </t>
  </si>
  <si>
    <t xml:space="preserve">Store side walls </t>
  </si>
  <si>
    <t xml:space="preserve">Less store entry door </t>
  </si>
  <si>
    <t>Kitchen wall store side with door</t>
  </si>
  <si>
    <t>Less door DS1A</t>
  </si>
  <si>
    <t>Servery side wall of kitched</t>
  </si>
  <si>
    <t>Less Live Counter Window</t>
  </si>
  <si>
    <t xml:space="preserve">Other side wall of kitchen ( sink side) </t>
  </si>
  <si>
    <t>Sides of coloumns</t>
  </si>
  <si>
    <t xml:space="preserve">Set back </t>
  </si>
  <si>
    <t>Opening jamb</t>
  </si>
  <si>
    <t>Store Wall Additional</t>
  </si>
  <si>
    <t xml:space="preserve">Lounge wall kit side with adhesive </t>
  </si>
  <si>
    <t>Less DS1A</t>
  </si>
  <si>
    <t xml:space="preserve">Cladding on wallls </t>
  </si>
  <si>
    <t>Counter back wall above counter ( veg )</t>
  </si>
  <si>
    <t xml:space="preserve">Counter façade area </t>
  </si>
  <si>
    <t>Less Live Counter Window Kitchen side</t>
  </si>
  <si>
    <t xml:space="preserve">ADMN ROOM </t>
  </si>
  <si>
    <r>
      <rPr>
        <sz val="10"/>
        <rFont val="Arial"/>
        <family val="2"/>
      </rPr>
      <t xml:space="preserve">Providing and fixing  18mm thick </t>
    </r>
    <r>
      <rPr>
        <b/>
        <sz val="10"/>
        <rFont val="Arial"/>
        <family val="2"/>
      </rPr>
      <t>Granite  Stone</t>
    </r>
    <r>
      <rPr>
        <sz val="10"/>
        <rFont val="Arial"/>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Arial"/>
        <family val="2"/>
      </rPr>
      <t>( Basic cost of Granite stone @ Rs. 200/- Sqft )</t>
    </r>
  </si>
  <si>
    <t xml:space="preserve">Kitchen counter stone </t>
  </si>
  <si>
    <t xml:space="preserve">Latak stone front of counter </t>
  </si>
  <si>
    <t xml:space="preserve">Counter back wall </t>
  </si>
  <si>
    <r>
      <rPr>
        <sz val="10"/>
        <rFont val="Arial"/>
        <family val="2"/>
      </rPr>
      <t xml:space="preserve">Providing and fixing </t>
    </r>
    <r>
      <rPr>
        <b/>
        <sz val="10"/>
        <rFont val="Arial"/>
        <family val="2"/>
      </rPr>
      <t xml:space="preserve"> 16 to 18mm thick Italian   Stone</t>
    </r>
    <r>
      <rPr>
        <sz val="10"/>
        <rFont val="Arial"/>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Arial"/>
        <family val="2"/>
      </rPr>
      <t>( Basic cost of Italian stone @ Rs. 4845/- Sqm )( Actual size of stone to be measured &amp; paid ).</t>
    </r>
  </si>
  <si>
    <t xml:space="preserve">PEDESTAL FOR PLANTER </t>
  </si>
  <si>
    <t>SIDE WALLS</t>
  </si>
  <si>
    <t xml:space="preserve">TOP </t>
  </si>
  <si>
    <t>SERVERY COUNTER</t>
  </si>
  <si>
    <t>REception Table top</t>
  </si>
  <si>
    <t>RECEPTION AREA FLOOR</t>
  </si>
  <si>
    <t xml:space="preserve">Counter latak </t>
  </si>
  <si>
    <t xml:space="preserve">Both side </t>
  </si>
  <si>
    <t>SIDES</t>
  </si>
  <si>
    <r>
      <rPr>
        <sz val="10"/>
        <rFont val="Arial"/>
        <family val="2"/>
      </rPr>
      <t xml:space="preserve">Providing &amp; fixing </t>
    </r>
    <r>
      <rPr>
        <b/>
        <sz val="10"/>
        <rFont val="Arial"/>
        <family val="2"/>
      </rPr>
      <t>15mm thick</t>
    </r>
    <r>
      <rPr>
        <sz val="10"/>
        <rFont val="Arial"/>
        <family val="2"/>
      </rPr>
      <t xml:space="preserve"> Engineered wooden flooring of approved make &amp; shade in chevron pattern with 2mm thick base foam including all fixing arrangement &amp; required profile &amp; skirting complete in all respect. </t>
    </r>
    <r>
      <rPr>
        <b/>
        <sz val="10"/>
        <rFont val="Arial"/>
        <family val="2"/>
      </rPr>
      <t>(Basic cost of Engineered Wooden  flooring@ Rs. 4035/- Sqm) (Actual carpet area at site to be measured &amp; paid ).  ( Business Dropdown, Bar Lounge Area, Reception, Servery area, Business centre area &amp; Toilet Vestibule ).</t>
    </r>
  </si>
  <si>
    <t xml:space="preserve">Wooden Flooring Area </t>
  </si>
  <si>
    <t xml:space="preserve">As per polyline </t>
  </si>
  <si>
    <t xml:space="preserve">Servery Area, Executive LOUNGE, merchandise display area, Digital Display area, </t>
  </si>
  <si>
    <t>Less Additional Store Room created</t>
  </si>
  <si>
    <t>Carpet flooring  ( 01 )</t>
  </si>
  <si>
    <t xml:space="preserve">Premium lounge  as per polyline </t>
  </si>
  <si>
    <r>
      <rPr>
        <sz val="10"/>
        <rFont val="Arial"/>
        <family val="2"/>
      </rPr>
      <t xml:space="preserve">Providing &amp; fixing </t>
    </r>
    <r>
      <rPr>
        <sz val="10"/>
        <color rgb="FFFF0000"/>
        <rFont val="Arial"/>
        <family val="2"/>
      </rPr>
      <t xml:space="preserve"> </t>
    </r>
    <r>
      <rPr>
        <sz val="10"/>
        <rFont val="Arial"/>
        <family val="2"/>
      </rPr>
      <t xml:space="preserve">aluminium. T profile ( 19mm x 19mm x 6mm thick ) PVDF coated ( Rose gold finish )  as per approved sample including all fixing arrangement complete in all respect. </t>
    </r>
    <r>
      <rPr>
        <b/>
        <sz val="10"/>
        <rFont val="Arial"/>
        <family val="2"/>
      </rPr>
      <t>( Basic cost of T Profile @ Rs. 250/- Rmtr. )</t>
    </r>
  </si>
  <si>
    <t xml:space="preserve">Aliminium T profile </t>
  </si>
  <si>
    <t>Executive Lounge wall on the side of servery &amp; Kitchen foyer-Horizontal</t>
  </si>
  <si>
    <t>Executive Lounge wall on the side of servery &amp; Kitchen foyer- vertical</t>
  </si>
  <si>
    <t>Executive Lounge wall ( block work)</t>
  </si>
  <si>
    <t>Executive Lounge wall ( block work)- vertical</t>
  </si>
  <si>
    <t>Misc</t>
  </si>
  <si>
    <t>WOOD WORK</t>
  </si>
  <si>
    <t xml:space="preserve">Door Frame </t>
  </si>
  <si>
    <t>Store Door Frame DS1A</t>
  </si>
  <si>
    <t>Door frame Kit passage entry/servery</t>
  </si>
  <si>
    <t xml:space="preserve">Admin Office/ Passage </t>
  </si>
  <si>
    <t xml:space="preserve">Vision Slit Door shutter Kitchen passage/ servery area DVP1 </t>
  </si>
  <si>
    <t xml:space="preserve">Servery / premium Lounge entry Sliding shutter SD1 </t>
  </si>
  <si>
    <t xml:space="preserve">Flush door shutters </t>
  </si>
  <si>
    <t xml:space="preserve">Admin entry door shutter. DS1 </t>
  </si>
  <si>
    <t xml:space="preserve">Store Room Door Shutters DS1A </t>
  </si>
  <si>
    <r>
      <rPr>
        <sz val="10"/>
        <rFont val="Arial"/>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Arial"/>
        <family val="2"/>
      </rPr>
      <t>.( Basic cost for aluminium  Transition profile @ Rs. 230/- Rmtr)</t>
    </r>
  </si>
  <si>
    <t xml:space="preserve">Transition profile </t>
  </si>
  <si>
    <t>Premium Lounge/ Digital Display Area</t>
  </si>
  <si>
    <t>Reception/display , lounge entry point</t>
  </si>
  <si>
    <t>DVP1</t>
  </si>
  <si>
    <t>SD1</t>
  </si>
  <si>
    <t xml:space="preserve"> • ALT profile sections are manufactured and tested in accordance to EN573-3, EN755-2, DIN EN 12020 T2 , non_x0002_dimensions manufacturing tolerance deviation DIN ISO 2768- 1 class C = coarse</t>
  </si>
  <si>
    <t>Executive Lounge side wall</t>
  </si>
  <si>
    <t>Providing &amp; fixing concealed Hydraulic door closer of approved make including all fixing arrangement complete in all respect.</t>
  </si>
  <si>
    <t xml:space="preserve">Door Closer </t>
  </si>
  <si>
    <t xml:space="preserve">Kitchen Store Entry door </t>
  </si>
  <si>
    <t xml:space="preserve">Admin entry door shutter </t>
  </si>
  <si>
    <t xml:space="preserve">Kitchen entry servery side </t>
  </si>
  <si>
    <t>Providing &amp; fixing  Door  Lock (  Motrise  lever one side knob cylinder &amp; one side key  finish in rose gold SS  ) of approved make including all fixing arrangement complete in all respect.</t>
  </si>
  <si>
    <t xml:space="preserve">Door Lock </t>
  </si>
  <si>
    <t>DS1A</t>
  </si>
  <si>
    <t xml:space="preserve">M.S. Work </t>
  </si>
  <si>
    <t xml:space="preserve">Partition wall servery/executive lounge </t>
  </si>
  <si>
    <t>Door</t>
  </si>
  <si>
    <t>Servery/executive lounge  semi circular wall</t>
  </si>
  <si>
    <t>Veg side semi circular wall</t>
  </si>
  <si>
    <t>Servery/premium lounge wall</t>
  </si>
  <si>
    <t>SD1( sliding door)</t>
  </si>
  <si>
    <t>Other side of SD1</t>
  </si>
  <si>
    <t>Business Drop down/ premium lounge wall</t>
  </si>
  <si>
    <t>Merchandise display wall</t>
  </si>
  <si>
    <t>Admn Room walls passage side straight</t>
  </si>
  <si>
    <t>Door DS1</t>
  </si>
  <si>
    <t>Off set</t>
  </si>
  <si>
    <t>Admn room/executive lounge wall staraight</t>
  </si>
  <si>
    <t>Offset</t>
  </si>
  <si>
    <t>Semi circular wall( digital display )</t>
  </si>
  <si>
    <t>Side of digital wall</t>
  </si>
  <si>
    <t xml:space="preserve">Semi circular reception side </t>
  </si>
  <si>
    <t xml:space="preserve">Dummy staraight </t>
  </si>
  <si>
    <t>Semi circular behind digital wall</t>
  </si>
  <si>
    <t xml:space="preserve">Dead off set </t>
  </si>
  <si>
    <t>Door jamb wall of DVP1</t>
  </si>
  <si>
    <t>Store ( additional)</t>
  </si>
  <si>
    <t>Total vertical members @600mm c/c</t>
  </si>
  <si>
    <t>Add 10% extra fro additional members at small places and at ends for estimation</t>
  </si>
  <si>
    <t>Nos</t>
  </si>
  <si>
    <t>Height ( assuming 4.2 meters up to soffit of slab as availability)</t>
  </si>
  <si>
    <t>Deduction for door not done</t>
  </si>
  <si>
    <t>Horizontal members assuming height of 4.2 meters</t>
  </si>
  <si>
    <t>Add 10 % extra for end and Small places</t>
  </si>
  <si>
    <t>Total length = 7.7x 43.24</t>
  </si>
  <si>
    <t>50x50x1.6mm thick tubal section weight</t>
  </si>
  <si>
    <t xml:space="preserve">12mm thick plates for floors </t>
  </si>
  <si>
    <t>6mm thick plate for top position at ceiling level if required</t>
  </si>
  <si>
    <t>fastners  8mm dia 75mm long</t>
  </si>
  <si>
    <t xml:space="preserve">Say vertical members </t>
  </si>
  <si>
    <t xml:space="preserve">PLANTER PEDESTAL 12.01 METERS LONG </t>
  </si>
  <si>
    <t>VERTICAL PIECES OF 50X50X1.6MM</t>
  </si>
  <si>
    <t xml:space="preserve">HORIZONTAL </t>
  </si>
  <si>
    <t>PLATES</t>
  </si>
  <si>
    <t>FASTNERS</t>
  </si>
  <si>
    <t xml:space="preserve">VERTICAL PIECES OF 50x50x3mm </t>
  </si>
  <si>
    <t>Vertical pieces over feature wall (200mm high)</t>
  </si>
  <si>
    <t>Horizontal</t>
  </si>
  <si>
    <t xml:space="preserve"> </t>
  </si>
  <si>
    <t xml:space="preserve">OTHER WOOD WORK FOR WALL PANELLING,  DISPLAY, RAFTERS    &amp; PARTITION </t>
  </si>
  <si>
    <t xml:space="preserve">Both side HDHMR PLY in two layers on each side  </t>
  </si>
  <si>
    <t>1.83-0.865-0.1</t>
  </si>
  <si>
    <t>Door jambs</t>
  </si>
  <si>
    <t>Less Door SD1</t>
  </si>
  <si>
    <t>Merchandise display wall on either side of Merchandise Display</t>
  </si>
  <si>
    <t>Store Room Addl</t>
  </si>
  <si>
    <t xml:space="preserve">Dummy staraight Admn room </t>
  </si>
  <si>
    <t xml:space="preserve">Laminate panelling over exiting partition wall upto 3mtr height </t>
  </si>
  <si>
    <t xml:space="preserve">Premium Lounge wall store side </t>
  </si>
  <si>
    <t>Other side</t>
  </si>
  <si>
    <t>Executive lounge wall</t>
  </si>
  <si>
    <t xml:space="preserve">Band over PVD( no deduction for vertical members) </t>
  </si>
  <si>
    <t>DVP1 wall</t>
  </si>
  <si>
    <r>
      <rPr>
        <sz val="10"/>
        <rFont val="Arial"/>
        <family val="2"/>
      </rPr>
      <t>Providing &amp; fixing Fabric backed Vinyl Wall covering(10.05mtr. X .52mtr ) ( 300gsm Type-II)  fire  Retardant as per approved sample including all fixing arrangement complete in all respect.</t>
    </r>
    <r>
      <rPr>
        <b/>
        <sz val="10"/>
        <rFont val="Arial"/>
        <family val="2"/>
      </rPr>
      <t>( Basic cost of Fabric backed Vinyl Wall covering @ Rs. 3230/- Sqm )</t>
    </r>
  </si>
  <si>
    <t xml:space="preserve">Aluminium Skirting </t>
  </si>
  <si>
    <r>
      <rPr>
        <sz val="10"/>
        <rFont val="Arial"/>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Arial"/>
        <family val="2"/>
      </rPr>
      <t xml:space="preserve"> (Basic cost of laminate for internal surface @ Rs. 270/-Sqm &amp; external surface laminate@ Rs.970/-Sqm)</t>
    </r>
  </si>
  <si>
    <t xml:space="preserve">Storages </t>
  </si>
  <si>
    <t xml:space="preserve">300 to 450mm deep </t>
  </si>
  <si>
    <t xml:space="preserve">Admin area over head storages </t>
  </si>
  <si>
    <t xml:space="preserve">Kitchen over head </t>
  </si>
  <si>
    <r>
      <rPr>
        <sz val="10"/>
        <rFont val="Arial"/>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Arial"/>
        <family val="2"/>
      </rPr>
      <t xml:space="preserve"> (Basic cost of laminate for internal surface @ Rs. 270/-Sqm &amp; external surface laminate@ Rs.970/-Sqm)</t>
    </r>
  </si>
  <si>
    <t xml:space="preserve">Vending area  450mm to 600mm deep </t>
  </si>
  <si>
    <t>Kitchen under counter Storage</t>
  </si>
  <si>
    <t>Store (if Required)</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</si>
  <si>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</si>
  <si>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650mm</t>
  </si>
  <si>
    <t xml:space="preserve">Servery counter </t>
  </si>
  <si>
    <r>
      <rPr>
        <sz val="10"/>
        <rFont val="Arial"/>
        <family val="2"/>
      </rPr>
      <t xml:space="preserve">Providing and fixing </t>
    </r>
    <r>
      <rPr>
        <b/>
        <sz val="10"/>
        <rFont val="Arial"/>
        <family val="2"/>
      </rPr>
      <t>Reception Table ( 450mm to 600mm Deep )</t>
    </r>
    <r>
      <rPr>
        <sz val="10"/>
        <rFont val="Arial"/>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Arial"/>
        <family val="2"/>
      </rPr>
      <t xml:space="preserve"> ( Basic cost of internal laminate @ Rs.270/- Sqm &amp; external laminate  @ Rs970/-Sqm  &amp; Italian marble stone @ Rs. 4845/- Sqmt ) &amp; PVD coated rose gold finish 1mm thick SS sheet @ Rs.4420Sqm)</t>
    </r>
  </si>
  <si>
    <r>
      <rPr>
        <sz val="10"/>
        <rFont val="Arial"/>
        <family val="2"/>
      </rPr>
      <t>Providing making &amp; fixing in position</t>
    </r>
    <r>
      <rPr>
        <b/>
        <sz val="10"/>
        <rFont val="Arial"/>
        <family val="2"/>
      </rPr>
      <t xml:space="preserve"> 19mm thick India Map ( 1.58mtr x 1.87mtr) made of </t>
    </r>
    <r>
      <rPr>
        <sz val="10"/>
        <rFont val="Arial"/>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Arial"/>
        <family val="2"/>
      </rPr>
      <t xml:space="preserve">( Basic cost of PVD coated SS sheet @ Rs.4420/- Sqm ) </t>
    </r>
  </si>
  <si>
    <t xml:space="preserve">Rate is inclusive of frame of MS tubular section minimum thickness of 1.6mm.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</si>
  <si>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Providing , making &amp; fixing projected surface with frame of wooden/MS as described in above item having front face 12mm thick MDF Baird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</si>
  <si>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Additional</t>
  </si>
  <si>
    <r>
      <rPr>
        <sz val="10"/>
        <rFont val="Arial"/>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Arial"/>
        <family val="2"/>
      </rPr>
      <t>( Kitchen &amp; Kitchen Store false ceiling )</t>
    </r>
  </si>
  <si>
    <t xml:space="preserve">Grid Ceiling </t>
  </si>
  <si>
    <t xml:space="preserve">Kitchen &amp; store  As per polyline </t>
  </si>
  <si>
    <t>Ratebonly</t>
  </si>
  <si>
    <r>
      <rPr>
        <sz val="10"/>
        <rFont val="Arial"/>
        <family val="2"/>
      </rPr>
      <t xml:space="preserve">Providing three or more coats of </t>
    </r>
    <r>
      <rPr>
        <b/>
        <sz val="10"/>
        <rFont val="Arial"/>
        <family val="2"/>
      </rPr>
      <t>Plastic Emulsion  paint</t>
    </r>
    <r>
      <rPr>
        <sz val="10"/>
        <rFont val="Arial"/>
        <family val="2"/>
      </rPr>
      <t xml:space="preserve"> of approved make &amp; shade including preparation of base by cement based putty &amp; primer  complete in all respect. </t>
    </r>
    <r>
      <rPr>
        <b/>
        <sz val="10"/>
        <rFont val="Arial"/>
        <family val="2"/>
      </rPr>
      <t>( Admin area inside wall paint )</t>
    </r>
  </si>
  <si>
    <t xml:space="preserve">Plastic emulsion Paint </t>
  </si>
  <si>
    <t>Merchandise wall out side</t>
  </si>
  <si>
    <r>
      <rPr>
        <sz val="10"/>
        <rFont val="Arial"/>
        <family val="2"/>
      </rPr>
      <t xml:space="preserve">Providing &amp; filling 50mm thick Fibre  Glass wool </t>
    </r>
    <r>
      <rPr>
        <b/>
        <sz val="10"/>
        <rFont val="Arial"/>
        <family val="2"/>
      </rPr>
      <t>( 64kg den</t>
    </r>
    <r>
      <rPr>
        <sz val="10"/>
        <rFont val="Arial"/>
        <family val="2"/>
      </rPr>
      <t xml:space="preserve">sity ) in M. S. frame work for partition wall for making sound proof </t>
    </r>
  </si>
  <si>
    <t xml:space="preserve">ROCK WOOL </t>
  </si>
  <si>
    <t xml:space="preserve">Both side HDHMR PLY </t>
  </si>
  <si>
    <r>
      <rPr>
        <sz val="10"/>
        <rFont val="Arial"/>
        <family val="2"/>
      </rPr>
      <t xml:space="preserve">Providing &amp; fixing Rose Gold finish L- angle aluminium profile ( 12mm x 12mm x 1.5mm thick  ) as per approved sample fixed with adhesive of approved make  including all fixing arrangement complete in all respect. </t>
    </r>
    <r>
      <rPr>
        <b/>
        <sz val="10"/>
        <rFont val="Arial"/>
        <family val="2"/>
      </rPr>
      <t>( Basic cost of Angle @ Rs. 330 Rmtr. )</t>
    </r>
  </si>
  <si>
    <t xml:space="preserve">L Angle profile  12 mm x 12mm </t>
  </si>
  <si>
    <t xml:space="preserve">Corners of reception wall </t>
  </si>
  <si>
    <t>Column on left of enterance near merchandise display</t>
  </si>
  <si>
    <t>MISC</t>
  </si>
  <si>
    <r>
      <rPr>
        <sz val="10"/>
        <rFont val="Arial"/>
        <family val="2"/>
      </rPr>
      <t>P/F 1mm thick PVD coated SS sheet fixing on existing wall panelling  as per approved sample including all fixing arrangement complete in all respect.</t>
    </r>
    <r>
      <rPr>
        <b/>
        <sz val="10"/>
        <rFont val="Arial"/>
        <family val="2"/>
      </rPr>
      <t xml:space="preserve">( Basic cost of PVD coated SS sheet @ Rs.4420/- Sqm ) </t>
    </r>
  </si>
  <si>
    <t xml:space="preserve">P/F SS   Sheet Fixing </t>
  </si>
  <si>
    <t>Jambs of SLD1</t>
  </si>
  <si>
    <t>Free edges of 100mm thick partition walls</t>
  </si>
  <si>
    <t xml:space="preserve">Sheet fixing in Servery counter back  inside finish </t>
  </si>
  <si>
    <t xml:space="preserve">Servery counter both sides </t>
  </si>
  <si>
    <t xml:space="preserve">Servery Counter top &amp; Bottom </t>
  </si>
  <si>
    <t xml:space="preserve">Waterproofing Work </t>
  </si>
  <si>
    <t xml:space="preserve">Kitchen area </t>
  </si>
  <si>
    <t xml:space="preserve">On walls </t>
  </si>
  <si>
    <t xml:space="preserve">Providing and doing 12mm thick solid surface ( corian) of approved, shade, texture, make &amp; manufacture over base of existing 12mm water proof ply with all adhesives, including all processes &amp; making the curves smooth and joints seamless as per profile, drawings and instructions of Engineer incharge complete </t>
  </si>
  <si>
    <t xml:space="preserve">The </t>
  </si>
  <si>
    <t xml:space="preserve">Servery counter facias </t>
  </si>
  <si>
    <t xml:space="preserve">Less opening in servery area for open shelves </t>
  </si>
  <si>
    <t>Above counter of servery 150mm high</t>
  </si>
  <si>
    <t>Kitchen wall live counter opening</t>
  </si>
  <si>
    <t>Jaipur Airport Site Lounge</t>
  </si>
  <si>
    <t>(M.B SHEET)</t>
  </si>
  <si>
    <t>S.No.</t>
  </si>
  <si>
    <t>Description</t>
  </si>
  <si>
    <t>W</t>
  </si>
  <si>
    <t>Qty</t>
  </si>
  <si>
    <t>Same as BOQ</t>
  </si>
  <si>
    <t>Sub Total</t>
  </si>
  <si>
    <t>Kitchen ramp right side wall</t>
  </si>
  <si>
    <t>Kitchen ramp left side wall</t>
  </si>
  <si>
    <t>Kichen mozzaic highlighter wall</t>
  </si>
  <si>
    <t>Along premium lounge wall with kitchen door wall L-shape wall</t>
  </si>
  <si>
    <t>Primium lounge LCD wall</t>
  </si>
  <si>
    <t>Store entrance door wall</t>
  </si>
  <si>
    <t>Store inside DB wall</t>
  </si>
  <si>
    <t>Inside of store lounge area side wall</t>
  </si>
  <si>
    <t>Less  (-)</t>
  </si>
  <si>
    <t>Kitchen door</t>
  </si>
  <si>
    <t>Store  door</t>
  </si>
  <si>
    <t>Kitchen entrance door Lintel</t>
  </si>
  <si>
    <t>Store door lintel</t>
  </si>
  <si>
    <t>Kitchen Oven partition wall</t>
  </si>
  <si>
    <t>Along premium lounge wall with kitchen door wall</t>
  </si>
  <si>
    <t>Primium lounge right side wall</t>
  </si>
  <si>
    <t xml:space="preserve">Section -1 Bathroom side premium lounge </t>
  </si>
  <si>
    <t xml:space="preserve">Section - 4 Executive  lounge area </t>
  </si>
  <si>
    <t>Section -5 Air side premium lounge area</t>
  </si>
  <si>
    <t>Section -1 Bathroom side premium lounge (  Area considered from  P-Line )</t>
  </si>
  <si>
    <t>Section - 4 Executive  lounge area (  Area considered from  P-Line )</t>
  </si>
  <si>
    <t>Section -5 Air side premium lounge area(  Area considered from  P-Line )</t>
  </si>
  <si>
    <t>Store inside electrical panel wall</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</si>
  <si>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</si>
  <si>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Kitchen all area including store</t>
  </si>
  <si>
    <t>Admin cabin</t>
  </si>
  <si>
    <t>Kitchen entrance ramp</t>
  </si>
  <si>
    <t>Front equipment wall Oven side pillar</t>
  </si>
  <si>
    <t>Store room right side wall</t>
  </si>
  <si>
    <t>Store room left side wall</t>
  </si>
  <si>
    <t>Stone room LT panel wall corner</t>
  </si>
  <si>
    <t>Buffet counter front side</t>
  </si>
  <si>
    <t>Buffet counter Bcak side</t>
  </si>
  <si>
    <t xml:space="preserve">Kitchen entrance door L- shape wall along primium lounge  </t>
  </si>
  <si>
    <t xml:space="preserve">Kitchen entrance door front wall </t>
  </si>
  <si>
    <t>Oven partition wall</t>
  </si>
  <si>
    <t>Oven partition wall to store room door wall</t>
  </si>
  <si>
    <t>Store entrance door wall both side</t>
  </si>
  <si>
    <t>Store inside lounge side wall</t>
  </si>
  <si>
    <t>Kitchen inside highighter wall</t>
  </si>
  <si>
    <t>Kitchen entrance left wall</t>
  </si>
  <si>
    <t>Kitchen entrance right wall</t>
  </si>
  <si>
    <t xml:space="preserve">Store door both side </t>
  </si>
  <si>
    <t xml:space="preserve">Buffet counter front side above counter highlighter </t>
  </si>
  <si>
    <t xml:space="preserve">Buffet counter front side floor to highlighter height </t>
  </si>
  <si>
    <t>Buffet counter Back side</t>
  </si>
  <si>
    <t xml:space="preserve">10% material for edge cutting </t>
  </si>
  <si>
    <t>Merchantise unit front</t>
  </si>
  <si>
    <t>Merchantise unit top</t>
  </si>
  <si>
    <t xml:space="preserve">Reception area ( section 2 ) P line considered </t>
  </si>
  <si>
    <t xml:space="preserve">Kichen ramp </t>
  </si>
  <si>
    <t>Front</t>
  </si>
  <si>
    <t>c</t>
  </si>
  <si>
    <t>d</t>
  </si>
  <si>
    <t>e</t>
  </si>
  <si>
    <t xml:space="preserve">Wooden flooring as per drawing( Area considered  from P-Line)  WF-01 ,WF-02 </t>
  </si>
  <si>
    <t>Lounge carpet area ( CR -01 )</t>
  </si>
  <si>
    <t>Admin area</t>
  </si>
  <si>
    <t>Reception area</t>
  </si>
  <si>
    <t xml:space="preserve">Kitchen entrance door both side </t>
  </si>
  <si>
    <t xml:space="preserve">Store room both side </t>
  </si>
  <si>
    <t>Kitchen main entrance door</t>
  </si>
  <si>
    <t>Store room door</t>
  </si>
  <si>
    <t>Sub Total (RFT)</t>
  </si>
  <si>
    <t>Sub Total (CUM)</t>
  </si>
  <si>
    <t>Admin cabin door</t>
  </si>
  <si>
    <t>Front side premium lounge partition</t>
  </si>
  <si>
    <t>Premium longe side partition</t>
  </si>
  <si>
    <t>Kitchen</t>
  </si>
  <si>
    <t>Store</t>
  </si>
  <si>
    <t>Admin</t>
  </si>
  <si>
    <t>Admin cabin entrance wall - V (Z-46)  (3.14X4.20)</t>
  </si>
  <si>
    <t>Admin cabin entrance wall - H (Z-46) (4.26x3.14)</t>
  </si>
  <si>
    <t>Reception area back wall - V (Z-53)  (3.445x4.26)</t>
  </si>
  <si>
    <t>Admin outer area corner wall - H (Z-54) (4.26X.35)</t>
  </si>
  <si>
    <t>Admin area outer wall -V (Z-55)  (4.2x4.26)</t>
  </si>
  <si>
    <t>Admin area outer wall -H(Z-55) (4.26X4.20)</t>
  </si>
  <si>
    <t>Admin area outer wall -V (Z-56) (1.17x4.20)</t>
  </si>
  <si>
    <t>Admin area outer wall - H (Z-56) (4.2x1.17)</t>
  </si>
  <si>
    <t>Bathroom side premium lounge partition above glass framing - H (Z-57) (1.8x9.17)</t>
  </si>
  <si>
    <t>Bathroom side premium lounge partition above glass framing - (Z-57) (1x9.17)</t>
  </si>
  <si>
    <t>Front buffet counter V (Z-30) (3.775x1.30)</t>
  </si>
  <si>
    <t>Front buffet counter H (Z-30) (1.3x3.78)</t>
  </si>
  <si>
    <t>Premium lounge air side partition wall V (Z-38) (2.035x4.20)</t>
  </si>
  <si>
    <t>Premium lounge air side partition wall H (Z-38) (4.2 x 2.035)</t>
  </si>
  <si>
    <t>Air side premium lounge buffet counter partition - V (Z-35) (3.93x4.20)</t>
  </si>
  <si>
    <t>Air side premium lounge buffet counter partition - H (Z-35) (4.20x3.93)</t>
  </si>
  <si>
    <t>Exicutive lounge above glass partition - V (Z-31) (5.345x1.73)</t>
  </si>
  <si>
    <t>Exicutive lounge above rafters partition - V (Z-34) (5.25x1.73)</t>
  </si>
  <si>
    <t>Exicutive lounge above rasters partition - H (Z-34) (1.73x5.25)</t>
  </si>
  <si>
    <t>Premium lounge bathroom side oposite of glazing -V (Z-4,Z-5,Z-6, and Z-7) (7.05x4.20)</t>
  </si>
  <si>
    <t>Premium lounge partition along executive Kitchen entrance - H (Z-4,Z-5,Z-6, and Z-7) (4.20X1)</t>
  </si>
  <si>
    <t>Buffet passage runway side(V)   (1.47x2.40)</t>
  </si>
  <si>
    <t>Buffet passage runway side(H)   (2.40x1.47)</t>
  </si>
  <si>
    <t>Admin  door (V)    (1.47x2.40)</t>
  </si>
  <si>
    <t>Admin door (H)    (2.40x1.47)</t>
  </si>
  <si>
    <t xml:space="preserve">weight considered for the material  section used 40mmx40mmx 3.5mm (thickness) as per airport  norms/Meter/ KG </t>
  </si>
  <si>
    <t>Total Kg</t>
  </si>
  <si>
    <t>Premium lounge bathroom side oposite of glazing (Z-4,Z-5,Z-6, and Z-7)</t>
  </si>
  <si>
    <t>Deck chiller to ramp wall (Z-8, Z-9, Z-10 and Z-11)</t>
  </si>
  <si>
    <t>Kitchen entrance left wall (Z-25)</t>
  </si>
  <si>
    <t>Kitchen entrance left wall (Z-26)</t>
  </si>
  <si>
    <t>Buffet counter passage area inside (Z-28)</t>
  </si>
  <si>
    <t>Buffet counter passage area outer side (Z-35)</t>
  </si>
  <si>
    <t>Exicutive lounge above glass partition (Z-31)</t>
  </si>
  <si>
    <t>Exicutive lounge above glass partition (Z-34)</t>
  </si>
  <si>
    <t>Exicutive lounge above rafters partition (Z-32)</t>
  </si>
  <si>
    <t>Exicutive lounge above rafters partition (Z-33)</t>
  </si>
  <si>
    <t>Premium lounge air side partition wall (Z-38)</t>
  </si>
  <si>
    <t>Premium lounge air side partition wall (Z-39)</t>
  </si>
  <si>
    <t>Runway side CNC partition floor to 900mm height (Z-37)</t>
  </si>
  <si>
    <t>Runway side CNC partition floor to 900mm height (Z-37A)</t>
  </si>
  <si>
    <t>Premium lounge bathroom side partition above glass framing above glass (Z-57)</t>
  </si>
  <si>
    <t>Premium lounge bathroom side partition above glass framing above glass (Z-47)</t>
  </si>
  <si>
    <t>Front side premium lounge partition Bottom ledge wall (Z-57)</t>
  </si>
  <si>
    <t>Front side premium lounge partition Bottom ledge wall (Z-47)</t>
  </si>
  <si>
    <t>Coloumns verticals patta at both ends Air side  b/w CNC jaali to glass partition</t>
  </si>
  <si>
    <t xml:space="preserve">Marchantise wall I.T rack (3-no. hdhmr board)  Z 43 Z 42 Z41 </t>
  </si>
  <si>
    <t>Admin cabin entrance wall (Z-46)</t>
  </si>
  <si>
    <t>Buffet passage runway side</t>
  </si>
  <si>
    <t xml:space="preserve">Sub Total </t>
  </si>
  <si>
    <t xml:space="preserve">Reception area back wall ( Z 53) </t>
  </si>
  <si>
    <t>Admin cabin reception Side back wall(Z 49 )</t>
  </si>
  <si>
    <t>Front buffet counter outer side area ( Z 30)</t>
  </si>
  <si>
    <t>Front buffet counter outer inside area (Z 29)</t>
  </si>
  <si>
    <t>Back buffet counter (Z 27)</t>
  </si>
  <si>
    <t>Premium lounge bathroom side kitchen side wall (Z-1)</t>
  </si>
  <si>
    <t>Premium lounge bathroom side kitchen side wall (Z-2)</t>
  </si>
  <si>
    <t>Premium lounge bathroom side kitchen side wall (Z-3)</t>
  </si>
  <si>
    <t>Premium lounge bathroom buffet counter back side wall (Z-4)</t>
  </si>
  <si>
    <t>Premium lounge bathroom side deck chiller wall (Z-5)</t>
  </si>
  <si>
    <t>Premium lounge deck chiller back wall (Z-6)</t>
  </si>
  <si>
    <t>Premium lounge deck chiller back wall (Z-7)</t>
  </si>
  <si>
    <t>Deck chiller right wall(Z-8)</t>
  </si>
  <si>
    <t>Deck chiller front wall (Z-9)</t>
  </si>
  <si>
    <t>Deck chiller left wall (Z-10)</t>
  </si>
  <si>
    <t>Kitchen passage left wall (Z-11)</t>
  </si>
  <si>
    <t>Kitchen door wall (Z-12)</t>
  </si>
  <si>
    <t>Kitchen ramp left side wall (Z-25 and Z-26)</t>
  </si>
  <si>
    <t>Buffet counter front side (Z-30)</t>
  </si>
  <si>
    <t>Exicutive lounge above glass partition (Z-31 and Z-34)</t>
  </si>
  <si>
    <t>Exicutive lounge above rafters partition (Z-32 and Z-33)</t>
  </si>
  <si>
    <t>Premium lounge air side partition wall (Z-38 and Z-39)</t>
  </si>
  <si>
    <t>I.T raack right side wall (Z-41)</t>
  </si>
  <si>
    <t>Runway (Airbay Side ) premium lounge  CNC wall inside deep L-type (Z-37A)</t>
  </si>
  <si>
    <t>Bathroom side premium lounge partition above glass framing V (Z-57)</t>
  </si>
  <si>
    <t>Bathroom side premium lounge partition above glass framing V (Z-47)</t>
  </si>
  <si>
    <t>Admin door</t>
  </si>
  <si>
    <t xml:space="preserve">Buffet area ceiling, board fixing on ceiling for light hanging  </t>
  </si>
  <si>
    <t xml:space="preserve">Marchantise unit area CNC partition side corner Z 40A </t>
  </si>
  <si>
    <t>Runway (Airbay Side ) premium lounge  CNC wall inside deep L-type  Z 37A</t>
  </si>
  <si>
    <t>Air side CNC wall Z 37</t>
  </si>
  <si>
    <t>premium lounge kitchen passage back wall (Z-1, Z-2, Z-3, Z-4, Z-5, Z-6 and Z-7)</t>
  </si>
  <si>
    <t>Reception counter back wall (Z-53)</t>
  </si>
  <si>
    <t xml:space="preserve">Admin outer wall recpection corner (Z-54) </t>
  </si>
  <si>
    <t>Admin outer wall (Z-55 and Z-56)</t>
  </si>
  <si>
    <t>glass partition area (Z-57)</t>
  </si>
  <si>
    <t>Premium lounge front wall (Z-1)</t>
  </si>
  <si>
    <t>premium lounge kitchen passage back wall (Z-2, Z-3, Z-4, Z-5, Z-6 and Z-7)</t>
  </si>
  <si>
    <t>kitchen passage area till ramp (Z-8 a , Z-9, Z-10, and Z-11</t>
  </si>
  <si>
    <t>Kitchen ramp left side wall (Z-25)</t>
  </si>
  <si>
    <t>Back buffet counter (Z-27)</t>
  </si>
  <si>
    <t>Front buffet counter inside (Z-29)</t>
  </si>
  <si>
    <t>Front buffet counter outer side (Z-30)</t>
  </si>
  <si>
    <t>Buffet counter Passage door frame along PVD frame side (Z-28 and Z-29)</t>
  </si>
  <si>
    <t>Buffet counter passage door along kitchen (Z-35)</t>
  </si>
  <si>
    <t>Runway side (Airbay side) premium lounge fids wall (Z-36)</t>
  </si>
  <si>
    <t>Runway side CNC wall (Z-37)</t>
  </si>
  <si>
    <t>Runway side premiunm lounge partition (Z-38 and Z-39)</t>
  </si>
  <si>
    <t>Marchantise wall till reception entrance (Z-40)</t>
  </si>
  <si>
    <t>I.T rack (Z-41,Z-42 and Z-43)</t>
  </si>
  <si>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270/-Sqm &amp; external surface laminate@ Rs.970/-Sqm)</t>
  </si>
  <si>
    <t>Admin cabin (Z-49)</t>
  </si>
  <si>
    <t>Front buffet counter (Z-29)</t>
  </si>
  <si>
    <t>Reception counter</t>
  </si>
  <si>
    <t>nos</t>
  </si>
  <si>
    <t>Runway (airbay Side )  boxing from gypsum to make ceiling patta (Z-37)</t>
  </si>
  <si>
    <t>Drawing required</t>
  </si>
  <si>
    <t>Section -1 Bathroom side premium lounge Considered from P-Line</t>
  </si>
  <si>
    <t>Section -2 Reception area Considered from P-Line</t>
  </si>
  <si>
    <t>Section 3 Admin Room Considered from P-Line</t>
  </si>
  <si>
    <t>Section - 4 Executive  lounge area Considered from P-Line</t>
  </si>
  <si>
    <t>Section -5 Air side premium lounge area Considered from P-Line</t>
  </si>
  <si>
    <t>2600mm Ceiling (200 patta )</t>
  </si>
  <si>
    <t>Buffet counter ceiling</t>
  </si>
  <si>
    <t xml:space="preserve">All cove </t>
  </si>
  <si>
    <t>Bathroom side premium lounge area along kitchen wall (Z-1, Z-2, Z-3 )</t>
  </si>
  <si>
    <t>Merchandise unit side wall with column (Z-40)</t>
  </si>
  <si>
    <t>Ceiling</t>
  </si>
  <si>
    <t>Section -1 Bathroom side premium lounge area as per P-Line</t>
  </si>
  <si>
    <t>Section -2 Reception area</t>
  </si>
  <si>
    <t xml:space="preserve">Section 3 Admin Room </t>
  </si>
  <si>
    <t>Section - 5 Executive lounge area</t>
  </si>
  <si>
    <t>Admin ouetr PL side wall along glass side(Z-56)</t>
  </si>
  <si>
    <t>Admin outer PL side wall (Z-55)</t>
  </si>
  <si>
    <t>Admin outer corner (Z-54)</t>
  </si>
  <si>
    <t>Reception back wall(Z-53)</t>
  </si>
  <si>
    <t>Marchantise unit wall(Z-40)</t>
  </si>
  <si>
    <t>Premium lounge Air side FIDS wall (Z-36)</t>
  </si>
  <si>
    <t>Admin cabin wall (Z-48)</t>
  </si>
  <si>
    <t>Admin cabin wall (Z-50)</t>
  </si>
  <si>
    <t>Admin cabin wall (Z-51)</t>
  </si>
  <si>
    <t>Admin cabin wall (Z-52)</t>
  </si>
  <si>
    <t>Marchantise unit side I.T rack wall(Z-43, Z-42 and Z-41)</t>
  </si>
  <si>
    <t xml:space="preserve">Providing &amp; filling 50mm thick Fibre  Glass wool ( 64kg density ) in M. S. frame work for partition wall for making sound proof </t>
  </si>
  <si>
    <t xml:space="preserve">Admin cabin entrance wall - V (Z-46) </t>
  </si>
  <si>
    <t xml:space="preserve">Reception area back wall - V (Z-53) </t>
  </si>
  <si>
    <t>Admin outer area corner wall - H (Z-54)</t>
  </si>
  <si>
    <t>Admin area outer wall -V (Z-55)</t>
  </si>
  <si>
    <t>Admin area outer wall -V (Z-56)</t>
  </si>
  <si>
    <t>Air side premium lounge buffet counter partition - V (Z-35)</t>
  </si>
  <si>
    <t>Exicutive lounge above glass partition - V (Z-31)</t>
  </si>
  <si>
    <t>Exicutive lounge above rafters partition - V (Z-34)</t>
  </si>
  <si>
    <t>Premium lounge bathroom side oposite of glazing -V (Z-4,Z-5,Z-6, and Z-7)</t>
  </si>
  <si>
    <t>Buffet passage runway side(V)</t>
  </si>
  <si>
    <t>Admin  door (V)</t>
  </si>
  <si>
    <t>Glass partition Exicutive lounge area top,bottom and sides (Z-34)</t>
  </si>
  <si>
    <t xml:space="preserve">Reception area including admin wall (Corner guard)  Z 56 TO Z 46 </t>
  </si>
  <si>
    <t>Bathroom side premium lounge wall along kitchen and international airport side area (Corner guard)  Z 2 TO Z 11</t>
  </si>
  <si>
    <t>Kitchen entrance left side wall (Corner guard) Z 25 26</t>
  </si>
  <si>
    <t>Air side premiun lounge partition and column (Corner guard) Z 38, 39,40</t>
  </si>
  <si>
    <t>Marchandise wall I.t area (Corner guard) Z 42,43</t>
  </si>
  <si>
    <t xml:space="preserve"> JUNCTION Bathroom side premium lounge area wall joint b/w laminate and wallpaper (Z-1 To Z-7)</t>
  </si>
  <si>
    <t xml:space="preserve">Reception area (Z-54 side) JUCTION Profile italian and wooden flooring </t>
  </si>
  <si>
    <t xml:space="preserve">Merchantise area side exicutive lounge to premium lounge (Z-40 Side) JUNCTION CARPET AND WOODEN FLOORING </t>
  </si>
  <si>
    <t xml:space="preserve">Air side Premium lounge to buffet counter passage (Z-28)  JUNCTION CARPET AND WOODEN FLOORING </t>
  </si>
  <si>
    <t xml:space="preserve">Kitchen entrance ramp (Z-12) JUNCTION </t>
  </si>
  <si>
    <t>Buffet counter Passage door frame along PVD frame side (Z-28)</t>
  </si>
  <si>
    <t>Buffet front counter top and side (Z-29)</t>
  </si>
  <si>
    <t>Marchandise unit top outer courve area</t>
  </si>
  <si>
    <t>Marchandise unit top inner courve area</t>
  </si>
  <si>
    <t>Marchandise unit front top edges</t>
  </si>
  <si>
    <t>Marchandise uint u-shape side and front covering</t>
  </si>
  <si>
    <t>Kitchen all area including store floor</t>
  </si>
  <si>
    <t>Admin cabin floor</t>
  </si>
  <si>
    <t>Kitchen walls</t>
  </si>
  <si>
    <t>f</t>
  </si>
  <si>
    <t>g</t>
  </si>
  <si>
    <t>h</t>
  </si>
  <si>
    <t>i</t>
  </si>
  <si>
    <t>Front buffet counter</t>
  </si>
  <si>
    <t>Counter top</t>
  </si>
  <si>
    <t>Fornt area</t>
  </si>
  <si>
    <t>Counter top skirting</t>
  </si>
  <si>
    <t>Inside of open shelves sides</t>
  </si>
  <si>
    <t>Inside open shelves top and bottom</t>
  </si>
  <si>
    <t>Inside horizontal shelves</t>
  </si>
  <si>
    <t>Back buffet counter</t>
  </si>
  <si>
    <t>Providing &amp; fixing 12mm thick gypsum board over existing partition for  paint base including all fixing arrangement complete in all respect.</t>
  </si>
  <si>
    <t>Bathroom side premium lounge partition along Kitchen entrance  above 900mm height from floor (Z-4,Z-5,Z-6, and Z-7)</t>
  </si>
  <si>
    <t>PHASE-I (EXTRA ITEMS)</t>
  </si>
  <si>
    <t xml:space="preserve">Providing and installation of coloured film as per aprooved design on bathroom side premium lounge area glass. </t>
  </si>
  <si>
    <t xml:space="preserve">Provding and fixing ss expansion joint cover  over Exp joint on floor and wall  as per required  by EIC </t>
  </si>
  <si>
    <t xml:space="preserve">Providing and fixing  wooden Rafter 80mm x 40 mm  Size </t>
  </si>
  <si>
    <t xml:space="preserve">Providing and fixing  Foot rail at reception counter made of 50mm hollow pipe PVD coated rose gold finish as per approved design </t>
  </si>
  <si>
    <t>Reception Counter</t>
  </si>
  <si>
    <t>Exicutive lounge glass partition</t>
  </si>
  <si>
    <t>Air side CNC wall</t>
  </si>
  <si>
    <t>STRUCTURAL STEEL  WORK BOQ  FOR LOUNGE ( T2 )  AT JAIPUR AIRPORT</t>
  </si>
  <si>
    <t>SL</t>
  </si>
  <si>
    <t>UOM</t>
  </si>
  <si>
    <t>BOQ QTY</t>
  </si>
  <si>
    <t>RATE</t>
  </si>
  <si>
    <t>AMOUNT</t>
  </si>
  <si>
    <t>GENERALLY</t>
  </si>
  <si>
    <t>PREAMBLE NOTES</t>
  </si>
  <si>
    <t>Not with standing Preamble Notes of the Standard Method of Measurement of Building Works, the Contractor shall refer to the Specification and Drawings for full particulars and descriptions of materials and workmanship and shall include for the full intent and meaning the thereof in the prices of the items.</t>
  </si>
  <si>
    <t>Note</t>
  </si>
  <si>
    <t>DRAWINGS AND OTHER DOCUMENTS</t>
  </si>
  <si>
    <t>The scope of works includes Civil &amp; Structure for Proposed IXE,LKO &amp; AMD AIRPORTS(DOMESTIC CIP LOUNGE)</t>
  </si>
  <si>
    <r>
      <rPr>
        <sz val="11"/>
        <rFont val="Calibri"/>
        <family val="2"/>
      </rPr>
      <t xml:space="preserve">The Contractor shall inspect the </t>
    </r>
    <r>
      <rPr>
        <u/>
        <sz val="11"/>
        <rFont val="Calibri"/>
        <family val="2"/>
      </rPr>
      <t>Technical Specifications and Drawings,</t>
    </r>
    <r>
      <rPr>
        <sz val="11"/>
        <rFont val="Calibri"/>
        <family val="2"/>
      </rPr>
      <t xml:space="preserve"> visit the site and fully ascertain the nature and extent of the Works, and limitations and restrictions as to means of access, working and storage space and any other relevant factors prior to tendering as no claim of any kind shall be entertained for want of knowledge or ignorance of the conditions under which the Works will be executed. </t>
    </r>
  </si>
  <si>
    <t>The Contractor shall visit the site and site inspection has been made all the cost towards access are included in the rate</t>
  </si>
  <si>
    <t>PRICES</t>
  </si>
  <si>
    <t xml:space="preserve">The cost of Preliminaries is to be covered in this Contract. </t>
  </si>
  <si>
    <t>Clause headings only are given for these items and the Contractors should refer to the relevant Contract Document or Specification clause to ascertain the liability for the duration of the Contract.</t>
  </si>
  <si>
    <t xml:space="preserve">SPECIFIC OBLIGATIONS </t>
  </si>
  <si>
    <t>Compliance with all statutory regulations with respect to Civil &amp; Strucutre Contract and employment of labour including  but not limited to Labour License, Workmen Compensation, ESI, Transit &amp; storage insurance etc.</t>
  </si>
  <si>
    <t>Submission of specified sets ( hard and electronic copies ) of fabrication / construction drawings, as built drawings, operating and maintenance manuals, test certificates, spare parts lists, replacement cycle information , etc. to the Engineer's satisfaction prior to the issue of taking over certificate.</t>
  </si>
  <si>
    <t>Provision of all materials required for site safety without limiting any requirement to safety items for the Labour, Contractor, Employees.</t>
  </si>
  <si>
    <t>j</t>
  </si>
  <si>
    <t xml:space="preserve">The Contractor shall provide adequate and competent site supervisory and administrative staffs for the proper execution of the works </t>
  </si>
  <si>
    <t>k</t>
  </si>
  <si>
    <t>Provision, maintenance and removal of temporary office accommodation for staff, sanitation and other facilities for the workmen and staff.  The facilities shall be maintained in a clean and orderly condition.</t>
  </si>
  <si>
    <t>l</t>
  </si>
  <si>
    <t>Provision, maintenance and removal of equipment, plant and tools required for the execution of works</t>
  </si>
  <si>
    <t>m</t>
  </si>
  <si>
    <t>The Contractor shall provide all necessary labour,  plant and tools for the proper and efficient execution of the Works.</t>
  </si>
  <si>
    <t>n</t>
  </si>
  <si>
    <t>The Client shall provide land and Contractor shall construct temporary accommodation, all transport for labour and for the movement of plant and equipment to and from site, erection, dismantling, moving about site as necessary</t>
  </si>
  <si>
    <t>o</t>
  </si>
  <si>
    <t>Provision, maintenance and removal of temporary stores.</t>
  </si>
  <si>
    <t>p</t>
  </si>
  <si>
    <t>Provision of suitable first-aid equipment and all medical aids.</t>
  </si>
  <si>
    <t>q</t>
  </si>
  <si>
    <t>All the temporary buildings and other temporary facilities as provided shall be dismantled &amp; removed and the site shall be made good within 1 week of receipt of the Engineer's instruction to remove such buildings.</t>
  </si>
  <si>
    <t>r</t>
  </si>
  <si>
    <t>Provision, maintenance and removal of testing facilities, testing equipment and carrying out the required tests in accordance with the contract.</t>
  </si>
  <si>
    <t>s</t>
  </si>
  <si>
    <t>Provide all consumables for the equipment till handing over including buffers as specified in the Contract / Specifications.</t>
  </si>
  <si>
    <t>t</t>
  </si>
  <si>
    <t>Provide product guarantee / warranty as specified in the Contract / Specifications.</t>
  </si>
  <si>
    <t>u</t>
  </si>
  <si>
    <t>Allow for all costs in connection with transport of the plant, equipment and materials to site including all transit insurances</t>
  </si>
  <si>
    <t>v</t>
  </si>
  <si>
    <t xml:space="preserve">Allow for any costs to comply with any other specific obligation in accordance with the contract conditions.  </t>
  </si>
  <si>
    <t>w</t>
  </si>
  <si>
    <t>Mobilization, demobilization and hire of one no tower crane for nine months and four numbers of spider boom placer for nine months</t>
  </si>
  <si>
    <t>Item</t>
  </si>
  <si>
    <t>STRUCTURAL STEEL</t>
  </si>
  <si>
    <t>Cost of all materials, labour, equipment / tools &amp; plants required, conveyance, infrastructure facilities required etc. at all heights and levels.</t>
  </si>
  <si>
    <t xml:space="preserve">Work at any depth below ground level or any height above ground level and at all levels, heights &amp; elevation and location.  </t>
  </si>
  <si>
    <t>Weight of steel will be the measured on weight basis in accordance with IS 1200, but no wastage will be considered.</t>
  </si>
  <si>
    <t>Fabrication of the structural steel items shall be completed in all respects including all associated costs up to delivery at site.</t>
  </si>
  <si>
    <t>Erection of fabricated items shall be carried out including lifting, placing in position, jointing and painting as specified in the Bill of Quantities. No extra cost shall be paid for temporary bracings wherever required.</t>
  </si>
  <si>
    <t>All welding with electrodes shall be in accordance with IS specification and as approved.</t>
  </si>
  <si>
    <t>All structural steel columns shall be shot blasted as per  SSPC -SP10( Sa-2-1/2). Rate shall include the same to respective elements.</t>
  </si>
  <si>
    <t>The rate to include the cost of all materials, labour, tools, tackles, devices and plants, wastage etc., as per specification and drawings complete</t>
  </si>
  <si>
    <t>Rate to include shims and packing pieces. No extra on this account will be paid for and rate to include preparation of fabrication drawings for Employer / OE &amp; PMCs approval.</t>
  </si>
  <si>
    <t>The structural steel work shall include built up sections and girders, with gusset plates, base plates, cleats, installing inserts etc., as per drawings. Cost to include fabricating necessary Gusset Plates, Cleats, seating angles,  etc., to the required size, shape, alignment etc., as per the drawings</t>
  </si>
  <si>
    <t>1 Coat (50 micron) of Zinc phosphate primer shall be applied at the welded joints/welded surfaces for Columns</t>
  </si>
  <si>
    <t>Primer to be applied over all exposed surfaces of the CFT columns.</t>
  </si>
  <si>
    <t>Quantities verified by structural consultant/Client In-charge shall be payable only.</t>
  </si>
  <si>
    <t>Contractor to share TEKLA (or equivalent) model for review based on which quantities are estimated.</t>
  </si>
  <si>
    <t xml:space="preserve">Providing, fabricating and erecting structural steel beams, columns, shear walls, canopy, MEP services, ramps, insert plates, embedded plates, shear angles, base plates, fasteners, stud connectors etc., of readymade / built-up / rolled sections of grade upto Fy 250-450 in position at all levels and at all heights as specified in the drawings  conforming to IS 226/800; The rate shall include blasting to SA 2.5 and applying one coat of primer to the CFT columns/walls &amp; beams; main steel, fasteners and miscellaneous items; The rate shall also include the provision of tower cranes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 </t>
  </si>
  <si>
    <t>Fy-250 Grade MS TUBE (Rolled)</t>
  </si>
  <si>
    <t>MT</t>
  </si>
  <si>
    <t>MS PLATE</t>
  </si>
  <si>
    <t>Anchoring Work</t>
  </si>
  <si>
    <t>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the Engineer-in-charge.</t>
  </si>
  <si>
    <t>RE 500-Hilti Anchor-10mm dia (150mm anchoring)</t>
  </si>
  <si>
    <t>RE 500-Hilti Anchor-16mm dia (150mm anchoring)</t>
  </si>
  <si>
    <t>TOTAL</t>
  </si>
  <si>
    <t>Airside premium lounge  CNC wall L-type (V) Z-37</t>
  </si>
  <si>
    <t>Airside  premium lounge  CNC wall L-type (H) Z-37</t>
  </si>
  <si>
    <t>Airside premium lounge  Ceiling patta frame (V) Z-37A</t>
  </si>
  <si>
    <t>Air Side Deep inside base framing (V)L-shape Z-37A</t>
  </si>
  <si>
    <t>I.T Unit V(Z41, Z-42 and Z-43)</t>
  </si>
  <si>
    <t>I.T Unit H(Z41, Z-42 and Z-43)</t>
  </si>
  <si>
    <t xml:space="preserve">@ Per meter kg weight </t>
  </si>
  <si>
    <t xml:space="preserve">Second floor ducting support size 40mmx80mm  </t>
  </si>
  <si>
    <t>Front side premium lounge partition above glass framing above glass (40mmx80mmx3.2) Z-44, 45 ,46  and 47.</t>
  </si>
  <si>
    <t xml:space="preserve">Runway side outer area ducting support </t>
  </si>
  <si>
    <t>Sub Total (KG)</t>
  </si>
  <si>
    <t>Total (MT)</t>
  </si>
  <si>
    <t>Project :JAI_T2_INTERNATIONAL CIP LOUNGE (SUMMARY OF COST)</t>
  </si>
  <si>
    <t xml:space="preserve">Sub Head </t>
  </si>
  <si>
    <t>BOQ Amount (Rs.)</t>
  </si>
  <si>
    <t>Part I</t>
  </si>
  <si>
    <t>Electrical</t>
  </si>
  <si>
    <t>Rs.</t>
  </si>
  <si>
    <t>TOTAL - Part I</t>
  </si>
  <si>
    <t>Part II</t>
  </si>
  <si>
    <t xml:space="preserve"> HVAC </t>
  </si>
  <si>
    <t>TOTAL -Part II</t>
  </si>
  <si>
    <t>Part III</t>
  </si>
  <si>
    <t>PL &amp; FF</t>
  </si>
  <si>
    <t>WATER SUPPLY</t>
  </si>
  <si>
    <t>DRAINAGE</t>
  </si>
  <si>
    <t>FIRE FIGHTING</t>
  </si>
  <si>
    <t>TOTAL - Part III</t>
  </si>
  <si>
    <t>SUB  TOTAL - MEP</t>
  </si>
  <si>
    <t xml:space="preserve">EXTRA ITEM FOR PHE </t>
  </si>
  <si>
    <t xml:space="preserve">TOTAL FOR EXTRA ITEM </t>
  </si>
  <si>
    <t>GRAND TOTAL - MEP</t>
  </si>
  <si>
    <t xml:space="preserve">Note </t>
  </si>
  <si>
    <t>1. Kitchen ventilation system does not include hood and associated arrangement.
2. Kitchen Sanitary Fixtures does not included in BOQ.</t>
  </si>
  <si>
    <t xml:space="preserve"> INTERNATIONAL CIP  LOUNGE_JAI T1_ELECTRICAL</t>
  </si>
  <si>
    <t>Sl No.</t>
  </si>
  <si>
    <t>Unit</t>
  </si>
  <si>
    <t>BOQ Qty.</t>
  </si>
  <si>
    <t>BOQ Rate</t>
  </si>
  <si>
    <t>BOQ Amount</t>
  </si>
  <si>
    <t xml:space="preserve">Part I </t>
  </si>
  <si>
    <t>ELECTRICAL</t>
  </si>
  <si>
    <t>SUB HEAD I - WIRING</t>
  </si>
  <si>
    <t>Wiring for primary light points for Switch controlled points with 2.5 sq. mm LSZH PVC insulated stranded /multi stranded copper conductor 1100 Volt grade wires in  IS embossed 25mm dia FRLSH PVC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LSZH PVC insulated copper earth wire for loop earthing etc. complete as directions of Engineer-in-charge and as required.</t>
  </si>
  <si>
    <t>Wiring for primary light points for DB /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item)(Normal)</t>
  </si>
  <si>
    <t>Wiring for primary light points for DB/ Dimmer/ Sensor/ Automation controlled points with 2.5 sq. mm LSZH PVC insulated stranded/multi stranded copper conductor 1100 Volt grade wires in  IS embossed  25mm dia FRLSH PVC  surface/concealed conduit including cost of providing saddles etc for surface conduiting and/or cost of cutting and filling chases for recessed conduiting and including the cost of running 2.5 sq. mm LSZH PVC insulated copper earth wire for loop earthing etc. complete as directions of Engineer-in-charge and as required. (Cost of MCB/Switch shall be consider in this item). (Emergency)</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</si>
  <si>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(Normal)</t>
  </si>
  <si>
    <t>Wiring for secondary light points with 2.5 sq. mm LSZH PVC insulated stranded/multistranded copper conductor 1100 Volt grade wires in surface/concealed  in IS embossed  25mm dia FRLSH PVC  conduit including cost of providing saddles hangers supports from soffit of slab etc for surface conduiting, ceiling conduiting and/or cost of cutting and filling chases for recessed conduiting including the cost of running 2.5 sq. mm LSZH PVC insulated copper earth wire for loop earthing etc. complete as directions of Engineer-in-charge and as required. (Emergency)</t>
  </si>
  <si>
    <t>Wiring for 240 volt 6 amp Multistandard single phase and neutral switch socket outlet with 4.0 sq. mm LSZH PVC  insulated stranded/multi stranded copper conductor 1100 Volt grade wires in IS embossed  25mm dia FRLSH PVC  surface/concealed conduit including cost of providing circuit wiring with 4.0 sq mm LSZH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</si>
  <si>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4.0 sq. mm LSZH PVC insulated copper earth wire conductor wires complete as directions of Engineer-in-charge and as required.</t>
  </si>
  <si>
    <t>R/o</t>
  </si>
  <si>
    <t>Wiring for a multi-pin 240 volt 6-13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6-13 amp universal socket outlet with safety shutters and 6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</si>
  <si>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as in Item 1.8 above looped from an adjacent switch socket outlet as per specifications and directions of Engineer-in-charge and providing and fixing of a modular type multi-pin 240 Volt 6-13 amp shuttered socket outlet and a modular type 6 amp 240 Volt single pole rocker type switch in a recessed galvanized boxes with internal wiring and moulded front plates complete as directions of Engineer-in-charge and as required.</t>
  </si>
  <si>
    <t>Supply , Installation, Testing and comissioning of IP 66 EGA Boxes with all standard accessories consisting of following: 
a) 3nos 6-13 amp socket with single Switch
b) 2nos Data outlets with includes of Data wiring and terminations.
Wiring for socket outlet with 4.0 sq. mm LSZH PVC  insulated stranded copper conductor 1100 Volt grade wires in 25 mm dia LSZH PVC surface/concealed Conduit / Raceways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EGA Box complete as directions of Engineer-in-charge and as required.</t>
  </si>
  <si>
    <t>-</t>
  </si>
  <si>
    <t>Wiring for 6 pin 240 volt 16 amp single phase and neutral Universal switch socket outlets  with 4.0 sq. mm LSZH PVC insulated stranded/multi stranded copper conductor 1100 volt grade wires in  IS embossed  25mm dia FRLSH PVC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LSZH PVC insulated stranded copper  earth wire complete as directions of Engineer-in-charge and as required.</t>
  </si>
  <si>
    <t>Nos.</t>
  </si>
  <si>
    <t>Wiring for 25 amp SPN isolator for Geyser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</si>
  <si>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25 amp TPN isolator for HVAC Fan &amp; Scrubber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25 amp terminal block in recessed GI box with conduit Bend out for connection to equipment including earthing with 2 nos 4.0 sq mm 1100 volt grade PVC insulated FRLS multistranded copper conductor wire  complete as directions of Engineer-in-charge and as required.</t>
  </si>
  <si>
    <t>Wiring for a multi-pin 240 volt 5/15 amp single phase and neutral universal switch socket outlet with 4.0 sq. mm LSZH PVC  insulated stranded copper conductor 1100 Volt grade wires in 25 mm dia LSZH PVC surface/concealed conduit including the cost of providing circuit wiring with 4.0 sq mm LSZH PVC insulated stranded copper conductor 1100 volt grade wires and including cost of providing brackets, saddles etc as required for surface conduiting and/or cost of cutting and filling chases as required and providing and fixing of a combined multi-pin 240 volt 5/15 amp universal socket outlet with safety shutters and 15 amp 240 volt single pole grid plate mounted switch with moulded cover plate in recessed galvanized box  and including earthing of the 3rd pin with 4.0 sq mm 1100 volt grade LSZH PVC insulated stranded copper conductor wires complete as directions of Engineer-in-charge and as required.</t>
  </si>
  <si>
    <t>Wiring for 32 amp SPN isolator for Kitchen Equipments with 4.0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</si>
  <si>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 xml:space="preserve">Wiring for 32 amp Three phase 5Pole industrial socket outlets with 6.0 sq mm FRLS PVC insulated 1100 volt grade stranded copper conductor wires in 25 mm dia FRLS PVC surface/concealed conduit including cost of providing brackets, saddles etc as per specifications and directions of Engineer-in-charge for surface conduiting and/or cost of cutting and filling chases  and including the cost of supplying and fixing 32 amp 10 kA TPN MCB, industrial type socket outlet in galvanized box, industrial plug top and including the cost of loop earthing with 6.0 sq mm FRLS PVC insulated copper conductor wires complete as per specifications and directions of Engineer-in-charge.(MCB shall be 'B' Curve) </t>
  </si>
  <si>
    <t>Wiring for 32 amp TPN isolator for Kitchen with 6.0 sq. mm LSZH PVC insulated standed/multi stranded copper conductor 1100 volt grade wires in PVC surface/concealed conduit including cost of providing saddles etc as required for surface conduiting and/or cost of cutting and filling chases as required and including providing and fixing of a 32 amp terminal block in recessed GI box with conduit Bend out for connection to equipment including earthing with 2 nos 4.0 sq mm 1100 volt grade PVC insulated FRLS multistranded copper conductor wire  complete as directions of Engineer-in-charge and as required.</t>
  </si>
  <si>
    <t>Providing and fixing of a Data outlet plate mounted outlet unit (RJ-45) with moulded cover plate in recessed zinc chromate passivated MS box complete as directions of Engineer-in-charge and as required for Data system.</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</si>
  <si>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</si>
  <si>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Mtrs</t>
  </si>
  <si>
    <t>Supplying, Installation, testing and commissioning of 6U Networking Rack with all accessories and complete as required</t>
  </si>
  <si>
    <t>Supplying, Installation, testing and commissioning of Occupancy Sensor for light control with all accessories and complete as directions of Engineer-in-charge and as required.</t>
  </si>
  <si>
    <t>Supplying and drawing wiring with single core stranded copper conductor PVC insulated 1100 volt grade LSZH PVC insulated wires in existing conduit systems including the cost of running copper conductor LSZH PVC insulated loop earthing wire complete as directions of Engineer-in-charge and as required as below.</t>
  </si>
  <si>
    <t>a)</t>
  </si>
  <si>
    <t>2 x 1.5 sq mm with 1 x 1.5 sq mm earth wire</t>
  </si>
  <si>
    <t>2 x 2.5 sq mm with 1 x 2.5 sq mm earth wire</t>
  </si>
  <si>
    <t>b)</t>
  </si>
  <si>
    <t>2 x 4 sq mm with 1 x 4.0 sq mm earth wire</t>
  </si>
  <si>
    <t>c)</t>
  </si>
  <si>
    <t>2 x 6 sq mm with 1 x 6.0 sq mm earth wire</t>
  </si>
  <si>
    <t>d)</t>
  </si>
  <si>
    <t>2 x 10 sq mm with 1 x 10 sq mm earth wire</t>
  </si>
  <si>
    <t>e)</t>
  </si>
  <si>
    <t>4 x 2.5 sq mm with 2 x 2.5 sq mm earth wire</t>
  </si>
  <si>
    <t>f)</t>
  </si>
  <si>
    <t>4 x 4 sq mm with 2 x 4.0 sq mm earth wire</t>
  </si>
  <si>
    <t>g)</t>
  </si>
  <si>
    <t>4 x 6 sq mm with 2 x 6.0 sq mm earth wire</t>
  </si>
  <si>
    <t>h)</t>
  </si>
  <si>
    <t>4 x 10 sq mm with 2 x 10 sq mm earth wire</t>
  </si>
  <si>
    <t>i)</t>
  </si>
  <si>
    <t>4 x 16 sq mm with 2 x 16 sq mm earth wire</t>
  </si>
  <si>
    <t>4 x 25 sq mm with 2 x 25 sq mm earth wire</t>
  </si>
  <si>
    <t>Supplying and drawing recessed/surface IS embossed GI conduiting system including cost of providing saddles etc for surface conduiting and/or cost of cutting and filling chases for recessed conduiting complete as directions of Engineer-in-charge and as required as below.</t>
  </si>
  <si>
    <t>25 mm 16 SWG</t>
  </si>
  <si>
    <t xml:space="preserve">32 mm 14 SWG </t>
  </si>
  <si>
    <t xml:space="preserve">40 mm 14 SWG </t>
  </si>
  <si>
    <t xml:space="preserve">50 mm 14 SWG </t>
  </si>
  <si>
    <t>Supply and fixing  GI flexible conduit including all fittings complete as required as below.</t>
  </si>
  <si>
    <t>20 mm 16 SWG</t>
  </si>
  <si>
    <t>TOTAL SUB-HEAD I carried over to Summary</t>
  </si>
  <si>
    <t>SUB HEAD-II- CABLES &amp; RACEWAYS</t>
  </si>
  <si>
    <t>Supplying, laying, connecting ,terminating on both side testing &amp; commissioning of following size of 1.1 kv grade single/multicore aluminium conductor XLPE insulated and PVC sheathed armoured cable as per IS: 7098:1988 (Part-I) with upto date amendments.</t>
  </si>
  <si>
    <t xml:space="preserve">3.5 core 50 Sq mm  </t>
  </si>
  <si>
    <t>Cable end termination of the following XLPE insulated and PVC sheathed aluminium conductor cable 1100 Volt grade including cost of crimping heavy duty copper lugs,nickel plated brass double compression glands,insulation tape and all requisite material for completion of termination complete as required and as below.</t>
  </si>
  <si>
    <t>Supplying, laying, connecting ,terminating on both side testing &amp; commissioning of following size of 1.1 kv grade single/multicore copper conductor XLPE insulated and PVC sheathed armoured cable as per IS: 7098:1988 (Part-I) with upto date amendments.</t>
  </si>
  <si>
    <t xml:space="preserve">4 core 4 Sq mm  </t>
  </si>
  <si>
    <t xml:space="preserve">4 core 6 Sq mm  </t>
  </si>
  <si>
    <t xml:space="preserve">4 core 10 Sq mm  </t>
  </si>
  <si>
    <t>Cable end termination of the following XLPE insulated and PVC sheathed copper conductor cable 1100 Volt grade including cost of crimping heavy duty copper lugs,nickel plated brass double compression glands,insulation tape and all requisite material for completion of termination complete as required and as below.</t>
  </si>
  <si>
    <t>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required.</t>
  </si>
  <si>
    <r>
      <rPr>
        <sz val="10"/>
        <rFont val="Verdana"/>
        <family val="2"/>
      </rPr>
      <t xml:space="preserve">150 mm x 50 mm x 50 mm (with 40 x 40 x 6 mm GI angle supports) and </t>
    </r>
    <r>
      <rPr>
        <b/>
        <sz val="10"/>
        <rFont val="Verdana"/>
        <family val="2"/>
      </rPr>
      <t>with Cover</t>
    </r>
  </si>
  <si>
    <t>GI Raceway &amp; Junction boxes (IP 55)</t>
  </si>
  <si>
    <t xml:space="preserve">Supply, assembly and  laying of under floor trunking  made out of minimum 1.6mm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 </t>
  </si>
  <si>
    <t>100 mm x 40 mm (3 compartment)- 1 For Power, 1 for Data, 1 blank for seperation )</t>
  </si>
  <si>
    <t>75 mm x 40 mm (3 compartment)- 1 For Power, 1 for Data, 1 blank for seperation )</t>
  </si>
  <si>
    <t>75 mm x 40 mm (1 compartment)-  For Power</t>
  </si>
  <si>
    <t>50 mm x 40 mm (1 compartment) for Data</t>
  </si>
  <si>
    <t>Providing and fixing 150 x 150 x 50 mm deep junction box</t>
  </si>
  <si>
    <t>Providing and fixing 100 x 100 x 50 mm deep junction box</t>
  </si>
  <si>
    <t>Providing and fixing 75 x 75 x 50 mm deep junction box</t>
  </si>
  <si>
    <t>TOTAL SUB-HEAD II carried over to Summary</t>
  </si>
  <si>
    <t>SUB HEAD III - DISTRIBUTION SYSTEM &amp; EARTHING</t>
  </si>
  <si>
    <t>Supply, erection, testing and commissioning of the following sheet steel clad wall recess mounting dust and vermin proof distribution boards constructed from 1.2mm sheet steel IP 42 construction, finished with rust proof red oxide coating and two coats of paint with hinged gasketted door and housing the following complete with suitably rated PVC insulated copper busbars with interconnections and neutral bar  assembly, earthing terminals complete as approved by Architects. Padlocking facility shall be provided on the door.</t>
  </si>
  <si>
    <t>10 WAY TPN - Power DB</t>
  </si>
  <si>
    <t xml:space="preserve">1-40 amp TPN 10 kA MCB with thermal magnetic protective releases incoming with 3 single phase banks each comprising of 1-40 amp DP 30 mA RCCB  incoming and 30 nos 6/16/20/25/32 amps SP 10 kA MCB with thermal magnetic protective releases out goings. </t>
  </si>
  <si>
    <t xml:space="preserve">6 WAY TPN  - Lighting DB </t>
  </si>
  <si>
    <t xml:space="preserve">1-32 amp TPN 10 kA MCB with thermal magnetic protective releases incoming with 3 single phase banks each comprising of 1-32 amp DP 30 mA RCCB  incoming and 18 nos 6/16/20/25/32 amps SP 10 kA MCB with thermal magnetic protective releases out goings. </t>
  </si>
  <si>
    <t xml:space="preserve">6 WAY TPN  - Kitchen DB </t>
  </si>
  <si>
    <t xml:space="preserve">1-63 amp TPN 10 kA MCB with thermal magnetic protective releases incoming with 3 single phase banks each comprising of 1-63 amp DP 30 mA RCCB  incoming and 18 nos 6/16/20/25/32 amps SP 10 kA MCB with thermal magnetic protective releases out goings. </t>
  </si>
  <si>
    <t xml:space="preserve">12 WAY SPN </t>
  </si>
  <si>
    <t xml:space="preserve">1-32 amp DP 10 kA MCB with thermal magnetic protective releases incoming with single phase banks comprising of 1-32 amp DP 30 mA RCCB  incoming and 12 nos 6/10/16/20/25/32 amps SP 10 kA MCB with thermal magnetic protective releases out goings. </t>
  </si>
  <si>
    <t>Design, Manufacture, Supply, delivery and coordination for Installation of the following front operated modular compartmentalised construction cubicle type, front access, dead back, 2mm thick steel enclosed free standing on leg at 400mm above from FFL / wall mounted, dust and vermin proof, switchboard with IP67/Specified protection with hinged and lockable doors duly powder coated complete with interconnections, tinned copper crimping lugs, bonding to earth and painting, suitable for use at 415 volts, 3 phase 4 wire 50 Hertz system, and to withstand a symetrical fault level of 25 kA</t>
  </si>
  <si>
    <t>All Switchboards shall have provision for entry of cables from the top or bottom as required.</t>
  </si>
  <si>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</si>
  <si>
    <t>All kA values indicated shall be Ics breaking capacity.</t>
  </si>
  <si>
    <t>All MCCB above 250 amp shall have variable settings.</t>
  </si>
  <si>
    <t>The cost shall include providing and fixing of 75 x 50 x 6 mm channels for switchboard support.</t>
  </si>
  <si>
    <t>All MCCB shall have rotary handles &amp; extension terminal, phase barrier on both sides as required at site.</t>
  </si>
  <si>
    <t>All metering panel shall be extendable type with cable alley.</t>
  </si>
  <si>
    <t>GA drawings shall be got approved from Owners/ Architects/ Consultants before fabrication.</t>
  </si>
  <si>
    <t>Note:- The Manufacturer/Supplier shall supervise the installation, testing and commissioning of the cubicle panels by the electrical contractor</t>
  </si>
  <si>
    <t>INCOMING - In Kitchen</t>
  </si>
  <si>
    <t xml:space="preserve">1 no 125 A 4POLE MCCB </t>
  </si>
  <si>
    <t>INDICATING PANEL</t>
  </si>
  <si>
    <t xml:space="preserve">The incomers shall have the following indicating panel </t>
  </si>
  <si>
    <t>3 nos Cast resin current transformers of 125/5 ratio Class 1.0 for metering</t>
  </si>
  <si>
    <t xml:space="preserve">1 no Multi function meter </t>
  </si>
  <si>
    <t xml:space="preserve">c) </t>
  </si>
  <si>
    <t xml:space="preserve">1 set of three White phase indicating lamps </t>
  </si>
  <si>
    <t xml:space="preserve">d) </t>
  </si>
  <si>
    <t>Red / Green ON/OFF indicator (LED type)</t>
  </si>
  <si>
    <t>BUSBAR</t>
  </si>
  <si>
    <t>Electrolytic high conductivity aluminium TPN busbars rated at 160 amps suitable to with stand symmetrical fault level of 25kA at 415 volts.  The neutral busbar is to be of 100% capacity.</t>
  </si>
  <si>
    <t>OUTGOING  UNITS</t>
  </si>
  <si>
    <t xml:space="preserve">1 nos 63 amp 4P 10 kA MCB with thermal magnetic protective releases </t>
  </si>
  <si>
    <t xml:space="preserve">1 nos 40 amp 4P 10 kA MCB with thermal magnetic protective releases </t>
  </si>
  <si>
    <t xml:space="preserve">8 nos 32 amp 4P 10 kA MCB with thermal magnetic protective releases </t>
  </si>
  <si>
    <t xml:space="preserve">3 nos 25 amp 4P 10 kA MCB with thermal magnetic protective releases </t>
  </si>
  <si>
    <t xml:space="preserve">1 nos 32 amp DP 10 kA MCB with thermal magnetic protective releases </t>
  </si>
  <si>
    <t xml:space="preserve">The Switchboard shall be complete with all interconnections, risers, internal wiring, labels etc complete as required              </t>
  </si>
  <si>
    <t>UPS 5KVA</t>
  </si>
  <si>
    <t>Supply, installation, testing and commissioning of 5kVA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single phase Input and output supply of 230V. The UPS shall have 2 body earthing connection which shall be looped with existing earting system.</t>
  </si>
  <si>
    <t xml:space="preserve">Supplying and laying of the following earthing strip on cable tray/ wall  clamped to wall with suitable clamps saddles and fixing bolts/soldering /riveting in ground including the cost of digging and back filling as required and complete as required to comply with IS 3043:1987. All joints shall be timed. </t>
  </si>
  <si>
    <t>32 mm x 6 mm GI strip</t>
  </si>
  <si>
    <t>25  mm x 3 mm GI strip</t>
  </si>
  <si>
    <t>6 SWG GI Wire</t>
  </si>
  <si>
    <t>8 SWG GI Wire</t>
  </si>
  <si>
    <t>4 Sqmm bare, tinned-copper stranded conductor</t>
  </si>
  <si>
    <t>TOTAL SUB-HEAD III carried over to Summary</t>
  </si>
  <si>
    <t>SUB HEAD IV - FIRE DETECTION &amp; PA SYSTEM</t>
  </si>
  <si>
    <t>Fire Detection System</t>
  </si>
  <si>
    <t>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The Fire control panel shall have 100% hot redundancy for CPU, load etc. It shall be expandable by minimum 1 additional loops. The operating panel shall have minimum 80 character LCD display, 4 access levels, 1000 events historical logging, flash E-PROM, 240 volts ac power supply, automatic battery charger, 24V sealed lead-acid battery suitable operating the system for 24 hours in emergency condition. The Panel shall be Integrated with the PA System and with suitable power amplifiers for the hooter/strobes.</t>
  </si>
  <si>
    <t>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specifications and as required.</t>
  </si>
  <si>
    <t>1 Loop</t>
  </si>
  <si>
    <t xml:space="preserve">Supply, installation, testing and commissioning of plug-in type intelligent analogue addressable multi criteria photo electric cum Smoke detectors including the cost of base plate, 75 mm dia M.S. outlet box for fixing of the detector base, mounting accessories etc. complete as per specifications and as required. </t>
  </si>
  <si>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</si>
  <si>
    <t>Supply, installation, testing and commissioning of Addressable type fault for isolating shorted, dewired and loose circuits between two successive fault isolators with automatic resetting arrangement (base Model)</t>
  </si>
  <si>
    <t>Supply, installation, testing and commissioning of Addressable type Response indicatior.</t>
  </si>
  <si>
    <t>Supply, installation, testing and commissioning of intelligent analogue addressable Control Modules including the cost of 75 mm dia MS outlet box for fixing of the module, mounting accessories complete as per specifications and as required.</t>
  </si>
  <si>
    <t>Supply, installation, testing and commissioning of intelligent analogue addressable dry contact Monitor Modules including the cost of 75 mm dia MS outlet box for fixing of the module, mounting accessories complete as per specifications and as required.</t>
  </si>
  <si>
    <t>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as required.</t>
  </si>
  <si>
    <t>Supply, Installation, Testing and commissioning of high intensity hooters cum Strobe Lights with 110 cd. The strobes shall be synchronized for better evacuation.</t>
  </si>
  <si>
    <t>Supply, laying, testing and commissioning of 2 core 1.5 sqmm copper conductor fire survival cable 1100 volt wires in FRLS PVC embossed black enameled 25mm dia recessed and/or surface conduiting system including cost of providing saddles etc for surface conduiting and/or cost of cutting and filling chases for recessed conduiting as required and including the cost  of crimped termination's complete as required. (For FACP &amp; PA system)</t>
  </si>
  <si>
    <t xml:space="preserve">Supplying and fixing heavy gauge ISI embossed black enameled FRLSH PVC recessed and/or surface conduits including cost of providing saddles etc for surface conduiting and/or cost of cutting and filling chases for recessed conduiting complete as per specifications, as required and as below. </t>
  </si>
  <si>
    <t>25 mm Dia FRLSH PVC</t>
  </si>
  <si>
    <t>Public Address system</t>
  </si>
  <si>
    <t>Supply, installation, testing and commissioning of recess/ surface mounting 2W CEILING SPEAKER ,metal grille, dia 150mm and Spring clamps suitable for broadcast of speech and alarm siren including cost of supplying all mounting accessories complete as required. (MAKE HONEYWELL)</t>
  </si>
  <si>
    <t>Supply, installation, testing and commissioning of Wall surface mounting 2W CEILING SPEAKER with 6W/3W optionssuitable for broadcast of speech and alarm siren including cost of supplying all mounting accessories complete as required.</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</si>
  <si>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 ( MAKE HONEYWELL)</t>
    </r>
  </si>
  <si>
    <t>Supply, installation, testing and commissioning of CONTROL PANEL with single zone selection, ascending 4 tone chime, emergency microphone, expandable upto 5 zones using expansion control panel complete as required. (MAKE HONEYWELL)</t>
  </si>
  <si>
    <t xml:space="preserve">Supply, installation, testing and commissioning of Wireless lepal microphone DB technology complete as required </t>
  </si>
  <si>
    <t xml:space="preserve">Supply, installation, testing and commissioning of Microphone with table stand </t>
  </si>
  <si>
    <t>TOTAL SUB-HEAD IV carried over to Summary</t>
  </si>
  <si>
    <t>SUB HEAD V - CCTV SYSTEM</t>
  </si>
  <si>
    <t xml:space="preserve">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 MAKE CP PLUS </t>
  </si>
  <si>
    <t xml:space="preserve">Supply of Network Video/Disk Recorder -16 channel (Including HDD for minimum recording of 30 days) with minimum 500GB Usable Space with all components, accessories, fixing &amp; mounting accessories etc. as complete as required for the succesfull operation.  (6TB HDD TO BE USED DUE TO INCREASE IN CAMERA QTY)
</t>
  </si>
  <si>
    <t>Supplying, laying, testing and commissioning of 4-pair Non-plenum Enhanced Cat 6 unshielded twisted pair with 24 AWG solid copper conductors in  surface/concealed conduit/raceways complete as required</t>
  </si>
  <si>
    <t>TOTAL SUB-HEAD V carried over to Summary</t>
  </si>
  <si>
    <t>Grand Total Amount</t>
  </si>
  <si>
    <t>EXTRA NON TENDER ITEMS</t>
  </si>
  <si>
    <t xml:space="preserve">16 POE system </t>
  </si>
  <si>
    <t>SFF convertor</t>
  </si>
  <si>
    <t>Media convertor</t>
  </si>
  <si>
    <t>CCTV monitor and stand</t>
  </si>
  <si>
    <t>Providing and fixing energy meter on terrece along scrubber and LT panel</t>
  </si>
  <si>
    <t>Supply  &amp;  wiring  of  general  power  point  with  2X4+2.5 Sq.mm PVC insulated multistranded copper conductor cable (FRLS)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</si>
  <si>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(Secondary loop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</si>
  <si>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</si>
  <si>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(Secondary loop point)Supply of MS/PVC conduit included in this item.</t>
  </si>
  <si>
    <t xml:space="preserve">Supplying and fixing heavy gauge ISI embossed black enameled FRLSH GI recessed and/or surface conduits including cost of providing saddles etc for surface conduiting and/or cost of cutting and filling chases for recessed conduiting complete as per specifications, as required and as below. </t>
  </si>
  <si>
    <t>Supply &amp; installation of GI Earth Bus of size 50 x 6 x 300 mm long with insulator support for earth bus</t>
  </si>
  <si>
    <t xml:space="preserve">S.NO. </t>
  </si>
  <si>
    <t>Service Code</t>
  </si>
  <si>
    <t>No,s</t>
  </si>
  <si>
    <t>MEASUREMENTS</t>
  </si>
  <si>
    <t>LDB (LIGHT DB)</t>
  </si>
  <si>
    <t>PWR LAY,2x2.5+1.5sqmm Primary ckt</t>
  </si>
  <si>
    <t>LDB-R1 To L1</t>
  </si>
  <si>
    <t>LDB-R2 To L1</t>
  </si>
  <si>
    <t>LDB-R3 To L1</t>
  </si>
  <si>
    <t>LDB-Y1 To L1</t>
  </si>
  <si>
    <t>LDB-Y2 To L1</t>
  </si>
  <si>
    <t>LDB-Y3 To L1</t>
  </si>
  <si>
    <t>LDB-B1 To L1</t>
  </si>
  <si>
    <t>LDB-B2 To L1</t>
  </si>
  <si>
    <t>LDB-B3 To L1</t>
  </si>
  <si>
    <t>LDB-B4 To L1</t>
  </si>
  <si>
    <t>LDB-R4 To Admin area Senor light</t>
  </si>
  <si>
    <t>LDB-Y4 To Admin Fixture light</t>
  </si>
  <si>
    <t>EDB( INDICATE EMERGENCY LIGHT DB)</t>
  </si>
  <si>
    <t>EDB-C1 To EL1</t>
  </si>
  <si>
    <t>EDB-C2 To EL1</t>
  </si>
  <si>
    <t>EDB-C3 TO EL1</t>
  </si>
  <si>
    <t>LDB-R1 Secondary loop  point</t>
  </si>
  <si>
    <t>Primary L1 TO Secondary L1</t>
  </si>
  <si>
    <t>L1 TO L2</t>
  </si>
  <si>
    <t>L2 TO L3</t>
  </si>
  <si>
    <t>L3 TO L4</t>
  </si>
  <si>
    <t>L4 TO L5</t>
  </si>
  <si>
    <t>LDB-R2 Secondary loop  point</t>
  </si>
  <si>
    <t>L4 TO L5 LED Strip</t>
  </si>
  <si>
    <t>LDB-R3 Secondary loop  point LED Stip</t>
  </si>
  <si>
    <t xml:space="preserve">L4 TO L5 </t>
  </si>
  <si>
    <t xml:space="preserve">LDB-Y1 Secondary loop  point </t>
  </si>
  <si>
    <t>L5 TO L6</t>
  </si>
  <si>
    <t xml:space="preserve">L6 TO L7 </t>
  </si>
  <si>
    <t>L7 TO L8</t>
  </si>
  <si>
    <t xml:space="preserve">LDB-Y2 Secondary loop  point </t>
  </si>
  <si>
    <t xml:space="preserve">LDB-Y3 Secondary loop  point </t>
  </si>
  <si>
    <t xml:space="preserve">LDB-B1 Secondary loop  point </t>
  </si>
  <si>
    <t>Primary L1 TO Secondary L1 KITCHEN AREA</t>
  </si>
  <si>
    <t xml:space="preserve">LDB-B2 Secondary loop  point </t>
  </si>
  <si>
    <t>LDB-B3 Secondary loop  point LED Strip</t>
  </si>
  <si>
    <t xml:space="preserve">EDB-C1 Secondary loop  point </t>
  </si>
  <si>
    <t>Primary EL1 TO Secondary EL1</t>
  </si>
  <si>
    <t>E.L1 TO E.L2</t>
  </si>
  <si>
    <t>E.L2 TO E.L3</t>
  </si>
  <si>
    <t xml:space="preserve">EDB-C2 Secondary loop  point </t>
  </si>
  <si>
    <t xml:space="preserve">EDB-C3 Secondary loop  point </t>
  </si>
  <si>
    <t>E.L3 TO E.L4</t>
  </si>
  <si>
    <t>E.L4 TO E.L5</t>
  </si>
  <si>
    <t>E.L5 TO E.L6</t>
  </si>
  <si>
    <t>PDB-Y4 To Premium Lounge side Screen Tv 1 power point</t>
  </si>
  <si>
    <t>PDB-B8 To Premium Lounge side Screen Tv 2 power point</t>
  </si>
  <si>
    <t>PDB-Y7 To Admin side LED Screen TV 3 Power poit</t>
  </si>
  <si>
    <t>PDB-B4 To INDIA MAP ARTWORK SIDE Power point</t>
  </si>
  <si>
    <t xml:space="preserve">PDB-R5 To NEAR MERCHANDISE DISPLAY </t>
  </si>
  <si>
    <t xml:space="preserve">EDB-C9 To NEAR FACP UPS POWER </t>
  </si>
  <si>
    <t xml:space="preserve">EDB-C10 To FOR WI-FI UPS POWER </t>
  </si>
  <si>
    <t xml:space="preserve"> Secondary loop  point </t>
  </si>
  <si>
    <t xml:space="preserve"> Premium Lounge side Screen Tv 1 power point To FDS</t>
  </si>
  <si>
    <t>Premium Lounge side Screen Tv 2 power point To FDS</t>
  </si>
  <si>
    <t xml:space="preserve"> Admin side LED Screen TV 3 Power poit To SB1</t>
  </si>
  <si>
    <t>INDIA MAP ARTWORK SIDE Power point To Reception</t>
  </si>
  <si>
    <t>Reception To 6U Networking Rack</t>
  </si>
  <si>
    <t>WI-FI,1 UPS POWER To WI-FI,2</t>
  </si>
  <si>
    <t>WI-FI,2 UPS POWER To WI-FI,3</t>
  </si>
  <si>
    <t>EDB TO UPS POWER POINT 6/13A, SWITCH &amp; SOCKET</t>
  </si>
  <si>
    <t>EDB-C4 To LED Screen UPS Power</t>
  </si>
  <si>
    <t>EDB-C5 To Admin side Sceen Tv</t>
  </si>
  <si>
    <t xml:space="preserve">EDB-C6 To FDS </t>
  </si>
  <si>
    <t xml:space="preserve">EDB-C7 To Reception Table </t>
  </si>
  <si>
    <t xml:space="preserve">EDB-C8 To FDS </t>
  </si>
  <si>
    <t>PDB TO RAW POWER</t>
  </si>
  <si>
    <t>PDB-Y8 TO SB1 RAW POWER FDS NEAR DECK CHILLER SIDE</t>
  </si>
  <si>
    <t xml:space="preserve">PDB-B7 TO ADMIN SCREEN TV SIDE </t>
  </si>
  <si>
    <t>PDB-Y7 TO SB1 LED TV</t>
  </si>
  <si>
    <t>PDB-R8 To SB1NEAR DECK CHILLER</t>
  </si>
  <si>
    <t>PDB-Y11 To FDS</t>
  </si>
  <si>
    <t>PDB-B11 To SB1 NEAR FDS</t>
  </si>
  <si>
    <t xml:space="preserve"> UPS POWER POINT 6/13A, SWITCH &amp; SOCKET</t>
  </si>
  <si>
    <t xml:space="preserve">EDB-C4  LED Screen UPS Power </t>
  </si>
  <si>
    <t>EDB-C5  Admin side Sceen Tv</t>
  </si>
  <si>
    <t xml:space="preserve">EDB-C6  FDS </t>
  </si>
  <si>
    <t xml:space="preserve">EDB-C7  Reception Table </t>
  </si>
  <si>
    <t xml:space="preserve">EDB-C8  FDS </t>
  </si>
  <si>
    <t>PDB-Y8 SB1 RAW POWER FDS NEAR DECK CHILLER SIDE</t>
  </si>
  <si>
    <t xml:space="preserve">PDB-B7  ADMIN SCREEN TV SIDE </t>
  </si>
  <si>
    <t>PDB-Y7  SB1 LED TV</t>
  </si>
  <si>
    <t>PDB-R8  SB1NEAR DECK CHILLER</t>
  </si>
  <si>
    <t>PDB-Y11  FDS</t>
  </si>
  <si>
    <t>PDB-B11  SB1 NEAR FDS</t>
  </si>
  <si>
    <t xml:space="preserve">PDB1 To R5 </t>
  </si>
  <si>
    <t xml:space="preserve">PDB1 To B10 NEAR FDS </t>
  </si>
  <si>
    <t>PDB-R1 To Geyser used Power point</t>
  </si>
  <si>
    <t xml:space="preserve">No,s </t>
  </si>
  <si>
    <t>Electrical Panel to Scrubber Isolater HVAC Fan</t>
  </si>
  <si>
    <t>Electrical Panel to Scrubber Isolater</t>
  </si>
  <si>
    <t>KDB TO POWER POINT</t>
  </si>
  <si>
    <t>KDB-R1 To Open Chiller</t>
  </si>
  <si>
    <t>KDB-R2 To Heat Lamp</t>
  </si>
  <si>
    <t>KDB-R3 To Trap 25.5Ltrs</t>
  </si>
  <si>
    <t>KDB-R4 To Used work table</t>
  </si>
  <si>
    <t>KDB-R5 To U/C Chiller</t>
  </si>
  <si>
    <t>KDB-R7 To UC Chiller</t>
  </si>
  <si>
    <t>KDB-Y1 To Conveyer/Toaster</t>
  </si>
  <si>
    <t>KDB-Y2 To Juice Dispenser</t>
  </si>
  <si>
    <t>KDB-Y3 To Sunk cold power point</t>
  </si>
  <si>
    <t>KDB-Y4 To Tea &amp; Coffee power point</t>
  </si>
  <si>
    <t>KDB-Y5 To Induction</t>
  </si>
  <si>
    <t>KDB-Y6 To Induction</t>
  </si>
  <si>
    <t>KDB-Y7 To Exhaust Chimney power point</t>
  </si>
  <si>
    <t>KDB-Y8 To Milk Storage area</t>
  </si>
  <si>
    <t>KDB-B1 To Induction power point</t>
  </si>
  <si>
    <t>KBD-B2 To Induction power point</t>
  </si>
  <si>
    <t>KBD-B3 To Induction power point</t>
  </si>
  <si>
    <t>KBD-B4 To Induction power point</t>
  </si>
  <si>
    <t>KBD-B5 To Induction power point</t>
  </si>
  <si>
    <t xml:space="preserve">KDB-B6 To Saup Turreh power point </t>
  </si>
  <si>
    <t xml:space="preserve">KDB-B7 To Chemical Storage Area power </t>
  </si>
  <si>
    <t>KDB-B8 To Electrical Room Power point</t>
  </si>
  <si>
    <t>KDB-B9 To Chiller power point</t>
  </si>
  <si>
    <t>KDB-R7 TO Fiyer 6Ltrs. Cap.</t>
  </si>
  <si>
    <t>KDB-R8 TO Fiyer 6Ltrs. Cap.</t>
  </si>
  <si>
    <t>KDB-R6 TO Freezer</t>
  </si>
  <si>
    <t>Electrical panel to hot plate kitchen side</t>
  </si>
  <si>
    <t>Electrical panel To Dish washer power point in kitchen area</t>
  </si>
  <si>
    <t>Electrical panel To Combi oven power point in kitchen area</t>
  </si>
  <si>
    <t>Electrical panel To Table Top Hot plate power point in kitchen area</t>
  </si>
  <si>
    <t>Electrical panel To 4 Zone hot plate power point in kitchen area</t>
  </si>
  <si>
    <t>SCREEN TV1 NEAR ELECTRICAL BACKE WALL SIDE C2</t>
  </si>
  <si>
    <t>FDS PREMIUM LOUNGE C2</t>
  </si>
  <si>
    <t>SCREEN TV2 NEAR ELECTRICAL BACKE WALL SIDE C2</t>
  </si>
  <si>
    <t>LED SCREEN TV3 ADMIN AREA C2</t>
  </si>
  <si>
    <t>RECEPTIN FDS C2</t>
  </si>
  <si>
    <t>MERCHANDISE</t>
  </si>
  <si>
    <t xml:space="preserve"> NVR TO  DATA/VOICE CAT-6 WIRE LAYING</t>
  </si>
  <si>
    <t>NETWORK RACK TO D1</t>
  </si>
  <si>
    <t>D2,V1</t>
  </si>
  <si>
    <t>D3</t>
  </si>
  <si>
    <t>D4</t>
  </si>
  <si>
    <t>D5,V2</t>
  </si>
  <si>
    <t>D6,</t>
  </si>
  <si>
    <t>D7</t>
  </si>
  <si>
    <t>D8</t>
  </si>
  <si>
    <t>D9</t>
  </si>
  <si>
    <t>D10,V3</t>
  </si>
  <si>
    <t>D11</t>
  </si>
  <si>
    <t>D12,V4</t>
  </si>
  <si>
    <t>D13,V5</t>
  </si>
  <si>
    <t>under floor 25mm conduit used power Premium lounge(19 pax) area side</t>
  </si>
  <si>
    <t>junctoin box1 to box2</t>
  </si>
  <si>
    <t>junctoin box2 to box3</t>
  </si>
  <si>
    <t>junctoin box3 to box4</t>
  </si>
  <si>
    <t>junctoin box4 to box5</t>
  </si>
  <si>
    <t>junctoin box5 to box6</t>
  </si>
  <si>
    <t>junctoin box6 to box7</t>
  </si>
  <si>
    <t>junctoin box7 to box8</t>
  </si>
  <si>
    <t>junctoin box8 to box9</t>
  </si>
  <si>
    <t>junctoin box9 to box10</t>
  </si>
  <si>
    <t>junctoin box10 to box11</t>
  </si>
  <si>
    <t>Executive Lounge(28 Pax) area side</t>
  </si>
  <si>
    <t>Premium Lounge(19 Pax) area side</t>
  </si>
  <si>
    <t>LIGHT LOOP WIRING FIXING FLEXIBLE CONDUIT</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</si>
  <si>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</si>
  <si>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</si>
  <si>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</si>
  <si>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</si>
  <si>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</si>
  <si>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</si>
  <si>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</si>
  <si>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</si>
  <si>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</si>
  <si>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</si>
  <si>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</si>
  <si>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</si>
  <si>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</si>
  <si>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</si>
  <si>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</si>
  <si>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</si>
  <si>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</si>
  <si>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</si>
  <si>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</si>
  <si>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</si>
  <si>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</si>
  <si>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</si>
  <si>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</si>
  <si>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</si>
  <si>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</si>
  <si>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</si>
  <si>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</si>
  <si>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</si>
  <si>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</si>
  <si>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</si>
  <si>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</si>
  <si>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</si>
  <si>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</si>
  <si>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</si>
  <si>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</si>
  <si>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</si>
  <si>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</si>
  <si>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</si>
  <si>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</si>
  <si>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</si>
  <si>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</si>
  <si>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</si>
  <si>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</si>
  <si>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</si>
  <si>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</si>
  <si>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</si>
  <si>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</si>
  <si>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</si>
  <si>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</si>
  <si>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</si>
  <si>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</si>
  <si>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</si>
  <si>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</si>
  <si>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</si>
  <si>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</si>
  <si>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LT PANEL TO LDB</t>
  </si>
  <si>
    <t>LT PANEL TO TABLE TOP HOT PLATE</t>
  </si>
  <si>
    <t>LT TO 1.5 HP DOL STARTER</t>
  </si>
  <si>
    <t>STARTER TO SCRUBBER MOTOR</t>
  </si>
  <si>
    <t>LT TO 0.75KW DOL STAR</t>
  </si>
  <si>
    <t>LT TO COMBI OVEN</t>
  </si>
  <si>
    <t>LT TO DISH WASHER</t>
  </si>
  <si>
    <t xml:space="preserve">LT TO 4 ZNE HOT PLATE </t>
  </si>
  <si>
    <t>LT TO UPS INPUT</t>
  </si>
  <si>
    <t>INPUT TO UPS</t>
  </si>
  <si>
    <t>UPS TO OUT PUT</t>
  </si>
  <si>
    <t>OUT PUT TO UPS DB</t>
  </si>
  <si>
    <t>LT PANEL TO PDB</t>
  </si>
  <si>
    <t>TL PANEL TO PDB,S LOCATION AREA</t>
  </si>
  <si>
    <t>UNDER FLOOR PEDESTAL TABLE</t>
  </si>
  <si>
    <t>12 WAY SPN- UPS DB</t>
  </si>
  <si>
    <t>ALL DB,s Body earthing</t>
  </si>
  <si>
    <t>SMOKE DETECTORS BELLOW &amp; ABOVE</t>
  </si>
  <si>
    <t>SD2</t>
  </si>
  <si>
    <t>SD3</t>
  </si>
  <si>
    <t>SD4</t>
  </si>
  <si>
    <t>SD5</t>
  </si>
  <si>
    <t>SD6</t>
  </si>
  <si>
    <t>SD7</t>
  </si>
  <si>
    <t>SD8</t>
  </si>
  <si>
    <t>SD9</t>
  </si>
  <si>
    <t>SD10</t>
  </si>
  <si>
    <t>SD11</t>
  </si>
  <si>
    <t>SD12</t>
  </si>
  <si>
    <t>SD13</t>
  </si>
  <si>
    <t>SD14</t>
  </si>
  <si>
    <t>SD15</t>
  </si>
  <si>
    <t>SD16</t>
  </si>
  <si>
    <t>SD17</t>
  </si>
  <si>
    <t>SD18</t>
  </si>
  <si>
    <t>SD19</t>
  </si>
  <si>
    <t>SD20</t>
  </si>
  <si>
    <t>SD21</t>
  </si>
  <si>
    <t>SD22</t>
  </si>
  <si>
    <t>SD23</t>
  </si>
  <si>
    <t>SD24</t>
  </si>
  <si>
    <t>SD25</t>
  </si>
  <si>
    <t>Kitchen area Heat detector</t>
  </si>
  <si>
    <t>no,s</t>
  </si>
  <si>
    <t>RI (Response indicatior)</t>
  </si>
  <si>
    <t>FACP TO SD1</t>
  </si>
  <si>
    <t>SD1 TO SD2</t>
  </si>
  <si>
    <t>RI SD2</t>
  </si>
  <si>
    <t>SD2 TO SD3</t>
  </si>
  <si>
    <t>SD3 TO SD4</t>
  </si>
  <si>
    <t>RI SD4</t>
  </si>
  <si>
    <t>SD4 TO SD5</t>
  </si>
  <si>
    <t>SD5 TO SD6</t>
  </si>
  <si>
    <t>RI SD6</t>
  </si>
  <si>
    <t>SD6 TO SD7</t>
  </si>
  <si>
    <t>SD7 TO SD8</t>
  </si>
  <si>
    <t>RI SD8</t>
  </si>
  <si>
    <t>SD8 TO HD9</t>
  </si>
  <si>
    <t>HD9 TO SD10</t>
  </si>
  <si>
    <t>RI SD10</t>
  </si>
  <si>
    <t>SD10 TO SD11</t>
  </si>
  <si>
    <t>SD11 TO SD12</t>
  </si>
  <si>
    <t>RI SD12</t>
  </si>
  <si>
    <t>SD12 TO HD13</t>
  </si>
  <si>
    <t>HD13 TO SD14</t>
  </si>
  <si>
    <t>SD14 TO SD15</t>
  </si>
  <si>
    <t>RI SD15</t>
  </si>
  <si>
    <t>SD15 TO SD16</t>
  </si>
  <si>
    <t>SD16 TO SD17</t>
  </si>
  <si>
    <t xml:space="preserve">RI SD17 </t>
  </si>
  <si>
    <t>SD17 TO SD18</t>
  </si>
  <si>
    <t>RI SD18</t>
  </si>
  <si>
    <t>SD18 TO SD19</t>
  </si>
  <si>
    <t>SD19 TO SD20</t>
  </si>
  <si>
    <t>SD20 TO SD21</t>
  </si>
  <si>
    <t>RI SD21</t>
  </si>
  <si>
    <t>SD21 TO SD22</t>
  </si>
  <si>
    <t>SD22 TO SD23</t>
  </si>
  <si>
    <t>RI SD23</t>
  </si>
  <si>
    <t>SD23 TO SD24</t>
  </si>
  <si>
    <t>SD24 TO SD25</t>
  </si>
  <si>
    <t>RI SD25</t>
  </si>
  <si>
    <t>SD25 TO HOOTER</t>
  </si>
  <si>
    <t>HOOTER TO MCP</t>
  </si>
  <si>
    <t>MCP TO SD26</t>
  </si>
  <si>
    <t>SD26 TO SD27</t>
  </si>
  <si>
    <t>RI SD27</t>
  </si>
  <si>
    <t>SD27 TO FACP</t>
  </si>
  <si>
    <t>PA SYSTEM WIRING</t>
  </si>
  <si>
    <t>AMPLIFIER TO SP1</t>
  </si>
  <si>
    <t>SP1 TO SP2</t>
  </si>
  <si>
    <t>SP1 TO SP3</t>
  </si>
  <si>
    <t>SP1 TO SP4</t>
  </si>
  <si>
    <t>SP1 TO SP5</t>
  </si>
  <si>
    <t>SP1 TO SP6</t>
  </si>
  <si>
    <t>SP1 TO SP7</t>
  </si>
  <si>
    <t>SP1 TO SP8</t>
  </si>
  <si>
    <t>SP1 TO SP9</t>
  </si>
  <si>
    <t>SP1 TO SP10</t>
  </si>
  <si>
    <t>SP1 TO SP11</t>
  </si>
  <si>
    <t>SP1 TO SP12</t>
  </si>
  <si>
    <t>SP1 TO SP13</t>
  </si>
  <si>
    <t>Supply, installation, testing and commissioning of recess/ surface mounting 2W CEILING SPEAKER ,metal grille, dia 150mm and Spring clamps suitable for broadcast of speech and alarm siren including cost of supplying all mounting accessories complete as required.</t>
  </si>
  <si>
    <t>SP1</t>
  </si>
  <si>
    <t xml:space="preserve"> No,s</t>
  </si>
  <si>
    <t>SP2</t>
  </si>
  <si>
    <t>SP3</t>
  </si>
  <si>
    <t>SP4</t>
  </si>
  <si>
    <t>SP5</t>
  </si>
  <si>
    <t>SP6</t>
  </si>
  <si>
    <t>SP7</t>
  </si>
  <si>
    <t>SP8</t>
  </si>
  <si>
    <t>SP9</t>
  </si>
  <si>
    <t>SP10</t>
  </si>
  <si>
    <t>SP11</t>
  </si>
  <si>
    <t>SP12</t>
  </si>
  <si>
    <t>SP13</t>
  </si>
  <si>
    <r>
      <rPr>
        <b/>
        <sz val="10"/>
        <rFont val="Verdana"/>
        <family val="2"/>
      </rPr>
      <t>Digital PA System</t>
    </r>
    <r>
      <rPr>
        <sz val="10"/>
        <rFont val="Verdana"/>
        <family val="2"/>
      </rPr>
      <t xml:space="preserve">
Supply, installation, testing and commissioning of MS Amplifier Rack Assembly with 30 minutes power backup including 1 no. CD player unit, 1 nos 300 W POWER AMPLIFIER, connectors, internal wiring, interconnection etc capable of voice operated priority complete as required. (PA System fully integrated type with Fire Alarm System with facility for automatic override of music for emergency announcements)</t>
    </r>
  </si>
  <si>
    <t>Supply, installation, testing and commissioning of CONTROL PANEL with single zone selection, ascending 4 tone chime, emergency microphone, expandable upto 5 zones using expansion control panel complete as required.</t>
  </si>
  <si>
    <t>Design, Engineering, Supply, Receiving, handling, storage, installation, testing and commissioning of the CLOSED CIRCUIT TELEVESION (CCTV) SURVEILLANCE SYSTEM with IP based indoor type fixed varifocal dome camera 2MP with resolution 1920x1080, IP67 with 30m IR range for the proposed application with all components, accessories, fixing &amp; mounting accessories etc. as complete as required for the succesfull operation.</t>
  </si>
  <si>
    <t>C1</t>
  </si>
  <si>
    <t>C2</t>
  </si>
  <si>
    <t>C3</t>
  </si>
  <si>
    <t>C4</t>
  </si>
  <si>
    <t>C5</t>
  </si>
  <si>
    <t>C6</t>
  </si>
  <si>
    <t>C7</t>
  </si>
  <si>
    <t>C8</t>
  </si>
  <si>
    <t>C9</t>
  </si>
  <si>
    <t>C10</t>
  </si>
  <si>
    <t>C11</t>
  </si>
  <si>
    <t>C12</t>
  </si>
  <si>
    <t xml:space="preserve">Supply of Network Video/Disk Recorder -16 channel (Including HDD for minimum recording of 30 days) with minimum 500GB Usable Space with all components, accessories, fixing &amp; mounting accessories etc. as complete as required for the succesfull operation.
</t>
  </si>
  <si>
    <t>CCTV WIRING</t>
  </si>
  <si>
    <t>NON PO ITEM,S</t>
  </si>
  <si>
    <t>PBD-1 TO Pedestal furniture R1</t>
  </si>
  <si>
    <t>NO,S</t>
  </si>
  <si>
    <t>PBD-1 TO Pedestal furniture R2</t>
  </si>
  <si>
    <t>PBD-1 TO Pedestal furniture R3</t>
  </si>
  <si>
    <t>PBD-1 TO Pedestal furniture R4</t>
  </si>
  <si>
    <t>PBD-1 TO Pedestal furniture R9</t>
  </si>
  <si>
    <t>PBD-1 TO Pedestal furniture R10</t>
  </si>
  <si>
    <t>PBD-1 TO Pedestal furniture R11</t>
  </si>
  <si>
    <t>PBD-1 TO Pedestal furniture Y1</t>
  </si>
  <si>
    <t>PBD-1 TO Pedestal furniture Y2</t>
  </si>
  <si>
    <t>PBD-1 TO Pedestal furniture Y3</t>
  </si>
  <si>
    <t>PBD-1 TO Pedestal furniture Y9</t>
  </si>
  <si>
    <t>PBD-1 TO Pedestal furniture Y10</t>
  </si>
  <si>
    <t>PBD-1 TO Pedestal furniture B1</t>
  </si>
  <si>
    <t>PBD-1 TO Pedestal furniture B2</t>
  </si>
  <si>
    <t>PBD-1 TO Pedestal furniture B3</t>
  </si>
  <si>
    <t>SECONDARY LOOP POINT</t>
  </si>
  <si>
    <t>R8 LOOP</t>
  </si>
  <si>
    <t>Y8 LOOP</t>
  </si>
  <si>
    <t>Y11 LOOP</t>
  </si>
  <si>
    <t>B8 LOOP</t>
  </si>
  <si>
    <t>B11 LOOP</t>
  </si>
  <si>
    <t>PBD-1 TO Square Table 2No,s switch &amp; socket 6A,</t>
  </si>
  <si>
    <t>PBD-1 TO Square table R6</t>
  </si>
  <si>
    <t>PBD-1 TO Square table R7</t>
  </si>
  <si>
    <t>PBD-1 TO Square table Y5</t>
  </si>
  <si>
    <t>PBD-1 TO Square table Y6</t>
  </si>
  <si>
    <t>PBD-1 TO Square table B5</t>
  </si>
  <si>
    <t>PBD-1 TO Square table B6</t>
  </si>
  <si>
    <t>LOOP TO Square table R6</t>
  </si>
  <si>
    <t>LOOP TO Square table R7</t>
  </si>
  <si>
    <t>LOOP TO Square table Y5</t>
  </si>
  <si>
    <t>LOOP TO Square table Y6</t>
  </si>
  <si>
    <t>LOOP TO Square table B5</t>
  </si>
  <si>
    <t>LOO TO Square table B6</t>
  </si>
  <si>
    <t>25 mm Dia Ms CONDUIT</t>
  </si>
  <si>
    <t>PA SYSTEM CONDUIT</t>
  </si>
  <si>
    <t xml:space="preserve"> NVR TO  DATA/VOICE CONDUIT</t>
  </si>
  <si>
    <t>D6,D7</t>
  </si>
  <si>
    <t>D9,DB</t>
  </si>
  <si>
    <t>D11,D12,V4</t>
  </si>
  <si>
    <t>CCTV WIRING CONDUIT</t>
  </si>
  <si>
    <t>C1,C6</t>
  </si>
  <si>
    <t>C2,C9,C10</t>
  </si>
  <si>
    <t>C3,C8</t>
  </si>
  <si>
    <t>C4,C5,C7</t>
  </si>
  <si>
    <t>C11.C12</t>
  </si>
  <si>
    <t xml:space="preserve">SUP&amp;INST OF GI EARTH BUS 50X6X300MM  Electrical room </t>
  </si>
  <si>
    <t xml:space="preserve"> INTERNATIONAL CIP  LOUNGE_JAI T2_HVAC</t>
  </si>
  <si>
    <t>HVAC</t>
  </si>
  <si>
    <t>SECTION-"A" AIR-CONDITIONING SYSTEM</t>
  </si>
  <si>
    <t>1.0</t>
  </si>
  <si>
    <t>EQUIPMENT</t>
  </si>
  <si>
    <t>BOQ RATE</t>
  </si>
  <si>
    <t>VENTILATION  FANS</t>
  </si>
  <si>
    <t>1.1.1</t>
  </si>
  <si>
    <t>INLINE FANS WITHOUT FILTER</t>
  </si>
  <si>
    <r>
      <rPr>
        <sz val="12"/>
        <rFont val="Calibri"/>
        <family val="2"/>
      </rPr>
      <t xml:space="preserve">Supply, installation, testing and commissioning of duct mounted  </t>
    </r>
    <r>
      <rPr>
        <b/>
        <sz val="12"/>
        <rFont val="Calibri"/>
        <family val="2"/>
      </rPr>
      <t>IN-LINE FANS</t>
    </r>
    <r>
      <rPr>
        <sz val="12"/>
        <rFont val="Calibri"/>
        <family val="2"/>
      </rPr>
      <t xml:space="preserve">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r>
  </si>
  <si>
    <t>Quoted prices shall be inclusive of all necessary supports by MS structural steel if required,  hangers, clamp supports from walls, floors and  ceiling with painting with one coat of primer and two coats of paint to supports of MS work.</t>
  </si>
  <si>
    <t>Fan Selection arrangement shall be as follows:</t>
  </si>
  <si>
    <t>Fan                              Capacity            S.P                          Area to</t>
  </si>
  <si>
    <t>No.                               (Cfm)           (mmWG)             to be exhausted</t>
  </si>
  <si>
    <t>a.</t>
  </si>
  <si>
    <t>IF-1(Circular)              300              16-17                   Store</t>
  </si>
  <si>
    <t>Contactor to check/calculate static pressure drop as per shop drawing.</t>
  </si>
  <si>
    <t xml:space="preserve"> TOTAL ITEM NO. 1 (EQUIPMENT)</t>
  </si>
  <si>
    <t>AIR DISTRIBUTION</t>
  </si>
  <si>
    <r>
      <rPr>
        <sz val="12"/>
        <rFont val="Calibri"/>
        <family val="2"/>
      </rPr>
      <t>Supply,  installation and testing of</t>
    </r>
    <r>
      <rPr>
        <b/>
        <sz val="12"/>
        <rFont val="Calibri"/>
        <family val="2"/>
      </rPr>
      <t xml:space="preserve"> SITE Fabricated GI sheet metal ducts as per IS-655 Standard</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r>
  </si>
  <si>
    <t>2.1.1</t>
  </si>
  <si>
    <t>24 gauge galvanised sheet steel (0.63 mm)</t>
  </si>
  <si>
    <t>Sqm.</t>
  </si>
  <si>
    <t>2.1.2</t>
  </si>
  <si>
    <t>22 gauge galvanised sheet steel  (0.8 mm)</t>
  </si>
  <si>
    <t>2.1.3</t>
  </si>
  <si>
    <t>20 gauge galvanised sheet steel (1.0 mm)</t>
  </si>
  <si>
    <t>2.1.4</t>
  </si>
  <si>
    <t>18 gauge galvanised sheet steel (1.25 mm)</t>
  </si>
  <si>
    <t>2.1.5</t>
  </si>
  <si>
    <t xml:space="preserve">Dismantling of existing supply air ducts which are supplied the existing AHU supply withing new development of CIP Lounge. </t>
  </si>
  <si>
    <t>2.1.6</t>
  </si>
  <si>
    <t xml:space="preserve">Dismantling of glass panel towards façade to run the exhaust &amp; fresh air ducts. </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</si>
  <si>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</si>
  <si>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2.2.1</t>
  </si>
  <si>
    <t>350 mm dia.</t>
  </si>
  <si>
    <t>Mtr.</t>
  </si>
  <si>
    <t>RO</t>
  </si>
  <si>
    <t>2.2.2</t>
  </si>
  <si>
    <t>300 mm dia.</t>
  </si>
  <si>
    <t>2.2.3</t>
  </si>
  <si>
    <t>200 mm dia.</t>
  </si>
  <si>
    <t>2.2.4</t>
  </si>
  <si>
    <t>150 mm dia.</t>
  </si>
  <si>
    <t>2.2.5</t>
  </si>
  <si>
    <t>100 mm dia.</t>
  </si>
  <si>
    <r>
      <rPr>
        <sz val="12"/>
        <rFont val="Calibri"/>
        <family val="2"/>
      </rPr>
      <t xml:space="preserve">Supply, installation and testing of GI construction </t>
    </r>
    <r>
      <rPr>
        <b/>
        <sz val="12"/>
        <rFont val="Calibri"/>
        <family val="2"/>
      </rPr>
      <t>Opposed blade Volume control dampers</t>
    </r>
    <r>
      <rPr>
        <sz val="12"/>
        <rFont val="Calibri"/>
        <family val="2"/>
      </rPr>
      <t xml:space="preserve"> within ducts to be provided with suitable ducts lever and quadrants for manual control of  volume  of air flow and for proper balancing of the air distribution system.</t>
    </r>
  </si>
  <si>
    <r>
      <rPr>
        <sz val="12"/>
        <rFont val="Calibri"/>
        <family val="2"/>
      </rPr>
      <t xml:space="preserve">Supply, installation, testing and balancing of powder coated Extruded Aluminium </t>
    </r>
    <r>
      <rPr>
        <b/>
        <sz val="12"/>
        <rFont val="Calibri"/>
        <family val="2"/>
      </rPr>
      <t xml:space="preserve">Supply Air Grilles </t>
    </r>
    <r>
      <rPr>
        <sz val="12"/>
        <rFont val="Calibri"/>
        <family val="2"/>
      </rPr>
      <t>with multiblade type key operated grille louver dampers in accordance with the approved shop drawings and specifications.</t>
    </r>
  </si>
  <si>
    <r>
      <rPr>
        <sz val="12"/>
        <rFont val="Calibri"/>
        <family val="2"/>
      </rPr>
      <t xml:space="preserve">Supply, installation, testing and balancing of powder coated extruded Aluminium </t>
    </r>
    <r>
      <rPr>
        <b/>
        <sz val="12"/>
        <rFont val="Calibri"/>
        <family val="2"/>
      </rPr>
      <t xml:space="preserve">Exhaust/Return  Air Grilles </t>
    </r>
    <r>
      <rPr>
        <sz val="12"/>
        <rFont val="Calibri"/>
        <family val="2"/>
      </rPr>
      <t xml:space="preserve"> without multiblade type grille louver dampers</t>
    </r>
  </si>
  <si>
    <r>
      <rPr>
        <sz val="12"/>
        <rFont val="Calibri"/>
        <family val="2"/>
      </rPr>
      <t xml:space="preserve">Supply, installation, testing and balancing of Powder coated extruded aluminium construction square / round shape </t>
    </r>
    <r>
      <rPr>
        <b/>
        <sz val="12"/>
        <rFont val="Calibri"/>
        <family val="2"/>
      </rPr>
      <t>Supply Air Diffusers</t>
    </r>
    <r>
      <rPr>
        <sz val="12"/>
        <rFont val="Calibri"/>
        <family val="2"/>
      </rPr>
      <t xml:space="preserve"> with removable core &amp; anti smudge ring &amp; key operated volume control dampers as per approved drawings and specifications.</t>
    </r>
  </si>
  <si>
    <r>
      <rPr>
        <sz val="12"/>
        <rFont val="Calibri"/>
        <family val="2"/>
      </rPr>
      <t xml:space="preserve">Supply, installation, testing and balancing of Powder coated extruded aluminium construction square / round shape </t>
    </r>
    <r>
      <rPr>
        <b/>
        <sz val="12"/>
        <rFont val="Calibri"/>
        <family val="2"/>
      </rPr>
      <t>Return Air Diffusers</t>
    </r>
    <r>
      <rPr>
        <sz val="12"/>
        <rFont val="Calibri"/>
        <family val="2"/>
      </rPr>
      <t xml:space="preserve"> as per approved drawings and specifications.</t>
    </r>
  </si>
  <si>
    <r>
      <rPr>
        <sz val="12"/>
        <rFont val="Calibri"/>
        <family val="2"/>
      </rPr>
      <t xml:space="preserve">Supply, installation, testing and balancing of Powder coated/Anodised  extruded aluminium construction. </t>
    </r>
    <r>
      <rPr>
        <b/>
        <sz val="12"/>
        <rFont val="Calibri"/>
        <family val="2"/>
      </rPr>
      <t xml:space="preserve">Louvers with bird screen for exhaust air </t>
    </r>
    <r>
      <rPr>
        <sz val="12"/>
        <rFont val="Calibri"/>
        <family val="2"/>
      </rPr>
      <t>as per specifications and approved drawings.</t>
    </r>
  </si>
  <si>
    <t>THERMAL INSULATION</t>
  </si>
  <si>
    <t>2.9.1</t>
  </si>
  <si>
    <t>THERMAL INSULATION FOR DUCTWORK</t>
  </si>
  <si>
    <r>
      <rPr>
        <sz val="12"/>
        <rFont val="Calibri"/>
        <family val="2"/>
      </rPr>
      <t xml:space="preserve">Supply  and  Application  of  external thermal insulation  of supply /return air ducting using </t>
    </r>
    <r>
      <rPr>
        <b/>
        <sz val="12"/>
        <rFont val="Calibri"/>
        <family val="2"/>
      </rPr>
      <t xml:space="preserve">closed cell elastomeric nitrile rubber insulation with class 'O' fire retardant properties </t>
    </r>
    <r>
      <rPr>
        <sz val="12"/>
        <rFont val="Calibri"/>
        <family val="2"/>
      </rPr>
      <t>as per the specifications and  drawings.  Quoted price shall be inclusive of adhesive, tapes as per specification. insulation shall be provided with aluminium foil, factory laminated.</t>
    </r>
  </si>
  <si>
    <t>Insulation thickness/application will be as per approved shop drawing notes.</t>
  </si>
  <si>
    <t xml:space="preserve">25 mm thick </t>
  </si>
  <si>
    <t>b.</t>
  </si>
  <si>
    <t xml:space="preserve">19 mm thick </t>
  </si>
  <si>
    <t>c.</t>
  </si>
  <si>
    <t xml:space="preserve">16 mm thick </t>
  </si>
  <si>
    <t>d.</t>
  </si>
  <si>
    <t xml:space="preserve">13 mm thick </t>
  </si>
  <si>
    <t>e.</t>
  </si>
  <si>
    <t xml:space="preserve">9 mm thick </t>
  </si>
  <si>
    <t>2.9.2</t>
  </si>
  <si>
    <t>ACOUSTIC LINING OF DUCTS</t>
  </si>
  <si>
    <r>
      <rPr>
        <sz val="12"/>
        <rFont val="Calibri"/>
        <family val="2"/>
      </rPr>
      <t xml:space="preserve">Supply and Application of internal acoustic lining of  supply  air  ducting using </t>
    </r>
    <r>
      <rPr>
        <b/>
        <sz val="12"/>
        <rFont val="Calibri"/>
        <family val="2"/>
      </rPr>
      <t>open cell nitrile rubber insulation</t>
    </r>
    <r>
      <rPr>
        <sz val="12"/>
        <rFont val="Calibri"/>
        <family val="2"/>
      </rPr>
      <t xml:space="preserve"> with density within 140-180 Kg/m3 as per the approved shop drawings and specifications. Insulation material shall be bonded with the ducts using metal screw and washers to facilitate grip to the GI sheet.</t>
    </r>
  </si>
  <si>
    <t xml:space="preserve"> 10mm thick lining</t>
  </si>
  <si>
    <t>SqM</t>
  </si>
  <si>
    <t xml:space="preserve"> 25mm thick lining</t>
  </si>
  <si>
    <t>Air Transfer Grilles</t>
  </si>
  <si>
    <t>Supply, Installation and testing of extruded aluminium powder coated air transfer grilles to be provided at the door of toilets/pantry.</t>
  </si>
  <si>
    <t>TOTAL ITEM NO. 2 (AIR DISTRIBUTION)</t>
  </si>
  <si>
    <t>TOTAL "SECTION-A"</t>
  </si>
  <si>
    <t>SECTION-B: KITCHEN VENTILATION SYSTEM (COOKING KITCHEN)</t>
  </si>
  <si>
    <t xml:space="preserve">Supply, Installation, Testing and Commissioning of Dry Type Scrubber each comprising of extract air intake section, electrostatic precipitation technology, dry type  air cleaner to remove oil, smoke and fumes from exhaust air, as per the Specifications. </t>
  </si>
  <si>
    <t>Electrostatic section shall be made of 16/18 gauge galvanised sheet, high baked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(PWM)The  system should be fitted with interlock switch for safety . The system should allow connection to a fan section to achieve 500 FPM velocity across the air cleaner. Vendor to include cost of MCB &amp; single phase wiring for AC supply to the Scrubber.</t>
  </si>
  <si>
    <t xml:space="preserve">Operating Voltage :  220V, 50 Hz
Ionizing Voltage : 12.5 to 13 KVDC
Collector Cell Voltage : 6 to 6.5 KVDC
Power Consumption : Not more than 50W per cell.
</t>
  </si>
  <si>
    <t>The Scrubber Machines (EAC) shall be of following  duty parameters :</t>
  </si>
  <si>
    <t xml:space="preserve">M/c No              Capacity (CFM)          </t>
  </si>
  <si>
    <t xml:space="preserve">                                                      </t>
  </si>
  <si>
    <t xml:space="preserve">AS-1                 3000          </t>
  </si>
  <si>
    <t>1.1.2</t>
  </si>
  <si>
    <r>
      <rPr>
        <sz val="12"/>
        <rFont val="Calibri"/>
        <family val="2"/>
      </rPr>
      <t xml:space="preserve">Supply, installation, testing and commissioning of single  width single </t>
    </r>
    <r>
      <rPr>
        <b/>
        <sz val="12"/>
        <rFont val="Calibri"/>
        <family val="2"/>
      </rPr>
      <t>inlet class I centrifugal fans</t>
    </r>
    <r>
      <rPr>
        <sz val="12"/>
        <rFont val="Calibri"/>
        <family val="2"/>
      </rPr>
      <t xml:space="preserve"> for ventilation system. Each fan shall be complete with totally enclosed fan cooled motor, belt drive, pulley mounted on motor (IE2) with efficiency ≥60 % &amp; fan shaft, belt guard, motor mount and vibration isolators. The motor shall be suitable for 415±10% volts 3 phase 50 cycles, AC supply. The motor selected shall be energy efficient having efficiency at full load ranging between 82.5% to 92% in accordance with motor rating as per specification. Fan capacities shall be as follows:</t>
    </r>
  </si>
  <si>
    <t>M/c No         Capacity (CFM)           S.P (mm)        Motor (HP)       Area</t>
  </si>
  <si>
    <t xml:space="preserve">AS-1                 3000                        75                   1.5            Kitchen </t>
  </si>
  <si>
    <t>1.1.3</t>
  </si>
  <si>
    <t>Supply, Installation, Testing &amp; Commissioning of  direct driven TUBE/VANE AXIAL FLOW FAN. Vane Axial flow fan for Normal Fresh air supply. Fan motor shall  be suitable for 415 ± 10% volts, 50  cycles, 3 phase power supply with high efficiency, IE-3 type for normal application and fan total efficiency should not be less than 65%. The fan shall be equipped with mounting bracket &amp; spring isolators for the installation of the fans. Fan static pressure shall be as indicated but actual duting &amp; fan static pressure to be checked by vendor. Fan shall be with fire proof flexible connection at inlet and outlet. Noise level for normal application fans shall be less than 70 dbA @1 meter distance. If required, shall be included to meet the desired sound levels. All Fans shall be with back draft damper and cost will be included in the cost.</t>
  </si>
  <si>
    <t>Description               CFM            ESP (mm.of wg)            Suggested Motor kW</t>
  </si>
  <si>
    <t>Kitchen Fresh Air      1500                   40                             0.75</t>
  </si>
  <si>
    <r>
      <rPr>
        <sz val="12"/>
        <rFont val="Calibri"/>
        <family val="2"/>
      </rPr>
      <t>Supply,  installation and testing of</t>
    </r>
    <r>
      <rPr>
        <b/>
        <sz val="12"/>
        <rFont val="Calibri"/>
        <family val="2"/>
      </rPr>
      <t xml:space="preserve"> SITE Fabricated GI sheet metal ducts as per IS-655 Standard </t>
    </r>
    <r>
      <rPr>
        <sz val="12"/>
        <rFont val="Calibri"/>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Note:Note:All kitchen exhaust duct shall be painted with fire rated paint tested by CBRI &amp; BS 476 part 6,7,20&amp;24.</t>
    </r>
  </si>
  <si>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</si>
  <si>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RM</t>
  </si>
  <si>
    <t>2.7.1</t>
  </si>
  <si>
    <t>THERMAL INSULATION OF DUCTS-(FOR AIR SCRUBBER DUCT)</t>
  </si>
  <si>
    <t>(Using Factory Laminated fibre glass insulation)</t>
  </si>
  <si>
    <t xml:space="preserve">Supply  and  Application  of  external thermal insulation  of  ducting using aluminium foil faced fibre glass insulation of density not less than 24Kg/CuM and aluminium foil thickness of 22 microns as per the specifications and drawings. </t>
  </si>
  <si>
    <t xml:space="preserve">25mm  thick </t>
  </si>
  <si>
    <t xml:space="preserve">50mm  thick </t>
  </si>
  <si>
    <t>2.7.2</t>
  </si>
  <si>
    <t xml:space="preserve">THERMAL INSULATION OF DUCTS-(FOR AIR SCRUBBER DUCT) - EXPOSED </t>
  </si>
  <si>
    <t xml:space="preserve">Supply  and  Application  of  external thermal insulation  of  ducting using aluminium foil faced fibre glass insulation of density not less than 24Kg/CuM and aluminium foil thickness of 22 microns as per the specifications and drawings. Insulation shall be covered necessary glass cloth &amp; UV protection paint. </t>
  </si>
  <si>
    <t xml:space="preserve">25mm thick </t>
  </si>
  <si>
    <t xml:space="preserve">50mm thick </t>
  </si>
  <si>
    <t>2.7.3</t>
  </si>
  <si>
    <t>THERMAL INSULATION FOR EXPOSED DUCTS-AIR WASHER DUCT</t>
  </si>
  <si>
    <r>
      <rPr>
        <sz val="12"/>
        <rFont val="Calibri"/>
        <family val="2"/>
      </rPr>
      <t>Supply  and  Application  of  external thermal insulation  of supply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necessary glass cloth &amp; UV protection paint for ducts exposed  to atmosphere as per specifications.</t>
    </r>
  </si>
  <si>
    <t xml:space="preserve">19mm thick </t>
  </si>
  <si>
    <t>2.7.4</t>
  </si>
  <si>
    <t>THERMAL INSULATION FOR DUCTWORK-AIR WASHER DUCT IN AC AREA</t>
  </si>
  <si>
    <r>
      <rPr>
        <sz val="12"/>
        <rFont val="Calibri"/>
        <family val="2"/>
      </rPr>
      <t>Supply  and  Application  of  external thermal insulation  of supply /return air ducting using</t>
    </r>
    <r>
      <rPr>
        <b/>
        <sz val="12"/>
        <rFont val="Calibri"/>
        <family val="2"/>
      </rPr>
      <t xml:space="preserve"> closed cell elastomeric nitrile rubber insulation with class 'O' fire retardant properties</t>
    </r>
    <r>
      <rPr>
        <sz val="12"/>
        <rFont val="Calibri"/>
        <family val="2"/>
      </rPr>
      <t xml:space="preserve"> as per the specifications and  drawings.  Quoted price shall be inclusive of adhesive, tapes as per specification. insulation shall be provided with aluminium foil, factory laminated.</t>
    </r>
  </si>
  <si>
    <t xml:space="preserve"> TOTAL ITEM NO. 2 (AIR DISTRIBUTION)</t>
  </si>
  <si>
    <t xml:space="preserve">ELECTRICAL WORKS </t>
  </si>
  <si>
    <t>VENTILATION FAN PANELS</t>
  </si>
  <si>
    <t>Design, manufacture, supply, installation, testing and commissioning of the following cubicle type, dead front, sheet steel, wall mounted control panels, including anchoring into the wall. Incoming wiring terminating into MCCB and G.I. earthing, in each panel shall be provided by the electrical contractor.
All outgoing shall be provided with Stop /Manual /Auto selector switch to facilitate operation through BAS. All starters shall be provided with potential free Contact for Connections to Building Automation System.</t>
  </si>
  <si>
    <t>The panel shall include the following components &amp; accessories.</t>
  </si>
  <si>
    <t>MCCB/MCB as per the ratings given below, suitable for motor duty and able to withstand fault level of  20 KA.</t>
  </si>
  <si>
    <t>DOL / SD starter as per HP ratings given.</t>
  </si>
  <si>
    <t>Terminal block for power distribution as required.</t>
  </si>
  <si>
    <t>Contactor, over load relay with built in single phasing protection.</t>
  </si>
  <si>
    <t>Phase indicating lights and indicating light for ON/ Trip status &amp; ON/ Off push button.</t>
  </si>
  <si>
    <t>144 mm x 144 mm voltmeter and digital ammeter.</t>
  </si>
  <si>
    <t>Time delay relay for delayed automatic restart of motor.</t>
  </si>
  <si>
    <t>Wiring for microswitch for stopping the fan.</t>
  </si>
  <si>
    <t>For on/off/remote and local operation, 3 pole single throw switch shall be provided in each panel to facilitate override of the automatic operation.</t>
  </si>
  <si>
    <t>All starters shall be provided with suitable potential free contract for connections to the Building Automation System.</t>
  </si>
  <si>
    <t>All Cable trays shall be MS Powder coated and Conduits shall be MS.</t>
  </si>
  <si>
    <t>The number of control panels shall be as follows.</t>
  </si>
  <si>
    <t>3.1.2</t>
  </si>
  <si>
    <t>KVF PANEL (Location: Terrace IP 65)</t>
  </si>
  <si>
    <t>For Scrubber, 1.5KW</t>
  </si>
  <si>
    <t>Suitable rating MPCB along with 1.5 HP DOL  starter</t>
  </si>
  <si>
    <t xml:space="preserve">1 No. 25 Amp single Phase switch socket &amp; control Cable for interlocking  between  scrubber &amp; fan shall be included. </t>
  </si>
  <si>
    <t>3.1.3</t>
  </si>
  <si>
    <t xml:space="preserve">Suitable Rating TP MPCB for 0.75 kW DOL Starter </t>
  </si>
  <si>
    <t xml:space="preserve">CABLING  </t>
  </si>
  <si>
    <t>3.2.1</t>
  </si>
  <si>
    <t>Supply,   laying,   affecting    connections   and Testing   of   the   following   sizes  of   1.1 KV armoured   PVC   insulated  aluminium/  copper conductor cables.  Cables shall be inclusive of all clamps, saddles, screws, cable identification tags, cable terminal  joints  including  terminal lugs,   insulating   tapes,    affecting   terminal connections  to   the    equipment  as   per the specifications and as required. Quoted price shall be inclusive of perforated duly painted 2mm thick MS trays to be installed inside and  GI trays to be installed outside exposed and 8SWG copper earth wire for all equipment except chillers for which 32mmx6mm GI strip shall be used. All cables shall be LSHF type.</t>
  </si>
  <si>
    <t>3 C   x   6   Sqmm  cable (Copper)</t>
  </si>
  <si>
    <t>3 C   x  4   Sqmm  cable (Copper)</t>
  </si>
  <si>
    <t>3 C   x  2.5 Sqmm  cable (Copper)</t>
  </si>
  <si>
    <t>3 C  x 2.5 Sqmm  cable( Copper Control cabling)</t>
  </si>
  <si>
    <t>3 C  x 1.5 Sqmm  cable(Copper Control cabling)</t>
  </si>
  <si>
    <t xml:space="preserve">1.1 KV   dielectric     strength  in   front of </t>
  </si>
  <si>
    <t>each panel.</t>
  </si>
  <si>
    <t>TOTAL ITEM NO. 3  (ELECTRICAL)</t>
  </si>
  <si>
    <t>TOTAL "SECTION-B"</t>
  </si>
  <si>
    <t xml:space="preserve">A </t>
  </si>
  <si>
    <t>SANITARY FIXTURES AND FITTINGS</t>
  </si>
  <si>
    <t>Note:</t>
  </si>
  <si>
    <t xml:space="preserve">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 </t>
  </si>
  <si>
    <t>Rates are inclusive of fixing/ work at all the heights, depths and locations within the project premises.</t>
  </si>
  <si>
    <t>Rates are inclusive of fixing/work for underslung plumbing system or embeded piping. Mostly, all the toilets in the residencial units have been designed for under slung piping.</t>
  </si>
  <si>
    <t>Provision of extension piece for final connection of CP fitting shall be supplied and installed by the contractor accordingly (as required)</t>
  </si>
  <si>
    <t>All pressure pipe will be tested on 1.5 times of there working pressure</t>
  </si>
  <si>
    <r>
      <rPr>
        <sz val="12"/>
        <rFont val="Calibri"/>
        <family val="2"/>
      </rPr>
      <t xml:space="preserve">Providing, Supply, installation, testing and commisning of white vitreous china </t>
    </r>
    <r>
      <rPr>
        <b/>
        <sz val="12"/>
        <rFont val="Calibri"/>
        <family val="2"/>
      </rPr>
      <t xml:space="preserve">Wall mounted type "European" water closet </t>
    </r>
    <r>
      <rPr>
        <sz val="12"/>
        <rFont val="Calibri"/>
        <family val="2"/>
      </rPr>
      <t>pan with seat cover, closed coupled dual flush cistern (with all internal moving parts) with PVC heavy duty connectors, bolts, nuts, supporting arrangements, bakelite seat &amp; cover with CP hinges &amp; rubber buffers, P or S trap, connection to main pipe on shaft complete with all accessories including cutting &amp; making good masonry holes/chasing in the walls &amp;  floors wherever required &amp; health faucet with regulator  with  flexible pipe 1.5 m long, wall hooked complete as required, with all required accessories that includes Flush Plate ,bib cock made of CP brass complete as required.</t>
    </r>
  </si>
  <si>
    <t>No.</t>
  </si>
  <si>
    <r>
      <rPr>
        <sz val="12"/>
        <rFont val="Calibri"/>
        <family val="2"/>
      </rPr>
      <t xml:space="preserve">Providing, Supply, installation, testing and commisning of white vitreous china </t>
    </r>
    <r>
      <rPr>
        <b/>
        <sz val="12"/>
        <rFont val="Calibri"/>
        <family val="2"/>
      </rPr>
      <t xml:space="preserve">"Floor mounted" type Composite Water closet </t>
    </r>
    <r>
      <rPr>
        <sz val="12"/>
        <rFont val="Calibri"/>
        <family val="2"/>
      </rPr>
      <t xml:space="preserve">(European type W.C. pan) with seat and lid, including with white Vitreous Chinaware matching Cistern complete with all accessories , also including with matching  W.C. Pan with ISI marked white/Black solid plastic seat and Lid.Details of COST of one Pan composite with Cistern, Flush Pipe,  EWC &amp; Cistern complete with Fittings &amp; Seat Cover,and one no. of Faucet for WB,with all required accessories that includes bib cock made of CP brass complete as required. </t>
    </r>
    <r>
      <rPr>
        <b/>
        <sz val="12"/>
        <rFont val="Calibri"/>
        <family val="2"/>
      </rPr>
      <t>(for Handicapped person's Toilet)</t>
    </r>
    <r>
      <rPr>
        <sz val="12"/>
        <rFont val="Calibri"/>
        <family val="2"/>
      </rPr>
      <t xml:space="preserve">
</t>
    </r>
  </si>
  <si>
    <r>
      <rPr>
        <sz val="12"/>
        <rFont val="Calibri"/>
        <family val="2"/>
      </rPr>
      <t xml:space="preserve">Providing and fixing white vitreous china rectangular </t>
    </r>
    <r>
      <rPr>
        <b/>
        <sz val="12"/>
        <rFont val="Calibri"/>
        <family val="2"/>
      </rPr>
      <t xml:space="preserve">Half pedestal Wash Basin </t>
    </r>
    <r>
      <rPr>
        <sz val="12"/>
        <rFont val="Calibri"/>
        <family val="2"/>
      </rPr>
      <t xml:space="preserve">&amp; its accessories etc, also with all fittings and fixtures complete including cutting and making good the walls and floors wherever required. </t>
    </r>
    <r>
      <rPr>
        <b/>
        <sz val="12"/>
        <rFont val="Calibri"/>
        <family val="2"/>
      </rPr>
      <t>(for Handicapped person's Toilet)</t>
    </r>
    <r>
      <rPr>
        <sz val="12"/>
        <rFont val="Calibri"/>
        <family val="2"/>
      </rPr>
      <t xml:space="preserve"> (colour- Star White)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</si>
  <si>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 xml:space="preserve">Providing, Supply, installation, testing and commisning of  15 mm dia C.P. brass </t>
    </r>
    <r>
      <rPr>
        <b/>
        <sz val="12"/>
        <rFont val="Calibri"/>
        <family val="2"/>
      </rPr>
      <t>basin mixer top mounted</t>
    </r>
    <r>
      <rPr>
        <sz val="12"/>
        <rFont val="Calibri"/>
        <family val="2"/>
      </rPr>
      <t xml:space="preserve"> with C.P. wall flange of approved quality</t>
    </r>
  </si>
  <si>
    <r>
      <rPr>
        <sz val="12"/>
        <rFont val="Calibri"/>
        <family val="2"/>
      </rPr>
      <t xml:space="preserve">Providing, Supply, installation, testing and commisning of  CP </t>
    </r>
    <r>
      <rPr>
        <b/>
        <sz val="12"/>
        <rFont val="Calibri"/>
        <family val="2"/>
      </rPr>
      <t>Grab Bar swing type</t>
    </r>
    <r>
      <rPr>
        <sz val="12"/>
        <rFont val="Calibri"/>
        <family val="2"/>
      </rPr>
      <t xml:space="preserve"> (in horizontal &amp; vertical grabbing) &amp; Grab rails 60 cm, complete including cutting and making good the walls, wherever required. </t>
    </r>
  </si>
  <si>
    <r>
      <rPr>
        <sz val="12"/>
        <rFont val="Calibri"/>
        <family val="2"/>
      </rPr>
      <t xml:space="preserve">Providing, Supply, installation, testing and commisning of  CP </t>
    </r>
    <r>
      <rPr>
        <b/>
        <sz val="12"/>
        <rFont val="Calibri"/>
        <family val="2"/>
      </rPr>
      <t>Grab rails</t>
    </r>
    <r>
      <rPr>
        <sz val="12"/>
        <rFont val="Calibri"/>
        <family val="2"/>
      </rPr>
      <t xml:space="preserve"> 60 cm, complete including cutting and making good the walls, wherever required. </t>
    </r>
  </si>
  <si>
    <r>
      <rPr>
        <sz val="12"/>
        <rFont val="Calibri"/>
        <family val="2"/>
      </rPr>
      <t xml:space="preserve">Providing, Supply, installation, testing and commisning of C.P. </t>
    </r>
    <r>
      <rPr>
        <b/>
        <sz val="12"/>
        <rFont val="Calibri"/>
        <family val="2"/>
      </rPr>
      <t>toilet paper holder</t>
    </r>
    <r>
      <rPr>
        <sz val="12"/>
        <rFont val="Calibri"/>
        <family val="2"/>
      </rPr>
      <t xml:space="preserve"> with roller, with C.P brass screws, complete including cutting and making good the walls wherever required.</t>
    </r>
  </si>
  <si>
    <r>
      <rPr>
        <sz val="12"/>
        <rFont val="Calibri"/>
        <family val="2"/>
      </rPr>
      <t xml:space="preserve">Providing, Supply, installation, testing and commisning of C.P. brass </t>
    </r>
    <r>
      <rPr>
        <b/>
        <sz val="12"/>
        <rFont val="Calibri"/>
        <family val="2"/>
      </rPr>
      <t xml:space="preserve">double towel rack </t>
    </r>
    <r>
      <rPr>
        <sz val="12"/>
        <rFont val="Calibri"/>
        <family val="2"/>
      </rPr>
      <t xml:space="preserve">100mm wide and 600 long fixed  with C.P. brass screws including cutting and making good the walls wherever required. </t>
    </r>
  </si>
  <si>
    <r>
      <rPr>
        <sz val="12"/>
        <rFont val="Calibri"/>
        <family val="2"/>
      </rPr>
      <t>Providing, Supply, installation, testing and commisning of C.P twin</t>
    </r>
    <r>
      <rPr>
        <b/>
        <sz val="12"/>
        <rFont val="Calibri"/>
        <family val="2"/>
      </rPr>
      <t xml:space="preserve"> Robt hook</t>
    </r>
    <r>
      <rPr>
        <sz val="12"/>
        <rFont val="Calibri"/>
        <family val="2"/>
      </rPr>
      <t xml:space="preserve">, fixed to wooden cleats with C.P. brass screws including cutting and making good the walls wherever required. </t>
    </r>
  </si>
  <si>
    <r>
      <rPr>
        <sz val="12"/>
        <rFont val="Calibri"/>
        <family val="2"/>
      </rPr>
      <t>Providing, Supply, installation, testing and commisning of Twin manual 0.5 liter</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</si>
  <si>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Providing, Supply, installation, testing and commisning of Automatic</t>
    </r>
    <r>
      <rPr>
        <b/>
        <sz val="12"/>
        <rFont val="Calibri"/>
        <family val="2"/>
      </rPr>
      <t xml:space="preserve"> liquid soap dispenser</t>
    </r>
    <r>
      <rPr>
        <sz val="12"/>
        <rFont val="Calibri"/>
        <family val="2"/>
      </rPr>
      <t xml:space="preserve"> with simple push lever fitted with liquid soap (one time),C.P. brass screws including cutting and making good the walls wherever required. </t>
    </r>
  </si>
  <si>
    <r>
      <rPr>
        <sz val="12"/>
        <rFont val="Calibri"/>
        <family val="2"/>
      </rPr>
      <t xml:space="preserve">Providing, Supply, installation, testing and commisning of </t>
    </r>
    <r>
      <rPr>
        <b/>
        <sz val="12"/>
        <rFont val="Calibri"/>
        <family val="2"/>
      </rPr>
      <t>SS Baby Diaper changing station</t>
    </r>
    <r>
      <rPr>
        <sz val="12"/>
        <rFont val="Calibri"/>
        <family val="2"/>
      </rPr>
      <t xml:space="preserve"> with all its accessories and components</t>
    </r>
  </si>
  <si>
    <r>
      <rPr>
        <sz val="12"/>
        <rFont val="Calibri"/>
        <family val="2"/>
      </rPr>
      <t xml:space="preserve">Providing, Supply, installation, testing and commisning of </t>
    </r>
    <r>
      <rPr>
        <b/>
        <sz val="12"/>
        <rFont val="Calibri"/>
        <family val="2"/>
      </rPr>
      <t>SS 204 Grade Bin</t>
    </r>
  </si>
  <si>
    <r>
      <rPr>
        <sz val="12"/>
        <rFont val="Calibri"/>
        <family val="2"/>
      </rPr>
      <t xml:space="preserve">Providing, Supply, installation, testing and commisning of C.P. </t>
    </r>
    <r>
      <rPr>
        <b/>
        <sz val="12"/>
        <rFont val="Calibri"/>
        <family val="2"/>
      </rPr>
      <t>Paper Towel Dispenser</t>
    </r>
    <r>
      <rPr>
        <sz val="12"/>
        <rFont val="Calibri"/>
        <family val="2"/>
      </rPr>
      <t xml:space="preserve">,with C.P brass screws, complete including cutting and making good the walls wherever required. </t>
    </r>
  </si>
  <si>
    <r>
      <rPr>
        <sz val="12"/>
        <rFont val="Calibri"/>
        <family val="2"/>
      </rPr>
      <t xml:space="preserve">Providing and fixing white vitreous china </t>
    </r>
    <r>
      <rPr>
        <b/>
        <sz val="12"/>
        <rFont val="Calibri"/>
        <family val="2"/>
      </rPr>
      <t>rectangular wash basin under / over counter mounting</t>
    </r>
    <r>
      <rPr>
        <sz val="12"/>
        <rFont val="Calibri"/>
        <family val="2"/>
      </rPr>
      <t xml:space="preserve">, specially fabricated brackets to support the wash basin as per standard practice, painted white, 32mm C.P. waste coupling, 32mm dia C.P. bottle trap and connection pipe upto wall with wall flange and rubber adopter for waste connection, complete including cutting and making good the walls, wherever required.  </t>
    </r>
  </si>
  <si>
    <r>
      <rPr>
        <sz val="12"/>
        <rFont val="Calibri"/>
        <family val="2"/>
      </rPr>
      <t>Providing, Supply, installation, testing and commisning of</t>
    </r>
    <r>
      <rPr>
        <b/>
        <sz val="12"/>
        <rFont val="Calibri"/>
        <family val="2"/>
      </rPr>
      <t xml:space="preserve"> Rain shower</t>
    </r>
    <r>
      <rPr>
        <sz val="12"/>
        <rFont val="Calibri"/>
        <family val="2"/>
      </rPr>
      <t xml:space="preserve"> and total rain shower assembly including Concealed stop cock, long body bib cock &amp; short body bib cock  including wall chasing  etc complete in toilet,with all required accessories for shower.</t>
    </r>
  </si>
  <si>
    <r>
      <rPr>
        <sz val="12"/>
        <rFont val="Calibri"/>
        <family val="2"/>
      </rPr>
      <t xml:space="preserve">Providing, Supply, installation,testing and commissioning of </t>
    </r>
    <r>
      <rPr>
        <b/>
        <sz val="12"/>
        <rFont val="Calibri"/>
        <family val="2"/>
      </rPr>
      <t>Stainless steel shower drain</t>
    </r>
    <r>
      <rPr>
        <sz val="12"/>
        <rFont val="Calibri"/>
        <family val="2"/>
      </rPr>
      <t xml:space="preserve"> channel 100 mm wide 800 mm length (max.) suitable to connect 50 mm drain outlet.</t>
    </r>
  </si>
  <si>
    <t xml:space="preserve">No </t>
  </si>
  <si>
    <r>
      <rPr>
        <sz val="12"/>
        <rFont val="Calibri"/>
        <family val="2"/>
      </rPr>
      <t>Providing, fixing, testing and commissioning of white viterous china</t>
    </r>
    <r>
      <rPr>
        <b/>
        <sz val="12"/>
        <rFont val="Calibri"/>
        <family val="2"/>
      </rPr>
      <t xml:space="preserve"> large flat back / half stall urinal</t>
    </r>
    <r>
      <rPr>
        <sz val="12"/>
        <rFont val="Calibri"/>
        <family val="2"/>
      </rPr>
      <t xml:space="preserve"> supported by CI / MS bracket (duly painted with 2 coats of paints over a coat of primer), including CP brass waste with dome type grating, CP cast brass bottle trap with extension piece, wall flanges complete with all accessories &amp; urinal partition with concealed CI bracket, cutting and making good, Including battery operated sensor based automatic flushing system for urinals, including  sensor and required electrical and water connections etc, complete in all respect to make it fully functional including cutting and making good the walls etc. </t>
    </r>
  </si>
  <si>
    <r>
      <rPr>
        <sz val="12"/>
        <rFont val="Calibri"/>
        <family val="2"/>
      </rPr>
      <t xml:space="preserve">Providing, Supply, installation, testing and commissioning of Stainless steel sink  </t>
    </r>
    <r>
      <rPr>
        <b/>
        <sz val="12"/>
        <rFont val="Calibri"/>
        <family val="2"/>
      </rPr>
      <t>304 Grade SS, Matt Finish medium size (220X440X200)</t>
    </r>
    <r>
      <rPr>
        <sz val="12"/>
        <rFont val="Calibri"/>
        <family val="2"/>
      </rPr>
      <t xml:space="preserve"> supported by CI / MS Brackets duly painted, CP cast brass bottle trap with extension piece, rubber adaptor, CP copper connecting pipes, wall flange, union, CP brass chain, rubber plug, nuts, washers, waste connection complete &amp; making good the walls, floor wherever required.</t>
    </r>
  </si>
  <si>
    <r>
      <rPr>
        <sz val="12"/>
        <rFont val="Calibri"/>
        <family val="2"/>
      </rPr>
      <t xml:space="preserve">Providing, Supply, installation, testing and commisning of  15 mm dia C.P. brass with </t>
    </r>
    <r>
      <rPr>
        <b/>
        <sz val="12"/>
        <rFont val="Calibri"/>
        <family val="2"/>
      </rPr>
      <t>dual lever  faucet</t>
    </r>
    <r>
      <rPr>
        <sz val="12"/>
        <rFont val="Calibri"/>
        <family val="2"/>
      </rPr>
      <t xml:space="preserve"> with C.P. wall flange of approved quality</t>
    </r>
  </si>
  <si>
    <t>Providing, Supply, installation, testing and commisning of  C.P. brass angle valve with C.P. wall flange, Nut and Washer etc. complete as required for 15 mm &amp; 20 mm dia</t>
  </si>
  <si>
    <t>Providing, Supply, installation, testing and commisning of  15 mm dia C.P. brass bib cock with C.P. wall flange of approved quality</t>
  </si>
  <si>
    <t>Providing, Supply, installation,testing and commissioning of Stainless steel sink  (Single bowl with drainboard sink) 304 Grade SS,Matt Finish medium size 1000 X 500MM) supported by CI / MS Brackets duly painted, CP cast brass bottle trap with extension piece, rubber adaptor, CP copper connecting pipes, wall flange, union, CP brass chain, rubber plug, nuts, washers, waste connection complete &amp; making good the walls, floor wherever required.</t>
  </si>
  <si>
    <t>Providing, Supply, installation, testing and commisning of  15 mm dia C.P. brass sink mixer (wall mounted ) with 150 MM swivel spout, with C.P. wall flange of approved quality</t>
  </si>
  <si>
    <t xml:space="preserve">Providing, Supply, installation,testing and commissioning of High Speed hand dryer suitable to be operated with 230 volts, single phase, with fully hygienic operations with all accessories including cutting and making good the walls, wherever required. </t>
  </si>
  <si>
    <t>Providing and fixing CP Brass 32mm size Bottle Trap of approved quality &amp; make and as per the direction of Engineer-in-charge.</t>
  </si>
  <si>
    <t>Providing, Structural steel members in position at all levels and at all heights as specified in the drawings made out of standard MS sections consisting of MS angles, ISMC, ISMB conforming to local &amp; international standards Cost to include fabricating necessary Gusset Plates, Stiffener plates, Brackets, Bolts, Cleats, seating angles etc., to the required size, shape, alignment etc, as per the drawings. Cost to include welding of members using structural steel welding electrodes as per ocal &amp; international standards , necessary equipments, tools and tackles, staging, scaffolding required etc.,complete. including a coat of zinc chromate primer.</t>
  </si>
  <si>
    <t>R/O</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</si>
  <si>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</si>
  <si>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</si>
  <si>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t xml:space="preserve">15 mm dia </t>
  </si>
  <si>
    <t xml:space="preserve">20 mm dia </t>
  </si>
  <si>
    <t xml:space="preserve">25 mm dia </t>
  </si>
  <si>
    <t xml:space="preserve">32 mm dia </t>
  </si>
  <si>
    <t xml:space="preserve">40 mm dia </t>
  </si>
  <si>
    <t xml:space="preserve">50 mm dia </t>
  </si>
  <si>
    <t xml:space="preserve">65 mm dia </t>
  </si>
  <si>
    <t xml:space="preserve">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</si>
  <si>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</si>
  <si>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Providing  &amp;  fixing  full way lever operated forged brass ball valve of brass body with forged brass hard chromeplated steel ball tested to a pressure not less than 15 Kg / sqcm with threaded / flanged joints complete with nuts, bolts, gaskets, washers etc.</t>
  </si>
  <si>
    <t>20 mm dia</t>
  </si>
  <si>
    <t>25 mm dia</t>
  </si>
  <si>
    <t>32 mm dia</t>
  </si>
  <si>
    <t>40 mm dia</t>
  </si>
  <si>
    <t>Providing &amp; fixing of butterfly valve (PN 16) with flanges, nut bolts, gaskets and necessary pad locking arrangement  complete required.</t>
  </si>
  <si>
    <t>50 mm dia</t>
  </si>
  <si>
    <t>65 mm dia</t>
  </si>
  <si>
    <t xml:space="preserve">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</si>
  <si>
    <t>25 mm thick mineral wool insulation (15 mm dia)</t>
  </si>
  <si>
    <t>25 mm thick mineral wool insulation (20 mm dia)</t>
  </si>
  <si>
    <t>25 mm thick mineral wool insulation (25 mm dia)</t>
  </si>
  <si>
    <t>25 mm thick mineral wool insulation (32 mm dia)</t>
  </si>
  <si>
    <t>25 mm thick mineral wool insulation (40 mm dia)</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</si>
  <si>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</si>
  <si>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 xml:space="preserve">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 </t>
  </si>
  <si>
    <t>110 mm dia</t>
  </si>
  <si>
    <t>75 mm dia</t>
  </si>
  <si>
    <t>Providing, fixing, jointing, testing and commissioning UPVC (Class III) Rain water downtake pipe conforming to IS:4985 cut to required lengths including all necessary fittings and specials.UPVC fittings (moulded as well as fabricated) like bends, tees, Y-tees, crosses, boss connections, access pieces, saddle pieces, cleanouts, adaptors for connections to other materials, plugs, reducers, cowls, offsets and other specials. Fixing at wall/ceiling level supported by galvanized steel clamps &amp; hangers etc. Making proper connection with cement solvent joint as per BIS / manufacturer. Cutting, chases / holes in floors / walls / slab and making good wherever required. (All major MS  structure to hold the stack with fixing including anchor fasteners,sand,cement etc is included in this  item).</t>
  </si>
  <si>
    <t>110 mm dia.</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</si>
  <si>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</si>
  <si>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110 mm inlet and 75 mm outlet.</t>
  </si>
  <si>
    <t>Providing and fixing of UPVC Urinal Traps formed out of bore 'P' trap with 50 mm water seal, setting in 1:2:4 mix cement concrete block or clamping to the wall or suspending with the ceiling including cutting and making good the walls and floors wherever required, With SS grating with Cockroach proof SS strainer of approved design including setting in floor with cement motor to match with floor finish as per architect requirement suitable for waster U.T.</t>
  </si>
  <si>
    <t>110 mm inlet and 110 mm outlet.</t>
  </si>
  <si>
    <t>Providing and fixing clean out/floor clean out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</si>
  <si>
    <t>Providing and fixing floor drain made out of 110x75 mm OD uPVC. elbow connected to uPVC pipe complete as per direction of Project Manager.</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</si>
  <si>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</si>
  <si>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</si>
  <si>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</si>
  <si>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For Sprinkler system - MS `C' Heavy class pipe</t>
  </si>
  <si>
    <t>Ground Floor</t>
  </si>
  <si>
    <t>80 mm dia</t>
  </si>
  <si>
    <t>100 mm dia</t>
  </si>
  <si>
    <t>150 mm dia</t>
  </si>
  <si>
    <t>Supply, installation, testing and commissioning of brass quartzoid sprinklers (UL approved) of 15 mm dia size, suitable for sustaining the pressure on the seat &amp; water hammer effect. The type &amp; temperature rating shall be as follows :</t>
  </si>
  <si>
    <t>Note : 
i)All sprinkler shall be chrome finish / powder coated. 
ii) Contractor shall ensure provision of sprinkler guard at no additional cost, as required by the Client.</t>
  </si>
  <si>
    <t>Spray recessed (adjustable) rossette (68°C) sprinkler quick response upright type</t>
  </si>
  <si>
    <t>Spray recessed (adjustable) rossette (68°C) sprinkler quick response pendent type</t>
  </si>
  <si>
    <t>Horizontal side wall sprinkler - (68°C) sprinkler quick response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</si>
  <si>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</si>
  <si>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1000mm</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</si>
  <si>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</si>
  <si>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Capacity 6 Kg.</t>
  </si>
  <si>
    <t>Providing and fixing CO2 type cylindrical shape fire extinguisher with fixing hangers, hose, brackets, screws to required size etc.complete as per IS:15683:2006 - wall mounted type.</t>
  </si>
  <si>
    <t>Capacity 4.5 Kg.</t>
  </si>
  <si>
    <t xml:space="preserve">Supply, installation, testing and commissioning of forged brass ball valve with forged brass ball (suitable for test pressure of not less than 15 Kg /sq.cm of the following size including providing necessary union / flange. </t>
  </si>
  <si>
    <t>Providing &amp; fixing flow switch in following sizes M.S. pipe including connection etc as required.</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</si>
  <si>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</si>
  <si>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Supplying,fixing and commissioning of 63 mm dia, 30 m long RRL hose pipe with 63 mm dia male and female couplings duly bound with GI wire, rivets etc. conforming to IS 636 (type-A)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</si>
  <si>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</si>
  <si>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Supplying &amp; fixing 63 mm dia gun metal short branch pipe with 20 mm nominal internal diameter size nozzle conforming to IS 903 suitable for instantaneous connection to interconnect hose pipe coupling as required :
Gun metal :-</t>
  </si>
  <si>
    <t>JAIPUR AIRPORT LOUNGE HVAC M.B</t>
  </si>
  <si>
    <t>L-1</t>
  </si>
  <si>
    <t>W-1</t>
  </si>
  <si>
    <t>L-2</t>
  </si>
  <si>
    <t>W-2</t>
  </si>
  <si>
    <t>PARAMETER</t>
  </si>
  <si>
    <t>H-1</t>
  </si>
  <si>
    <t>H-2</t>
  </si>
  <si>
    <t xml:space="preserve">AVERAGE </t>
  </si>
  <si>
    <t>PIECES</t>
  </si>
  <si>
    <t>24 G</t>
  </si>
  <si>
    <t>22 G</t>
  </si>
  <si>
    <t>20 G</t>
  </si>
  <si>
    <t>18 G</t>
  </si>
  <si>
    <t>SUPPLY AIR DUCT</t>
  </si>
  <si>
    <t>X</t>
  </si>
  <si>
    <t xml:space="preserve">FRESH AIR DUCT </t>
  </si>
  <si>
    <t xml:space="preserve">EXHAUST AIR DUCT </t>
  </si>
  <si>
    <t>EXHAUST LINE</t>
  </si>
  <si>
    <t>FRESHAIR LINE</t>
  </si>
  <si>
    <t xml:space="preserve">BRANCHES </t>
  </si>
  <si>
    <t>SUPPLY AIR DUCTING</t>
  </si>
  <si>
    <t>FRESH AIR DUCT</t>
  </si>
  <si>
    <t>Uninstallation</t>
  </si>
  <si>
    <t xml:space="preserve"> INTERNATIONAL CIP  LOUNGE_JAI T1-PHE &amp;FF</t>
  </si>
  <si>
    <t>PHE &amp; FF</t>
  </si>
  <si>
    <r>
      <rPr>
        <sz val="12"/>
        <color theme="1"/>
        <rFont val="Verdana"/>
        <family val="2"/>
      </rPr>
      <t xml:space="preserve">Providing  &amp;  fixing  </t>
    </r>
    <r>
      <rPr>
        <sz val="12"/>
        <rFont val="Verdana"/>
        <family val="2"/>
      </rPr>
      <t>full way</t>
    </r>
    <r>
      <rPr>
        <b/>
        <sz val="12"/>
        <rFont val="Verdana"/>
        <family val="2"/>
      </rPr>
      <t xml:space="preserve"> lever operated forged brass ball valve</t>
    </r>
    <r>
      <rPr>
        <sz val="12"/>
        <rFont val="Verdana"/>
        <family val="2"/>
      </rPr>
      <t xml:space="preserve"> of brass body with forged brass hard chromeplated steel ball tested to a pressure not less than 15 Kg / sqcm with threaded / flanged joints complete with nuts, bolts, gaskets, washers etc.</t>
    </r>
  </si>
  <si>
    <t>15 mm dia</t>
  </si>
  <si>
    <r>
      <rPr>
        <sz val="12"/>
        <color theme="1"/>
        <rFont val="Verdana"/>
        <family val="2"/>
      </rPr>
      <t>Supplying, laying/ fixing, testing and commissioning of following thickness resin bonded fiber glass pipe section</t>
    </r>
    <r>
      <rPr>
        <b/>
        <sz val="12"/>
        <color theme="1"/>
        <rFont val="Verdana"/>
        <family val="2"/>
      </rPr>
      <t xml:space="preserve"> insulation</t>
    </r>
    <r>
      <rPr>
        <sz val="12"/>
        <color theme="1"/>
        <rFont val="Verdana"/>
        <family val="2"/>
      </rPr>
      <t xml:space="preserve">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r>
  </si>
  <si>
    <t>Supply Installation Testing and Commissioning of Horizontal Wall mounted storage type 25 litres Electric water Heater ( Geyser) as per specifications  Inclduing supply and fixing of Anchor fastners, nut bolts, supply of accessories ,modification/rectification of civil works such as plumbing ,wiring etc.if any required to install the Geyser at desired location.</t>
  </si>
  <si>
    <r>
      <rPr>
        <sz val="12"/>
        <color theme="1"/>
        <rFont val="Verdana"/>
        <family val="2"/>
      </rPr>
      <t>Providing and fixing of UPVC</t>
    </r>
    <r>
      <rPr>
        <b/>
        <sz val="12"/>
        <color theme="1"/>
        <rFont val="Verdana"/>
        <family val="2"/>
      </rPr>
      <t xml:space="preserve"> Floor Traps</t>
    </r>
    <r>
      <rPr>
        <sz val="12"/>
        <color theme="1"/>
        <rFont val="Verdana"/>
        <family val="2"/>
      </rPr>
      <t xml:space="preserve"> </t>
    </r>
    <r>
      <rPr>
        <sz val="12"/>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</si>
  <si>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r>
      <rPr>
        <sz val="12"/>
        <color theme="1"/>
        <rFont val="Verdana"/>
        <family val="2"/>
      </rPr>
      <t xml:space="preserve">Providing and fixing </t>
    </r>
    <r>
      <rPr>
        <b/>
        <sz val="12"/>
        <color theme="1"/>
        <rFont val="Verdana"/>
        <family val="2"/>
      </rPr>
      <t>clean out/floor clean out</t>
    </r>
    <r>
      <rPr>
        <sz val="12"/>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</si>
  <si>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r>
      <rPr>
        <sz val="12"/>
        <color theme="1"/>
        <rFont val="Verdana"/>
        <family val="2"/>
      </rPr>
      <t xml:space="preserve">Spray recessed (adjustable) rossette (68°C) </t>
    </r>
    <r>
      <rPr>
        <b/>
        <sz val="12"/>
        <color theme="1"/>
        <rFont val="Verdana"/>
        <family val="2"/>
      </rPr>
      <t>sprinkler quick response upright type</t>
    </r>
  </si>
  <si>
    <r>
      <rPr>
        <sz val="12"/>
        <color theme="1"/>
        <rFont val="Verdana"/>
        <family val="2"/>
      </rPr>
      <t xml:space="preserve">Spray recessed (adjustable) rossette (68°C) </t>
    </r>
    <r>
      <rPr>
        <b/>
        <sz val="12"/>
        <color theme="1"/>
        <rFont val="Verdana"/>
        <family val="2"/>
      </rPr>
      <t>sprinkler quick response pendent type</t>
    </r>
  </si>
  <si>
    <r>
      <rPr>
        <sz val="12"/>
        <color theme="1"/>
        <rFont val="Verdana"/>
        <family val="2"/>
      </rPr>
      <t xml:space="preserve">Providing and fixing fully charged  </t>
    </r>
    <r>
      <rPr>
        <b/>
        <sz val="12"/>
        <color theme="1"/>
        <rFont val="Verdana"/>
        <family val="2"/>
      </rPr>
      <t>ABC powder type</t>
    </r>
    <r>
      <rPr>
        <sz val="12"/>
        <color theme="1"/>
        <rFont val="Verdana"/>
        <family val="2"/>
      </rPr>
      <t xml:space="preserve"> (Mono-Ammonium Phosphate - MAP 90) portable fire extinguishers   conforming to IS:15683, fixed to wall with brackets complete with initial charge. (Note: The cost for stand of fire extinguisher shall be included in this rate)</t>
    </r>
  </si>
  <si>
    <r>
      <rPr>
        <sz val="12"/>
        <color theme="1"/>
        <rFont val="Verdana"/>
        <family val="2"/>
      </rPr>
      <t>Providing and fixing</t>
    </r>
    <r>
      <rPr>
        <b/>
        <sz val="12"/>
        <color theme="1"/>
        <rFont val="Verdana"/>
        <family val="2"/>
      </rPr>
      <t xml:space="preserve"> CO2 type</t>
    </r>
    <r>
      <rPr>
        <sz val="12"/>
        <color theme="1"/>
        <rFont val="Verdana"/>
        <family val="2"/>
      </rPr>
      <t xml:space="preserve"> cylindrical shape fire extinguisher with fixing hangers, hose, brackets, screws to required size etc.complete as per IS:15683:2006 - wall mounted type.</t>
    </r>
  </si>
  <si>
    <t>NON TENDERED  ITEMS</t>
  </si>
  <si>
    <r>
      <rPr>
        <sz val="12"/>
        <color theme="1"/>
        <rFont val="Verdana"/>
        <family val="2"/>
      </rPr>
      <t xml:space="preserve">Providing and fixing of clean out chambers </t>
    </r>
    <r>
      <rPr>
        <sz val="12"/>
        <rFont val="Verdana"/>
        <family val="2"/>
      </rPr>
      <t xml:space="preserve">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</si>
  <si>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t xml:space="preserve">1'x1' SIZE </t>
  </si>
  <si>
    <t xml:space="preserve">Providing &amp; fixing of PRESSURE GUAGE in FF line as required by EIC </t>
  </si>
  <si>
    <t>JAIPUR AIRPORT (PHE &amp; FF M.B SHEET)</t>
  </si>
  <si>
    <t>`</t>
  </si>
  <si>
    <t>NOS</t>
  </si>
  <si>
    <t>Oven wall hot and cold pipe</t>
  </si>
  <si>
    <t>Oven wall for equipment pipe connection</t>
  </si>
  <si>
    <t>Basin wall hot and cold pipe</t>
  </si>
  <si>
    <t>Oven, Basin and eqiupment connection</t>
  </si>
  <si>
    <t xml:space="preserve">Main pipe line connection </t>
  </si>
  <si>
    <t>Kitchen to basement connection from runway(Airbay side)</t>
  </si>
  <si>
    <t>kitchen area</t>
  </si>
  <si>
    <r>
      <rPr>
        <sz val="10"/>
        <color theme="1"/>
        <rFont val="Verdana"/>
        <family val="2"/>
      </rPr>
      <t>Providing and fixing of UPVC</t>
    </r>
    <r>
      <rPr>
        <b/>
        <sz val="10"/>
        <color theme="1"/>
        <rFont val="Verdana"/>
        <family val="2"/>
      </rPr>
      <t xml:space="preserve"> Floor Traps</t>
    </r>
    <r>
      <rPr>
        <sz val="10"/>
        <color theme="1"/>
        <rFont val="Verdana"/>
        <family val="2"/>
      </rPr>
      <t xml:space="preserve"> </t>
    </r>
    <r>
      <rPr>
        <sz val="10"/>
        <rFont val="Verdana"/>
        <family val="2"/>
      </rPr>
      <t xml:space="preserve">formed out of bore 'P' trap with 50 mm water seal, setting in 1:2:4 mix cement concrete block or clamping to the wall or suspending with the ceiling including cutting and making good the walls and floors wherever required, With </t>
    </r>
    <r>
      <rPr>
        <sz val="10"/>
        <color theme="1"/>
        <rFont val="Verdana"/>
        <family val="2"/>
      </rPr>
      <t>Heavy class SS grating with Cockroach proof SS strainer of approved design including setting in floor with cement motor to match with floor finish as per architect requirement suitable for waster F.D. &amp; F.T.</t>
    </r>
  </si>
  <si>
    <r>
      <rPr>
        <sz val="10"/>
        <color theme="1"/>
        <rFont val="Verdana"/>
        <family val="2"/>
      </rPr>
      <t xml:space="preserve">Providing and fixing </t>
    </r>
    <r>
      <rPr>
        <b/>
        <sz val="10"/>
        <color theme="1"/>
        <rFont val="Verdana"/>
        <family val="2"/>
      </rPr>
      <t>clean out/floor clean out</t>
    </r>
    <r>
      <rPr>
        <sz val="10"/>
        <color theme="1"/>
        <rFont val="Verdana"/>
        <family val="2"/>
      </rPr>
      <t xml:space="preserve">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r>
  </si>
  <si>
    <t>PROJECT : JAIPUR T2 CIP LOUNGE</t>
  </si>
  <si>
    <t>DATE: 08.12.2023</t>
  </si>
  <si>
    <t xml:space="preserve">LIGHTING FIXTURES - ELCTRICAL RAB -01 </t>
  </si>
  <si>
    <t>ITEM DESCRIPTION</t>
  </si>
  <si>
    <t>BOQ QTY.</t>
  </si>
  <si>
    <t xml:space="preserve">NT RATE </t>
  </si>
  <si>
    <t>IMAGES</t>
  </si>
  <si>
    <t>A.</t>
  </si>
  <si>
    <t>LIGHT FITTING</t>
  </si>
  <si>
    <t>Supply, assembling, erection, connecting, testing and commissioning of the following LED light fixtures complete with housing, reflectors, all accessories i.e. copper wound ballast, HPF condensors, starters, holders etc. complete as required</t>
  </si>
  <si>
    <t xml:space="preserve">a) </t>
  </si>
  <si>
    <r>
      <rPr>
        <sz val="10"/>
        <rFont val="Verdana"/>
        <family val="2"/>
      </rPr>
      <t xml:space="preserve">LINOS LED COB DL320905 3W 3K 15D WHT+SLV 
</t>
    </r>
    <r>
      <rPr>
        <b/>
        <i/>
        <sz val="10"/>
        <rFont val="Verdana"/>
        <family val="2"/>
      </rPr>
      <t>(Approved Makes -TISVA(USHA)/ PHILIPS/ WIPRO/ HAVELLS)</t>
    </r>
  </si>
  <si>
    <t xml:space="preserve">b) </t>
  </si>
  <si>
    <r>
      <rPr>
        <sz val="10"/>
        <rFont val="Verdana"/>
        <family val="2"/>
      </rPr>
      <t xml:space="preserve">ORRIN DL75231106 7.5W 4K R 45D WH 
</t>
    </r>
    <r>
      <rPr>
        <b/>
        <i/>
        <sz val="10"/>
        <rFont val="Verdana"/>
        <family val="2"/>
      </rPr>
      <t>(Approved Makes -TISVA(USHA)/ PHILIPS/ WIPRO/ HAVELLS)</t>
    </r>
  </si>
  <si>
    <r>
      <rPr>
        <sz val="10"/>
        <rFont val="Verdana"/>
        <family val="2"/>
      </rPr>
      <t xml:space="preserve">EAGLE LED COB DL DL15312116 15W 4K+ IVEX RING T-HB46366W RR WHT DR  
</t>
    </r>
    <r>
      <rPr>
        <b/>
        <i/>
        <sz val="10"/>
        <rFont val="Verdana"/>
        <family val="2"/>
      </rPr>
      <t>(Approved Makes -TISVA(USHA)/ PHILIPS/ WIPRO/ HAVELLS)</t>
    </r>
  </si>
  <si>
    <r>
      <rPr>
        <sz val="10"/>
        <rFont val="Verdana"/>
        <family val="2"/>
      </rPr>
      <t xml:space="preserve">ASTER PRO LED PNL BP361625D 2X2 36W 65K
</t>
    </r>
    <r>
      <rPr>
        <b/>
        <i/>
        <sz val="10"/>
        <rFont val="Verdana"/>
        <family val="2"/>
      </rPr>
      <t>(Approved Makes -TISVA(USHA)/ PHILIPS/ WIPRO/ HAVELLS)</t>
    </r>
  </si>
  <si>
    <r>
      <rPr>
        <sz val="10"/>
        <rFont val="Verdana"/>
        <family val="2"/>
      </rPr>
      <t xml:space="preserve">TROMPE
SP12149
WATT - 12 x 1.5W= 18W LED (P2 Feature Pendant)
</t>
    </r>
    <r>
      <rPr>
        <b/>
        <i/>
        <sz val="10"/>
        <rFont val="Verdana"/>
        <family val="2"/>
      </rPr>
      <t>Approved Makes-TISVA, TROMPE (USHA)</t>
    </r>
  </si>
  <si>
    <t xml:space="preserve"> 1.5W each LED lamp wattage G4 lamp holder ( Total Wattage- 1.5* 12= 18W) </t>
  </si>
  <si>
    <r>
      <rPr>
        <sz val="10"/>
        <rFont val="Verdana"/>
        <family val="2"/>
      </rPr>
      <t xml:space="preserve">CALLIGO
CG11001
WATT -  11 x 2W LED
</t>
    </r>
    <r>
      <rPr>
        <b/>
        <sz val="10"/>
        <rFont val="Verdana"/>
        <family val="2"/>
      </rPr>
      <t>Approved Makes-TISVA, CALLIGO (USHA)</t>
    </r>
  </si>
  <si>
    <t xml:space="preserve"> 2 W each LED lamp wattage G9 lamp holder ( Total Wattage- 2* 11= 22W) </t>
  </si>
  <si>
    <r>
      <rPr>
        <sz val="10"/>
        <rFont val="Verdana"/>
        <family val="2"/>
      </rPr>
      <t xml:space="preserve">LED STRIP LIGHT 
LS20WD0505D LUME LED SP 05W 4000K (5 Meter roll) + LUME LED Driver A23A24VP1 72W 24V ND P20 </t>
    </r>
    <r>
      <rPr>
        <b/>
        <i/>
        <sz val="10"/>
        <rFont val="Verdana"/>
        <family val="2"/>
      </rPr>
      <t xml:space="preserve">
(Approved Makes -TISVA(USHA)/ PHILIPS/ WIPRO/ HAVELLS)</t>
    </r>
    <r>
      <rPr>
        <sz val="10"/>
        <rFont val="Verdana"/>
        <family val="2"/>
      </rPr>
      <t xml:space="preserve">
</t>
    </r>
  </si>
  <si>
    <t>Feet</t>
  </si>
  <si>
    <t>C.1</t>
  </si>
  <si>
    <t>EXTRA NEW ITEMS AS PER DRAWING CHANGE (NON TENDERED ITEM)</t>
  </si>
  <si>
    <t>H)</t>
  </si>
  <si>
    <t xml:space="preserve">TABLE LAMP COLOR : ROSEGOLD , HAIRLINE </t>
  </si>
  <si>
    <t>TOTAL AMOUNT</t>
  </si>
  <si>
    <t>FURNITURE  WORK  RAB-02</t>
  </si>
  <si>
    <t>S.NO.</t>
  </si>
  <si>
    <t xml:space="preserve">DETAIL </t>
  </si>
  <si>
    <t>CODE</t>
  </si>
  <si>
    <t xml:space="preserve">UNIT </t>
  </si>
  <si>
    <t xml:space="preserve"> BOQ RATE </t>
  </si>
  <si>
    <t xml:space="preserve"> BOQ AMOUNT </t>
  </si>
  <si>
    <t xml:space="preserve">REMARKS </t>
  </si>
  <si>
    <r>
      <rPr>
        <sz val="10"/>
        <rFont val="Arial"/>
        <family val="2"/>
      </rPr>
      <t xml:space="preserve">Providing &amp; supply </t>
    </r>
    <r>
      <rPr>
        <b/>
        <sz val="10"/>
        <rFont val="Arial"/>
        <family val="2"/>
      </rPr>
      <t>SOFACHAIR</t>
    </r>
    <r>
      <rPr>
        <sz val="10"/>
        <rFont val="Arial"/>
        <family val="2"/>
      </rPr>
      <t xml:space="preserve">  as per approved sample ( W 535x D 540 x H 815mm ) </t>
    </r>
    <r>
      <rPr>
        <b/>
        <sz val="10"/>
        <rFont val="Arial"/>
        <family val="2"/>
      </rPr>
      <t>( EXECUTIVE LOUNGE)</t>
    </r>
  </si>
  <si>
    <t>F-01</t>
  </si>
  <si>
    <t>F-02</t>
  </si>
  <si>
    <r>
      <rPr>
        <sz val="10"/>
        <rFont val="Arial"/>
        <family val="2"/>
      </rPr>
      <t xml:space="preserve">Providing &amp; supply ARM Chair as per approved sample ( W 690 x D 640 x H 800mm ) </t>
    </r>
    <r>
      <rPr>
        <b/>
        <sz val="10"/>
        <rFont val="Arial"/>
        <family val="2"/>
      </rPr>
      <t>( PREMIUM LOUNGE)</t>
    </r>
  </si>
  <si>
    <t>F-03</t>
  </si>
  <si>
    <r>
      <rPr>
        <sz val="10"/>
        <rFont val="Arial"/>
        <family val="2"/>
      </rPr>
      <t xml:space="preserve">Providing &amp; supply </t>
    </r>
    <r>
      <rPr>
        <b/>
        <sz val="10"/>
        <rFont val="Arial"/>
        <family val="2"/>
      </rPr>
      <t>ARMCHAIR + OTTOMAN</t>
    </r>
    <r>
      <rPr>
        <sz val="10"/>
        <rFont val="Arial"/>
        <family val="2"/>
      </rPr>
      <t xml:space="preserve"> as per approved sample ( W 640 x D 680 x H 980mm )  </t>
    </r>
    <r>
      <rPr>
        <b/>
        <sz val="10"/>
        <rFont val="Arial"/>
        <family val="2"/>
      </rPr>
      <t>( SPA &amp; QUIET Zone Area )</t>
    </r>
  </si>
  <si>
    <t>F-04</t>
  </si>
  <si>
    <r>
      <rPr>
        <sz val="10"/>
        <rFont val="Arial"/>
        <family val="2"/>
      </rPr>
      <t xml:space="preserve">Providing &amp; supply chair as per approved sample (W 580 x D 630x H 960mm) </t>
    </r>
    <r>
      <rPr>
        <b/>
        <sz val="10"/>
        <rFont val="Arial"/>
        <family val="2"/>
      </rPr>
      <t>( Admin &amp; Reception  Area  )</t>
    </r>
  </si>
  <si>
    <t>F-05</t>
  </si>
  <si>
    <r>
      <rPr>
        <sz val="10"/>
        <rFont val="Arial"/>
        <family val="2"/>
      </rPr>
      <t>Providing &amp; supply</t>
    </r>
    <r>
      <rPr>
        <b/>
        <sz val="10"/>
        <rFont val="Arial"/>
        <family val="2"/>
      </rPr>
      <t xml:space="preserve"> Square Dining Table</t>
    </r>
    <r>
      <rPr>
        <sz val="10"/>
        <rFont val="Arial"/>
        <family val="2"/>
      </rPr>
      <t xml:space="preserve"> as per approved sample (W 600 x D 600 x H 750mm ) </t>
    </r>
    <r>
      <rPr>
        <b/>
        <sz val="10"/>
        <rFont val="Arial"/>
        <family val="2"/>
      </rPr>
      <t>( PREMIUM LOUNGE)</t>
    </r>
  </si>
  <si>
    <t>F-06</t>
  </si>
  <si>
    <t>F-07</t>
  </si>
  <si>
    <r>
      <rPr>
        <sz val="10"/>
        <rFont val="Arial"/>
        <family val="2"/>
      </rPr>
      <t xml:space="preserve">Providing &amp; Supplying </t>
    </r>
    <r>
      <rPr>
        <b/>
        <sz val="10"/>
        <rFont val="Arial"/>
        <family val="2"/>
      </rPr>
      <t xml:space="preserve">AdminTable </t>
    </r>
    <r>
      <rPr>
        <sz val="10"/>
        <rFont val="Arial"/>
        <family val="2"/>
      </rPr>
      <t xml:space="preserve">(2670x600mmxH 750mm) </t>
    </r>
  </si>
  <si>
    <t>F-09</t>
  </si>
  <si>
    <t xml:space="preserve">Providing &amp; Supply mobile pedistal ( 450mm W x 500mm D x 650mm H )  for Admin area finished  in laminate </t>
  </si>
  <si>
    <r>
      <rPr>
        <sz val="10"/>
        <rFont val="Arial"/>
        <family val="2"/>
      </rPr>
      <t xml:space="preserve">Providing Metal Screen as per design of approved sample with cluster of 4 no.s. panels having panel size(1325 x 38 x 2800mm ) of each. </t>
    </r>
    <r>
      <rPr>
        <b/>
        <sz val="10"/>
        <rFont val="Arial"/>
        <family val="2"/>
      </rPr>
      <t>(PREMIUM LOUNGE)</t>
    </r>
  </si>
  <si>
    <t>F-10</t>
  </si>
  <si>
    <r>
      <rPr>
        <sz val="10"/>
        <rFont val="Arial"/>
        <family val="2"/>
      </rPr>
      <t xml:space="preserve">Providing Metal Screen as per design of approved sample with cluster of 4 no.s. panels having panel size(2400 x 38 x 2800mm ) of each. </t>
    </r>
    <r>
      <rPr>
        <b/>
        <sz val="10"/>
        <rFont val="Arial"/>
        <family val="2"/>
      </rPr>
      <t>(PREMIUM LOUNGE)</t>
    </r>
  </si>
  <si>
    <t>F-10.1</t>
  </si>
  <si>
    <t>Total of Furniture Work</t>
  </si>
  <si>
    <t>KINDLY NOTE:</t>
  </si>
  <si>
    <t>All mentioned products to be delivered within 150 days after receipt of order confirmation with  50% advance payment. 25% of the balance payment must be cleared half way through the production time when strucutres are ready at the factory.  Balance  25% (last instalment) to be paid 1 week prior the scheduled dispatch date.</t>
  </si>
  <si>
    <t xml:space="preserve"> Cost of fabric upto Rs. 1000/- included in the BOQ. Any extra cost of fabric shall be borne by the client.</t>
  </si>
  <si>
    <t xml:space="preserve">Providing &amp; supply  Pedestal  as per approved sample (W 300 x D 1200x H 500mm) </t>
  </si>
  <si>
    <t xml:space="preserve">Providing &amp; supply  Pedestal  as per approved sample (W 300 x D 600x H 500mm) </t>
  </si>
  <si>
    <t>F-06.01</t>
  </si>
  <si>
    <t xml:space="preserve">RATE in INR </t>
  </si>
  <si>
    <t xml:space="preserve">AMOUNT in INR </t>
  </si>
  <si>
    <t xml:space="preserve">Dismantling of existing false ceiling work including frame electrical conduits, wiring, DBS, switches, switch boards, sockets , PA system , Speakers  ( 10Speakes approx ) , Lights 2' x 4" , smoke detectorsand ceiling lightsand stacking the serviceable materials at a designated place at our site premises  </t>
  </si>
  <si>
    <t>It has been told by TFS and Adani Team to Remove the excess items from true ceiling so as to make the area workable , reference MOM  Dated 09.09.23</t>
  </si>
  <si>
    <t xml:space="preserve">Dismantling of existing Fire fighting Line of 25 mm , 32mm , 40mm , 50 mm  along with sprinklers and pendent  , including labour cost  for staking material  at our site premises </t>
  </si>
  <si>
    <t>Mtr</t>
  </si>
  <si>
    <t>It has been told by TFS and Adani Team to Remove the existing line which has been obstructing  the routing of FF line as per new layout , reference MOM  Dated 09.09.23</t>
  </si>
  <si>
    <t>Dismantling of existing  Wall cladding of  ACP and aluminum strips including framing and  labour cost  for staking material  to designated place at our site premises (area it rack side wall , kitchen back wall , railing  back side cover , ceiling over railing )</t>
  </si>
  <si>
    <t>It has been told by Adani design Team to Remove the existing ACP required so as to make the area workable , reference MOM  Dated 09.09.23</t>
  </si>
  <si>
    <t xml:space="preserve">Dismantling of existing  ceiling support , tie rods , MS ducting Supports , Gi channels , Squre lights Ms supports etc at our site premises </t>
  </si>
  <si>
    <t>It has been told by Adani design Team to Remove all excess item of true ceiling so as to make the area workable , reference MOM  Dated 09.09.23, 14.09.23</t>
  </si>
  <si>
    <t>Removing teh existing carpet along with base materials if any any disposal of serviceable &amp; un serviceable materials at the respective designated place for final disposal as per directions of Project In Charge complete. (total area 1700 sft)</t>
  </si>
  <si>
    <t>Removed from exisitng floor to make area workable as per GFC</t>
  </si>
  <si>
    <t xml:space="preserve">Dismantling of toilet Duct (8'x 3.') out side  premises of toilet gallery and shifting  upwards to get the ceiling height near reception area including MS support  dismantling and insulation   as instructed by Mr Kalpant and EIC </t>
  </si>
  <si>
    <t xml:space="preserve">This duct is out side our premises ,toilet side  and we have been told to work by Kalpant sir to remove the operational duct in single night and make the HVAC system of  airport operational  within 4 -5 hours   on dated 08 OCT 2023 </t>
  </si>
  <si>
    <t xml:space="preserve">Dismantling of existing stone flooring and disposal of Malwa at the designated place for final disposal as per directions of Project-in-Charge complete including cleaning teh RCC slab top with wire brushes after shifting of all teh materials as per above items. </t>
  </si>
  <si>
    <t>Removal of existing flooring at site to make the area workable at site  as per GFC</t>
  </si>
  <si>
    <t xml:space="preserve">Dismantling of existing SS railing  and removal of railing glass with all accessories  complete in all respect and stacking of material at our site premises </t>
  </si>
  <si>
    <t>It has been told by TFS and Adani  design Team to Remove railing and railing glass to make more space in the lounge , reference MOM  Dated 09.09.23 , 14.09.23  , mail of 08th sep 2023 ( kallol sir )</t>
  </si>
  <si>
    <t xml:space="preserve">Idle Manpower  due to design change and revision in drawings from the period of (1st September 2023 to 10th Oct 2023 ) as per submitted sheet </t>
  </si>
  <si>
    <t>Wages</t>
  </si>
  <si>
    <t xml:space="preserve">Taken wages of idle payment due to design change and revised GFC as intimated  to all stakeholders over mail dated 09 OCT 2023 </t>
  </si>
  <si>
    <t>Fixing and tieing of cable , wires m conduits , IT cable  of IT Rack at 11 ft above ceiling height level of CISF IT rack as directed by EIC (M.S pipe support for wiring L-type frame at marchantise area)</t>
  </si>
  <si>
    <t xml:space="preserve">Bulk of IT rack ( belong to airport CISF and IT Team adani ) wires and conduit lying over  IT Rack and obstructing the ceiling height which need to be dressed again so that we can achieve the ceiling height </t>
  </si>
  <si>
    <t xml:space="preserve">Lobour and trolley trip for Disposal  of  dismantled items , malba , ceiling fixture , ctrical conduits, wiring, DBS, switches, switch boards, sockets , PA system , Speakers  ( 8 Speakes approx ) , Lights 2' x 4" ,SD , 8'x8' platform , railing , glass , ACP , existing MS structure , etc from our site premises to 800 mtr away designated store  area outside airport  </t>
  </si>
  <si>
    <t>Trip</t>
  </si>
  <si>
    <t>Labour and trolley for removal of dismantled items mentioned above and below considered in this item</t>
  </si>
  <si>
    <t>Front side premium longe LCD wall ceiling M.S framing removing and fixing as required.</t>
  </si>
  <si>
    <t xml:space="preserve">E&amp;M REQUIRMENTS </t>
  </si>
  <si>
    <t>FIDS stand fixing for T.V unit</t>
  </si>
  <si>
    <t>Trap door making and fixing runway side, admin room front side premium lounge and marchantise area</t>
  </si>
  <si>
    <t xml:space="preserve">Outer site Premises Work  for installing the scrubber and Fan from GF level to the 4th floor terrace level </t>
  </si>
  <si>
    <t xml:space="preserve">Providing and Fixing of aluminum Scaffolding with platform for area 2625 sft  of size (15'x10'x 70') with support structure of 5'x5'x70' from GF bus gate to 4th floor terrace for exhaust Air and scrubber duct installation on rental basis . Cost including to make other necessary arrangements at bus gate GF to make it  safe as per authorities safety norms </t>
  </si>
  <si>
    <t>Days</t>
  </si>
  <si>
    <t xml:space="preserve">It has been told by TFS and Adani Team to Remove the excess items from true ceiling so as to make the area workable , reference MOM  Dated 09.09.23, 14.09.23, </t>
  </si>
  <si>
    <t xml:space="preserve">Dismantling of existing  Wall cladding of  ACP including framing from 2nd floor to 4th floor till terrace  and  labour cost  for staking material  to designated store  800 Mtr away  outside premises </t>
  </si>
  <si>
    <t xml:space="preserve">Removal and refixing of façade glass  at GF level to make the route of Duct from our primes to 4th Floor terrace  (size 9'x 4')  total in NOS 4 Nos  and place them at GF designated area defined by  airport authorities </t>
  </si>
  <si>
    <t>Dismantling of Air-conditioning existing ducts as new  layout  out side our premises beyond façade glass to make the route for new duct and connect it from new duct, including labour cost  for staking material  to designated store  800 Mtr away  outside premises</t>
  </si>
  <si>
    <t xml:space="preserve">providing and fixing MS stand for Scrabber &amp; Exaust fan at  terrace  </t>
  </si>
  <si>
    <t xml:space="preserve">Requirement given by Kallol Sir </t>
  </si>
  <si>
    <t xml:space="preserve">providing and fixing  Outside premises grid false ceiling of lounge </t>
  </si>
  <si>
    <t xml:space="preserve">Requirment  given by ashutosh Sir </t>
  </si>
  <si>
    <t xml:space="preserve">Plumbing Line outside premises </t>
  </si>
  <si>
    <t xml:space="preserve">Removal of necessary item Support structure , Other line if any , provision in Basement to connect it to basement drain manhole  in shaft to make the route of drain line from GF to basement </t>
  </si>
  <si>
    <t xml:space="preserve">Lot </t>
  </si>
  <si>
    <t xml:space="preserve">Due to design change and site contraints , Adani MEP team told us make the  new route throught shaft and take the drainage line to basment and connect it to nearby drain pot/Manhole </t>
  </si>
  <si>
    <t xml:space="preserve">Dismantling of existing  Wall cladding of  ACP and aluminum strips including framing and  labour cost  for staking material  to designated place at our site premises </t>
  </si>
  <si>
    <t xml:space="preserve">Providing &amp; fixing 3mm thick xxx COLOUR ACP cladded on MS frame work supported with necessory  section as per shown in drawings.Job including fabrication &amp; erection. Rate inclusive of all necessory hardware and fixing with 3M tape and joint filling with silicon, completed as per the details are provided  in drawings or as directed by Architect/Engineer. (Base rate of ACP Rs 400 per sft)
Approved makes: Alucobond/Alumax/Aludecore . area to be covered </t>
  </si>
  <si>
    <t>Due to design change and site contraints , ACP need to be removed and refix   after all operations</t>
  </si>
  <si>
    <t xml:space="preserve">HVAC WORK FOR  OF 2ND FLOOR AS PER DRAWING RECEIVED </t>
  </si>
  <si>
    <t xml:space="preserve">Remarks </t>
  </si>
  <si>
    <r>
      <rPr>
        <sz val="10"/>
        <rFont val="Verdana"/>
        <family val="2"/>
      </rPr>
      <t>Supply,  installation and testing of</t>
    </r>
    <r>
      <rPr>
        <b/>
        <sz val="10"/>
        <rFont val="Verdana"/>
        <family val="2"/>
      </rPr>
      <t xml:space="preserve"> SITE Fabricated GI sheet metal ducts as per IS-655 Standard</t>
    </r>
    <r>
      <rPr>
        <sz val="10"/>
        <rFont val="Verdana"/>
        <family val="2"/>
      </rPr>
      <t xml:space="preserve">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r>
  </si>
  <si>
    <t xml:space="preserve">Requirment given by E&amp;M , Kallol Sir and reference of MOM  Dated 09.09.23, 14.09.23, and the sketch received from MEP team to execute the work </t>
  </si>
  <si>
    <r>
      <rPr>
        <sz val="10"/>
        <rFont val="Verdana"/>
        <family val="2"/>
      </rPr>
      <t xml:space="preserve">Supply  and  Application  of  external thermal insulation  of supply /return air ducting using </t>
    </r>
    <r>
      <rPr>
        <b/>
        <sz val="10"/>
        <rFont val="Verdana"/>
        <family val="2"/>
      </rPr>
      <t xml:space="preserve">closed cell elastomeric nitrile rubber insulation with class 'O' fire retardant properties </t>
    </r>
    <r>
      <rPr>
        <sz val="10"/>
        <rFont val="Verdana"/>
        <family val="2"/>
      </rPr>
      <t>as per the specifications and  drawings.  Quoted price shall be inclusive of adhesive, tapes as per specification. insulation shall be provided with aluminium foil, factory laminated.</t>
    </r>
  </si>
  <si>
    <t>JET NOZZLE</t>
  </si>
  <si>
    <t>TheJet Nozzle shall be constructed of High Grade Aluminium Alloy, External ring with a curved profile and spherical inner nozzle using the mechanical principle of eye ball (ball and socket principle) engineered to swivel 360º. The Colour to be approved by Architect/ Client.</t>
  </si>
  <si>
    <t>275mm Dia</t>
  </si>
  <si>
    <t>Admin cabin as per P-Line</t>
  </si>
  <si>
    <t>Inside ledge cladding on top including handrest top</t>
  </si>
  <si>
    <t xml:space="preserve">Reception counter </t>
  </si>
  <si>
    <t>Bathroom side premium lounge partition above glass framing V (Z-57) (9.17 X 0.80))</t>
  </si>
  <si>
    <t>Machandise unit shelves</t>
  </si>
  <si>
    <t>I.T raack right side wall  upper door shutter area (Z-41)</t>
  </si>
  <si>
    <t>Less (-)</t>
  </si>
  <si>
    <t>Air side pillar tuk</t>
  </si>
  <si>
    <t>Total Sqmtr.</t>
  </si>
  <si>
    <t xml:space="preserve">CHECKED </t>
  </si>
  <si>
    <t>Exicutive lounge above glass partition - H (Z-31) (1.73x4.345)</t>
  </si>
  <si>
    <t xml:space="preserve">checked </t>
  </si>
  <si>
    <t>hold</t>
  </si>
  <si>
    <t>SUBMITTED QTY</t>
  </si>
  <si>
    <t xml:space="preserve">41 LIGHTS EXECUTED AS PER DRAWING  AND CHECKED </t>
  </si>
  <si>
    <t>CHECKED  QTY</t>
  </si>
  <si>
    <t xml:space="preserve">CHECKED ABOVE IN 41 </t>
  </si>
  <si>
    <t xml:space="preserve">cheked in 41 </t>
  </si>
  <si>
    <t xml:space="preserve">RAB02 submitted qty </t>
  </si>
  <si>
    <t xml:space="preserve">RAB -02 submitted amount </t>
  </si>
  <si>
    <t xml:space="preserve">FIRE FIGHTING </t>
  </si>
  <si>
    <t xml:space="preserve">PIPING </t>
  </si>
  <si>
    <t xml:space="preserve">25 MM DIA </t>
  </si>
  <si>
    <t xml:space="preserve">32 MM DIA </t>
  </si>
  <si>
    <t xml:space="preserve">50 MM DIA </t>
  </si>
  <si>
    <t xml:space="preserve">SPRINKLER </t>
  </si>
  <si>
    <t>UPRIGHT</t>
  </si>
  <si>
    <t xml:space="preserve">PENDANT </t>
  </si>
  <si>
    <t xml:space="preserve">6KG </t>
  </si>
  <si>
    <t xml:space="preserve">ABC CYLINDER </t>
  </si>
  <si>
    <t xml:space="preserve">CO2 CYLINDER </t>
  </si>
  <si>
    <t>4.5 KG</t>
  </si>
  <si>
    <t>RAB -02 SUBMITTED QTY</t>
  </si>
  <si>
    <t xml:space="preserve">NT RATES </t>
  </si>
  <si>
    <t>RAB-02 SUBMITTED QTY</t>
  </si>
  <si>
    <t xml:space="preserve">RAB -02 SUBMITTED AMOUNT </t>
  </si>
  <si>
    <t>RAB -02 SUBMITTED BOQ</t>
  </si>
  <si>
    <t>tender qry</t>
  </si>
  <si>
    <t xml:space="preserve">balance </t>
  </si>
  <si>
    <t xml:space="preserve">BUTTER FLY VALVE 80 MM  checked </t>
  </si>
  <si>
    <t xml:space="preserve">Total tender qty </t>
  </si>
  <si>
    <t>balance TBE in RAB</t>
  </si>
  <si>
    <t xml:space="preserve"> Total</t>
  </si>
  <si>
    <t>BOQ AMT</t>
  </si>
  <si>
    <t xml:space="preserve">IN TENDER </t>
  </si>
  <si>
    <t xml:space="preserve">CHEKCED BALANCE </t>
  </si>
  <si>
    <t>STARTER  DOL PANEL  1.5 HP</t>
  </si>
  <si>
    <t>MCP  FOR STARTER PANEL</t>
  </si>
  <si>
    <t>RAB -02 Submitted Qty</t>
  </si>
  <si>
    <t xml:space="preserve">Submitted Amt </t>
  </si>
  <si>
    <t xml:space="preserve">TENDER QTY </t>
  </si>
  <si>
    <t>AMENDED QTY</t>
  </si>
  <si>
    <t>CHEKED Sub Total</t>
  </si>
  <si>
    <t>NT AMT</t>
  </si>
  <si>
    <t xml:space="preserve">Provding and fixing  MOULDING  over Exp joint FINISH WITH pu PAINT on floor  as per required  by EIC </t>
  </si>
  <si>
    <t xml:space="preserve">TENDER QTY CHECKED </t>
  </si>
  <si>
    <t xml:space="preserve">AMENDED QTY CHECKED </t>
  </si>
  <si>
    <t>RA-2 checked Amended amt  Amt</t>
  </si>
  <si>
    <t xml:space="preserve">RAB-02  SUB  AMT </t>
  </si>
  <si>
    <t>RAB-02 CHECKED AMD QTY</t>
  </si>
  <si>
    <t>RAB-02 CHECKED AMD AMT</t>
  </si>
  <si>
    <t>RAB -02 AMD  QTY</t>
  </si>
  <si>
    <t>CHECKED RA-2 AMD   AMOUNT</t>
  </si>
  <si>
    <t>RA-2 CHECKED TENDER QTY</t>
  </si>
  <si>
    <t>RA-2 CHECKED TENDER AMOUNT</t>
  </si>
  <si>
    <t>RA-2 CHECKED AMD QTY</t>
  </si>
  <si>
    <t>RA-2 CHECKED AMD AMT</t>
  </si>
  <si>
    <t>Total checked Amt</t>
  </si>
  <si>
    <t>CHECKED RA-2 AMD QTY</t>
  </si>
  <si>
    <t>CHECKED RA-2 AMD AMOUNT</t>
  </si>
  <si>
    <t>F</t>
  </si>
  <si>
    <t xml:space="preserve">EXTRA ITEMS  CIVIL WORKS </t>
  </si>
  <si>
    <t xml:space="preserve">FROM ADANI WORK ORDER </t>
  </si>
  <si>
    <t xml:space="preserve">EXTRA ITEM ELECTRICAL </t>
  </si>
  <si>
    <t xml:space="preserve">EXTRA WORK HVAC WORKS </t>
  </si>
  <si>
    <t xml:space="preserve">RAB-02  </t>
  </si>
  <si>
    <t>FINAL RAB -03</t>
  </si>
  <si>
    <t xml:space="preserve">RAB-01 </t>
  </si>
  <si>
    <t>RAB -02</t>
  </si>
  <si>
    <t>RA-1 CHECK TENDER QTY</t>
  </si>
  <si>
    <t>RA-1 AMOUNT</t>
  </si>
  <si>
    <t>RA-1 CHECKED QTY.</t>
  </si>
  <si>
    <t>RA-1 CHECKED AMOUNT</t>
  </si>
  <si>
    <t>RA-1 checked Tender Amt</t>
  </si>
  <si>
    <t>RAB -01 TENDER QTY</t>
  </si>
  <si>
    <t>CHECKED RA-1  AMOUNT</t>
  </si>
  <si>
    <t>CHECKED RA-1 TENDEREDQTY</t>
  </si>
  <si>
    <t>CHECKED RA-1 AMOUNT</t>
  </si>
  <si>
    <t>RAB -01 CHECKED QTY</t>
  </si>
  <si>
    <t>RA-1 CHECKED AMT</t>
  </si>
  <si>
    <t>RAB -01 CHECKED  QTY</t>
  </si>
  <si>
    <t xml:space="preserve">RAB-01 AMOUNT </t>
  </si>
  <si>
    <t>Previous Bill Amount</t>
  </si>
  <si>
    <t xml:space="preserve">This Bill Amount (RA-01 Checked) </t>
  </si>
  <si>
    <t xml:space="preserve">Cummulative </t>
  </si>
  <si>
    <t>PO Amount</t>
  </si>
  <si>
    <t>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</si>
</sst>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_(* #,##0.00_);_(* \(#,##0.00\);_(* &quot;-&quot;??_);_(@_)"/>
    <numFmt numFmtId="165" formatCode="0.0"/>
    <numFmt numFmtId="166" formatCode="_(* #,##0_);_(* \(#,##0\);_(* &quot;-&quot;??_);_(@_)"/>
    <numFmt numFmtId="167" formatCode="_ * #,##0_ ;_ * \-#,##0_ ;_ * &quot;-&quot;??_ ;_ @_ "/>
    <numFmt numFmtId="168" formatCode="0.00_);[Red]\(0.00\)"/>
    <numFmt numFmtId="169" formatCode="#,##0.0"/>
    <numFmt numFmtId="170" formatCode="_(* #,##0.0_);_(* \(#,##0.0\);_(* &quot;-&quot;??_);_(@_)"/>
    <numFmt numFmtId="171" formatCode="_(* #,##0.000_);_(* \(#,##0.000\);_(* &quot;-&quot;??.0_);_(@_)"/>
    <numFmt numFmtId="172" formatCode="_ * #,##0.000_ ;_ * \-#,##0.000_ ;_ * &quot;-&quot;??.0_ ;_ @_ "/>
    <numFmt numFmtId="173" formatCode="0.00_ "/>
    <numFmt numFmtId="174" formatCode="_(* #,##0.000_);_(* \(#,##0.000\);_(* &quot;-&quot;??_);_(@_)"/>
    <numFmt numFmtId="175" formatCode="_(* #,##0.000_);_(* \(#,##0.000\);_(* &quot;-&quot;???_);_(@_)"/>
    <numFmt numFmtId="176" formatCode="_ * #,##0.000_ ;_ * \-#,##0.000_ ;_ * &quot;-&quot;??_ ;_ @_ "/>
    <numFmt numFmtId="177" formatCode="_(* #,##0.00_);_(* \(#,##0.00\);_(* &quot;-&quot;???_);_(@_)"/>
  </numFmts>
  <fonts count="103">
    <font>
      <sz val="10"/>
      <name val="Arial"/>
      <charset val="134"/>
    </font>
    <font>
      <sz val="11"/>
      <color theme="1"/>
      <name val="Calibri"/>
      <family val="2"/>
      <scheme val="minor"/>
    </font>
    <font>
      <b/>
      <sz val="14"/>
      <name val="Arial"/>
      <family val="2"/>
    </font>
    <font>
      <b/>
      <sz val="12"/>
      <name val="Arial"/>
      <family val="2"/>
    </font>
    <font>
      <sz val="10"/>
      <name val="Verdana"/>
      <family val="2"/>
    </font>
    <font>
      <b/>
      <sz val="10"/>
      <name val="Verdana"/>
      <family val="2"/>
    </font>
    <font>
      <b/>
      <sz val="11"/>
      <color indexed="8"/>
      <name val="Calibri"/>
      <family val="2"/>
      <scheme val="minor"/>
    </font>
    <font>
      <sz val="11"/>
      <color indexed="8"/>
      <name val="Calibri"/>
      <family val="2"/>
      <scheme val="minor"/>
    </font>
    <font>
      <sz val="11"/>
      <name val="Calibri"/>
      <family val="2"/>
      <scheme val="minor"/>
    </font>
    <font>
      <sz val="12"/>
      <name val="Arial"/>
      <family val="2"/>
    </font>
    <font>
      <b/>
      <sz val="10"/>
      <name val="Arial"/>
      <family val="2"/>
    </font>
    <font>
      <b/>
      <sz val="11"/>
      <name val="Arial"/>
      <family val="2"/>
    </font>
    <font>
      <b/>
      <sz val="16"/>
      <name val="Arial"/>
      <family val="2"/>
    </font>
    <font>
      <b/>
      <u/>
      <sz val="10"/>
      <color theme="1"/>
      <name val="Times New Roman"/>
      <family val="1"/>
    </font>
    <font>
      <b/>
      <sz val="10"/>
      <color rgb="FFFF0000"/>
      <name val="Cambria"/>
      <family val="1"/>
      <scheme val="major"/>
    </font>
    <font>
      <sz val="9"/>
      <name val="Arial"/>
      <family val="2"/>
    </font>
    <font>
      <sz val="10"/>
      <color rgb="FF000000"/>
      <name val="Arial"/>
      <family val="2"/>
    </font>
    <font>
      <sz val="10"/>
      <name val="Segoe UI Light"/>
      <family val="2"/>
    </font>
    <font>
      <sz val="9"/>
      <color rgb="FFFF0000"/>
      <name val="Arial"/>
      <family val="2"/>
    </font>
    <font>
      <b/>
      <sz val="10"/>
      <name val="Calibri"/>
      <family val="2"/>
      <scheme val="minor"/>
    </font>
    <font>
      <sz val="10"/>
      <color rgb="FFFF0000"/>
      <name val="Verdana"/>
      <family val="2"/>
    </font>
    <font>
      <b/>
      <sz val="12"/>
      <name val="Calibri"/>
      <family val="2"/>
    </font>
    <font>
      <b/>
      <sz val="9"/>
      <name val="Calibri"/>
      <family val="2"/>
    </font>
    <font>
      <sz val="10"/>
      <name val="Calibri"/>
      <family val="2"/>
    </font>
    <font>
      <b/>
      <sz val="11"/>
      <color rgb="FF000000"/>
      <name val="Calibri"/>
      <family val="2"/>
    </font>
    <font>
      <sz val="10"/>
      <color theme="1"/>
      <name val="Calibri"/>
      <family val="2"/>
    </font>
    <font>
      <sz val="10"/>
      <color rgb="FF000000"/>
      <name val="Calibri"/>
      <family val="2"/>
    </font>
    <font>
      <sz val="10"/>
      <color theme="1"/>
      <name val="Verdana"/>
      <family val="2"/>
    </font>
    <font>
      <sz val="10"/>
      <color rgb="FF000000"/>
      <name val="Verdana"/>
      <family val="2"/>
    </font>
    <font>
      <b/>
      <sz val="10"/>
      <color theme="1"/>
      <name val="Verdana"/>
      <family val="2"/>
    </font>
    <font>
      <b/>
      <sz val="10"/>
      <color rgb="FF000000"/>
      <name val="Verdana"/>
      <family val="2"/>
    </font>
    <font>
      <b/>
      <sz val="9"/>
      <name val="Verdana"/>
      <family val="2"/>
    </font>
    <font>
      <b/>
      <sz val="12"/>
      <color indexed="8"/>
      <name val="Verdana"/>
      <family val="2"/>
    </font>
    <font>
      <b/>
      <sz val="14"/>
      <name val="Calibri"/>
      <family val="2"/>
    </font>
    <font>
      <sz val="12"/>
      <color theme="1"/>
      <name val="Verdana"/>
      <family val="2"/>
    </font>
    <font>
      <sz val="12"/>
      <name val="Verdana"/>
      <family val="2"/>
    </font>
    <font>
      <sz val="12"/>
      <color rgb="FF000000"/>
      <name val="Verdana"/>
      <family val="2"/>
    </font>
    <font>
      <b/>
      <sz val="12"/>
      <name val="Verdana"/>
      <family val="2"/>
    </font>
    <font>
      <b/>
      <sz val="12"/>
      <color theme="1"/>
      <name val="Verdana"/>
      <family val="2"/>
    </font>
    <font>
      <b/>
      <sz val="12"/>
      <color rgb="FF000000"/>
      <name val="Verdana"/>
      <family val="2"/>
    </font>
    <font>
      <i/>
      <sz val="12"/>
      <name val="Verdana"/>
      <family val="2"/>
    </font>
    <font>
      <b/>
      <sz val="12"/>
      <color theme="1"/>
      <name val="Arial"/>
      <family val="2"/>
    </font>
    <font>
      <sz val="12"/>
      <color rgb="FFFF0000"/>
      <name val="Arial"/>
      <family val="2"/>
    </font>
    <font>
      <b/>
      <sz val="11"/>
      <color theme="0"/>
      <name val="Arial"/>
      <family val="2"/>
    </font>
    <font>
      <sz val="11"/>
      <color theme="1"/>
      <name val="Calibri"/>
      <family val="2"/>
      <scheme val="minor"/>
    </font>
    <font>
      <sz val="11"/>
      <color theme="1"/>
      <name val="Calibri"/>
      <family val="2"/>
    </font>
    <font>
      <b/>
      <sz val="20"/>
      <color theme="1"/>
      <name val="Calibri"/>
      <family val="2"/>
    </font>
    <font>
      <b/>
      <sz val="12"/>
      <color theme="1"/>
      <name val="Calibri"/>
      <family val="2"/>
    </font>
    <font>
      <sz val="11"/>
      <color rgb="FF000000"/>
      <name val="Calibri"/>
      <family val="2"/>
    </font>
    <font>
      <sz val="9"/>
      <name val="Calibri"/>
      <family val="2"/>
    </font>
    <font>
      <sz val="11"/>
      <name val="Calibri"/>
      <family val="2"/>
    </font>
    <font>
      <sz val="9"/>
      <color rgb="FFFF0000"/>
      <name val="Calibri"/>
      <family val="2"/>
    </font>
    <font>
      <b/>
      <sz val="20"/>
      <name val="Calibri"/>
      <family val="2"/>
    </font>
    <font>
      <sz val="14"/>
      <name val="Calibri"/>
      <family val="2"/>
    </font>
    <font>
      <sz val="12"/>
      <name val="Calibri"/>
      <family val="2"/>
    </font>
    <font>
      <sz val="12"/>
      <color rgb="FFFF0000"/>
      <name val="Calibri"/>
      <family val="2"/>
    </font>
    <font>
      <b/>
      <sz val="12"/>
      <color rgb="FFFF0000"/>
      <name val="Calibri"/>
      <family val="2"/>
    </font>
    <font>
      <u/>
      <sz val="12"/>
      <name val="Calibri"/>
      <family val="2"/>
    </font>
    <font>
      <i/>
      <sz val="12"/>
      <name val="Calibri"/>
      <family val="2"/>
    </font>
    <font>
      <b/>
      <sz val="12"/>
      <color rgb="FF000000"/>
      <name val="Calibri"/>
      <family val="2"/>
    </font>
    <font>
      <b/>
      <sz val="10"/>
      <color rgb="FFFF0000"/>
      <name val="Verdana"/>
      <family val="2"/>
    </font>
    <font>
      <b/>
      <sz val="10"/>
      <color theme="1"/>
      <name val="Arial"/>
      <family val="2"/>
    </font>
    <font>
      <sz val="10"/>
      <color theme="1"/>
      <name val="Calibri"/>
      <family val="2"/>
      <scheme val="minor"/>
    </font>
    <font>
      <sz val="10"/>
      <color rgb="FFFF0000"/>
      <name val="Arial"/>
      <family val="2"/>
    </font>
    <font>
      <b/>
      <sz val="12"/>
      <color theme="8" tint="0.39988402966399123"/>
      <name val="Verdana"/>
      <family val="2"/>
    </font>
    <font>
      <b/>
      <sz val="12"/>
      <color theme="8" tint="0.39988402966399123"/>
      <name val="Arial"/>
      <family val="2"/>
    </font>
    <font>
      <b/>
      <strike/>
      <sz val="10"/>
      <name val="Verdana"/>
      <family val="2"/>
    </font>
    <font>
      <b/>
      <sz val="11"/>
      <name val="Verdana"/>
      <family val="2"/>
    </font>
    <font>
      <sz val="11"/>
      <name val="Arial"/>
      <family val="2"/>
    </font>
    <font>
      <b/>
      <sz val="16"/>
      <color theme="1"/>
      <name val="Arial"/>
      <family val="2"/>
    </font>
    <font>
      <sz val="14"/>
      <color theme="1"/>
      <name val="Arial"/>
      <family val="2"/>
    </font>
    <font>
      <b/>
      <sz val="14"/>
      <color theme="1"/>
      <name val="Arial"/>
      <family val="2"/>
    </font>
    <font>
      <sz val="14"/>
      <name val="Arial"/>
      <family val="2"/>
    </font>
    <font>
      <sz val="11"/>
      <color theme="1"/>
      <name val="Arial"/>
      <family val="2"/>
    </font>
    <font>
      <b/>
      <sz val="11"/>
      <color theme="1"/>
      <name val="Arial"/>
      <family val="2"/>
    </font>
    <font>
      <b/>
      <sz val="12"/>
      <color indexed="8"/>
      <name val="Calibri"/>
      <family val="2"/>
    </font>
    <font>
      <sz val="10"/>
      <color indexed="8"/>
      <name val="Verdana"/>
      <family val="2"/>
    </font>
    <font>
      <b/>
      <sz val="10"/>
      <color indexed="8"/>
      <name val="Verdana"/>
      <family val="2"/>
    </font>
    <font>
      <b/>
      <sz val="11"/>
      <color theme="1"/>
      <name val="Calibri"/>
      <family val="2"/>
    </font>
    <font>
      <b/>
      <sz val="18"/>
      <name val="Calibri"/>
      <family val="2"/>
    </font>
    <font>
      <b/>
      <sz val="16"/>
      <name val="Calibri"/>
      <family val="2"/>
    </font>
    <font>
      <sz val="16"/>
      <name val="Calibri"/>
      <family val="2"/>
    </font>
    <font>
      <b/>
      <u/>
      <sz val="11"/>
      <name val="Calibri"/>
      <family val="2"/>
    </font>
    <font>
      <b/>
      <sz val="11"/>
      <name val="Calibri"/>
      <family val="2"/>
    </font>
    <font>
      <sz val="12"/>
      <color theme="1"/>
      <name val="Calibri"/>
      <family val="2"/>
    </font>
    <font>
      <sz val="11"/>
      <color rgb="FFFF0000"/>
      <name val="Calibri"/>
      <family val="2"/>
    </font>
    <font>
      <b/>
      <sz val="18"/>
      <color theme="1"/>
      <name val="Calibri"/>
      <family val="2"/>
    </font>
    <font>
      <b/>
      <sz val="14"/>
      <color theme="1"/>
      <name val="Calibri"/>
      <family val="2"/>
    </font>
    <font>
      <b/>
      <sz val="10"/>
      <name val="Calibri"/>
      <family val="2"/>
    </font>
    <font>
      <sz val="10"/>
      <color rgb="FFFF0000"/>
      <name val="Calibri"/>
      <family val="2"/>
    </font>
    <font>
      <b/>
      <sz val="10"/>
      <color theme="1"/>
      <name val="Calibri"/>
      <family val="2"/>
    </font>
    <font>
      <sz val="10"/>
      <color indexed="8"/>
      <name val="Arial"/>
      <family val="2"/>
    </font>
    <font>
      <sz val="10"/>
      <color indexed="8"/>
      <name val="Calibri"/>
      <family val="2"/>
    </font>
    <font>
      <sz val="12"/>
      <color rgb="FF2E75B6"/>
      <name val="Calibri"/>
      <family val="2"/>
    </font>
    <font>
      <sz val="14"/>
      <color theme="1"/>
      <name val="Calibri"/>
      <family val="2"/>
    </font>
    <font>
      <sz val="11.5"/>
      <name val="Arial"/>
      <family val="2"/>
    </font>
    <font>
      <sz val="10"/>
      <name val="Courier"/>
      <family val="3"/>
    </font>
    <font>
      <sz val="10"/>
      <name val="Helv"/>
      <charset val="134"/>
    </font>
    <font>
      <b/>
      <i/>
      <sz val="10"/>
      <name val="Verdana"/>
      <family val="2"/>
    </font>
    <font>
      <u/>
      <sz val="11"/>
      <name val="Calibri"/>
      <family val="2"/>
    </font>
    <font>
      <sz val="10"/>
      <name val="Arial"/>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theme="8" tint="0.39988402966399123"/>
        <bgColor indexed="64"/>
      </patternFill>
    </fill>
    <fill>
      <patternFill patternType="solid">
        <fgColor theme="9" tint="0.39988402966399123"/>
        <bgColor indexed="64"/>
      </patternFill>
    </fill>
    <fill>
      <patternFill patternType="solid">
        <fgColor theme="0"/>
        <bgColor indexed="64"/>
      </patternFill>
    </fill>
    <fill>
      <patternFill patternType="solid">
        <fgColor theme="8" tint="0.39979247413556324"/>
        <bgColor indexed="64"/>
      </patternFill>
    </fill>
    <fill>
      <patternFill patternType="solid">
        <fgColor theme="9" tint="0.39979247413556324"/>
        <bgColor indexed="64"/>
      </patternFill>
    </fill>
    <fill>
      <patternFill patternType="solid">
        <fgColor rgb="FF92D050"/>
        <bgColor indexed="64"/>
      </patternFill>
    </fill>
    <fill>
      <patternFill patternType="solid">
        <fgColor theme="5" tint="0.79976805932798245"/>
        <bgColor indexed="26"/>
      </patternFill>
    </fill>
    <fill>
      <patternFill patternType="solid">
        <fgColor theme="8" tint="0.39976195562608724"/>
        <bgColor indexed="64"/>
      </patternFill>
    </fill>
    <fill>
      <patternFill patternType="solid">
        <fgColor indexed="9"/>
        <bgColor indexed="26"/>
      </patternFill>
    </fill>
    <fill>
      <patternFill patternType="solid">
        <fgColor theme="3" tint="0.79979857783745845"/>
        <bgColor indexed="64"/>
      </patternFill>
    </fill>
    <fill>
      <patternFill patternType="solid">
        <fgColor rgb="FFFFFFFF"/>
        <bgColor indexed="64"/>
      </patternFill>
    </fill>
    <fill>
      <patternFill patternType="solid">
        <fgColor theme="8" tint="0.79989013336588644"/>
        <bgColor indexed="64"/>
      </patternFill>
    </fill>
    <fill>
      <patternFill patternType="solid">
        <fgColor rgb="FFA7D3F5"/>
        <bgColor indexed="64"/>
      </patternFill>
    </fill>
    <fill>
      <patternFill patternType="solid">
        <fgColor theme="9" tint="0.59999389629810485"/>
        <bgColor indexed="64"/>
      </patternFill>
    </fill>
    <fill>
      <patternFill patternType="solid">
        <fgColor theme="8" tint="0.3998229926450392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8229926450392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7997375408185064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ABF8F"/>
        <bgColor indexed="64"/>
      </patternFill>
    </fill>
    <fill>
      <patternFill patternType="solid">
        <fgColor rgb="FFFCD5B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33">
    <xf numFmtId="0" fontId="0" fillId="0" borderId="0"/>
    <xf numFmtId="164"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4"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95" fillId="0" borderId="0"/>
    <xf numFmtId="0" fontId="100" fillId="0" borderId="0"/>
    <xf numFmtId="0" fontId="96" fillId="0" borderId="0"/>
    <xf numFmtId="0" fontId="100" fillId="0" borderId="0"/>
    <xf numFmtId="0" fontId="100" fillId="0" borderId="0"/>
    <xf numFmtId="0" fontId="100" fillId="0" borderId="0"/>
    <xf numFmtId="0" fontId="100" fillId="0" borderId="0"/>
    <xf numFmtId="0" fontId="44" fillId="0" borderId="0"/>
    <xf numFmtId="0" fontId="100" fillId="0" borderId="0"/>
    <xf numFmtId="0" fontId="44" fillId="0" borderId="0" applyAlignment="0"/>
    <xf numFmtId="0" fontId="44" fillId="0" borderId="0"/>
    <xf numFmtId="0" fontId="97" fillId="0" borderId="0"/>
    <xf numFmtId="0" fontId="10" fillId="0" borderId="0"/>
  </cellStyleXfs>
  <cellXfs count="1337">
    <xf numFmtId="0" fontId="0" fillId="0" borderId="0" xfId="0"/>
    <xf numFmtId="0" fontId="0" fillId="0" borderId="1" xfId="0" applyBorder="1" applyAlignment="1">
      <alignment horizontal="center"/>
    </xf>
    <xf numFmtId="0" fontId="0" fillId="0" borderId="1" xfId="0" applyBorder="1"/>
    <xf numFmtId="0" fontId="0" fillId="2" borderId="1" xfId="0" applyFill="1" applyBorder="1"/>
    <xf numFmtId="0" fontId="4" fillId="0" borderId="1" xfId="0" applyFont="1" applyBorder="1" applyAlignment="1">
      <alignment horizontal="center" vertical="center" wrapText="1"/>
    </xf>
    <xf numFmtId="0" fontId="5" fillId="0" borderId="1" xfId="0" applyFont="1" applyBorder="1" applyAlignment="1">
      <alignment horizontal="justify" vertical="justify" wrapText="1"/>
    </xf>
    <xf numFmtId="0" fontId="4" fillId="0" borderId="1" xfId="0" applyFont="1" applyBorder="1" applyAlignment="1">
      <alignment horizontal="justify" vertical="justify" wrapText="1"/>
    </xf>
    <xf numFmtId="0" fontId="4" fillId="0" borderId="1" xfId="0" applyFont="1" applyBorder="1" applyAlignment="1">
      <alignment horizontal="right" vertical="center" wrapText="1"/>
    </xf>
    <xf numFmtId="4" fontId="4" fillId="0" borderId="1" xfId="24"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 fontId="4" fillId="0" borderId="1" xfId="26" applyNumberFormat="1" applyFont="1" applyBorder="1" applyAlignment="1">
      <alignment horizontal="center" vertical="center"/>
    </xf>
    <xf numFmtId="4" fontId="4"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6" fillId="0" borderId="1" xfId="0" applyNumberFormat="1" applyFont="1" applyBorder="1" applyAlignment="1">
      <alignment horizontal="justify" vertical="center"/>
    </xf>
    <xf numFmtId="165" fontId="7" fillId="0" borderId="1" xfId="0" applyNumberFormat="1" applyFont="1" applyBorder="1" applyAlignment="1">
      <alignment horizontal="center" vertical="center" wrapText="1"/>
    </xf>
    <xf numFmtId="165" fontId="8" fillId="0" borderId="1" xfId="31" applyNumberFormat="1" applyFont="1" applyBorder="1" applyAlignment="1">
      <alignment horizontal="center" vertical="center" wrapText="1"/>
    </xf>
    <xf numFmtId="1" fontId="7" fillId="0" borderId="1" xfId="0" applyNumberFormat="1" applyFont="1" applyBorder="1" applyAlignment="1">
      <alignment horizontal="right" vertical="center" wrapText="1"/>
    </xf>
    <xf numFmtId="165" fontId="7" fillId="0" borderId="1" xfId="0" applyNumberFormat="1" applyFont="1" applyBorder="1" applyAlignment="1">
      <alignment horizontal="justify" vertical="center" wrapText="1"/>
    </xf>
    <xf numFmtId="0" fontId="3" fillId="3" borderId="1" xfId="0" applyFont="1" applyFill="1" applyBorder="1"/>
    <xf numFmtId="0" fontId="3" fillId="3" borderId="1" xfId="0" applyFont="1" applyFill="1" applyBorder="1" applyAlignment="1">
      <alignment horizontal="center"/>
    </xf>
    <xf numFmtId="4" fontId="3" fillId="3" borderId="1" xfId="0" applyNumberFormat="1" applyFont="1" applyFill="1" applyBorder="1"/>
    <xf numFmtId="0" fontId="0" fillId="0" borderId="0" xfId="0" applyAlignment="1">
      <alignment horizontal="center"/>
    </xf>
    <xf numFmtId="0" fontId="10" fillId="0" borderId="0" xfId="0" applyFont="1"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justify" vertical="top" wrapText="1"/>
    </xf>
    <xf numFmtId="0" fontId="0" fillId="0" borderId="0" xfId="0" applyAlignment="1">
      <alignment horizontal="center" vertical="center"/>
    </xf>
    <xf numFmtId="164" fontId="0" fillId="0" borderId="0" xfId="1" applyFont="1" applyFill="1" applyBorder="1" applyAlignment="1">
      <alignment horizontal="center" vertical="center"/>
    </xf>
    <xf numFmtId="164" fontId="0" fillId="0" borderId="0" xfId="1" applyFont="1" applyBorder="1" applyAlignment="1">
      <alignment horizontal="center" vertical="center"/>
    </xf>
    <xf numFmtId="164" fontId="0" fillId="4" borderId="0" xfId="1" applyFont="1" applyFill="1" applyBorder="1" applyAlignment="1">
      <alignment vertical="center" wrapText="1"/>
    </xf>
    <xf numFmtId="0" fontId="9" fillId="5" borderId="1" xfId="0" applyFont="1" applyFill="1" applyBorder="1" applyAlignment="1">
      <alignment horizontal="center" vertical="top" wrapText="1"/>
    </xf>
    <xf numFmtId="0" fontId="9" fillId="5" borderId="1" xfId="0" applyFont="1" applyFill="1" applyBorder="1" applyAlignment="1">
      <alignment horizontal="justify" vertical="top" wrapText="1"/>
    </xf>
    <xf numFmtId="0" fontId="9" fillId="5" borderId="1" xfId="0" applyFont="1" applyFill="1" applyBorder="1" applyAlignment="1">
      <alignment horizontal="center" vertical="center" wrapText="1"/>
    </xf>
    <xf numFmtId="0" fontId="0" fillId="5" borderId="1" xfId="0" applyFill="1" applyBorder="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164" fontId="11" fillId="5" borderId="1" xfId="1" applyFont="1" applyFill="1" applyBorder="1" applyAlignment="1">
      <alignment horizontal="center" vertical="center"/>
    </xf>
    <xf numFmtId="164" fontId="11" fillId="5" borderId="1" xfId="1"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center" vertical="center"/>
    </xf>
    <xf numFmtId="164" fontId="0" fillId="0" borderId="1" xfId="1" applyFont="1" applyFill="1" applyBorder="1" applyAlignment="1">
      <alignment horizontal="center" vertical="center"/>
    </xf>
    <xf numFmtId="0" fontId="0" fillId="0" borderId="1" xfId="0" applyBorder="1" applyAlignment="1">
      <alignment horizontal="center" vertical="center" wrapText="1"/>
    </xf>
    <xf numFmtId="164" fontId="0" fillId="0" borderId="1" xfId="1" applyFont="1" applyBorder="1" applyAlignment="1">
      <alignment horizontal="center" vertical="center"/>
    </xf>
    <xf numFmtId="164" fontId="0" fillId="4" borderId="1" xfId="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justify" vertical="center" wrapText="1"/>
    </xf>
    <xf numFmtId="0" fontId="10" fillId="0" borderId="1" xfId="0" applyFont="1" applyBorder="1" applyAlignment="1">
      <alignment horizontal="justify" vertical="top" wrapText="1"/>
    </xf>
    <xf numFmtId="166" fontId="0" fillId="4" borderId="1" xfId="1" applyNumberFormat="1" applyFont="1" applyFill="1" applyBorder="1" applyAlignment="1">
      <alignment vertical="center" wrapText="1"/>
    </xf>
    <xf numFmtId="0" fontId="0" fillId="6" borderId="1" xfId="0" applyFill="1" applyBorder="1" applyAlignment="1">
      <alignment horizontal="center" vertical="top"/>
    </xf>
    <xf numFmtId="0" fontId="10" fillId="6" borderId="1" xfId="0" applyFont="1" applyFill="1" applyBorder="1" applyAlignment="1">
      <alignment horizontal="justify" vertical="top" wrapText="1"/>
    </xf>
    <xf numFmtId="0" fontId="0" fillId="6" borderId="1" xfId="0" applyFill="1" applyBorder="1" applyAlignment="1">
      <alignment horizontal="center" vertical="center"/>
    </xf>
    <xf numFmtId="164" fontId="0" fillId="6" borderId="1" xfId="1" applyFont="1" applyFill="1" applyBorder="1" applyAlignment="1">
      <alignment horizontal="center" vertical="center"/>
    </xf>
    <xf numFmtId="0" fontId="0" fillId="6" borderId="1" xfId="0" applyFill="1" applyBorder="1" applyAlignment="1">
      <alignment horizontal="center" vertical="center" wrapText="1"/>
    </xf>
    <xf numFmtId="164" fontId="10" fillId="6" borderId="1" xfId="1" applyFont="1" applyFill="1" applyBorder="1" applyAlignment="1">
      <alignment horizontal="center" vertical="center"/>
    </xf>
    <xf numFmtId="0" fontId="0" fillId="7" borderId="0" xfId="0" applyFill="1"/>
    <xf numFmtId="164" fontId="0" fillId="0" borderId="1" xfId="15" applyFont="1" applyFill="1" applyBorder="1" applyAlignment="1">
      <alignment horizontal="center" vertical="center"/>
    </xf>
    <xf numFmtId="164" fontId="0" fillId="0" borderId="1" xfId="15" applyFont="1" applyBorder="1" applyAlignment="1">
      <alignment horizontal="center" vertical="center"/>
    </xf>
    <xf numFmtId="164" fontId="0" fillId="0" borderId="0" xfId="15" applyFont="1" applyBorder="1" applyAlignment="1">
      <alignment horizontal="center" vertical="center"/>
    </xf>
    <xf numFmtId="164" fontId="0" fillId="0" borderId="0" xfId="15" applyFont="1" applyAlignment="1">
      <alignment horizontal="center" vertical="center"/>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0" fillId="0" borderId="1" xfId="15" applyNumberFormat="1" applyFont="1" applyBorder="1" applyAlignment="1">
      <alignment horizontal="center" vertical="center"/>
    </xf>
    <xf numFmtId="164" fontId="10" fillId="0" borderId="1" xfId="15" applyFont="1" applyBorder="1" applyAlignment="1">
      <alignment horizontal="center" vertical="center"/>
    </xf>
    <xf numFmtId="0" fontId="10" fillId="0" borderId="1" xfId="0" applyFont="1" applyBorder="1" applyAlignment="1">
      <alignment horizontal="center" vertical="top"/>
    </xf>
    <xf numFmtId="0" fontId="10" fillId="0" borderId="1" xfId="0" applyFont="1" applyBorder="1" applyAlignment="1">
      <alignment horizontal="center" vertical="center" wrapText="1"/>
    </xf>
    <xf numFmtId="166" fontId="0" fillId="0" borderId="1" xfId="15" applyNumberFormat="1" applyFont="1" applyBorder="1" applyAlignment="1">
      <alignment horizontal="center" vertical="center"/>
    </xf>
    <xf numFmtId="0" fontId="0" fillId="0" borderId="1" xfId="0" applyBorder="1" applyAlignment="1">
      <alignment horizontal="left" vertical="center" wrapText="1"/>
    </xf>
    <xf numFmtId="166" fontId="0" fillId="0" borderId="1" xfId="15" applyNumberFormat="1" applyFont="1" applyFill="1" applyBorder="1" applyAlignment="1">
      <alignment horizontal="center" vertical="center"/>
    </xf>
    <xf numFmtId="0" fontId="0" fillId="0" borderId="1" xfId="0" applyBorder="1" applyAlignment="1">
      <alignment horizontal="left" vertical="top" wrapText="1"/>
    </xf>
    <xf numFmtId="0" fontId="3" fillId="6" borderId="1" xfId="0" applyFont="1" applyFill="1" applyBorder="1" applyAlignment="1">
      <alignment horizontal="center" vertical="top"/>
    </xf>
    <xf numFmtId="0" fontId="3" fillId="6" borderId="1" xfId="0" applyFont="1" applyFill="1" applyBorder="1" applyAlignment="1">
      <alignment horizontal="justify" vertical="top" wrapText="1"/>
    </xf>
    <xf numFmtId="0" fontId="3" fillId="6" borderId="1" xfId="0" applyFont="1" applyFill="1" applyBorder="1" applyAlignment="1">
      <alignment horizontal="center" vertical="center"/>
    </xf>
    <xf numFmtId="164" fontId="3" fillId="6" borderId="1" xfId="15" applyFont="1" applyFill="1" applyBorder="1" applyAlignment="1">
      <alignment horizontal="center" vertical="center"/>
    </xf>
    <xf numFmtId="166" fontId="3" fillId="6" borderId="1" xfId="15"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0" fillId="9" borderId="1" xfId="0" applyFill="1" applyBorder="1" applyAlignment="1">
      <alignment horizontal="center" vertical="top"/>
    </xf>
    <xf numFmtId="164" fontId="0" fillId="9" borderId="1" xfId="15" applyFont="1" applyFill="1" applyBorder="1" applyAlignment="1">
      <alignment horizontal="center" vertical="center"/>
    </xf>
    <xf numFmtId="0" fontId="0" fillId="9" borderId="1" xfId="0" applyFill="1" applyBorder="1" applyAlignment="1">
      <alignment horizontal="center" vertical="center"/>
    </xf>
    <xf numFmtId="164" fontId="15" fillId="0" borderId="1" xfId="15" applyFont="1" applyFill="1" applyBorder="1" applyAlignment="1">
      <alignment horizontal="center" vertical="center"/>
    </xf>
    <xf numFmtId="164" fontId="0" fillId="0" borderId="0" xfId="15" applyFont="1" applyFill="1" applyBorder="1" applyAlignment="1">
      <alignment horizontal="center" vertical="center"/>
    </xf>
    <xf numFmtId="0" fontId="16" fillId="0" borderId="0" xfId="0" applyFont="1" applyAlignment="1">
      <alignment horizontal="left" vertical="center" readingOrder="1"/>
    </xf>
    <xf numFmtId="0" fontId="16" fillId="0" borderId="1" xfId="0" applyFont="1" applyBorder="1" applyAlignment="1">
      <alignment horizontal="left" vertical="center" wrapText="1" readingOrder="1"/>
    </xf>
    <xf numFmtId="0" fontId="16" fillId="0" borderId="1" xfId="0" applyFont="1" applyBorder="1" applyAlignment="1">
      <alignment horizontal="left" vertical="center" readingOrder="1"/>
    </xf>
    <xf numFmtId="0" fontId="0" fillId="0" borderId="1" xfId="0" applyBorder="1" applyAlignment="1">
      <alignment vertical="center"/>
    </xf>
    <xf numFmtId="0" fontId="3" fillId="6" borderId="7" xfId="0" applyFont="1" applyFill="1" applyBorder="1"/>
    <xf numFmtId="0" fontId="17" fillId="10" borderId="0" xfId="20" applyFont="1" applyFill="1" applyAlignment="1">
      <alignment horizontal="left"/>
    </xf>
    <xf numFmtId="0" fontId="0" fillId="4" borderId="0" xfId="0" applyFill="1"/>
    <xf numFmtId="0" fontId="0" fillId="9" borderId="1" xfId="0" applyFill="1" applyBorder="1"/>
    <xf numFmtId="0" fontId="15" fillId="0" borderId="1" xfId="0" applyFont="1" applyBorder="1" applyAlignment="1">
      <alignment horizontal="center" vertical="center"/>
    </xf>
    <xf numFmtId="0" fontId="3" fillId="6" borderId="1" xfId="0" applyFont="1" applyFill="1" applyBorder="1"/>
    <xf numFmtId="0" fontId="15" fillId="0" borderId="0" xfId="0" applyFont="1" applyAlignment="1" applyProtection="1">
      <alignment vertical="justify"/>
      <protection locked="0"/>
    </xf>
    <xf numFmtId="0" fontId="0" fillId="0" borderId="0" xfId="0" applyAlignment="1" applyProtection="1">
      <alignment vertical="justify"/>
      <protection locked="0"/>
    </xf>
    <xf numFmtId="0" fontId="10" fillId="0" borderId="0" xfId="0" applyFont="1" applyAlignment="1" applyProtection="1">
      <alignment vertical="justify"/>
      <protection locked="0"/>
    </xf>
    <xf numFmtId="0" fontId="0" fillId="4" borderId="0" xfId="0" applyFill="1" applyAlignment="1" applyProtection="1">
      <alignment vertical="top" wrapText="1"/>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justify" vertical="justify"/>
      <protection locked="0"/>
    </xf>
    <xf numFmtId="167" fontId="15" fillId="0" borderId="0" xfId="1" applyNumberFormat="1" applyFont="1" applyFill="1" applyAlignment="1" applyProtection="1">
      <alignment horizontal="left" vertical="center"/>
      <protection locked="0"/>
    </xf>
    <xf numFmtId="0" fontId="15" fillId="0" borderId="0" xfId="0" applyFont="1" applyAlignment="1" applyProtection="1">
      <alignment horizontal="center" vertical="center"/>
      <protection locked="0"/>
    </xf>
    <xf numFmtId="167" fontId="15" fillId="0" borderId="0" xfId="1" applyNumberFormat="1" applyFont="1" applyFill="1" applyAlignment="1" applyProtection="1">
      <alignment vertical="center"/>
      <protection locked="0"/>
    </xf>
    <xf numFmtId="167" fontId="15" fillId="0" borderId="0" xfId="1" applyNumberFormat="1" applyFont="1" applyFill="1" applyAlignment="1" applyProtection="1">
      <alignment horizontal="center" vertical="center"/>
      <protection locked="0"/>
    </xf>
    <xf numFmtId="0" fontId="15" fillId="4" borderId="0" xfId="0" applyFont="1" applyFill="1" applyAlignment="1" applyProtection="1">
      <alignment vertical="justify"/>
      <protection locked="0"/>
    </xf>
    <xf numFmtId="0" fontId="5" fillId="11" borderId="1" xfId="21" applyFont="1" applyFill="1" applyBorder="1" applyAlignment="1">
      <alignment horizontal="center"/>
    </xf>
    <xf numFmtId="0" fontId="19" fillId="11" borderId="1" xfId="21" applyFont="1" applyFill="1" applyBorder="1" applyAlignment="1">
      <alignment horizontal="center" vertical="center"/>
    </xf>
    <xf numFmtId="0" fontId="19" fillId="11" borderId="1" xfId="21" applyFont="1" applyFill="1" applyBorder="1" applyAlignment="1">
      <alignment horizontal="justify" vertical="center"/>
    </xf>
    <xf numFmtId="0" fontId="19" fillId="11" borderId="1" xfId="21" applyFont="1" applyFill="1" applyBorder="1" applyAlignment="1">
      <alignment horizontal="center" vertical="center" wrapText="1"/>
    </xf>
    <xf numFmtId="0" fontId="19" fillId="11" borderId="1" xfId="21"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justify"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7" fontId="4" fillId="4" borderId="1" xfId="1" applyNumberFormat="1" applyFont="1" applyFill="1" applyBorder="1" applyAlignment="1" applyProtection="1">
      <alignment horizontal="left" vertical="center" wrapText="1"/>
      <protection locked="0"/>
    </xf>
    <xf numFmtId="167" fontId="5" fillId="4" borderId="2" xfId="1" applyNumberFormat="1" applyFont="1" applyFill="1" applyBorder="1" applyAlignment="1" applyProtection="1">
      <alignment horizontal="center" vertical="center" wrapText="1"/>
      <protection locked="0"/>
    </xf>
    <xf numFmtId="167" fontId="5" fillId="4"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1" xfId="28" applyFont="1" applyBorder="1" applyAlignment="1">
      <alignment horizontal="justify" vertical="justify" wrapText="1"/>
    </xf>
    <xf numFmtId="0" fontId="4" fillId="0" borderId="1" xfId="0" applyFont="1" applyBorder="1" applyAlignment="1">
      <alignment horizontal="left" vertical="center" wrapText="1"/>
    </xf>
    <xf numFmtId="1" fontId="4" fillId="0" borderId="1" xfId="23" applyNumberFormat="1" applyFont="1" applyBorder="1" applyAlignment="1">
      <alignment horizontal="justify" vertical="justify" wrapText="1"/>
    </xf>
    <xf numFmtId="167" fontId="4" fillId="4" borderId="1" xfId="1" applyNumberFormat="1" applyFont="1" applyFill="1" applyBorder="1" applyAlignment="1" applyProtection="1">
      <alignment horizontal="center" vertical="center" wrapText="1"/>
      <protection locked="0"/>
    </xf>
    <xf numFmtId="1" fontId="4" fillId="4" borderId="1" xfId="23" applyNumberFormat="1" applyFont="1" applyFill="1" applyBorder="1" applyAlignment="1">
      <alignment horizontal="center" vertical="center" wrapText="1"/>
    </xf>
    <xf numFmtId="1" fontId="4" fillId="4" borderId="1" xfId="23" applyNumberFormat="1"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1" xfId="24" applyFont="1" applyFill="1" applyBorder="1" applyAlignment="1">
      <alignment horizontal="left" vertical="center" wrapText="1"/>
    </xf>
    <xf numFmtId="0" fontId="4" fillId="4" borderId="1" xfId="24" applyFont="1" applyFill="1" applyBorder="1" applyAlignment="1">
      <alignment horizontal="center" vertical="center" wrapText="1"/>
    </xf>
    <xf numFmtId="0" fontId="4" fillId="4" borderId="1" xfId="24" applyFont="1" applyFill="1" applyBorder="1" applyAlignment="1">
      <alignment horizontal="center" vertical="center"/>
    </xf>
    <xf numFmtId="0" fontId="4" fillId="4" borderId="1" xfId="25" applyFont="1" applyFill="1" applyBorder="1" applyAlignment="1">
      <alignment horizontal="left" vertical="center" wrapText="1" readingOrder="1"/>
    </xf>
    <xf numFmtId="0" fontId="4" fillId="4" borderId="1" xfId="25" applyFont="1" applyFill="1" applyBorder="1" applyAlignment="1">
      <alignment horizontal="left" vertical="center" wrapText="1"/>
    </xf>
    <xf numFmtId="0" fontId="4" fillId="4" borderId="1" xfId="25" applyFont="1" applyFill="1" applyBorder="1" applyAlignment="1">
      <alignment horizontal="center" vertical="center" wrapText="1"/>
    </xf>
    <xf numFmtId="0" fontId="4" fillId="4" borderId="1" xfId="25" applyFont="1" applyFill="1" applyBorder="1" applyAlignment="1">
      <alignment horizontal="center" vertical="center"/>
    </xf>
    <xf numFmtId="0" fontId="4" fillId="4" borderId="1" xfId="26" applyFont="1" applyFill="1" applyBorder="1" applyAlignment="1">
      <alignment horizontal="left" vertical="center" wrapText="1" readingOrder="1"/>
    </xf>
    <xf numFmtId="0" fontId="4" fillId="4" borderId="1" xfId="26" applyFont="1" applyFill="1" applyBorder="1" applyAlignment="1">
      <alignment horizontal="left" vertical="center" wrapText="1"/>
    </xf>
    <xf numFmtId="0" fontId="4" fillId="4" borderId="1" xfId="26" applyFont="1" applyFill="1" applyBorder="1" applyAlignment="1">
      <alignment horizontal="center" vertical="center" wrapText="1"/>
    </xf>
    <xf numFmtId="0" fontId="4" fillId="4" borderId="7" xfId="0" applyFont="1" applyFill="1" applyBorder="1" applyAlignment="1">
      <alignment horizontal="left" vertical="center" wrapText="1"/>
    </xf>
    <xf numFmtId="0" fontId="5" fillId="4" borderId="1" xfId="21" applyFont="1" applyFill="1" applyBorder="1" applyAlignment="1">
      <alignment horizontal="center" vertical="center"/>
    </xf>
    <xf numFmtId="0" fontId="5" fillId="4" borderId="1" xfId="21" applyFont="1" applyFill="1" applyBorder="1" applyAlignment="1">
      <alignment horizontal="center" vertical="justify"/>
    </xf>
    <xf numFmtId="0" fontId="5" fillId="4" borderId="1" xfId="21" applyFont="1" applyFill="1" applyBorder="1" applyAlignment="1">
      <alignment horizontal="left" vertical="center"/>
    </xf>
    <xf numFmtId="167" fontId="5" fillId="4" borderId="4" xfId="21" applyNumberFormat="1" applyFont="1" applyFill="1" applyBorder="1" applyAlignment="1">
      <alignment horizontal="center" vertical="center"/>
    </xf>
    <xf numFmtId="0" fontId="4" fillId="4"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pplyProtection="1">
      <alignment horizontal="left" vertical="center"/>
      <protection locked="0"/>
    </xf>
    <xf numFmtId="0" fontId="20" fillId="0" borderId="1" xfId="0" applyFont="1" applyBorder="1" applyAlignment="1" applyProtection="1">
      <alignment horizontal="justify" vertical="justify"/>
      <protection locked="0"/>
    </xf>
    <xf numFmtId="167"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167" fontId="4" fillId="0" borderId="1" xfId="1" applyNumberFormat="1" applyFont="1" applyFill="1" applyBorder="1" applyAlignment="1" applyProtection="1">
      <alignment vertical="center"/>
      <protection locked="0"/>
    </xf>
    <xf numFmtId="167" fontId="4" fillId="0" borderId="1" xfId="1" applyNumberFormat="1" applyFont="1" applyFill="1" applyBorder="1" applyAlignment="1" applyProtection="1">
      <alignment horizontal="center" vertical="center"/>
      <protection locked="0"/>
    </xf>
    <xf numFmtId="1" fontId="4" fillId="4" borderId="4" xfId="23" applyNumberFormat="1" applyFont="1" applyFill="1" applyBorder="1" applyAlignment="1">
      <alignment horizontal="center" vertical="center" wrapText="1"/>
    </xf>
    <xf numFmtId="0" fontId="4" fillId="12" borderId="4" xfId="0" applyFont="1" applyFill="1" applyBorder="1" applyAlignment="1">
      <alignment horizontal="left" vertical="center" wrapText="1"/>
    </xf>
    <xf numFmtId="0" fontId="4" fillId="12" borderId="4" xfId="0" applyFont="1" applyFill="1" applyBorder="1" applyAlignment="1">
      <alignment horizontal="center" vertical="center" wrapText="1"/>
    </xf>
    <xf numFmtId="0" fontId="4" fillId="4" borderId="4" xfId="0" applyFont="1" applyFill="1" applyBorder="1" applyAlignment="1">
      <alignment horizontal="center" vertical="center"/>
    </xf>
    <xf numFmtId="167" fontId="4" fillId="4" borderId="4" xfId="1"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justify" vertical="justify"/>
      <protection locked="0"/>
    </xf>
    <xf numFmtId="167" fontId="3" fillId="3" borderId="1" xfId="1"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167" fontId="3" fillId="3" borderId="1" xfId="1" applyNumberFormat="1" applyFont="1" applyFill="1" applyBorder="1" applyAlignment="1" applyProtection="1">
      <alignment vertical="center"/>
      <protection locked="0"/>
    </xf>
    <xf numFmtId="167" fontId="3" fillId="3" borderId="1" xfId="1" applyNumberFormat="1" applyFont="1" applyFill="1" applyBorder="1" applyAlignment="1" applyProtection="1">
      <alignment horizontal="center" vertical="center"/>
      <protection locked="0"/>
    </xf>
    <xf numFmtId="0" fontId="19" fillId="11" borderId="1" xfId="0" applyFont="1" applyFill="1" applyBorder="1" applyAlignment="1">
      <alignment horizontal="center" vertical="center"/>
    </xf>
    <xf numFmtId="0" fontId="5" fillId="4" borderId="1" xfId="0" applyFont="1" applyFill="1" applyBorder="1" applyAlignment="1">
      <alignment horizontal="right" vertical="center"/>
    </xf>
    <xf numFmtId="0" fontId="4" fillId="4" borderId="1" xfId="0" applyFont="1" applyFill="1" applyBorder="1" applyAlignment="1" applyProtection="1">
      <alignment vertical="top" wrapText="1"/>
      <protection locked="0"/>
    </xf>
    <xf numFmtId="0" fontId="4" fillId="4" borderId="1" xfId="24" applyFont="1" applyFill="1" applyBorder="1" applyAlignment="1" applyProtection="1">
      <alignment vertical="top" wrapText="1"/>
      <protection locked="0"/>
    </xf>
    <xf numFmtId="167" fontId="5" fillId="4" borderId="1" xfId="0" applyNumberFormat="1" applyFont="1" applyFill="1" applyBorder="1" applyAlignment="1">
      <alignment horizontal="left" vertical="top" wrapText="1"/>
    </xf>
    <xf numFmtId="167" fontId="5" fillId="9" borderId="1" xfId="0" applyNumberFormat="1" applyFont="1" applyFill="1" applyBorder="1" applyAlignment="1">
      <alignment horizontal="left" vertical="top" wrapText="1"/>
    </xf>
    <xf numFmtId="0" fontId="4" fillId="4" borderId="1" xfId="0" applyFont="1" applyFill="1" applyBorder="1" applyAlignment="1" applyProtection="1">
      <alignment vertical="justify"/>
      <protection locked="0"/>
    </xf>
    <xf numFmtId="0" fontId="4" fillId="12" borderId="4" xfId="0" applyFont="1" applyFill="1" applyBorder="1" applyAlignment="1" applyProtection="1">
      <alignment vertical="top" wrapText="1"/>
      <protection locked="0"/>
    </xf>
    <xf numFmtId="0" fontId="3" fillId="3" borderId="1" xfId="0" applyFont="1" applyFill="1" applyBorder="1" applyAlignment="1" applyProtection="1">
      <alignment vertical="justify"/>
      <protection locked="0"/>
    </xf>
    <xf numFmtId="0" fontId="10" fillId="0" borderId="0" xfId="0" applyFont="1"/>
    <xf numFmtId="0" fontId="0" fillId="4" borderId="0" xfId="0" applyFill="1" applyAlignment="1" applyProtection="1">
      <alignment horizontal="justify" vertical="justify"/>
      <protection locked="0"/>
    </xf>
    <xf numFmtId="164" fontId="0" fillId="0" borderId="0" xfId="1" applyFont="1"/>
    <xf numFmtId="164" fontId="0" fillId="0" borderId="0" xfId="1" applyFont="1" applyAlignment="1">
      <alignment horizontal="center" vertical="center"/>
    </xf>
    <xf numFmtId="0" fontId="22" fillId="14" borderId="1" xfId="0" applyFont="1" applyFill="1" applyBorder="1" applyAlignment="1">
      <alignment vertical="center" wrapText="1"/>
    </xf>
    <xf numFmtId="0" fontId="22" fillId="5" borderId="1" xfId="0" applyFont="1" applyFill="1" applyBorder="1" applyAlignment="1">
      <alignment vertical="center" wrapText="1"/>
    </xf>
    <xf numFmtId="164" fontId="23" fillId="5" borderId="1" xfId="1" applyFont="1" applyFill="1" applyBorder="1"/>
    <xf numFmtId="164" fontId="23" fillId="5" borderId="1" xfId="1" applyFont="1" applyFill="1" applyBorder="1" applyAlignment="1">
      <alignment horizontal="center" vertical="center"/>
    </xf>
    <xf numFmtId="0" fontId="22" fillId="14" borderId="1" xfId="0" applyFont="1" applyFill="1" applyBorder="1" applyAlignment="1">
      <alignment vertical="center"/>
    </xf>
    <xf numFmtId="0" fontId="22" fillId="5" borderId="1" xfId="0" applyFont="1" applyFill="1" applyBorder="1" applyAlignment="1">
      <alignment vertical="center"/>
    </xf>
    <xf numFmtId="164" fontId="24" fillId="5" borderId="1" xfId="1" applyFont="1" applyFill="1" applyBorder="1" applyAlignment="1" applyProtection="1">
      <alignment horizontal="center" vertical="center" wrapText="1"/>
    </xf>
    <xf numFmtId="164" fontId="24" fillId="5" borderId="1" xfId="1" applyFont="1" applyFill="1" applyBorder="1" applyAlignment="1" applyProtection="1">
      <alignment horizont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164" fontId="25" fillId="0" borderId="1" xfId="1" applyFont="1" applyBorder="1" applyAlignment="1">
      <alignment horizontal="center" vertical="center"/>
    </xf>
    <xf numFmtId="164" fontId="26" fillId="0" borderId="1" xfId="1" applyFont="1" applyBorder="1" applyAlignment="1">
      <alignment horizontal="center" vertical="center"/>
    </xf>
    <xf numFmtId="164" fontId="26" fillId="0" borderId="1" xfId="1" applyFont="1" applyBorder="1" applyAlignment="1">
      <alignment horizontal="right" vertical="center"/>
    </xf>
    <xf numFmtId="164" fontId="23" fillId="4" borderId="1" xfId="1" applyFont="1" applyFill="1" applyBorder="1" applyAlignment="1" applyProtection="1">
      <alignment horizontal="center" vertical="center"/>
      <protection locked="0"/>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8" fillId="0" borderId="1" xfId="0" applyFont="1" applyBorder="1" applyAlignment="1">
      <alignment horizontal="left" vertical="center" wrapText="1"/>
    </xf>
    <xf numFmtId="164" fontId="27" fillId="0" borderId="1" xfId="1" applyFont="1" applyBorder="1" applyAlignment="1">
      <alignment horizontal="center" vertical="center"/>
    </xf>
    <xf numFmtId="164" fontId="28" fillId="0" borderId="1" xfId="1" applyFont="1" applyBorder="1" applyAlignment="1">
      <alignment horizontal="center" vertical="center"/>
    </xf>
    <xf numFmtId="164" fontId="28" fillId="0" borderId="1" xfId="1" applyFont="1" applyBorder="1" applyAlignment="1">
      <alignment horizontal="right" vertical="center"/>
    </xf>
    <xf numFmtId="164" fontId="0" fillId="4" borderId="1" xfId="1" applyFont="1" applyFill="1" applyBorder="1" applyAlignment="1" applyProtection="1">
      <alignment horizontal="center" vertical="center"/>
      <protection locked="0"/>
    </xf>
    <xf numFmtId="0" fontId="4" fillId="0" borderId="1" xfId="0" applyFont="1" applyBorder="1" applyAlignment="1">
      <alignment vertical="center"/>
    </xf>
    <xf numFmtId="0" fontId="29" fillId="15" borderId="1" xfId="0" applyFont="1" applyFill="1" applyBorder="1" applyAlignment="1">
      <alignment horizontal="center" vertical="center"/>
    </xf>
    <xf numFmtId="0" fontId="30" fillId="15" borderId="1" xfId="0" applyFont="1" applyFill="1" applyBorder="1" applyAlignment="1">
      <alignment horizontal="left" vertical="center" wrapText="1"/>
    </xf>
    <xf numFmtId="164" fontId="29" fillId="15" borderId="1" xfId="1" applyFont="1" applyFill="1" applyBorder="1" applyAlignment="1">
      <alignment horizontal="center" vertical="center"/>
    </xf>
    <xf numFmtId="164" fontId="30" fillId="15" borderId="1" xfId="1" applyFont="1" applyFill="1" applyBorder="1" applyAlignment="1">
      <alignment horizontal="center" vertical="center"/>
    </xf>
    <xf numFmtId="164" fontId="30" fillId="15" borderId="1" xfId="1" applyFont="1" applyFill="1" applyBorder="1" applyAlignment="1">
      <alignment horizontal="right" vertical="center"/>
    </xf>
    <xf numFmtId="164" fontId="10" fillId="15" borderId="1" xfId="1" applyFont="1" applyFill="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4" fontId="27" fillId="0" borderId="1" xfId="1" applyFont="1" applyBorder="1" applyAlignment="1">
      <alignment horizontal="center" vertical="center" wrapText="1"/>
    </xf>
    <xf numFmtId="164" fontId="0" fillId="4" borderId="1" xfId="1" applyFont="1" applyFill="1" applyBorder="1" applyAlignment="1" applyProtection="1">
      <alignment horizontal="justify" vertical="justify"/>
      <protection locked="0"/>
    </xf>
    <xf numFmtId="164" fontId="28" fillId="0" borderId="1" xfId="1" applyFont="1" applyBorder="1" applyAlignment="1">
      <alignment horizontal="center" vertical="center" wrapText="1"/>
    </xf>
    <xf numFmtId="0" fontId="4" fillId="0" borderId="1" xfId="0" applyFont="1" applyBorder="1" applyAlignment="1">
      <alignment vertical="center" wrapText="1"/>
    </xf>
    <xf numFmtId="164" fontId="4" fillId="0" borderId="1" xfId="1" applyFont="1" applyBorder="1" applyAlignment="1">
      <alignment horizontal="center" vertical="center"/>
    </xf>
    <xf numFmtId="0" fontId="31" fillId="14" borderId="1" xfId="0" applyFont="1" applyFill="1" applyBorder="1" applyAlignment="1">
      <alignment horizontal="center" vertical="center" wrapText="1"/>
    </xf>
    <xf numFmtId="0" fontId="31" fillId="14" borderId="1" xfId="0" applyFont="1" applyFill="1" applyBorder="1" applyAlignment="1">
      <alignment vertical="center" wrapText="1"/>
    </xf>
    <xf numFmtId="164" fontId="0" fillId="5" borderId="1" xfId="1" applyFont="1" applyFill="1" applyBorder="1"/>
    <xf numFmtId="164" fontId="0" fillId="5" borderId="1" xfId="1" applyFont="1" applyFill="1" applyBorder="1" applyAlignment="1">
      <alignment horizontal="center" vertical="center"/>
    </xf>
    <xf numFmtId="164" fontId="28" fillId="0" borderId="1" xfId="1" applyFont="1" applyBorder="1" applyAlignment="1">
      <alignment horizontal="right" vertical="center" wrapText="1"/>
    </xf>
    <xf numFmtId="164" fontId="0" fillId="4" borderId="0" xfId="1" applyFont="1" applyFill="1" applyAlignment="1" applyProtection="1">
      <alignment horizontal="justify" vertical="justify"/>
      <protection locked="0"/>
    </xf>
    <xf numFmtId="164" fontId="4" fillId="0" borderId="1" xfId="1"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left" vertical="center" wrapText="1"/>
    </xf>
    <xf numFmtId="164" fontId="29" fillId="0" borderId="1" xfId="1" applyFont="1" applyFill="1" applyBorder="1" applyAlignment="1">
      <alignment horizontal="center" vertical="center"/>
    </xf>
    <xf numFmtId="164" fontId="30" fillId="0" borderId="1" xfId="1" applyFont="1" applyFill="1" applyBorder="1" applyAlignment="1">
      <alignment horizontal="center" vertical="center"/>
    </xf>
    <xf numFmtId="164" fontId="30" fillId="0" borderId="1" xfId="1" applyFont="1" applyFill="1" applyBorder="1" applyAlignment="1">
      <alignment horizontal="right" vertical="center"/>
    </xf>
    <xf numFmtId="164" fontId="10" fillId="0" borderId="1" xfId="1" applyFont="1" applyFill="1" applyBorder="1" applyAlignment="1" applyProtection="1">
      <alignment horizontal="center" vertical="center"/>
      <protection locked="0"/>
    </xf>
    <xf numFmtId="0" fontId="21" fillId="4" borderId="0" xfId="0" applyFont="1" applyFill="1" applyAlignment="1" applyProtection="1">
      <alignment vertical="justify"/>
      <protection locked="0"/>
    </xf>
    <xf numFmtId="0" fontId="21" fillId="4" borderId="0" xfId="0" applyFont="1" applyFill="1" applyAlignment="1" applyProtection="1">
      <alignment horizontal="justify" vertical="justify"/>
      <protection locked="0"/>
    </xf>
    <xf numFmtId="0" fontId="0" fillId="4" borderId="0" xfId="0" applyFill="1" applyAlignment="1" applyProtection="1">
      <alignment horizontal="right" vertical="center"/>
      <protection locked="0"/>
    </xf>
    <xf numFmtId="0" fontId="0" fillId="4" borderId="0" xfId="0" applyFill="1" applyAlignment="1" applyProtection="1">
      <alignment vertical="center"/>
      <protection locked="0"/>
    </xf>
    <xf numFmtId="0" fontId="0" fillId="4" borderId="0" xfId="0" applyFill="1" applyAlignment="1" applyProtection="1">
      <alignment horizontal="justify" vertical="center"/>
      <protection locked="0"/>
    </xf>
    <xf numFmtId="0" fontId="9" fillId="4" borderId="0" xfId="0" applyFont="1" applyFill="1" applyAlignment="1" applyProtection="1">
      <alignment horizontal="justify" vertical="justify"/>
      <protection locked="0"/>
    </xf>
    <xf numFmtId="168" fontId="15" fillId="4" borderId="0" xfId="0" applyNumberFormat="1" applyFont="1" applyFill="1" applyAlignment="1" applyProtection="1">
      <alignment vertical="justify"/>
      <protection locked="0"/>
    </xf>
    <xf numFmtId="168" fontId="15" fillId="4" borderId="0" xfId="0" applyNumberFormat="1" applyFont="1" applyFill="1" applyAlignment="1" applyProtection="1">
      <alignment horizontal="right" vertical="justify"/>
      <protection locked="0"/>
    </xf>
    <xf numFmtId="168" fontId="9" fillId="4" borderId="0" xfId="0" applyNumberFormat="1" applyFont="1" applyFill="1" applyAlignment="1" applyProtection="1">
      <alignment vertical="justify"/>
      <protection locked="0"/>
    </xf>
    <xf numFmtId="0" fontId="9" fillId="4" borderId="0" xfId="0" applyFont="1" applyFill="1" applyAlignment="1" applyProtection="1">
      <alignment vertical="justify"/>
      <protection locked="0"/>
    </xf>
    <xf numFmtId="168" fontId="33" fillId="2" borderId="2" xfId="1" applyNumberFormat="1" applyFont="1" applyFill="1" applyBorder="1" applyAlignment="1" applyProtection="1">
      <alignment horizontal="center" vertical="center" wrapText="1"/>
      <protection locked="0"/>
    </xf>
    <xf numFmtId="168" fontId="33" fillId="2" borderId="4" xfId="1" applyNumberFormat="1" applyFont="1" applyFill="1" applyBorder="1" applyAlignment="1">
      <alignment horizontal="center" vertical="center" wrapText="1"/>
    </xf>
    <xf numFmtId="0" fontId="21" fillId="14" borderId="1" xfId="0" applyFont="1" applyFill="1" applyBorder="1" applyAlignment="1">
      <alignment vertical="center" wrapText="1"/>
    </xf>
    <xf numFmtId="0" fontId="21" fillId="5" borderId="1" xfId="0" applyFont="1" applyFill="1" applyBorder="1" applyAlignment="1">
      <alignment horizontal="center" vertical="center" wrapText="1"/>
    </xf>
    <xf numFmtId="168" fontId="21" fillId="5" borderId="1" xfId="0" applyNumberFormat="1" applyFont="1" applyFill="1" applyBorder="1" applyAlignment="1" applyProtection="1">
      <alignment horizontal="justify" vertical="justify"/>
      <protection locked="0"/>
    </xf>
    <xf numFmtId="0" fontId="21" fillId="5" borderId="1" xfId="0" applyFont="1" applyFill="1" applyBorder="1" applyAlignment="1" applyProtection="1">
      <alignment horizontal="justify" vertical="justify"/>
      <protection locked="0"/>
    </xf>
    <xf numFmtId="0" fontId="34" fillId="0" borderId="1" xfId="0" applyFont="1" applyBorder="1" applyAlignment="1">
      <alignment horizontal="center" vertical="center" wrapText="1"/>
    </xf>
    <xf numFmtId="0" fontId="35" fillId="0" borderId="1" xfId="15" applyNumberFormat="1" applyFont="1" applyBorder="1" applyAlignment="1">
      <alignment horizontal="justify" vertical="top" wrapText="1"/>
    </xf>
    <xf numFmtId="0" fontId="34" fillId="0" borderId="1" xfId="0" applyFont="1" applyBorder="1" applyAlignment="1">
      <alignment horizontal="center" vertical="center"/>
    </xf>
    <xf numFmtId="0" fontId="36" fillId="0" borderId="1" xfId="0" applyFont="1" applyBorder="1" applyAlignment="1">
      <alignment horizontal="right" vertical="center" wrapText="1"/>
    </xf>
    <xf numFmtId="168" fontId="9" fillId="4" borderId="1" xfId="0" applyNumberFormat="1" applyFont="1" applyFill="1" applyBorder="1" applyAlignment="1" applyProtection="1">
      <alignment horizontal="justify" vertical="justify"/>
      <protection locked="0"/>
    </xf>
    <xf numFmtId="0" fontId="9" fillId="4" borderId="1" xfId="0" applyFont="1" applyFill="1" applyBorder="1" applyAlignment="1" applyProtection="1">
      <alignment horizontal="justify" vertical="justify"/>
      <protection locked="0"/>
    </xf>
    <xf numFmtId="0" fontId="37" fillId="14" borderId="1" xfId="0" applyFont="1" applyFill="1" applyBorder="1" applyAlignment="1">
      <alignment vertical="center" wrapText="1"/>
    </xf>
    <xf numFmtId="0" fontId="37" fillId="5" borderId="1" xfId="0" applyFont="1" applyFill="1" applyBorder="1" applyAlignment="1">
      <alignment vertical="center" wrapText="1"/>
    </xf>
    <xf numFmtId="168" fontId="9" fillId="5" borderId="1" xfId="0" applyNumberFormat="1" applyFont="1" applyFill="1" applyBorder="1" applyAlignment="1" applyProtection="1">
      <alignment horizontal="justify" vertical="justify"/>
      <protection locked="0"/>
    </xf>
    <xf numFmtId="0" fontId="9" fillId="5" borderId="1" xfId="0" applyFont="1" applyFill="1" applyBorder="1" applyAlignment="1" applyProtection="1">
      <alignment horizontal="justify" vertical="justify"/>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43" fontId="36" fillId="0" borderId="1" xfId="0" applyNumberFormat="1" applyFont="1" applyBorder="1" applyAlignment="1">
      <alignment horizontal="right" vertical="center" wrapText="1"/>
    </xf>
    <xf numFmtId="164" fontId="9" fillId="4" borderId="1" xfId="0" applyNumberFormat="1" applyFont="1" applyFill="1" applyBorder="1" applyAlignment="1" applyProtection="1">
      <alignment horizontal="justify" vertical="justify"/>
      <protection locked="0"/>
    </xf>
    <xf numFmtId="164" fontId="9" fillId="4" borderId="1" xfId="1" applyFont="1" applyFill="1" applyBorder="1" applyAlignment="1" applyProtection="1">
      <alignment horizontal="right" vertical="justify"/>
      <protection locked="0"/>
    </xf>
    <xf numFmtId="0" fontId="34" fillId="0" borderId="1" xfId="0" applyFont="1" applyBorder="1" applyAlignment="1">
      <alignment vertical="center" wrapText="1"/>
    </xf>
    <xf numFmtId="164" fontId="9" fillId="4" borderId="1" xfId="0" applyNumberFormat="1" applyFont="1" applyFill="1" applyBorder="1" applyAlignment="1" applyProtection="1">
      <alignment horizontal="right" vertical="justify"/>
      <protection locked="0"/>
    </xf>
    <xf numFmtId="1" fontId="35" fillId="0" borderId="1" xfId="0" applyNumberFormat="1" applyFont="1" applyBorder="1" applyAlignment="1">
      <alignment horizontal="center" vertical="center" wrapText="1"/>
    </xf>
    <xf numFmtId="0" fontId="35" fillId="0" borderId="1" xfId="0" applyFont="1" applyBorder="1" applyAlignment="1">
      <alignment horizontal="justify"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43" fontId="36" fillId="0" borderId="1" xfId="1" applyNumberFormat="1" applyFont="1" applyBorder="1" applyAlignment="1">
      <alignment horizontal="right" vertical="center" wrapText="1"/>
    </xf>
    <xf numFmtId="0" fontId="34"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2" fontId="34" fillId="6" borderId="1" xfId="0" applyNumberFormat="1" applyFont="1" applyFill="1" applyBorder="1" applyAlignment="1">
      <alignment horizontal="center" vertical="center" wrapText="1"/>
    </xf>
    <xf numFmtId="0" fontId="36" fillId="6" borderId="1" xfId="0" applyFont="1" applyFill="1" applyBorder="1" applyAlignment="1">
      <alignment horizontal="right" vertical="center" wrapText="1"/>
    </xf>
    <xf numFmtId="167" fontId="39" fillId="6" borderId="1" xfId="0" applyNumberFormat="1" applyFont="1" applyFill="1" applyBorder="1" applyAlignment="1">
      <alignment horizontal="right" vertical="center" wrapText="1"/>
    </xf>
    <xf numFmtId="0" fontId="9" fillId="6" borderId="1" xfId="0" applyFont="1" applyFill="1" applyBorder="1" applyAlignment="1" applyProtection="1">
      <alignment horizontal="justify" vertical="justify"/>
      <protection locked="0"/>
    </xf>
    <xf numFmtId="0" fontId="37" fillId="14" borderId="1" xfId="0" applyFont="1" applyFill="1" applyBorder="1" applyAlignment="1">
      <alignment horizontal="center" vertical="center" wrapText="1"/>
    </xf>
    <xf numFmtId="168" fontId="9" fillId="16" borderId="1" xfId="0" applyNumberFormat="1" applyFont="1" applyFill="1" applyBorder="1" applyAlignment="1" applyProtection="1">
      <alignment horizontal="justify" vertical="justify"/>
      <protection locked="0"/>
    </xf>
    <xf numFmtId="0" fontId="9" fillId="16" borderId="1" xfId="0" applyFont="1" applyFill="1" applyBorder="1" applyAlignment="1" applyProtection="1">
      <alignment horizontal="justify" vertical="justify"/>
      <protection locked="0"/>
    </xf>
    <xf numFmtId="0" fontId="34" fillId="0" borderId="1" xfId="0" applyFont="1" applyBorder="1" applyAlignment="1">
      <alignment horizontal="right" vertical="center" wrapText="1"/>
    </xf>
    <xf numFmtId="0" fontId="34" fillId="0" borderId="1" xfId="0" applyFont="1" applyBorder="1" applyAlignment="1">
      <alignment horizontal="right" vertical="center"/>
    </xf>
    <xf numFmtId="0" fontId="9" fillId="4" borderId="1" xfId="0" applyFont="1" applyFill="1" applyBorder="1" applyAlignment="1" applyProtection="1">
      <alignment horizontal="right" vertical="center"/>
      <protection locked="0"/>
    </xf>
    <xf numFmtId="164" fontId="9" fillId="4" borderId="1" xfId="0" applyNumberFormat="1" applyFont="1" applyFill="1" applyBorder="1" applyAlignment="1" applyProtection="1">
      <alignment horizontal="right" vertical="center"/>
      <protection locked="0"/>
    </xf>
    <xf numFmtId="0" fontId="34" fillId="0" borderId="1" xfId="0" applyFont="1" applyBorder="1" applyAlignment="1">
      <alignment vertical="center"/>
    </xf>
    <xf numFmtId="0" fontId="9" fillId="4" borderId="1" xfId="0" applyFont="1" applyFill="1" applyBorder="1" applyAlignment="1" applyProtection="1">
      <alignment vertical="center"/>
      <protection locked="0"/>
    </xf>
    <xf numFmtId="43" fontId="36" fillId="0" borderId="1" xfId="0" applyNumberFormat="1" applyFont="1" applyBorder="1" applyAlignment="1">
      <alignment vertical="center" wrapText="1"/>
    </xf>
    <xf numFmtId="164" fontId="9" fillId="4" borderId="1" xfId="0" applyNumberFormat="1" applyFont="1" applyFill="1" applyBorder="1" applyAlignment="1" applyProtection="1">
      <alignment vertical="center"/>
      <protection locked="0"/>
    </xf>
    <xf numFmtId="0" fontId="38" fillId="6" borderId="1" xfId="0" applyFont="1" applyFill="1" applyBorder="1" applyAlignment="1">
      <alignment horizontal="right" vertical="center" wrapText="1"/>
    </xf>
    <xf numFmtId="0" fontId="34" fillId="6"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40" fillId="0" borderId="1" xfId="0" applyFont="1" applyBorder="1" applyAlignment="1">
      <alignment vertical="center" wrapText="1"/>
    </xf>
    <xf numFmtId="0" fontId="9" fillId="4" borderId="1" xfId="0" applyFont="1" applyFill="1" applyBorder="1" applyAlignment="1" applyProtection="1">
      <alignment horizontal="justify" vertical="center"/>
      <protection locked="0"/>
    </xf>
    <xf numFmtId="168" fontId="9" fillId="4" borderId="1" xfId="0" applyNumberFormat="1" applyFont="1" applyFill="1" applyBorder="1" applyAlignment="1" applyProtection="1">
      <alignment horizontal="justify" vertical="center"/>
      <protection locked="0"/>
    </xf>
    <xf numFmtId="168" fontId="9" fillId="4" borderId="0" xfId="0" applyNumberFormat="1" applyFont="1" applyFill="1" applyAlignment="1" applyProtection="1">
      <alignment horizontal="right" vertical="justify"/>
      <protection locked="0"/>
    </xf>
    <xf numFmtId="0" fontId="9" fillId="0" borderId="1" xfId="0" applyFont="1" applyBorder="1"/>
    <xf numFmtId="167" fontId="9" fillId="0" borderId="1" xfId="1" applyNumberFormat="1" applyFont="1" applyFill="1" applyBorder="1" applyAlignment="1" applyProtection="1">
      <alignment horizontal="center" vertical="center"/>
      <protection locked="0"/>
    </xf>
    <xf numFmtId="43" fontId="35" fillId="0" borderId="1" xfId="0" applyNumberFormat="1" applyFont="1" applyBorder="1" applyAlignment="1">
      <alignment horizontal="right" vertical="center" wrapText="1"/>
    </xf>
    <xf numFmtId="0" fontId="9" fillId="0" borderId="1" xfId="0" applyFont="1" applyBorder="1" applyAlignment="1">
      <alignment horizontal="center"/>
    </xf>
    <xf numFmtId="0" fontId="9" fillId="6" borderId="1" xfId="0" applyFont="1" applyFill="1" applyBorder="1" applyAlignment="1" applyProtection="1">
      <alignment horizontal="center" vertical="center"/>
      <protection locked="0"/>
    </xf>
    <xf numFmtId="0" fontId="41" fillId="6" borderId="1" xfId="0" applyFont="1" applyFill="1" applyBorder="1" applyAlignment="1" applyProtection="1">
      <alignment horizontal="center" vertical="center"/>
      <protection locked="0"/>
    </xf>
    <xf numFmtId="167" fontId="9" fillId="6" borderId="1" xfId="1" applyNumberFormat="1"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left" wrapText="1"/>
    </xf>
    <xf numFmtId="0" fontId="42" fillId="2" borderId="1" xfId="0" applyFont="1" applyFill="1" applyBorder="1" applyAlignment="1" applyProtection="1">
      <alignment horizontal="center" vertical="justify"/>
      <protection locked="0"/>
    </xf>
    <xf numFmtId="167" fontId="41" fillId="2" borderId="1" xfId="1" applyNumberFormat="1" applyFont="1" applyFill="1" applyBorder="1" applyAlignment="1" applyProtection="1">
      <alignment horizontal="center" vertical="center"/>
      <protection locked="0"/>
    </xf>
    <xf numFmtId="168" fontId="41" fillId="2" borderId="1" xfId="0" applyNumberFormat="1" applyFont="1" applyFill="1" applyBorder="1" applyAlignment="1" applyProtection="1">
      <alignment horizontal="center" vertical="center"/>
      <protection locked="0"/>
    </xf>
    <xf numFmtId="164" fontId="41" fillId="2" borderId="1" xfId="1" applyFont="1" applyFill="1" applyBorder="1" applyAlignment="1" applyProtection="1">
      <alignment vertical="center"/>
      <protection locked="0"/>
    </xf>
    <xf numFmtId="0" fontId="9" fillId="0" borderId="1" xfId="0" applyFont="1" applyBorder="1" applyAlignment="1" applyProtection="1">
      <alignment horizontal="left" vertical="center"/>
      <protection locked="0"/>
    </xf>
    <xf numFmtId="0" fontId="37" fillId="0" borderId="1" xfId="0" applyFont="1" applyBorder="1" applyAlignment="1">
      <alignment vertical="center" wrapText="1"/>
    </xf>
    <xf numFmtId="167" fontId="9" fillId="0" borderId="1" xfId="1" applyNumberFormat="1"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167" fontId="9" fillId="0" borderId="1" xfId="1" applyNumberFormat="1" applyFont="1" applyFill="1" applyBorder="1" applyAlignment="1" applyProtection="1">
      <alignment vertical="center"/>
      <protection locked="0"/>
    </xf>
    <xf numFmtId="168" fontId="9" fillId="0" borderId="1" xfId="0" applyNumberFormat="1" applyFont="1" applyBorder="1" applyAlignment="1" applyProtection="1">
      <alignment vertical="justify"/>
      <protection locked="0"/>
    </xf>
    <xf numFmtId="0" fontId="9" fillId="0" borderId="1" xfId="0" applyFont="1" applyBorder="1" applyAlignment="1" applyProtection="1">
      <alignment vertical="justify"/>
      <protection locked="0"/>
    </xf>
    <xf numFmtId="168" fontId="9" fillId="4" borderId="1" xfId="0" applyNumberFormat="1" applyFont="1" applyFill="1" applyBorder="1" applyAlignment="1" applyProtection="1">
      <alignment vertical="justify"/>
      <protection locked="0"/>
    </xf>
    <xf numFmtId="0" fontId="9" fillId="4" borderId="1" xfId="0" applyFont="1" applyFill="1" applyBorder="1" applyAlignment="1" applyProtection="1">
      <alignment vertical="justify"/>
      <protection locked="0"/>
    </xf>
    <xf numFmtId="168" fontId="41" fillId="2" borderId="5" xfId="1" applyNumberFormat="1" applyFont="1" applyFill="1" applyBorder="1" applyAlignment="1" applyProtection="1">
      <alignment horizontal="right" vertical="center"/>
      <protection locked="0"/>
    </xf>
    <xf numFmtId="0" fontId="44" fillId="0" borderId="0" xfId="0" applyFont="1"/>
    <xf numFmtId="0" fontId="45" fillId="0" borderId="0" xfId="0" applyFont="1"/>
    <xf numFmtId="0" fontId="47" fillId="2" borderId="1" xfId="0" applyFont="1" applyFill="1" applyBorder="1"/>
    <xf numFmtId="0" fontId="47" fillId="2" borderId="1" xfId="0" applyFont="1" applyFill="1" applyBorder="1" applyAlignment="1">
      <alignment horizontal="center" vertical="center"/>
    </xf>
    <xf numFmtId="0" fontId="45" fillId="0" borderId="1" xfId="0" applyFont="1" applyBorder="1"/>
    <xf numFmtId="0" fontId="45" fillId="0" borderId="1" xfId="0" applyFont="1" applyBorder="1" applyAlignment="1">
      <alignment horizontal="center" vertical="center"/>
    </xf>
    <xf numFmtId="0" fontId="48" fillId="0" borderId="1" xfId="20" applyFont="1" applyBorder="1" applyAlignment="1">
      <alignment horizontal="center" wrapText="1"/>
    </xf>
    <xf numFmtId="0" fontId="48" fillId="0" borderId="1" xfId="20" applyFont="1" applyBorder="1" applyAlignment="1">
      <alignment horizontal="center"/>
    </xf>
    <xf numFmtId="0" fontId="48" fillId="0" borderId="1" xfId="20" applyFont="1" applyBorder="1"/>
    <xf numFmtId="2" fontId="48" fillId="0" borderId="1" xfId="20" applyNumberFormat="1" applyFont="1" applyBorder="1" applyAlignment="1">
      <alignment horizontal="center"/>
    </xf>
    <xf numFmtId="165" fontId="48" fillId="0" borderId="1" xfId="20" applyNumberFormat="1" applyFont="1" applyBorder="1" applyAlignment="1">
      <alignment horizontal="center"/>
    </xf>
    <xf numFmtId="0" fontId="48" fillId="0" borderId="0" xfId="20" applyFont="1" applyAlignment="1">
      <alignment horizontal="center" wrapText="1"/>
    </xf>
    <xf numFmtId="0" fontId="48" fillId="0" borderId="0" xfId="20" applyFont="1" applyAlignment="1">
      <alignment horizontal="center"/>
    </xf>
    <xf numFmtId="0" fontId="48" fillId="0" borderId="0" xfId="20" applyFont="1"/>
    <xf numFmtId="0" fontId="45" fillId="0" borderId="1" xfId="0" applyFont="1" applyBorder="1" applyAlignment="1">
      <alignment horizontal="center"/>
    </xf>
    <xf numFmtId="0" fontId="45" fillId="0" borderId="8" xfId="0" applyFont="1" applyBorder="1"/>
    <xf numFmtId="0" fontId="45" fillId="0" borderId="9" xfId="0" applyFont="1" applyBorder="1"/>
    <xf numFmtId="0" fontId="45" fillId="0" borderId="10" xfId="0" applyFont="1" applyBorder="1"/>
    <xf numFmtId="0" fontId="5" fillId="0" borderId="1" xfId="0" applyFont="1" applyBorder="1" applyAlignment="1">
      <alignment horizontal="left" vertical="top"/>
    </xf>
    <xf numFmtId="0" fontId="4" fillId="0" borderId="1" xfId="0" applyFont="1" applyBorder="1" applyAlignment="1">
      <alignment horizontal="left" vertical="top" wrapText="1"/>
    </xf>
    <xf numFmtId="165" fontId="48" fillId="0" borderId="0" xfId="20" applyNumberFormat="1" applyFont="1" applyAlignment="1">
      <alignment horizontal="center"/>
    </xf>
    <xf numFmtId="2" fontId="48" fillId="0" borderId="0" xfId="20" applyNumberFormat="1"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5" fillId="0" borderId="6" xfId="0" applyFont="1" applyBorder="1"/>
    <xf numFmtId="0" fontId="5" fillId="0" borderId="1" xfId="0" applyFont="1" applyBorder="1" applyAlignment="1">
      <alignment horizontal="left" vertical="top" wrapText="1"/>
    </xf>
    <xf numFmtId="0" fontId="23" fillId="0" borderId="0" xfId="0" applyFont="1" applyAlignment="1" applyProtection="1">
      <alignment vertical="justify"/>
      <protection locked="0"/>
    </xf>
    <xf numFmtId="0" fontId="49" fillId="0" borderId="0" xfId="21" applyFont="1"/>
    <xf numFmtId="0" fontId="49" fillId="0" borderId="0" xfId="0" applyFont="1"/>
    <xf numFmtId="0" fontId="23" fillId="0" borderId="0" xfId="0" applyFont="1"/>
    <xf numFmtId="0" fontId="50" fillId="0" borderId="0" xfId="21" applyFont="1" applyAlignment="1">
      <alignment horizontal="center"/>
    </xf>
    <xf numFmtId="0" fontId="23" fillId="0" borderId="0" xfId="0" applyFont="1" applyAlignment="1" applyProtection="1">
      <alignment horizontal="justify" vertical="justify"/>
      <protection locked="0"/>
    </xf>
    <xf numFmtId="0" fontId="51" fillId="0" borderId="0" xfId="0" applyFont="1" applyAlignment="1" applyProtection="1">
      <alignment horizontal="left" vertical="center"/>
      <protection locked="0"/>
    </xf>
    <xf numFmtId="0" fontId="49" fillId="0" borderId="0" xfId="0" applyFont="1" applyAlignment="1" applyProtection="1">
      <alignment horizontal="justify" vertical="justify"/>
      <protection locked="0"/>
    </xf>
    <xf numFmtId="167" fontId="49" fillId="0" borderId="0" xfId="1" applyNumberFormat="1" applyFont="1" applyFill="1" applyAlignment="1" applyProtection="1">
      <alignment horizontal="left" vertical="center"/>
      <protection locked="0"/>
    </xf>
    <xf numFmtId="0" fontId="49" fillId="0" borderId="0" xfId="0" applyFont="1" applyAlignment="1" applyProtection="1">
      <alignment horizontal="center" vertical="center"/>
      <protection locked="0"/>
    </xf>
    <xf numFmtId="167" fontId="49" fillId="0" borderId="0" xfId="1" applyNumberFormat="1" applyFont="1" applyFill="1" applyAlignment="1" applyProtection="1">
      <alignment vertical="center"/>
      <protection locked="0"/>
    </xf>
    <xf numFmtId="0" fontId="49" fillId="0" borderId="0" xfId="0" applyFont="1" applyAlignment="1" applyProtection="1">
      <alignment vertical="justify"/>
      <protection locked="0"/>
    </xf>
    <xf numFmtId="0" fontId="33" fillId="2" borderId="1" xfId="0" applyFont="1" applyFill="1" applyBorder="1" applyAlignment="1">
      <alignment horizontal="center" vertical="center"/>
    </xf>
    <xf numFmtId="0" fontId="33" fillId="2" borderId="1" xfId="0" applyFont="1" applyFill="1" applyBorder="1" applyAlignment="1">
      <alignment horizontal="center" vertical="justify"/>
    </xf>
    <xf numFmtId="0" fontId="53" fillId="2" borderId="1" xfId="0" applyFont="1" applyFill="1" applyBorder="1" applyAlignment="1" applyProtection="1">
      <alignment vertical="justify"/>
      <protection locked="0"/>
    </xf>
    <xf numFmtId="0" fontId="33" fillId="2" borderId="1" xfId="21" applyFont="1" applyFill="1" applyBorder="1" applyAlignment="1">
      <alignment horizontal="center" vertical="center"/>
    </xf>
    <xf numFmtId="0" fontId="33" fillId="2" borderId="1" xfId="21" applyFont="1" applyFill="1" applyBorder="1" applyAlignment="1">
      <alignment horizontal="center" vertical="justify"/>
    </xf>
    <xf numFmtId="0" fontId="53" fillId="2" borderId="1" xfId="21" applyFont="1" applyFill="1" applyBorder="1"/>
    <xf numFmtId="0" fontId="33" fillId="2" borderId="1" xfId="21" applyFont="1" applyFill="1" applyBorder="1" applyAlignment="1">
      <alignment horizontal="center" vertical="center" wrapText="1"/>
    </xf>
    <xf numFmtId="0" fontId="54" fillId="0" borderId="1" xfId="0" applyFont="1" applyBorder="1" applyAlignment="1">
      <alignment horizontal="center" vertical="center"/>
    </xf>
    <xf numFmtId="0" fontId="21" fillId="0" borderId="1" xfId="0" applyFont="1" applyBorder="1" applyAlignment="1">
      <alignment horizontal="justify" vertical="justify"/>
    </xf>
    <xf numFmtId="4" fontId="54" fillId="0" borderId="1" xfId="0" applyNumberFormat="1" applyFont="1" applyBorder="1" applyAlignment="1">
      <alignment horizontal="center" vertical="center"/>
    </xf>
    <xf numFmtId="0" fontId="54" fillId="0" borderId="1" xfId="0" applyFont="1" applyBorder="1"/>
    <xf numFmtId="0" fontId="54" fillId="0" borderId="1" xfId="0" applyFont="1" applyBorder="1" applyAlignment="1">
      <alignment horizontal="justify" vertical="justify" wrapText="1"/>
    </xf>
    <xf numFmtId="0" fontId="54" fillId="0" borderId="1" xfId="0" applyFont="1" applyBorder="1" applyAlignment="1">
      <alignment horizontal="justify" vertical="top"/>
    </xf>
    <xf numFmtId="0" fontId="54" fillId="0" borderId="1" xfId="0" applyFont="1" applyBorder="1" applyAlignment="1">
      <alignment horizontal="justify" vertical="justify"/>
    </xf>
    <xf numFmtId="0" fontId="54" fillId="0" borderId="1" xfId="21" applyFont="1" applyBorder="1" applyAlignment="1">
      <alignment horizontal="center" vertical="center"/>
    </xf>
    <xf numFmtId="0" fontId="21" fillId="0" borderId="1" xfId="21" applyFont="1" applyBorder="1" applyAlignment="1">
      <alignment horizontal="justify" vertical="justify"/>
    </xf>
    <xf numFmtId="0" fontId="21" fillId="0" borderId="1" xfId="21" applyFont="1" applyBorder="1" applyAlignment="1">
      <alignment horizontal="center" vertical="center"/>
    </xf>
    <xf numFmtId="4" fontId="21" fillId="0" borderId="1" xfId="21" applyNumberFormat="1" applyFont="1" applyBorder="1" applyAlignment="1">
      <alignment horizontal="center" vertical="center"/>
    </xf>
    <xf numFmtId="0" fontId="54" fillId="0" borderId="1" xfId="21" applyFont="1" applyBorder="1" applyAlignment="1">
      <alignment horizontal="justify" vertical="justify"/>
    </xf>
    <xf numFmtId="2" fontId="54" fillId="0" borderId="1" xfId="21" applyNumberFormat="1" applyFont="1" applyBorder="1" applyAlignment="1">
      <alignment horizontal="center" vertical="center"/>
    </xf>
    <xf numFmtId="0" fontId="54" fillId="0" borderId="1" xfId="21" applyFont="1" applyBorder="1" applyAlignment="1">
      <alignment horizontal="right"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4" fontId="54" fillId="0" borderId="1" xfId="24" applyNumberFormat="1" applyFont="1" applyBorder="1" applyAlignment="1">
      <alignment horizontal="center" vertical="center"/>
    </xf>
    <xf numFmtId="4" fontId="54" fillId="0" borderId="1" xfId="0" applyNumberFormat="1" applyFont="1" applyBorder="1"/>
    <xf numFmtId="0" fontId="21" fillId="0" borderId="1" xfId="0" applyFont="1" applyBorder="1" applyAlignment="1">
      <alignment horizontal="justify" vertical="justify" wrapText="1"/>
    </xf>
    <xf numFmtId="0" fontId="54" fillId="0" borderId="1" xfId="0" applyFont="1" applyBorder="1" applyAlignment="1">
      <alignment horizontal="center"/>
    </xf>
    <xf numFmtId="0" fontId="54" fillId="0" borderId="1" xfId="0" applyFont="1" applyBorder="1" applyAlignment="1">
      <alignment horizontal="center" wrapText="1"/>
    </xf>
    <xf numFmtId="165" fontId="54" fillId="0" borderId="1" xfId="0" applyNumberFormat="1" applyFont="1" applyBorder="1" applyAlignment="1">
      <alignment horizontal="center" vertical="center" wrapText="1"/>
    </xf>
    <xf numFmtId="2" fontId="54" fillId="0" borderId="1" xfId="0" applyNumberFormat="1" applyFont="1" applyBorder="1" applyAlignment="1">
      <alignment horizontal="center" vertical="center"/>
    </xf>
    <xf numFmtId="0" fontId="55" fillId="0" borderId="1" xfId="0" applyFont="1" applyBorder="1" applyAlignment="1">
      <alignment horizontal="center" vertical="center"/>
    </xf>
    <xf numFmtId="0" fontId="55" fillId="0" borderId="1" xfId="21" applyFont="1" applyBorder="1" applyAlignment="1">
      <alignment horizontal="center" vertical="center"/>
    </xf>
    <xf numFmtId="0" fontId="21" fillId="0" borderId="1" xfId="21" applyFont="1" applyBorder="1" applyAlignment="1">
      <alignment horizontal="left" vertical="justify"/>
    </xf>
    <xf numFmtId="0" fontId="21" fillId="0" borderId="1" xfId="21" applyFont="1" applyBorder="1" applyAlignment="1">
      <alignment horizontal="center"/>
    </xf>
    <xf numFmtId="4" fontId="21" fillId="0" borderId="1" xfId="21" applyNumberFormat="1" applyFont="1" applyBorder="1" applyAlignment="1">
      <alignment horizontal="center"/>
    </xf>
    <xf numFmtId="0" fontId="56" fillId="6" borderId="1" xfId="0" applyFont="1" applyFill="1" applyBorder="1" applyAlignment="1">
      <alignment horizontal="center" vertical="center"/>
    </xf>
    <xf numFmtId="0" fontId="21" fillId="6" borderId="1" xfId="0" applyFont="1" applyFill="1" applyBorder="1" applyAlignment="1">
      <alignment horizontal="justify" vertical="justify"/>
    </xf>
    <xf numFmtId="0" fontId="21" fillId="6" borderId="1" xfId="0" applyFont="1" applyFill="1" applyBorder="1" applyAlignment="1">
      <alignment horizontal="center" vertical="center"/>
    </xf>
    <xf numFmtId="4" fontId="21" fillId="3" borderId="1" xfId="0" applyNumberFormat="1" applyFont="1" applyFill="1" applyBorder="1" applyAlignment="1">
      <alignment horizontal="center" vertical="center"/>
    </xf>
    <xf numFmtId="0" fontId="54" fillId="3" borderId="1" xfId="21" applyFont="1" applyFill="1" applyBorder="1"/>
    <xf numFmtId="0" fontId="21" fillId="0" borderId="1" xfId="0" applyFont="1" applyBorder="1" applyAlignment="1">
      <alignment horizontal="center" vertical="center"/>
    </xf>
    <xf numFmtId="0" fontId="54" fillId="0" borderId="1" xfId="21" applyFont="1" applyBorder="1" applyAlignment="1">
      <alignment vertical="center"/>
    </xf>
    <xf numFmtId="0" fontId="54" fillId="0" borderId="1" xfId="21" applyFont="1" applyBorder="1"/>
    <xf numFmtId="0" fontId="55" fillId="0" borderId="1" xfId="0" applyFont="1" applyBorder="1" applyAlignment="1">
      <alignment horizontal="justify" vertical="justify"/>
    </xf>
    <xf numFmtId="164" fontId="54" fillId="0" borderId="1" xfId="1" applyFont="1" applyFill="1" applyBorder="1"/>
    <xf numFmtId="165" fontId="54"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54" fillId="0" borderId="1" xfId="0" applyFont="1" applyBorder="1" applyAlignment="1">
      <alignment horizontal="center" vertical="top"/>
    </xf>
    <xf numFmtId="0" fontId="21" fillId="0" borderId="1" xfId="21" applyFont="1" applyBorder="1" applyAlignment="1">
      <alignment horizontal="left" vertical="center"/>
    </xf>
    <xf numFmtId="0" fontId="54" fillId="0" borderId="1" xfId="21" applyFont="1" applyBorder="1" applyAlignment="1">
      <alignment horizontal="center"/>
    </xf>
    <xf numFmtId="0" fontId="55" fillId="0" borderId="1" xfId="0" applyFont="1" applyBorder="1" applyAlignment="1">
      <alignment horizontal="center" vertical="center" wrapText="1"/>
    </xf>
    <xf numFmtId="4" fontId="21" fillId="0" borderId="1" xfId="0" applyNumberFormat="1" applyFont="1" applyBorder="1" applyAlignment="1">
      <alignment horizontal="center" vertical="center"/>
    </xf>
    <xf numFmtId="0" fontId="54" fillId="0" borderId="1" xfId="0" applyFont="1" applyBorder="1" applyAlignment="1">
      <alignment horizontal="center" vertical="justify" wrapText="1"/>
    </xf>
    <xf numFmtId="0" fontId="21" fillId="0" borderId="1" xfId="0" applyFont="1" applyBorder="1" applyAlignment="1">
      <alignment vertical="center"/>
    </xf>
    <xf numFmtId="4" fontId="54" fillId="0" borderId="1" xfId="0" applyNumberFormat="1" applyFont="1" applyBorder="1" applyAlignment="1">
      <alignment horizontal="right" vertical="center"/>
    </xf>
    <xf numFmtId="0" fontId="55" fillId="0" borderId="1" xfId="0" applyFont="1" applyBorder="1" applyAlignment="1">
      <alignment horizontal="justify" vertical="justify" wrapText="1"/>
    </xf>
    <xf numFmtId="4" fontId="54" fillId="0" borderId="1" xfId="27" applyNumberFormat="1" applyFont="1" applyBorder="1" applyAlignment="1">
      <alignment horizontal="center" vertical="center"/>
    </xf>
    <xf numFmtId="0" fontId="54" fillId="0" borderId="1" xfId="0" applyFont="1" applyBorder="1" applyAlignment="1" applyProtection="1">
      <alignment horizontal="justify" vertical="justify"/>
      <protection locked="0"/>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top" wrapText="1"/>
    </xf>
    <xf numFmtId="43" fontId="54" fillId="0" borderId="1" xfId="1" applyNumberFormat="1" applyFont="1" applyFill="1" applyBorder="1" applyAlignment="1">
      <alignment horizontal="right" vertical="center" wrapText="1"/>
    </xf>
    <xf numFmtId="0" fontId="54" fillId="0" borderId="1" xfId="0" applyFont="1" applyBorder="1" applyAlignment="1">
      <alignment vertical="center" wrapText="1"/>
    </xf>
    <xf numFmtId="0" fontId="54" fillId="0" borderId="1" xfId="0" applyFont="1" applyBorder="1" applyAlignment="1">
      <alignment horizontal="justify" vertical="top" wrapText="1"/>
    </xf>
    <xf numFmtId="0" fontId="54" fillId="0" borderId="1" xfId="0" applyFont="1" applyBorder="1" applyAlignment="1">
      <alignment horizontal="right" vertical="top" wrapText="1"/>
    </xf>
    <xf numFmtId="0" fontId="57" fillId="0" borderId="1" xfId="0" applyFont="1" applyBorder="1" applyAlignment="1">
      <alignment vertical="top" wrapText="1"/>
    </xf>
    <xf numFmtId="43" fontId="54" fillId="0" borderId="1" xfId="0" applyNumberFormat="1" applyFont="1" applyBorder="1" applyAlignment="1">
      <alignment horizontal="right" vertical="center" wrapText="1"/>
    </xf>
    <xf numFmtId="0" fontId="54" fillId="0" borderId="1" xfId="0" applyFont="1" applyBorder="1" applyAlignment="1">
      <alignment horizontal="left" vertical="top" wrapText="1"/>
    </xf>
    <xf numFmtId="0" fontId="54" fillId="0" borderId="1" xfId="15" applyNumberFormat="1" applyFont="1" applyFill="1" applyBorder="1" applyAlignment="1">
      <alignment horizontal="justify" vertical="top" wrapText="1"/>
    </xf>
    <xf numFmtId="0" fontId="21" fillId="0" borderId="1" xfId="15" applyNumberFormat="1" applyFont="1" applyFill="1" applyBorder="1" applyAlignment="1">
      <alignment horizontal="right" vertical="top" wrapText="1"/>
    </xf>
    <xf numFmtId="43" fontId="21" fillId="0" borderId="1" xfId="1" applyNumberFormat="1" applyFont="1" applyFill="1" applyBorder="1" applyAlignment="1">
      <alignment horizontal="right" vertical="center" wrapText="1"/>
    </xf>
    <xf numFmtId="0" fontId="21" fillId="0" borderId="1" xfId="15" applyNumberFormat="1" applyFont="1" applyFill="1" applyBorder="1" applyAlignment="1">
      <alignment horizontal="justify" vertical="top" wrapText="1"/>
    </xf>
    <xf numFmtId="1" fontId="54"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2" fontId="54" fillId="0" borderId="1" xfId="0" applyNumberFormat="1" applyFont="1" applyBorder="1" applyAlignment="1">
      <alignment horizontal="center" vertical="center" wrapText="1"/>
    </xf>
    <xf numFmtId="0" fontId="21" fillId="0" borderId="1" xfId="0" applyFont="1" applyBorder="1" applyAlignment="1">
      <alignment horizontal="right" vertical="center" wrapText="1"/>
    </xf>
    <xf numFmtId="0" fontId="54" fillId="0" borderId="1" xfId="17" applyFont="1" applyBorder="1" applyAlignment="1">
      <alignment horizontal="justify" vertical="top" wrapText="1"/>
    </xf>
    <xf numFmtId="43" fontId="54" fillId="0" borderId="1" xfId="1" applyNumberFormat="1" applyFont="1" applyFill="1" applyBorder="1" applyAlignment="1">
      <alignment horizontal="center" vertical="center" wrapText="1"/>
    </xf>
    <xf numFmtId="43" fontId="54" fillId="0" borderId="1" xfId="1" applyNumberFormat="1" applyFont="1" applyFill="1" applyBorder="1" applyAlignment="1">
      <alignment horizontal="left" vertical="center" wrapText="1"/>
    </xf>
    <xf numFmtId="0" fontId="58" fillId="0" borderId="1" xfId="0" applyFont="1" applyBorder="1" applyAlignment="1">
      <alignment horizontal="justify" vertical="justify" wrapText="1"/>
    </xf>
    <xf numFmtId="43" fontId="54" fillId="0" borderId="1" xfId="1" applyNumberFormat="1" applyFont="1" applyFill="1" applyBorder="1"/>
    <xf numFmtId="43" fontId="54" fillId="0" borderId="1" xfId="1" applyNumberFormat="1" applyFont="1" applyFill="1" applyBorder="1" applyAlignment="1" applyProtection="1">
      <alignment horizontal="center" vertical="center"/>
      <protection locked="0"/>
    </xf>
    <xf numFmtId="167" fontId="54" fillId="0" borderId="1" xfId="1" applyNumberFormat="1" applyFont="1" applyFill="1" applyBorder="1" applyAlignment="1" applyProtection="1">
      <alignment horizontal="center" vertical="center"/>
      <protection locked="0"/>
    </xf>
    <xf numFmtId="43" fontId="21" fillId="0" borderId="1" xfId="1" applyNumberFormat="1" applyFont="1" applyFill="1" applyBorder="1" applyAlignment="1" applyProtection="1">
      <alignment horizontal="center" vertical="center"/>
      <protection locked="0"/>
    </xf>
    <xf numFmtId="3" fontId="21" fillId="0" borderId="1" xfId="0" applyNumberFormat="1" applyFont="1" applyBorder="1" applyAlignment="1">
      <alignment horizontal="center" vertical="center"/>
    </xf>
    <xf numFmtId="0" fontId="54" fillId="0" borderId="1" xfId="0" applyFont="1" applyBorder="1" applyAlignment="1" applyProtection="1">
      <alignment vertical="justify"/>
      <protection locked="0"/>
    </xf>
    <xf numFmtId="0" fontId="21" fillId="3" borderId="1" xfId="0" applyFont="1" applyFill="1" applyBorder="1" applyAlignment="1">
      <alignment horizontal="center" vertical="center"/>
    </xf>
    <xf numFmtId="3" fontId="21" fillId="3" borderId="1" xfId="0" applyNumberFormat="1" applyFont="1" applyFill="1" applyBorder="1" applyAlignment="1">
      <alignment horizontal="center" vertical="center"/>
    </xf>
    <xf numFmtId="0" fontId="55" fillId="0" borderId="1" xfId="0" applyFont="1" applyBorder="1" applyAlignment="1" applyProtection="1">
      <alignment horizontal="left" vertical="center"/>
      <protection locked="0"/>
    </xf>
    <xf numFmtId="167" fontId="54" fillId="0" borderId="1" xfId="1" applyNumberFormat="1" applyFont="1" applyFill="1" applyBorder="1" applyAlignment="1" applyProtection="1">
      <alignment horizontal="left" vertical="center"/>
      <protection locked="0"/>
    </xf>
    <xf numFmtId="0" fontId="54" fillId="0" borderId="1" xfId="0" applyFont="1" applyBorder="1" applyAlignment="1" applyProtection="1">
      <alignment horizontal="center" vertical="center"/>
      <protection locked="0"/>
    </xf>
    <xf numFmtId="167" fontId="54" fillId="0" borderId="1" xfId="1"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horizontal="center" vertical="center" wrapText="1"/>
    </xf>
    <xf numFmtId="0" fontId="59" fillId="2" borderId="1" xfId="0" applyFont="1" applyFill="1" applyBorder="1" applyAlignment="1">
      <alignment horizontal="center" vertical="center" wrapText="1"/>
    </xf>
    <xf numFmtId="43" fontId="59" fillId="2" borderId="1" xfId="16" applyFont="1" applyFill="1" applyBorder="1" applyAlignment="1" applyProtection="1">
      <alignment horizontal="center" vertical="center" wrapText="1"/>
    </xf>
    <xf numFmtId="0" fontId="31" fillId="0" borderId="1"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31"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left" vertical="center" wrapText="1"/>
    </xf>
    <xf numFmtId="0" fontId="4" fillId="6" borderId="1" xfId="0" applyFont="1" applyFill="1" applyBorder="1" applyAlignment="1">
      <alignment horizontal="center" vertical="center" wrapText="1"/>
    </xf>
    <xf numFmtId="0" fontId="10" fillId="6" borderId="1" xfId="0" applyFont="1" applyFill="1" applyBorder="1" applyAlignment="1">
      <alignment horizontal="left" wrapText="1"/>
    </xf>
    <xf numFmtId="3" fontId="4" fillId="6" borderId="1" xfId="0" applyNumberFormat="1" applyFont="1" applyFill="1" applyBorder="1" applyAlignment="1">
      <alignment horizontal="center" vertical="center" wrapText="1"/>
    </xf>
    <xf numFmtId="0" fontId="0" fillId="6" borderId="1" xfId="0" applyFill="1" applyBorder="1" applyAlignment="1">
      <alignment wrapText="1"/>
    </xf>
    <xf numFmtId="0" fontId="0" fillId="0" borderId="1" xfId="0" applyBorder="1" applyAlignment="1">
      <alignment horizontal="left" wrapText="1"/>
    </xf>
    <xf numFmtId="0" fontId="5" fillId="6" borderId="1" xfId="0" applyFont="1" applyFill="1" applyBorder="1" applyAlignment="1">
      <alignment horizontal="left" vertical="top" wrapText="1"/>
    </xf>
    <xf numFmtId="0" fontId="5" fillId="6" borderId="1" xfId="0" applyFont="1" applyFill="1" applyBorder="1" applyAlignment="1">
      <alignment horizontal="justify" vertical="top" wrapText="1"/>
    </xf>
    <xf numFmtId="0" fontId="5" fillId="0" borderId="1" xfId="0" applyFont="1" applyBorder="1" applyAlignment="1">
      <alignment horizontal="justify" vertical="top" wrapText="1"/>
    </xf>
    <xf numFmtId="0" fontId="0" fillId="4" borderId="1" xfId="0" applyFill="1" applyBorder="1" applyAlignment="1">
      <alignment wrapText="1"/>
    </xf>
    <xf numFmtId="0" fontId="10" fillId="6" borderId="1" xfId="0" applyFont="1" applyFill="1" applyBorder="1" applyAlignment="1">
      <alignment wrapText="1"/>
    </xf>
    <xf numFmtId="0" fontId="10" fillId="4" borderId="1" xfId="0" applyFont="1" applyFill="1" applyBorder="1" applyAlignment="1">
      <alignment wrapText="1"/>
    </xf>
    <xf numFmtId="0" fontId="10" fillId="0" borderId="1" xfId="0" applyFont="1" applyBorder="1" applyAlignment="1">
      <alignment wrapText="1"/>
    </xf>
    <xf numFmtId="0" fontId="4" fillId="0" borderId="1" xfId="0" applyFont="1" applyBorder="1" applyAlignment="1">
      <alignment horizontal="right" vertical="top" wrapText="1"/>
    </xf>
    <xf numFmtId="2" fontId="4" fillId="0" borderId="1" xfId="0" applyNumberFormat="1" applyFont="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17"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justify" vertical="top" wrapText="1"/>
    </xf>
    <xf numFmtId="0" fontId="5" fillId="4"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4" borderId="1" xfId="0" applyFont="1" applyFill="1" applyBorder="1" applyAlignment="1">
      <alignment horizontal="justify" vertical="center" wrapText="1"/>
    </xf>
    <xf numFmtId="0" fontId="5" fillId="6"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20" fillId="0" borderId="1" xfId="0" applyFont="1" applyBorder="1" applyAlignment="1">
      <alignment horizontal="justify" vertical="top" wrapText="1"/>
    </xf>
    <xf numFmtId="0" fontId="31" fillId="4" borderId="1" xfId="0" applyFont="1" applyFill="1" applyBorder="1" applyAlignment="1">
      <alignment horizontal="center" vertical="center" wrapText="1"/>
    </xf>
    <xf numFmtId="0" fontId="60" fillId="0" borderId="1" xfId="0" applyFont="1" applyBorder="1" applyAlignment="1">
      <alignment horizontal="justify" vertical="top" wrapText="1"/>
    </xf>
    <xf numFmtId="0" fontId="5" fillId="0" borderId="1" xfId="0" applyFont="1" applyBorder="1" applyAlignment="1">
      <alignment horizontal="center" vertical="center" wrapText="1"/>
    </xf>
    <xf numFmtId="0" fontId="4" fillId="0" borderId="1" xfId="0" applyFont="1" applyBorder="1" applyAlignment="1" applyProtection="1">
      <alignment horizontal="justify" vertical="top" wrapText="1"/>
      <protection locked="0"/>
    </xf>
    <xf numFmtId="167" fontId="4" fillId="0" borderId="1" xfId="1" applyNumberFormat="1" applyFont="1" applyFill="1" applyBorder="1" applyAlignment="1" applyProtection="1">
      <alignment horizontal="justify" vertical="top" wrapText="1"/>
      <protection locked="0"/>
    </xf>
    <xf numFmtId="167" fontId="5" fillId="4" borderId="1" xfId="1" applyNumberFormat="1" applyFont="1" applyFill="1" applyBorder="1" applyAlignment="1" applyProtection="1">
      <alignment horizontal="justify" vertical="top" wrapText="1"/>
      <protection locked="0"/>
    </xf>
    <xf numFmtId="0" fontId="5" fillId="0" borderId="1" xfId="0" applyFont="1" applyBorder="1" applyAlignment="1">
      <alignment horizontal="center" vertical="top" wrapText="1"/>
    </xf>
    <xf numFmtId="0" fontId="0" fillId="0" borderId="1" xfId="0" applyBorder="1" applyAlignment="1">
      <alignment horizontal="right" wrapText="1"/>
    </xf>
    <xf numFmtId="0" fontId="61" fillId="6" borderId="1" xfId="0" applyFont="1" applyFill="1" applyBorder="1" applyAlignment="1">
      <alignment wrapText="1"/>
    </xf>
    <xf numFmtId="0" fontId="0" fillId="0" borderId="1" xfId="0" applyBorder="1" applyAlignment="1">
      <alignment horizont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top"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0" fillId="18" borderId="1" xfId="0" applyFill="1" applyBorder="1" applyAlignment="1">
      <alignment wrapText="1"/>
    </xf>
    <xf numFmtId="0" fontId="10" fillId="18" borderId="1" xfId="0" applyFont="1" applyFill="1" applyBorder="1" applyAlignment="1">
      <alignment horizontal="left" wrapText="1"/>
    </xf>
    <xf numFmtId="0" fontId="0" fillId="18" borderId="1" xfId="0" applyFill="1" applyBorder="1" applyAlignment="1">
      <alignment horizontal="center" wrapText="1"/>
    </xf>
    <xf numFmtId="0" fontId="0" fillId="18" borderId="1" xfId="0" applyFill="1" applyBorder="1" applyAlignment="1">
      <alignment horizontal="center" vertical="center" wrapText="1"/>
    </xf>
    <xf numFmtId="169" fontId="100" fillId="0" borderId="1" xfId="28" applyNumberFormat="1" applyBorder="1" applyAlignment="1">
      <alignment vertical="center" wrapText="1"/>
    </xf>
    <xf numFmtId="0" fontId="62" fillId="0" borderId="1" xfId="0" applyFont="1" applyBorder="1" applyAlignment="1">
      <alignment horizontal="center" vertical="center" wrapText="1"/>
    </xf>
    <xf numFmtId="0" fontId="62" fillId="0" borderId="1" xfId="0" applyFont="1" applyBorder="1" applyAlignment="1">
      <alignment wrapText="1"/>
    </xf>
    <xf numFmtId="0" fontId="10" fillId="0" borderId="0" xfId="0" applyFont="1" applyAlignment="1" applyProtection="1">
      <alignment horizontal="justify" vertical="justify"/>
      <protection locked="0"/>
    </xf>
    <xf numFmtId="0" fontId="10" fillId="4" borderId="0" xfId="0" applyFont="1" applyFill="1" applyAlignment="1" applyProtection="1">
      <alignment horizontal="justify" vertical="justify"/>
      <protection locked="0"/>
    </xf>
    <xf numFmtId="0" fontId="11" fillId="4" borderId="0" xfId="0" applyFont="1" applyFill="1" applyAlignment="1" applyProtection="1">
      <alignment horizontal="justify" vertical="justify"/>
      <protection locked="0"/>
    </xf>
    <xf numFmtId="0" fontId="0" fillId="4" borderId="0" xfId="0" applyFill="1" applyAlignment="1" applyProtection="1">
      <alignment horizontal="justify" vertical="top" wrapText="1"/>
      <protection locked="0"/>
    </xf>
    <xf numFmtId="0" fontId="0" fillId="4" borderId="0" xfId="0" applyFill="1" applyAlignment="1" applyProtection="1">
      <alignment horizontal="justify" vertical="center" wrapText="1"/>
      <protection locked="0"/>
    </xf>
    <xf numFmtId="0" fontId="0" fillId="4" borderId="0" xfId="0" applyFill="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0" borderId="0" xfId="0" applyAlignment="1" applyProtection="1">
      <alignment horizontal="center" vertical="center"/>
      <protection locked="0"/>
    </xf>
    <xf numFmtId="0" fontId="63" fillId="0" borderId="0" xfId="0" applyFont="1" applyAlignment="1" applyProtection="1">
      <alignment horizontal="justify" vertical="justify"/>
      <protection locked="0"/>
    </xf>
    <xf numFmtId="0" fontId="63" fillId="0" borderId="0" xfId="0" applyFont="1" applyAlignment="1" applyProtection="1">
      <alignment horizontal="center" vertical="justify"/>
      <protection locked="0"/>
    </xf>
    <xf numFmtId="167" fontId="0" fillId="0" borderId="0" xfId="1" applyNumberFormat="1" applyFont="1" applyFill="1" applyAlignment="1" applyProtection="1">
      <alignment horizontal="center" vertical="center"/>
      <protection locked="0"/>
    </xf>
    <xf numFmtId="164" fontId="0" fillId="0" borderId="0" xfId="1" applyFont="1" applyFill="1" applyAlignment="1" applyProtection="1">
      <alignment vertical="center"/>
      <protection locked="0"/>
    </xf>
    <xf numFmtId="164" fontId="0" fillId="0" borderId="0" xfId="1" applyFont="1" applyFill="1" applyAlignment="1" applyProtection="1">
      <alignment horizontal="center" vertical="center"/>
      <protection locked="0"/>
    </xf>
    <xf numFmtId="0" fontId="37" fillId="2" borderId="1" xfId="0" applyFont="1" applyFill="1" applyBorder="1" applyAlignment="1">
      <alignment vertical="center" wrapText="1"/>
    </xf>
    <xf numFmtId="0" fontId="37" fillId="2" borderId="1" xfId="0" applyFont="1" applyFill="1" applyBorder="1" applyAlignment="1">
      <alignment horizontal="center" vertical="center" wrapText="1"/>
    </xf>
    <xf numFmtId="0" fontId="64" fillId="2" borderId="1" xfId="0" applyFont="1" applyFill="1" applyBorder="1" applyAlignment="1">
      <alignment horizontal="center" vertical="center" wrapText="1"/>
    </xf>
    <xf numFmtId="164" fontId="65" fillId="2" borderId="1" xfId="1" applyFont="1" applyFill="1" applyBorder="1" applyAlignment="1" applyProtection="1">
      <alignment vertical="center"/>
      <protection locked="0"/>
    </xf>
    <xf numFmtId="0" fontId="4" fillId="0" borderId="11" xfId="0" applyFont="1" applyBorder="1" applyAlignment="1">
      <alignment horizontal="center" vertical="center"/>
    </xf>
    <xf numFmtId="0" fontId="66" fillId="0" borderId="1" xfId="0" applyFont="1" applyBorder="1" applyAlignment="1">
      <alignment horizontal="justify" vertical="justify"/>
    </xf>
    <xf numFmtId="167" fontId="4" fillId="0" borderId="1" xfId="1" applyNumberFormat="1" applyFont="1" applyFill="1" applyBorder="1" applyAlignment="1" applyProtection="1">
      <alignment horizontal="center" vertical="center"/>
    </xf>
    <xf numFmtId="164" fontId="0" fillId="0" borderId="1" xfId="1" applyFon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164" fontId="4" fillId="0" borderId="1" xfId="1" applyFont="1" applyFill="1" applyBorder="1" applyAlignment="1" applyProtection="1">
      <alignment horizontal="center" vertical="center" wrapText="1"/>
      <protection locked="0"/>
    </xf>
    <xf numFmtId="164" fontId="0" fillId="0" borderId="1" xfId="1" applyFont="1" applyFill="1" applyBorder="1" applyAlignment="1" applyProtection="1">
      <alignment vertical="center" wrapText="1"/>
      <protection locked="0"/>
    </xf>
    <xf numFmtId="167" fontId="4" fillId="0" borderId="1" xfId="3" applyNumberFormat="1" applyFont="1" applyFill="1" applyBorder="1" applyAlignment="1" applyProtection="1">
      <alignment horizontal="center" vertical="center" wrapText="1"/>
    </xf>
    <xf numFmtId="167" fontId="4" fillId="4" borderId="1" xfId="3" applyNumberFormat="1" applyFont="1" applyFill="1" applyBorder="1" applyAlignment="1" applyProtection="1">
      <alignment horizontal="center" vertical="center" wrapText="1"/>
    </xf>
    <xf numFmtId="0" fontId="0" fillId="0" borderId="0" xfId="0" applyAlignment="1" applyProtection="1">
      <alignment vertical="center" wrapText="1"/>
      <protection locked="0"/>
    </xf>
    <xf numFmtId="0" fontId="67" fillId="3" borderId="1" xfId="0" applyFont="1" applyFill="1" applyBorder="1" applyAlignment="1">
      <alignment vertical="center" wrapText="1"/>
    </xf>
    <xf numFmtId="0" fontId="67" fillId="3" borderId="1" xfId="0" applyFont="1" applyFill="1" applyBorder="1" applyAlignment="1">
      <alignment horizontal="center" vertical="center" wrapText="1"/>
    </xf>
    <xf numFmtId="164" fontId="67" fillId="3" borderId="1" xfId="1" applyFont="1" applyFill="1" applyBorder="1" applyAlignment="1">
      <alignment horizontal="center" vertical="center" wrapText="1"/>
    </xf>
    <xf numFmtId="164" fontId="68" fillId="3" borderId="1" xfId="1" applyFont="1" applyFill="1" applyBorder="1" applyAlignment="1" applyProtection="1">
      <alignment vertical="center" wrapText="1"/>
      <protection locked="0"/>
    </xf>
    <xf numFmtId="167" fontId="4" fillId="4" borderId="1" xfId="1" applyNumberFormat="1" applyFont="1" applyFill="1" applyBorder="1" applyAlignment="1" applyProtection="1">
      <alignment horizontal="center" vertical="center" wrapText="1"/>
    </xf>
    <xf numFmtId="164" fontId="4" fillId="4" borderId="1" xfId="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xf>
    <xf numFmtId="164" fontId="65" fillId="2"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wrapText="1"/>
      <protection locked="0"/>
    </xf>
    <xf numFmtId="164" fontId="68" fillId="3" borderId="1" xfId="1"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164" fontId="5" fillId="4" borderId="1" xfId="1" applyFont="1" applyFill="1" applyBorder="1" applyAlignment="1" applyProtection="1">
      <alignment horizontal="center" vertical="center" wrapText="1"/>
      <protection locked="0"/>
    </xf>
    <xf numFmtId="0" fontId="31" fillId="3" borderId="1" xfId="0" applyFont="1" applyFill="1" applyBorder="1" applyAlignment="1">
      <alignment vertical="center" wrapText="1"/>
    </xf>
    <xf numFmtId="0" fontId="31" fillId="3" borderId="1" xfId="0" applyFont="1" applyFill="1" applyBorder="1" applyAlignment="1">
      <alignment horizontal="center" vertical="center" wrapText="1"/>
    </xf>
    <xf numFmtId="164" fontId="31" fillId="3" borderId="1" xfId="1" applyFont="1" applyFill="1" applyBorder="1" applyAlignment="1">
      <alignment horizontal="center" vertical="center" wrapText="1"/>
    </xf>
    <xf numFmtId="164" fontId="0" fillId="3" borderId="1" xfId="1" applyFont="1" applyFill="1" applyBorder="1" applyAlignment="1" applyProtection="1">
      <alignment vertical="center" wrapText="1"/>
      <protection locked="0"/>
    </xf>
    <xf numFmtId="164" fontId="68" fillId="3" borderId="1" xfId="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63" fillId="0" borderId="1" xfId="0" applyFont="1" applyBorder="1" applyAlignment="1" applyProtection="1">
      <alignment horizontal="justify" vertical="justify"/>
      <protection locked="0"/>
    </xf>
    <xf numFmtId="0" fontId="63" fillId="0" borderId="1" xfId="0" applyFont="1" applyBorder="1" applyAlignment="1" applyProtection="1">
      <alignment horizontal="center" vertical="justify"/>
      <protection locked="0"/>
    </xf>
    <xf numFmtId="167" fontId="0" fillId="0" borderId="1" xfId="1" applyNumberFormat="1" applyFont="1" applyFill="1" applyBorder="1" applyAlignment="1" applyProtection="1">
      <alignment horizontal="center" vertical="center"/>
      <protection locked="0"/>
    </xf>
    <xf numFmtId="0" fontId="69" fillId="3" borderId="1" xfId="0" applyFont="1" applyFill="1" applyBorder="1" applyAlignment="1" applyProtection="1">
      <alignment horizontal="center" vertical="center"/>
      <protection locked="0"/>
    </xf>
    <xf numFmtId="0" fontId="69" fillId="3" borderId="1" xfId="0" applyFont="1" applyFill="1" applyBorder="1" applyAlignment="1" applyProtection="1">
      <alignment horizontal="justify" vertical="center"/>
      <protection locked="0"/>
    </xf>
    <xf numFmtId="167" fontId="69" fillId="3" borderId="1" xfId="1" applyNumberFormat="1" applyFont="1" applyFill="1" applyBorder="1" applyAlignment="1" applyProtection="1">
      <alignment horizontal="center" vertical="center"/>
      <protection locked="0"/>
    </xf>
    <xf numFmtId="164" fontId="69" fillId="3" borderId="1" xfId="1" applyFont="1" applyFill="1" applyBorder="1" applyAlignment="1" applyProtection="1">
      <alignment horizontal="center" vertical="center"/>
      <protection locked="0"/>
    </xf>
    <xf numFmtId="164" fontId="69" fillId="3" borderId="1" xfId="1" applyFont="1" applyFill="1" applyBorder="1" applyAlignment="1" applyProtection="1">
      <alignment vertical="center"/>
      <protection locked="0"/>
    </xf>
    <xf numFmtId="0" fontId="70" fillId="2" borderId="1" xfId="0" applyFont="1" applyFill="1" applyBorder="1" applyAlignment="1" applyProtection="1">
      <alignment horizontal="center" vertical="center"/>
      <protection locked="0"/>
    </xf>
    <xf numFmtId="0" fontId="71" fillId="2" borderId="1" xfId="0" applyFont="1" applyFill="1" applyBorder="1" applyAlignment="1" applyProtection="1">
      <alignment horizontal="justify" vertical="center"/>
      <protection locked="0"/>
    </xf>
    <xf numFmtId="167" fontId="72" fillId="2" borderId="0" xfId="1" applyNumberFormat="1" applyFont="1" applyFill="1" applyAlignment="1" applyProtection="1">
      <alignment horizontal="center" vertical="center"/>
      <protection locked="0"/>
    </xf>
    <xf numFmtId="167" fontId="70" fillId="2" borderId="1" xfId="1" applyNumberFormat="1" applyFont="1" applyFill="1" applyBorder="1" applyAlignment="1" applyProtection="1">
      <alignment horizontal="center" vertical="center"/>
      <protection locked="0"/>
    </xf>
    <xf numFmtId="164" fontId="70" fillId="2" borderId="1" xfId="1" applyFont="1" applyFill="1" applyBorder="1" applyAlignment="1" applyProtection="1">
      <alignment horizontal="center" vertical="center"/>
      <protection locked="0"/>
    </xf>
    <xf numFmtId="164" fontId="70" fillId="2" borderId="1" xfId="1" applyFont="1" applyFill="1" applyBorder="1" applyAlignment="1" applyProtection="1">
      <alignment vertical="center"/>
      <protection locked="0"/>
    </xf>
    <xf numFmtId="0" fontId="73" fillId="0" borderId="1" xfId="0" applyFont="1" applyBorder="1" applyAlignment="1" applyProtection="1">
      <alignment horizontal="center" vertical="center"/>
      <protection locked="0"/>
    </xf>
    <xf numFmtId="0" fontId="73" fillId="0" borderId="1" xfId="0" applyFont="1" applyBorder="1" applyAlignment="1" applyProtection="1">
      <alignment horizontal="justify" vertical="justify"/>
      <protection locked="0"/>
    </xf>
    <xf numFmtId="0" fontId="73" fillId="0" borderId="1" xfId="0" applyFont="1" applyBorder="1" applyAlignment="1" applyProtection="1">
      <alignment horizontal="center" vertical="justify"/>
      <protection locked="0"/>
    </xf>
    <xf numFmtId="167" fontId="73" fillId="0" borderId="1" xfId="1" applyNumberFormat="1" applyFont="1" applyFill="1" applyBorder="1" applyAlignment="1" applyProtection="1">
      <alignment horizontal="center" vertical="center"/>
      <protection locked="0"/>
    </xf>
    <xf numFmtId="164" fontId="73" fillId="0" borderId="1" xfId="1" applyFont="1" applyFill="1" applyBorder="1" applyAlignment="1" applyProtection="1">
      <alignment horizontal="center" vertical="center"/>
      <protection locked="0"/>
    </xf>
    <xf numFmtId="164" fontId="73" fillId="0" borderId="1" xfId="1" applyFont="1" applyFill="1" applyBorder="1" applyAlignment="1" applyProtection="1">
      <alignment vertical="center"/>
      <protection locked="0"/>
    </xf>
    <xf numFmtId="0" fontId="74" fillId="0" borderId="1" xfId="0" applyFont="1" applyBorder="1" applyAlignment="1" applyProtection="1">
      <alignment horizontal="center" vertical="justify"/>
      <protection locked="0"/>
    </xf>
    <xf numFmtId="167" fontId="74" fillId="0" borderId="1" xfId="1" applyNumberFormat="1" applyFont="1" applyFill="1" applyBorder="1" applyAlignment="1" applyProtection="1">
      <alignment horizontal="center" vertical="center"/>
      <protection locked="0"/>
    </xf>
    <xf numFmtId="164" fontId="74" fillId="0" borderId="1" xfId="1" applyFont="1" applyFill="1" applyBorder="1" applyAlignment="1" applyProtection="1">
      <alignment horizontal="center" vertical="center"/>
      <protection locked="0"/>
    </xf>
    <xf numFmtId="164" fontId="74" fillId="0" borderId="1" xfId="1" applyFont="1" applyFill="1" applyBorder="1" applyAlignment="1" applyProtection="1">
      <alignment vertical="center"/>
      <protection locked="0"/>
    </xf>
    <xf numFmtId="0" fontId="10" fillId="0" borderId="1" xfId="0" applyFont="1" applyBorder="1" applyAlignment="1" applyProtection="1">
      <alignment horizontal="center" vertical="center"/>
      <protection locked="0"/>
    </xf>
    <xf numFmtId="164" fontId="0" fillId="3" borderId="1" xfId="1" applyFont="1" applyFill="1" applyBorder="1" applyAlignment="1" applyProtection="1">
      <alignment horizontal="center" vertical="center" wrapText="1"/>
      <protection locked="0"/>
    </xf>
    <xf numFmtId="0" fontId="62" fillId="0" borderId="1" xfId="0" applyFont="1" applyBorder="1" applyAlignment="1">
      <alignment horizontal="left" vertical="center" wrapText="1"/>
    </xf>
    <xf numFmtId="0" fontId="3" fillId="3" borderId="1" xfId="0" applyFont="1" applyFill="1" applyBorder="1" applyAlignment="1" applyProtection="1">
      <alignment horizontal="left" vertical="justify"/>
      <protection locked="0"/>
    </xf>
    <xf numFmtId="0" fontId="42" fillId="3" borderId="1" xfId="0" applyFont="1" applyFill="1" applyBorder="1" applyAlignment="1" applyProtection="1">
      <alignment horizontal="center" vertical="justify"/>
      <protection locked="0"/>
    </xf>
    <xf numFmtId="167" fontId="9" fillId="3" borderId="1" xfId="1" applyNumberFormat="1" applyFont="1" applyFill="1" applyBorder="1" applyAlignment="1" applyProtection="1">
      <alignment horizontal="center" vertical="center"/>
      <protection locked="0"/>
    </xf>
    <xf numFmtId="164" fontId="9" fillId="3" borderId="1" xfId="1" applyFont="1" applyFill="1" applyBorder="1" applyAlignment="1" applyProtection="1">
      <alignment horizontal="center" vertical="center"/>
      <protection locked="0"/>
    </xf>
    <xf numFmtId="164" fontId="9" fillId="3" borderId="1" xfId="1" applyFont="1" applyFill="1" applyBorder="1" applyAlignment="1" applyProtection="1">
      <alignment vertical="center"/>
      <protection locked="0"/>
    </xf>
    <xf numFmtId="164" fontId="3" fillId="3" borderId="1" xfId="1" applyFont="1" applyFill="1" applyBorder="1" applyAlignment="1" applyProtection="1">
      <alignment horizontal="center" vertical="center"/>
      <protection locked="0"/>
    </xf>
    <xf numFmtId="0" fontId="0" fillId="0" borderId="0" xfId="0" applyAlignment="1">
      <alignment vertical="top"/>
    </xf>
    <xf numFmtId="0" fontId="75" fillId="20" borderId="1" xfId="0" applyFont="1" applyFill="1" applyBorder="1" applyAlignment="1">
      <alignment horizontal="center" vertical="center"/>
    </xf>
    <xf numFmtId="0" fontId="75" fillId="20" borderId="1" xfId="0" applyFont="1" applyFill="1" applyBorder="1" applyAlignment="1">
      <alignment horizontal="left" vertical="center"/>
    </xf>
    <xf numFmtId="0" fontId="75" fillId="20"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center"/>
    </xf>
    <xf numFmtId="0" fontId="12" fillId="0" borderId="1" xfId="0" applyFont="1" applyBorder="1"/>
    <xf numFmtId="0" fontId="76" fillId="0" borderId="1" xfId="0" applyFont="1" applyBorder="1" applyAlignment="1">
      <alignment horizontal="center" vertical="top"/>
    </xf>
    <xf numFmtId="0" fontId="4" fillId="0" borderId="1" xfId="0" applyFont="1" applyBorder="1" applyAlignment="1">
      <alignment vertical="top"/>
    </xf>
    <xf numFmtId="0" fontId="0" fillId="0" borderId="1" xfId="0" applyBorder="1" applyAlignment="1">
      <alignment vertical="top"/>
    </xf>
    <xf numFmtId="0" fontId="4" fillId="0" borderId="1" xfId="0" applyFont="1" applyBorder="1" applyAlignment="1">
      <alignment horizontal="center"/>
    </xf>
    <xf numFmtId="0" fontId="4" fillId="0" borderId="1" xfId="0" applyFont="1" applyBorder="1"/>
    <xf numFmtId="167" fontId="4" fillId="0" borderId="1" xfId="1" applyNumberFormat="1" applyFont="1" applyBorder="1" applyAlignment="1">
      <alignment horizontal="center" wrapText="1"/>
    </xf>
    <xf numFmtId="0" fontId="4" fillId="0" borderId="11" xfId="0" applyFont="1" applyBorder="1" applyAlignment="1">
      <alignment horizontal="center"/>
    </xf>
    <xf numFmtId="167" fontId="4" fillId="0" borderId="8" xfId="1" applyNumberFormat="1" applyFont="1" applyBorder="1" applyAlignment="1">
      <alignment horizontal="center" wrapText="1"/>
    </xf>
    <xf numFmtId="0" fontId="0" fillId="0" borderId="5" xfId="0" applyBorder="1" applyAlignment="1">
      <alignment vertical="top"/>
    </xf>
    <xf numFmtId="167" fontId="0" fillId="0" borderId="5" xfId="0" applyNumberFormat="1" applyBorder="1" applyAlignment="1">
      <alignment vertical="top"/>
    </xf>
    <xf numFmtId="167" fontId="4" fillId="0" borderId="5" xfId="1" applyNumberFormat="1" applyFont="1" applyBorder="1" applyAlignment="1">
      <alignment horizontal="center"/>
    </xf>
    <xf numFmtId="0" fontId="4"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77" fillId="6" borderId="13" xfId="0" applyFont="1" applyFill="1" applyBorder="1" applyAlignment="1">
      <alignment horizontal="center" vertical="center"/>
    </xf>
    <xf numFmtId="167" fontId="5" fillId="6" borderId="8" xfId="1" applyNumberFormat="1" applyFont="1" applyFill="1" applyBorder="1" applyAlignment="1">
      <alignment horizontal="center" vertical="center" wrapText="1"/>
    </xf>
    <xf numFmtId="0" fontId="4" fillId="0" borderId="14" xfId="0" applyFont="1" applyBorder="1" applyAlignment="1">
      <alignment vertical="top"/>
    </xf>
    <xf numFmtId="0" fontId="5" fillId="0" borderId="15" xfId="0" applyFont="1" applyBorder="1"/>
    <xf numFmtId="0" fontId="77" fillId="0" borderId="15" xfId="0" applyFont="1" applyBorder="1" applyAlignment="1">
      <alignment horizontal="center" vertical="top"/>
    </xf>
    <xf numFmtId="166" fontId="5" fillId="0" borderId="16" xfId="0" applyNumberFormat="1" applyFont="1" applyBorder="1" applyAlignment="1">
      <alignment vertical="top"/>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37" fillId="0" borderId="1" xfId="20" applyFont="1" applyBorder="1" applyAlignment="1">
      <alignment horizontal="center" vertical="center"/>
    </xf>
    <xf numFmtId="1" fontId="35" fillId="0" borderId="5" xfId="20" applyNumberFormat="1" applyFont="1" applyBorder="1" applyAlignment="1">
      <alignment vertical="center"/>
    </xf>
    <xf numFmtId="0" fontId="0" fillId="0" borderId="5" xfId="0" applyBorder="1" applyAlignment="1">
      <alignment vertical="center"/>
    </xf>
    <xf numFmtId="0" fontId="35" fillId="0" borderId="11" xfId="20" applyFont="1" applyBorder="1" applyAlignment="1">
      <alignment horizontal="center" vertical="top" wrapText="1"/>
    </xf>
    <xf numFmtId="0" fontId="35" fillId="0" borderId="1" xfId="20" applyFont="1" applyBorder="1" applyAlignment="1">
      <alignment horizontal="justify" vertical="top" wrapText="1"/>
    </xf>
    <xf numFmtId="0" fontId="37" fillId="0" borderId="1" xfId="20" applyFont="1" applyBorder="1" applyAlignment="1">
      <alignment horizontal="center" wrapText="1"/>
    </xf>
    <xf numFmtId="0" fontId="35" fillId="0" borderId="5" xfId="20" applyFont="1" applyBorder="1" applyAlignment="1">
      <alignment wrapText="1"/>
    </xf>
    <xf numFmtId="43" fontId="4" fillId="0" borderId="8" xfId="1" applyNumberFormat="1" applyFont="1" applyBorder="1" applyAlignment="1">
      <alignment horizontal="center" wrapText="1"/>
    </xf>
    <xf numFmtId="4" fontId="0" fillId="0" borderId="5" xfId="0" applyNumberFormat="1" applyBorder="1" applyAlignment="1">
      <alignment vertical="top"/>
    </xf>
    <xf numFmtId="4" fontId="0" fillId="0" borderId="1" xfId="0" applyNumberFormat="1" applyBorder="1" applyAlignment="1">
      <alignment vertical="top"/>
    </xf>
    <xf numFmtId="43" fontId="35" fillId="0" borderId="5" xfId="1" applyNumberFormat="1" applyFont="1" applyBorder="1" applyAlignment="1">
      <alignment wrapText="1"/>
    </xf>
    <xf numFmtId="0" fontId="35" fillId="6" borderId="17" xfId="20" applyFont="1" applyFill="1" applyBorder="1" applyAlignment="1">
      <alignment horizontal="center" vertical="center" wrapText="1"/>
    </xf>
    <xf numFmtId="0" fontId="5" fillId="6" borderId="2" xfId="0" applyFont="1" applyFill="1" applyBorder="1" applyAlignment="1">
      <alignment horizontal="center" vertical="center"/>
    </xf>
    <xf numFmtId="0" fontId="4" fillId="0" borderId="15" xfId="0" applyFont="1" applyBorder="1" applyAlignment="1">
      <alignment vertical="top"/>
    </xf>
    <xf numFmtId="0" fontId="5" fillId="0" borderId="15" xfId="0" applyFont="1" applyBorder="1" applyAlignment="1">
      <alignment horizontal="center" vertical="top"/>
    </xf>
    <xf numFmtId="0" fontId="4" fillId="0" borderId="16" xfId="0" applyFont="1" applyBorder="1" applyAlignment="1">
      <alignmen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0" fontId="4" fillId="0" borderId="5" xfId="0" applyFont="1" applyBorder="1" applyAlignment="1">
      <alignment vertical="top"/>
    </xf>
    <xf numFmtId="0" fontId="4" fillId="0" borderId="11" xfId="0" applyFont="1" applyBorder="1" applyAlignment="1">
      <alignment vertical="top"/>
    </xf>
    <xf numFmtId="3" fontId="5" fillId="0" borderId="5" xfId="0" applyNumberFormat="1" applyFont="1" applyBorder="1" applyAlignment="1">
      <alignment horizontal="center"/>
    </xf>
    <xf numFmtId="0" fontId="4" fillId="0" borderId="18" xfId="0" applyFont="1" applyBorder="1" applyAlignment="1">
      <alignment vertical="top"/>
    </xf>
    <xf numFmtId="0" fontId="5" fillId="0" borderId="19" xfId="0" applyFont="1" applyBorder="1"/>
    <xf numFmtId="0" fontId="5" fillId="0" borderId="20" xfId="0" applyFont="1" applyBorder="1" applyAlignment="1">
      <alignment horizontal="center"/>
    </xf>
    <xf numFmtId="0" fontId="5" fillId="0" borderId="21" xfId="0" applyFont="1" applyBorder="1" applyAlignment="1">
      <alignment horizontal="center"/>
    </xf>
    <xf numFmtId="0" fontId="35" fillId="6" borderId="1" xfId="0" applyFont="1" applyFill="1" applyBorder="1" applyAlignment="1">
      <alignment horizontal="center" vertical="center"/>
    </xf>
    <xf numFmtId="0" fontId="37" fillId="6" borderId="1" xfId="0" applyFont="1" applyFill="1" applyBorder="1" applyAlignment="1">
      <alignment horizontal="center" vertical="center"/>
    </xf>
    <xf numFmtId="0" fontId="4" fillId="0" borderId="0" xfId="0" applyFont="1" applyAlignment="1">
      <alignment vertical="top"/>
    </xf>
    <xf numFmtId="0" fontId="5" fillId="0" borderId="0" xfId="0" applyFont="1" applyAlignment="1">
      <alignment vertical="top"/>
    </xf>
    <xf numFmtId="166" fontId="5" fillId="0" borderId="0" xfId="0" applyNumberFormat="1" applyFont="1" applyAlignment="1">
      <alignment vertical="top"/>
    </xf>
    <xf numFmtId="0" fontId="5" fillId="0" borderId="0" xfId="0" applyFont="1" applyAlignment="1">
      <alignment horizontal="center" vertical="top"/>
    </xf>
    <xf numFmtId="0" fontId="78" fillId="0" borderId="0" xfId="0" applyFont="1"/>
    <xf numFmtId="43" fontId="47" fillId="16" borderId="1" xfId="1" applyNumberFormat="1" applyFont="1" applyFill="1" applyBorder="1" applyAlignment="1">
      <alignment vertical="center"/>
    </xf>
    <xf numFmtId="164" fontId="47" fillId="16" borderId="1" xfId="1" applyFont="1" applyFill="1" applyBorder="1" applyAlignment="1">
      <alignment horizontal="right" vertical="center"/>
    </xf>
    <xf numFmtId="43" fontId="47" fillId="16" borderId="1" xfId="1" applyNumberFormat="1" applyFont="1" applyFill="1" applyBorder="1" applyAlignment="1">
      <alignment horizontal="center" vertical="center"/>
    </xf>
    <xf numFmtId="43" fontId="47" fillId="16" borderId="1" xfId="1" applyNumberFormat="1" applyFont="1" applyFill="1" applyBorder="1" applyAlignment="1">
      <alignment horizontal="center" vertical="center" wrapText="1"/>
    </xf>
    <xf numFmtId="43" fontId="45" fillId="0" borderId="1" xfId="1" applyNumberFormat="1" applyFont="1" applyFill="1" applyBorder="1" applyAlignment="1">
      <alignment vertical="center" wrapText="1"/>
    </xf>
    <xf numFmtId="0" fontId="23" fillId="0" borderId="1" xfId="0" applyFont="1" applyBorder="1" applyAlignment="1">
      <alignment horizontal="justify" vertical="top" wrapText="1"/>
    </xf>
    <xf numFmtId="164" fontId="45" fillId="0" borderId="1" xfId="1" applyFont="1" applyFill="1" applyBorder="1" applyAlignment="1">
      <alignment horizontal="right" vertical="center"/>
    </xf>
    <xf numFmtId="164" fontId="23" fillId="0" borderId="1" xfId="1" applyFont="1" applyFill="1" applyBorder="1" applyAlignment="1">
      <alignment vertical="center"/>
    </xf>
    <xf numFmtId="43" fontId="45" fillId="0" borderId="1" xfId="1" applyNumberFormat="1" applyFont="1" applyFill="1" applyBorder="1" applyAlignment="1">
      <alignment horizontal="center" vertical="center"/>
    </xf>
    <xf numFmtId="43" fontId="45" fillId="0" borderId="1" xfId="1" applyNumberFormat="1" applyFont="1" applyFill="1" applyBorder="1" applyAlignment="1">
      <alignment horizontal="center" vertical="center" wrapText="1"/>
    </xf>
    <xf numFmtId="43" fontId="45" fillId="0" borderId="1" xfId="1" applyNumberFormat="1" applyFont="1" applyFill="1" applyBorder="1" applyAlignment="1">
      <alignment vertical="center"/>
    </xf>
    <xf numFmtId="43" fontId="45" fillId="0" borderId="1" xfId="1" applyNumberFormat="1" applyFont="1" applyFill="1" applyBorder="1" applyAlignment="1">
      <alignment horizontal="left" vertical="center" wrapText="1"/>
    </xf>
    <xf numFmtId="0" fontId="23" fillId="0" borderId="1" xfId="0" applyFont="1" applyBorder="1" applyAlignment="1">
      <alignment horizontal="center" vertical="top" wrapText="1"/>
    </xf>
    <xf numFmtId="43" fontId="78" fillId="0" borderId="1" xfId="1" applyNumberFormat="1" applyFont="1" applyFill="1" applyBorder="1" applyAlignment="1">
      <alignment horizontal="left" vertical="center" wrapText="1"/>
    </xf>
    <xf numFmtId="0" fontId="45" fillId="0" borderId="1" xfId="0" applyFont="1" applyBorder="1" applyAlignment="1">
      <alignment wrapText="1"/>
    </xf>
    <xf numFmtId="164" fontId="23" fillId="0" borderId="1" xfId="1" applyFont="1" applyFill="1" applyBorder="1" applyAlignment="1">
      <alignment horizontal="center" vertical="center" wrapText="1"/>
    </xf>
    <xf numFmtId="164" fontId="23" fillId="0" borderId="1" xfId="1" applyFont="1" applyFill="1" applyBorder="1" applyAlignment="1">
      <alignment vertical="center" wrapText="1"/>
    </xf>
    <xf numFmtId="43" fontId="78" fillId="0" borderId="1" xfId="1" applyNumberFormat="1" applyFont="1" applyFill="1" applyBorder="1" applyAlignment="1">
      <alignment horizontal="center" vertical="center" wrapText="1"/>
    </xf>
    <xf numFmtId="43" fontId="78" fillId="0" borderId="1" xfId="1" applyNumberFormat="1" applyFont="1" applyFill="1" applyBorder="1" applyAlignment="1">
      <alignment vertical="center" wrapText="1"/>
    </xf>
    <xf numFmtId="43" fontId="50" fillId="0" borderId="1" xfId="1" applyNumberFormat="1" applyFont="1" applyFill="1" applyBorder="1" applyAlignment="1" applyProtection="1">
      <alignment horizontal="justify" vertical="top" wrapText="1"/>
    </xf>
    <xf numFmtId="164" fontId="50" fillId="0" borderId="1" xfId="1" applyFont="1" applyFill="1" applyBorder="1" applyAlignment="1" applyProtection="1">
      <alignment horizontal="center" vertical="center" wrapText="1"/>
    </xf>
    <xf numFmtId="43" fontId="50" fillId="0" borderId="1" xfId="1" applyNumberFormat="1" applyFont="1" applyFill="1" applyBorder="1" applyAlignment="1">
      <alignment vertical="center" wrapText="1"/>
    </xf>
    <xf numFmtId="43" fontId="50" fillId="0" borderId="1" xfId="1" applyNumberFormat="1" applyFont="1" applyFill="1" applyBorder="1" applyAlignment="1">
      <alignment horizontal="center" vertical="center" wrapText="1"/>
    </xf>
    <xf numFmtId="43" fontId="50" fillId="0" borderId="1" xfId="1" applyNumberFormat="1" applyFont="1" applyFill="1" applyBorder="1" applyAlignment="1">
      <alignment horizontal="left" vertical="center" wrapText="1"/>
    </xf>
    <xf numFmtId="164" fontId="50" fillId="0" borderId="1" xfId="1" applyFont="1" applyFill="1" applyBorder="1" applyAlignment="1">
      <alignment horizontal="right" vertical="center" wrapText="1"/>
    </xf>
    <xf numFmtId="0" fontId="50" fillId="0" borderId="1" xfId="0" applyFont="1" applyBorder="1" applyAlignment="1">
      <alignment wrapText="1"/>
    </xf>
    <xf numFmtId="164" fontId="45" fillId="0" borderId="1" xfId="1" applyFont="1" applyFill="1" applyBorder="1" applyAlignment="1">
      <alignment horizontal="right" vertical="center" wrapText="1"/>
    </xf>
    <xf numFmtId="0" fontId="0" fillId="21" borderId="1" xfId="0" applyFill="1" applyBorder="1"/>
    <xf numFmtId="43" fontId="0" fillId="21" borderId="1" xfId="0" applyNumberFormat="1" applyFill="1" applyBorder="1"/>
    <xf numFmtId="0" fontId="11" fillId="0" borderId="0" xfId="30" applyFont="1" applyAlignment="1">
      <alignment vertical="center" wrapText="1"/>
    </xf>
    <xf numFmtId="0" fontId="11" fillId="0" borderId="0" xfId="27" applyFont="1" applyProtection="1">
      <protection locked="0"/>
    </xf>
    <xf numFmtId="0" fontId="68" fillId="0" borderId="0" xfId="29" applyFont="1" applyProtection="1">
      <protection locked="0"/>
    </xf>
    <xf numFmtId="0" fontId="68" fillId="0" borderId="0" xfId="30" applyFont="1" applyAlignment="1">
      <alignment wrapText="1"/>
    </xf>
    <xf numFmtId="0" fontId="68" fillId="0" borderId="0" xfId="30" applyFont="1" applyAlignment="1">
      <alignment vertical="center"/>
    </xf>
    <xf numFmtId="0" fontId="11" fillId="0" borderId="0" xfId="30" applyFont="1"/>
    <xf numFmtId="0" fontId="9" fillId="0" borderId="0" xfId="30" applyFont="1"/>
    <xf numFmtId="0" fontId="68" fillId="0" borderId="0" xfId="30" applyFont="1" applyAlignment="1">
      <alignment horizontal="center" vertical="center"/>
    </xf>
    <xf numFmtId="0" fontId="68" fillId="0" borderId="0" xfId="30" applyFont="1" applyAlignment="1">
      <alignment horizontal="left" vertical="top" wrapText="1"/>
    </xf>
    <xf numFmtId="166" fontId="68" fillId="0" borderId="0" xfId="1" applyNumberFormat="1" applyFont="1" applyAlignment="1">
      <alignment horizontal="right"/>
    </xf>
    <xf numFmtId="166" fontId="68" fillId="0" borderId="0" xfId="1" applyNumberFormat="1" applyFont="1"/>
    <xf numFmtId="0" fontId="68" fillId="0" borderId="0" xfId="30" applyFont="1"/>
    <xf numFmtId="0" fontId="68" fillId="0" borderId="0" xfId="30" applyFont="1" applyAlignment="1">
      <alignment horizontal="center"/>
    </xf>
    <xf numFmtId="0" fontId="80" fillId="18" borderId="1" xfId="30" applyFont="1" applyFill="1" applyBorder="1" applyAlignment="1">
      <alignment vertical="center"/>
    </xf>
    <xf numFmtId="0" fontId="80" fillId="18" borderId="1" xfId="30" applyFont="1" applyFill="1" applyBorder="1" applyAlignment="1">
      <alignment vertical="top"/>
    </xf>
    <xf numFmtId="0" fontId="80" fillId="18" borderId="1" xfId="30" applyFont="1" applyFill="1" applyBorder="1" applyAlignment="1">
      <alignment horizontal="right"/>
    </xf>
    <xf numFmtId="0" fontId="80" fillId="18" borderId="1" xfId="30" applyFont="1" applyFill="1" applyBorder="1"/>
    <xf numFmtId="166" fontId="80" fillId="18" borderId="1" xfId="30" applyNumberFormat="1" applyFont="1" applyFill="1" applyBorder="1"/>
    <xf numFmtId="0" fontId="81" fillId="18" borderId="1" xfId="30" applyFont="1" applyFill="1" applyBorder="1"/>
    <xf numFmtId="0" fontId="81" fillId="18" borderId="1" xfId="30" applyFont="1" applyFill="1" applyBorder="1" applyAlignment="1">
      <alignment horizontal="center"/>
    </xf>
    <xf numFmtId="0" fontId="80" fillId="18" borderId="1" xfId="30" applyFont="1" applyFill="1" applyBorder="1" applyAlignment="1">
      <alignment horizontal="center" vertical="center" wrapText="1"/>
    </xf>
    <xf numFmtId="0" fontId="80" fillId="18" borderId="1" xfId="30" applyFont="1" applyFill="1" applyBorder="1" applyAlignment="1">
      <alignment horizontal="left" vertical="center" wrapText="1"/>
    </xf>
    <xf numFmtId="166" fontId="80" fillId="18" borderId="1" xfId="1" applyNumberFormat="1" applyFont="1" applyFill="1" applyBorder="1" applyAlignment="1">
      <alignment horizontal="center" vertical="center" wrapText="1"/>
    </xf>
    <xf numFmtId="0" fontId="50" fillId="0" borderId="1" xfId="0" applyFont="1" applyBorder="1" applyAlignment="1">
      <alignment horizontal="center" vertical="center"/>
    </xf>
    <xf numFmtId="0" fontId="82" fillId="0" borderId="1" xfId="0" applyFont="1" applyBorder="1" applyAlignment="1">
      <alignment horizontal="justify" vertical="top" wrapText="1"/>
    </xf>
    <xf numFmtId="0" fontId="50" fillId="0" borderId="1" xfId="0" applyFont="1" applyBorder="1" applyAlignment="1">
      <alignment horizontal="center" vertical="top"/>
    </xf>
    <xf numFmtId="166" fontId="83" fillId="0" borderId="1" xfId="1" applyNumberFormat="1" applyFont="1" applyBorder="1" applyAlignment="1" applyProtection="1">
      <alignment horizontal="right"/>
      <protection locked="0"/>
    </xf>
    <xf numFmtId="166" fontId="83" fillId="0" borderId="1" xfId="1" applyNumberFormat="1" applyFont="1" applyBorder="1" applyProtection="1">
      <protection locked="0"/>
    </xf>
    <xf numFmtId="0" fontId="83" fillId="0" borderId="1" xfId="27" applyFont="1" applyBorder="1" applyProtection="1">
      <protection locked="0"/>
    </xf>
    <xf numFmtId="0" fontId="83" fillId="0" borderId="1" xfId="27" applyFont="1" applyBorder="1" applyAlignment="1" applyProtection="1">
      <alignment horizontal="center"/>
      <protection locked="0"/>
    </xf>
    <xf numFmtId="0" fontId="50" fillId="0" borderId="1" xfId="0" applyFont="1" applyBorder="1" applyAlignment="1">
      <alignment horizontal="justify" vertical="top" wrapText="1"/>
    </xf>
    <xf numFmtId="166" fontId="50" fillId="0" borderId="1" xfId="1" applyNumberFormat="1" applyFont="1" applyBorder="1" applyAlignment="1" applyProtection="1">
      <alignment horizontal="right"/>
      <protection locked="0"/>
    </xf>
    <xf numFmtId="166" fontId="50" fillId="0" borderId="1" xfId="1" applyNumberFormat="1" applyFont="1" applyBorder="1" applyProtection="1">
      <protection locked="0"/>
    </xf>
    <xf numFmtId="0" fontId="50" fillId="0" borderId="1" xfId="29" applyFont="1" applyBorder="1" applyProtection="1">
      <protection locked="0"/>
    </xf>
    <xf numFmtId="0" fontId="50" fillId="0" borderId="1" xfId="29" applyFont="1" applyBorder="1" applyAlignment="1" applyProtection="1">
      <alignment horizontal="center"/>
      <protection locked="0"/>
    </xf>
    <xf numFmtId="0" fontId="83" fillId="0" borderId="1" xfId="0" applyFont="1" applyBorder="1" applyAlignment="1">
      <alignment horizontal="justify" vertical="top" wrapText="1"/>
    </xf>
    <xf numFmtId="0" fontId="50" fillId="0" borderId="1" xfId="0" applyFont="1" applyBorder="1" applyAlignment="1">
      <alignment horizontal="right" vertical="center"/>
    </xf>
    <xf numFmtId="0" fontId="50" fillId="0" borderId="1" xfId="0" applyFont="1" applyBorder="1" applyAlignment="1">
      <alignment horizontal="left" vertical="top" wrapText="1"/>
    </xf>
    <xf numFmtId="0" fontId="50" fillId="0" borderId="1" xfId="0" applyFont="1" applyBorder="1" applyAlignment="1">
      <alignment horizontal="justify" vertical="center" wrapText="1"/>
    </xf>
    <xf numFmtId="0" fontId="50" fillId="0" borderId="1" xfId="0" applyFont="1" applyBorder="1" applyAlignment="1">
      <alignment vertical="center" wrapText="1"/>
    </xf>
    <xf numFmtId="0" fontId="50" fillId="0" borderId="1" xfId="0" applyFont="1" applyBorder="1"/>
    <xf numFmtId="0" fontId="50" fillId="0" borderId="1" xfId="0" applyFont="1" applyBorder="1" applyAlignment="1">
      <alignment horizontal="justify" vertical="center"/>
    </xf>
    <xf numFmtId="0" fontId="83" fillId="0" borderId="1" xfId="30" applyFont="1" applyBorder="1" applyAlignment="1">
      <alignment horizontal="center" vertical="center"/>
    </xf>
    <xf numFmtId="0" fontId="83" fillId="0" borderId="1" xfId="30" applyFont="1" applyBorder="1" applyAlignment="1">
      <alignment horizontal="left" vertical="top" wrapText="1"/>
    </xf>
    <xf numFmtId="0" fontId="50" fillId="0" borderId="1" xfId="30" applyFont="1" applyBorder="1" applyAlignment="1">
      <alignment horizontal="center" vertical="center" wrapText="1"/>
    </xf>
    <xf numFmtId="166" fontId="50" fillId="0" borderId="1" xfId="1" applyNumberFormat="1" applyFont="1" applyBorder="1" applyAlignment="1">
      <alignment horizontal="right" vertical="center" wrapText="1"/>
    </xf>
    <xf numFmtId="166" fontId="50" fillId="0" borderId="1" xfId="1" applyNumberFormat="1" applyFont="1" applyBorder="1"/>
    <xf numFmtId="0" fontId="50" fillId="0" borderId="1" xfId="30" applyFont="1" applyBorder="1"/>
    <xf numFmtId="0" fontId="50" fillId="0" borderId="1" xfId="30" applyFont="1" applyBorder="1" applyAlignment="1">
      <alignment horizontal="center"/>
    </xf>
    <xf numFmtId="0" fontId="50" fillId="0" borderId="1" xfId="30" applyFont="1" applyBorder="1" applyAlignment="1">
      <alignment horizontal="right" vertical="center"/>
    </xf>
    <xf numFmtId="166" fontId="50" fillId="0" borderId="1" xfId="1" applyNumberFormat="1" applyFont="1" applyBorder="1" applyAlignment="1">
      <alignment vertical="center" wrapText="1"/>
    </xf>
    <xf numFmtId="0" fontId="50" fillId="0" borderId="1" xfId="30" applyFont="1" applyBorder="1" applyAlignment="1">
      <alignment horizontal="left" vertical="top" wrapText="1"/>
    </xf>
    <xf numFmtId="166" fontId="50" fillId="0" borderId="1" xfId="1" applyNumberFormat="1" applyFont="1" applyBorder="1" applyAlignment="1">
      <alignment horizontal="center" vertical="center" wrapText="1"/>
    </xf>
    <xf numFmtId="166" fontId="50" fillId="0" borderId="1" xfId="1" applyNumberFormat="1" applyFont="1" applyFill="1" applyBorder="1" applyAlignment="1">
      <alignment horizontal="center" vertical="center" wrapText="1"/>
    </xf>
    <xf numFmtId="166" fontId="50" fillId="0" borderId="1" xfId="1" applyNumberFormat="1" applyFont="1" applyFill="1" applyBorder="1" applyAlignment="1">
      <alignment vertical="center" wrapText="1"/>
    </xf>
    <xf numFmtId="166" fontId="50" fillId="0" borderId="1" xfId="1" applyNumberFormat="1" applyFont="1" applyFill="1" applyBorder="1" applyAlignment="1">
      <alignment vertical="center"/>
    </xf>
    <xf numFmtId="9" fontId="50" fillId="0" borderId="1" xfId="2" applyFont="1" applyFill="1" applyBorder="1" applyAlignment="1">
      <alignment vertical="center" wrapText="1"/>
    </xf>
    <xf numFmtId="0" fontId="50" fillId="0" borderId="1" xfId="30" applyFont="1" applyBorder="1" applyAlignment="1">
      <alignment horizontal="justify" vertical="center" wrapText="1"/>
    </xf>
    <xf numFmtId="164" fontId="50" fillId="0" borderId="1" xfId="1" applyFont="1" applyFill="1" applyBorder="1" applyAlignment="1">
      <alignment vertical="center" wrapText="1"/>
    </xf>
    <xf numFmtId="43" fontId="50" fillId="0" borderId="1" xfId="30" applyNumberFormat="1" applyFont="1" applyBorder="1" applyAlignment="1">
      <alignment wrapText="1"/>
    </xf>
    <xf numFmtId="43" fontId="50" fillId="0" borderId="1" xfId="30" applyNumberFormat="1" applyFont="1" applyBorder="1" applyAlignment="1">
      <alignment horizontal="center" wrapText="1"/>
    </xf>
    <xf numFmtId="166" fontId="26" fillId="0" borderId="1" xfId="1" applyNumberFormat="1" applyFont="1" applyBorder="1" applyAlignment="1">
      <alignment vertical="center"/>
    </xf>
    <xf numFmtId="0" fontId="50" fillId="0" borderId="1" xfId="30" applyFont="1" applyBorder="1" applyAlignment="1">
      <alignment horizontal="center" vertical="center"/>
    </xf>
    <xf numFmtId="0" fontId="83" fillId="0" borderId="1" xfId="30" applyFont="1" applyBorder="1"/>
    <xf numFmtId="0" fontId="83" fillId="0" borderId="1" xfId="30" applyFont="1" applyBorder="1" applyAlignment="1">
      <alignment horizontal="center"/>
    </xf>
    <xf numFmtId="2" fontId="50" fillId="0" borderId="1" xfId="0" applyNumberFormat="1" applyFont="1" applyBorder="1" applyAlignment="1">
      <alignment horizontal="justify" vertical="center" wrapText="1"/>
    </xf>
    <xf numFmtId="0" fontId="23" fillId="0" borderId="1" xfId="0" applyFont="1" applyBorder="1"/>
    <xf numFmtId="0" fontId="23" fillId="0" borderId="1" xfId="0" applyFont="1" applyBorder="1" applyAlignment="1">
      <alignment horizontal="center"/>
    </xf>
    <xf numFmtId="0" fontId="50" fillId="0" borderId="1" xfId="0" applyFont="1" applyBorder="1" applyAlignment="1">
      <alignment horizontal="center" vertical="center" wrapText="1"/>
    </xf>
    <xf numFmtId="0" fontId="50" fillId="0" borderId="1" xfId="32" applyFont="1" applyBorder="1" applyAlignment="1">
      <alignment horizontal="left" vertical="top" wrapText="1"/>
    </xf>
    <xf numFmtId="2" fontId="50" fillId="0" borderId="1" xfId="0" applyNumberFormat="1" applyFont="1" applyBorder="1" applyAlignment="1">
      <alignment horizontal="right" vertical="center" wrapText="1"/>
    </xf>
    <xf numFmtId="0" fontId="50" fillId="0" borderId="1" xfId="32" applyFont="1" applyBorder="1" applyAlignment="1">
      <alignment horizontal="justify" vertical="top" wrapText="1"/>
    </xf>
    <xf numFmtId="166" fontId="50" fillId="0" borderId="1" xfId="1" applyNumberFormat="1" applyFont="1" applyFill="1" applyBorder="1" applyAlignment="1">
      <alignment horizontal="right" vertical="center" wrapText="1"/>
    </xf>
    <xf numFmtId="0" fontId="47" fillId="18" borderId="1" xfId="30" applyFont="1" applyFill="1" applyBorder="1" applyAlignment="1">
      <alignment horizontal="center" vertical="center"/>
    </xf>
    <xf numFmtId="0" fontId="47" fillId="18" borderId="1" xfId="30" applyFont="1" applyFill="1" applyBorder="1" applyAlignment="1">
      <alignment horizontal="justify" vertical="center" wrapText="1"/>
    </xf>
    <xf numFmtId="164" fontId="47" fillId="18" borderId="1" xfId="1" applyFont="1" applyFill="1" applyBorder="1" applyAlignment="1">
      <alignment horizontal="right" vertical="center"/>
    </xf>
    <xf numFmtId="164" fontId="47" fillId="18" borderId="1" xfId="1" applyFont="1" applyFill="1" applyBorder="1" applyAlignment="1">
      <alignment vertical="center"/>
    </xf>
    <xf numFmtId="166" fontId="47" fillId="18" borderId="1" xfId="1" applyNumberFormat="1" applyFont="1" applyFill="1" applyBorder="1" applyAlignment="1">
      <alignment vertical="center"/>
    </xf>
    <xf numFmtId="0" fontId="84" fillId="18" borderId="1" xfId="30" applyFont="1" applyFill="1" applyBorder="1"/>
    <xf numFmtId="170" fontId="68" fillId="0" borderId="0" xfId="1" applyNumberFormat="1" applyFont="1"/>
    <xf numFmtId="0" fontId="85" fillId="0" borderId="0" xfId="0" applyFont="1"/>
    <xf numFmtId="0" fontId="25" fillId="0" borderId="0" xfId="0" applyFont="1"/>
    <xf numFmtId="164" fontId="23" fillId="0" borderId="0" xfId="1" applyFont="1"/>
    <xf numFmtId="0" fontId="23" fillId="0" borderId="0" xfId="0" applyFont="1" applyAlignment="1">
      <alignment vertical="center"/>
    </xf>
    <xf numFmtId="43" fontId="78" fillId="0" borderId="1" xfId="1" applyNumberFormat="1" applyFont="1" applyFill="1" applyBorder="1" applyAlignment="1">
      <alignment vertical="center"/>
    </xf>
    <xf numFmtId="164" fontId="78" fillId="0" borderId="1" xfId="1" applyFont="1" applyFill="1" applyBorder="1" applyAlignment="1">
      <alignment horizontal="right" vertical="center"/>
    </xf>
    <xf numFmtId="43" fontId="78" fillId="0" borderId="1" xfId="1" applyNumberFormat="1" applyFont="1" applyFill="1" applyBorder="1" applyAlignment="1">
      <alignment horizontal="center" vertical="center"/>
    </xf>
    <xf numFmtId="0" fontId="88" fillId="0" borderId="1" xfId="0" applyFont="1" applyBorder="1" applyAlignment="1">
      <alignment horizontal="center" vertical="top"/>
    </xf>
    <xf numFmtId="0" fontId="88" fillId="0" borderId="1" xfId="0" applyFont="1" applyBorder="1" applyAlignment="1">
      <alignment horizontal="justify" vertical="top" wrapText="1"/>
    </xf>
    <xf numFmtId="0" fontId="88" fillId="0" borderId="1" xfId="0" applyFont="1" applyBorder="1" applyAlignment="1">
      <alignment horizontal="center" vertical="center"/>
    </xf>
    <xf numFmtId="0" fontId="88" fillId="0" borderId="1" xfId="18" applyFont="1" applyBorder="1" applyAlignment="1">
      <alignment horizontal="justify" vertical="top"/>
    </xf>
    <xf numFmtId="164" fontId="78" fillId="0" borderId="1" xfId="1" applyFont="1" applyFill="1" applyBorder="1" applyAlignment="1"/>
    <xf numFmtId="0" fontId="78" fillId="0" borderId="1" xfId="0" applyFont="1" applyBorder="1" applyAlignment="1">
      <alignment vertical="center"/>
    </xf>
    <xf numFmtId="0" fontId="78" fillId="0" borderId="1" xfId="0" applyFont="1" applyBorder="1"/>
    <xf numFmtId="43" fontId="45" fillId="0" borderId="1" xfId="1" applyNumberFormat="1" applyFont="1" applyFill="1" applyBorder="1" applyAlignment="1">
      <alignment horizontal="left" vertical="center"/>
    </xf>
    <xf numFmtId="164" fontId="23" fillId="0" borderId="1" xfId="1" applyFont="1" applyFill="1" applyBorder="1" applyAlignment="1">
      <alignment horizontal="center" vertical="center"/>
    </xf>
    <xf numFmtId="43" fontId="78" fillId="15" borderId="1" xfId="1" applyNumberFormat="1" applyFont="1" applyFill="1" applyBorder="1" applyAlignment="1">
      <alignment vertical="center"/>
    </xf>
    <xf numFmtId="164" fontId="78" fillId="15" borderId="1" xfId="1" applyFont="1" applyFill="1" applyBorder="1" applyAlignment="1">
      <alignment horizontal="right" vertical="center"/>
    </xf>
    <xf numFmtId="43" fontId="78" fillId="15" borderId="1" xfId="1" applyNumberFormat="1" applyFont="1" applyFill="1" applyBorder="1" applyAlignment="1">
      <alignment horizontal="center" vertical="center"/>
    </xf>
    <xf numFmtId="43" fontId="78" fillId="15" borderId="1" xfId="1" applyNumberFormat="1" applyFont="1" applyFill="1" applyBorder="1" applyAlignment="1">
      <alignment horizontal="center" vertical="center" wrapText="1"/>
    </xf>
    <xf numFmtId="0" fontId="88" fillId="0" borderId="1" xfId="0" applyFont="1" applyBorder="1" applyAlignment="1">
      <alignment horizontal="justify" vertical="center" wrapText="1"/>
    </xf>
    <xf numFmtId="43" fontId="85" fillId="0" borderId="1" xfId="1" applyNumberFormat="1" applyFont="1" applyFill="1" applyBorder="1" applyAlignment="1">
      <alignment horizontal="right" vertical="center"/>
    </xf>
    <xf numFmtId="164" fontId="85" fillId="0" borderId="1" xfId="1" applyFont="1" applyFill="1" applyBorder="1" applyAlignment="1">
      <alignment horizontal="right" vertical="center"/>
    </xf>
    <xf numFmtId="43" fontId="85" fillId="0" borderId="1" xfId="1" applyNumberFormat="1" applyFont="1" applyFill="1" applyBorder="1" applyAlignment="1">
      <alignment vertical="center"/>
    </xf>
    <xf numFmtId="43" fontId="85" fillId="0" borderId="1" xfId="1" applyNumberFormat="1" applyFont="1" applyFill="1" applyBorder="1" applyAlignment="1">
      <alignment horizontal="center" vertical="center"/>
    </xf>
    <xf numFmtId="0" fontId="23" fillId="0" borderId="1" xfId="0" applyFont="1" applyBorder="1" applyAlignment="1">
      <alignment horizontal="center" vertical="top"/>
    </xf>
    <xf numFmtId="0" fontId="23" fillId="0" borderId="1" xfId="0" applyFont="1" applyBorder="1" applyAlignment="1">
      <alignment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0" fillId="0" borderId="1" xfId="1" applyNumberFormat="1" applyFont="1" applyFill="1" applyBorder="1" applyAlignment="1">
      <alignment vertical="center" wrapText="1"/>
    </xf>
    <xf numFmtId="164" fontId="10" fillId="0" borderId="1" xfId="1" applyFont="1" applyBorder="1" applyAlignment="1">
      <alignment horizontal="center" vertical="center"/>
    </xf>
    <xf numFmtId="0" fontId="88" fillId="0" borderId="1" xfId="0" applyFont="1" applyBorder="1" applyAlignment="1">
      <alignment wrapText="1"/>
    </xf>
    <xf numFmtId="43" fontId="85" fillId="22" borderId="1" xfId="1" applyNumberFormat="1" applyFont="1" applyFill="1" applyBorder="1" applyAlignment="1">
      <alignment horizontal="center" vertical="center"/>
    </xf>
    <xf numFmtId="43" fontId="85" fillId="0" borderId="1" xfId="1" applyNumberFormat="1" applyFont="1" applyFill="1" applyBorder="1" applyAlignment="1">
      <alignment horizontal="center" vertical="center" wrapText="1"/>
    </xf>
    <xf numFmtId="43" fontId="78" fillId="15" borderId="1" xfId="1" applyNumberFormat="1" applyFont="1" applyFill="1" applyBorder="1" applyAlignment="1">
      <alignment horizontal="right" vertical="center"/>
    </xf>
    <xf numFmtId="43" fontId="78" fillId="15" borderId="1" xfId="1" applyNumberFormat="1" applyFont="1" applyFill="1" applyBorder="1" applyAlignment="1">
      <alignment horizontal="left" vertical="center"/>
    </xf>
    <xf numFmtId="43" fontId="78" fillId="0" borderId="1" xfId="1" applyNumberFormat="1" applyFont="1" applyFill="1" applyBorder="1" applyAlignment="1">
      <alignment horizontal="right" vertical="center"/>
    </xf>
    <xf numFmtId="43" fontId="78" fillId="0" borderId="1" xfId="1" applyNumberFormat="1" applyFont="1" applyFill="1" applyBorder="1" applyAlignment="1">
      <alignment horizontal="left" vertical="center"/>
    </xf>
    <xf numFmtId="43" fontId="45" fillId="0" borderId="1" xfId="1" applyNumberFormat="1" applyFont="1" applyFill="1" applyBorder="1" applyAlignment="1">
      <alignment horizontal="right" vertical="center"/>
    </xf>
    <xf numFmtId="0" fontId="23" fillId="0" borderId="1" xfId="0" applyFont="1" applyBorder="1" applyAlignment="1">
      <alignment horizontal="justify" vertical="top"/>
    </xf>
    <xf numFmtId="0" fontId="88" fillId="0" borderId="1" xfId="0" applyFont="1" applyBorder="1" applyAlignment="1">
      <alignment horizontal="justify" vertical="top"/>
    </xf>
    <xf numFmtId="0" fontId="0" fillId="0" borderId="1" xfId="0" applyBorder="1" applyAlignment="1">
      <alignment horizontal="justify" vertical="top"/>
    </xf>
    <xf numFmtId="43" fontId="78" fillId="22" borderId="1" xfId="1" applyNumberFormat="1" applyFont="1" applyFill="1" applyBorder="1" applyAlignment="1">
      <alignment vertical="center"/>
    </xf>
    <xf numFmtId="43" fontId="78" fillId="22" borderId="1" xfId="1" applyNumberFormat="1" applyFont="1" applyFill="1" applyBorder="1" applyAlignment="1">
      <alignment horizontal="left" vertical="center"/>
    </xf>
    <xf numFmtId="0" fontId="88" fillId="0" borderId="1" xfId="19" applyFont="1" applyBorder="1" applyAlignment="1">
      <alignment horizontal="justify" vertical="top"/>
    </xf>
    <xf numFmtId="0" fontId="23" fillId="15" borderId="1" xfId="0" applyFont="1" applyFill="1" applyBorder="1" applyAlignment="1">
      <alignment horizontal="center" vertical="top"/>
    </xf>
    <xf numFmtId="164" fontId="23" fillId="15" borderId="1" xfId="1" applyFont="1" applyFill="1" applyBorder="1" applyAlignment="1">
      <alignment horizontal="center" vertical="center" wrapText="1"/>
    </xf>
    <xf numFmtId="164" fontId="23" fillId="15" borderId="1" xfId="1" applyFont="1" applyFill="1" applyBorder="1" applyAlignment="1">
      <alignment vertical="center"/>
    </xf>
    <xf numFmtId="164" fontId="88" fillId="0" borderId="1" xfId="1" applyFont="1" applyBorder="1" applyAlignment="1">
      <alignment horizontal="center" vertical="center"/>
    </xf>
    <xf numFmtId="164" fontId="88" fillId="0" borderId="1" xfId="1" applyFont="1" applyFill="1" applyBorder="1" applyAlignment="1">
      <alignment vertical="center"/>
    </xf>
    <xf numFmtId="164" fontId="88" fillId="0" borderId="1" xfId="1" applyFont="1" applyBorder="1" applyAlignment="1">
      <alignment horizontal="center" vertical="center" wrapText="1"/>
    </xf>
    <xf numFmtId="164" fontId="23" fillId="0" borderId="1" xfId="1" applyFont="1" applyBorder="1" applyAlignment="1">
      <alignment horizontal="center" vertical="center"/>
    </xf>
    <xf numFmtId="164" fontId="23" fillId="0" borderId="1" xfId="1" applyFont="1" applyBorder="1" applyAlignment="1">
      <alignment horizontal="center" vertical="center" wrapText="1"/>
    </xf>
    <xf numFmtId="0" fontId="83" fillId="0" borderId="1" xfId="0" applyFont="1" applyBorder="1" applyAlignment="1">
      <alignment horizontal="center" vertical="center"/>
    </xf>
    <xf numFmtId="0" fontId="83" fillId="0" borderId="1" xfId="0" applyFont="1" applyBorder="1" applyAlignment="1">
      <alignment horizontal="justify" vertical="center"/>
    </xf>
    <xf numFmtId="0" fontId="23" fillId="0" borderId="1" xfId="0" applyFont="1" applyBorder="1" applyAlignment="1">
      <alignment horizontal="center" vertical="center"/>
    </xf>
    <xf numFmtId="171" fontId="45" fillId="0" borderId="1" xfId="1" applyNumberFormat="1" applyFont="1" applyFill="1" applyBorder="1" applyAlignment="1">
      <alignment vertical="center"/>
    </xf>
    <xf numFmtId="172" fontId="45" fillId="0" borderId="1" xfId="1" applyNumberFormat="1" applyFont="1" applyFill="1" applyBorder="1" applyAlignment="1">
      <alignment horizontal="center" vertical="center"/>
    </xf>
    <xf numFmtId="173" fontId="23" fillId="0" borderId="1" xfId="0" applyNumberFormat="1" applyFont="1" applyBorder="1" applyAlignment="1">
      <alignment horizontal="center"/>
    </xf>
    <xf numFmtId="164" fontId="23" fillId="0" borderId="1" xfId="1" applyFont="1" applyBorder="1"/>
    <xf numFmtId="0" fontId="23" fillId="0" borderId="1" xfId="0" applyFont="1" applyBorder="1" applyAlignment="1">
      <alignment vertical="center"/>
    </xf>
    <xf numFmtId="164" fontId="50" fillId="0" borderId="1" xfId="1" applyFont="1" applyFill="1" applyBorder="1" applyAlignment="1" applyProtection="1">
      <alignment horizontal="center" vertical="center"/>
    </xf>
    <xf numFmtId="43" fontId="50" fillId="0" borderId="1" xfId="1" applyNumberFormat="1" applyFont="1" applyFill="1" applyBorder="1" applyAlignment="1">
      <alignment vertical="center"/>
    </xf>
    <xf numFmtId="43" fontId="50" fillId="0" borderId="1" xfId="1" applyNumberFormat="1" applyFont="1" applyFill="1" applyBorder="1" applyAlignment="1">
      <alignment horizontal="center" vertical="center"/>
    </xf>
    <xf numFmtId="164" fontId="45" fillId="0" borderId="1" xfId="1" applyFont="1" applyFill="1" applyBorder="1" applyAlignment="1">
      <alignment horizontal="center" vertical="center"/>
    </xf>
    <xf numFmtId="164" fontId="23" fillId="0" borderId="1" xfId="1" applyFont="1" applyFill="1" applyBorder="1"/>
    <xf numFmtId="173" fontId="50" fillId="0" borderId="1" xfId="0" applyNumberFormat="1" applyFont="1" applyBorder="1" applyAlignment="1">
      <alignment horizontal="right" vertical="center"/>
    </xf>
    <xf numFmtId="0" fontId="50" fillId="0" borderId="1" xfId="0" applyFont="1" applyBorder="1" applyAlignment="1">
      <alignment horizontal="justify" vertical="top"/>
    </xf>
    <xf numFmtId="164" fontId="88" fillId="0" borderId="1" xfId="1" applyFont="1" applyFill="1" applyBorder="1" applyAlignment="1">
      <alignment horizontal="center" vertical="center" wrapText="1"/>
    </xf>
    <xf numFmtId="164" fontId="23" fillId="0" borderId="0" xfId="1" applyFont="1" applyFill="1" applyAlignment="1">
      <alignment vertical="center"/>
    </xf>
    <xf numFmtId="173" fontId="23" fillId="0" borderId="1" xfId="0" applyNumberFormat="1" applyFont="1" applyBorder="1" applyAlignment="1">
      <alignment horizontal="center" vertical="top"/>
    </xf>
    <xf numFmtId="173" fontId="23" fillId="0" borderId="1" xfId="0" applyNumberFormat="1" applyFont="1" applyBorder="1" applyAlignment="1">
      <alignment horizontal="right" vertical="center"/>
    </xf>
    <xf numFmtId="0" fontId="88" fillId="0" borderId="1" xfId="0" applyFont="1" applyBorder="1" applyAlignment="1">
      <alignment horizontal="left"/>
    </xf>
    <xf numFmtId="0" fontId="23" fillId="0" borderId="1" xfId="0" applyFont="1" applyBorder="1" applyAlignment="1">
      <alignment horizontal="left"/>
    </xf>
    <xf numFmtId="0" fontId="45" fillId="0" borderId="0" xfId="0" applyFont="1" applyAlignment="1">
      <alignment vertical="center"/>
    </xf>
    <xf numFmtId="43" fontId="25" fillId="0" borderId="1" xfId="1" applyNumberFormat="1" applyFont="1" applyFill="1" applyBorder="1" applyAlignment="1">
      <alignment horizontal="left" vertical="center"/>
    </xf>
    <xf numFmtId="43" fontId="25" fillId="0" borderId="1" xfId="1" applyNumberFormat="1" applyFont="1" applyFill="1" applyBorder="1" applyAlignment="1">
      <alignment horizontal="center" vertical="center"/>
    </xf>
    <xf numFmtId="43" fontId="90" fillId="0" borderId="1" xfId="1" applyNumberFormat="1" applyFont="1" applyFill="1" applyBorder="1" applyAlignment="1">
      <alignment horizontal="center" vertical="center"/>
    </xf>
    <xf numFmtId="43" fontId="25" fillId="0" borderId="1" xfId="1" applyNumberFormat="1" applyFont="1" applyFill="1" applyBorder="1" applyAlignment="1">
      <alignment horizontal="center" vertical="center" wrapText="1"/>
    </xf>
    <xf numFmtId="171" fontId="45" fillId="0" borderId="1" xfId="1" applyNumberFormat="1" applyFont="1" applyFill="1" applyBorder="1" applyAlignment="1">
      <alignment horizontal="center" vertical="center"/>
    </xf>
    <xf numFmtId="164" fontId="88" fillId="0" borderId="1" xfId="1" applyFont="1" applyFill="1" applyBorder="1" applyAlignment="1">
      <alignment horizontal="center" vertical="center"/>
    </xf>
    <xf numFmtId="168" fontId="85" fillId="0" borderId="1" xfId="1" applyNumberFormat="1" applyFont="1" applyFill="1" applyBorder="1" applyAlignment="1">
      <alignment horizontal="right" vertical="center"/>
    </xf>
    <xf numFmtId="43" fontId="45" fillId="0" borderId="1" xfId="1" applyNumberFormat="1" applyFont="1" applyFill="1" applyBorder="1"/>
    <xf numFmtId="43" fontId="45" fillId="0" borderId="1" xfId="1" applyNumberFormat="1" applyFont="1" applyFill="1" applyBorder="1" applyAlignment="1">
      <alignment wrapText="1"/>
    </xf>
    <xf numFmtId="164" fontId="45" fillId="0" borderId="1" xfId="1" applyFont="1" applyFill="1" applyBorder="1" applyAlignment="1">
      <alignment horizontal="right"/>
    </xf>
    <xf numFmtId="43" fontId="78" fillId="0" borderId="1" xfId="1" applyNumberFormat="1" applyFont="1" applyFill="1" applyBorder="1" applyAlignment="1" applyProtection="1">
      <alignment horizontal="center" vertical="center"/>
    </xf>
    <xf numFmtId="164" fontId="78" fillId="0" borderId="1" xfId="1" applyFont="1" applyFill="1" applyBorder="1" applyAlignment="1" applyProtection="1">
      <alignment horizontal="center" vertical="center"/>
    </xf>
    <xf numFmtId="43" fontId="78" fillId="0" borderId="1" xfId="1" applyNumberFormat="1" applyFont="1" applyFill="1" applyBorder="1" applyAlignment="1" applyProtection="1">
      <alignment vertical="center"/>
    </xf>
    <xf numFmtId="43" fontId="45" fillId="0" borderId="1" xfId="1" applyNumberFormat="1" applyFont="1" applyFill="1" applyBorder="1" applyAlignment="1" applyProtection="1">
      <alignment horizontal="center" vertical="center"/>
    </xf>
    <xf numFmtId="43" fontId="45" fillId="0" borderId="1" xfId="1" applyNumberFormat="1" applyFont="1" applyFill="1" applyBorder="1" applyAlignment="1" applyProtection="1">
      <alignment horizontal="left" vertical="center"/>
    </xf>
    <xf numFmtId="164" fontId="45" fillId="0" borderId="1" xfId="1" applyFont="1" applyFill="1" applyBorder="1" applyAlignment="1" applyProtection="1">
      <alignment horizontal="center" vertical="center"/>
    </xf>
    <xf numFmtId="43" fontId="45" fillId="0" borderId="1" xfId="1" applyNumberFormat="1" applyFont="1" applyFill="1" applyBorder="1" applyAlignment="1" applyProtection="1">
      <alignment vertical="center"/>
    </xf>
    <xf numFmtId="0" fontId="88" fillId="15" borderId="1" xfId="0" applyFont="1" applyFill="1" applyBorder="1" applyAlignment="1">
      <alignment horizontal="center" vertical="top"/>
    </xf>
    <xf numFmtId="164" fontId="88" fillId="15" borderId="1" xfId="1" applyFont="1" applyFill="1" applyBorder="1" applyAlignment="1">
      <alignment horizontal="center" vertical="center" wrapText="1"/>
    </xf>
    <xf numFmtId="164" fontId="88" fillId="15" borderId="1" xfId="1" applyFont="1" applyFill="1" applyBorder="1" applyAlignment="1">
      <alignment vertical="center"/>
    </xf>
    <xf numFmtId="0" fontId="10" fillId="0" borderId="0" xfId="18" applyFont="1" applyAlignment="1">
      <alignment horizontal="center"/>
    </xf>
    <xf numFmtId="0" fontId="100" fillId="0" borderId="0" xfId="18" applyAlignment="1">
      <alignment horizontal="left"/>
    </xf>
    <xf numFmtId="165" fontId="100" fillId="0" borderId="0" xfId="18" applyNumberFormat="1" applyAlignment="1">
      <alignment horizontal="center" vertical="top"/>
    </xf>
    <xf numFmtId="0" fontId="100" fillId="0" borderId="0" xfId="18" applyAlignment="1">
      <alignment horizontal="justify" vertical="top"/>
    </xf>
    <xf numFmtId="0" fontId="100" fillId="0" borderId="0" xfId="18" applyAlignment="1">
      <alignment horizontal="center"/>
    </xf>
    <xf numFmtId="174" fontId="0" fillId="0" borderId="0" xfId="10" applyNumberFormat="1" applyFont="1" applyFill="1" applyBorder="1" applyAlignment="1">
      <alignment horizontal="center"/>
    </xf>
    <xf numFmtId="0" fontId="0" fillId="0" borderId="0" xfId="10" applyNumberFormat="1" applyFont="1" applyBorder="1" applyAlignment="1">
      <alignment horizontal="right"/>
    </xf>
    <xf numFmtId="0" fontId="100" fillId="0" borderId="0" xfId="18"/>
    <xf numFmtId="165" fontId="10" fillId="0" borderId="1" xfId="18" applyNumberFormat="1" applyFont="1" applyBorder="1" applyAlignment="1">
      <alignment horizontal="center" vertical="top"/>
    </xf>
    <xf numFmtId="0" fontId="10" fillId="0" borderId="1" xfId="18" applyFont="1" applyBorder="1" applyAlignment="1">
      <alignment horizontal="justify" vertical="top"/>
    </xf>
    <xf numFmtId="0" fontId="10" fillId="0" borderId="1" xfId="18" applyFont="1" applyBorder="1" applyAlignment="1">
      <alignment horizontal="center"/>
    </xf>
    <xf numFmtId="174" fontId="10" fillId="0" borderId="1" xfId="10" applyNumberFormat="1" applyFont="1" applyFill="1" applyBorder="1" applyAlignment="1">
      <alignment horizontal="center"/>
    </xf>
    <xf numFmtId="0" fontId="10" fillId="0" borderId="1" xfId="10" applyNumberFormat="1" applyFont="1" applyBorder="1" applyAlignment="1">
      <alignment horizontal="right"/>
    </xf>
    <xf numFmtId="165" fontId="100" fillId="0" borderId="1" xfId="18" applyNumberFormat="1" applyBorder="1" applyAlignment="1">
      <alignment horizontal="center" vertical="top"/>
    </xf>
    <xf numFmtId="0" fontId="100" fillId="0" borderId="1" xfId="18" applyBorder="1" applyAlignment="1">
      <alignment horizontal="center" vertical="center"/>
    </xf>
    <xf numFmtId="174" fontId="0" fillId="0" borderId="1" xfId="10" applyNumberFormat="1" applyFont="1" applyFill="1" applyBorder="1" applyAlignment="1">
      <alignment horizontal="center" vertical="center"/>
    </xf>
    <xf numFmtId="164" fontId="0" fillId="0" borderId="1" xfId="10" applyFont="1" applyBorder="1" applyAlignment="1">
      <alignment horizontal="center" vertical="center"/>
    </xf>
    <xf numFmtId="0" fontId="10" fillId="0" borderId="1" xfId="10" applyNumberFormat="1" applyFont="1" applyBorder="1" applyAlignment="1">
      <alignment horizontal="right" vertical="center"/>
    </xf>
    <xf numFmtId="164" fontId="0" fillId="0" borderId="1" xfId="1" applyFont="1" applyBorder="1" applyAlignment="1">
      <alignment horizontal="right" vertical="center"/>
    </xf>
    <xf numFmtId="0" fontId="100" fillId="0" borderId="1" xfId="18" applyBorder="1" applyAlignment="1">
      <alignment horizontal="justify" vertical="top"/>
    </xf>
    <xf numFmtId="0" fontId="91" fillId="0" borderId="1" xfId="18" applyFont="1" applyBorder="1" applyAlignment="1">
      <alignment horizontal="center"/>
    </xf>
    <xf numFmtId="174" fontId="0" fillId="0" borderId="1" xfId="10" applyNumberFormat="1" applyFont="1" applyFill="1" applyBorder="1" applyAlignment="1">
      <alignment horizontal="center" wrapText="1"/>
    </xf>
    <xf numFmtId="0" fontId="0" fillId="0" borderId="1" xfId="10" applyNumberFormat="1" applyFont="1" applyFill="1" applyBorder="1" applyAlignment="1">
      <alignment horizontal="center" wrapText="1"/>
    </xf>
    <xf numFmtId="43" fontId="10" fillId="0" borderId="1" xfId="10" applyNumberFormat="1" applyFont="1" applyFill="1" applyBorder="1" applyAlignment="1">
      <alignment horizontal="right"/>
    </xf>
    <xf numFmtId="0" fontId="10" fillId="0" borderId="1" xfId="0" applyFont="1" applyBorder="1" applyAlignment="1">
      <alignment horizontal="center"/>
    </xf>
    <xf numFmtId="164" fontId="10" fillId="0" borderId="1" xfId="1" applyFont="1" applyFill="1" applyBorder="1" applyAlignment="1">
      <alignment horizontal="center"/>
    </xf>
    <xf numFmtId="164" fontId="0" fillId="0" borderId="1" xfId="10" applyFont="1" applyFill="1" applyBorder="1" applyAlignment="1">
      <alignment horizontal="center" vertical="center"/>
    </xf>
    <xf numFmtId="0" fontId="0" fillId="0" borderId="1" xfId="10" applyNumberFormat="1" applyFont="1" applyFill="1" applyBorder="1" applyAlignment="1">
      <alignment horizontal="right" vertical="center"/>
    </xf>
    <xf numFmtId="164" fontId="0" fillId="0" borderId="1" xfId="1" applyFont="1" applyFill="1" applyBorder="1" applyAlignment="1">
      <alignment horizontal="center"/>
    </xf>
    <xf numFmtId="0" fontId="0" fillId="0" borderId="1" xfId="10" applyNumberFormat="1" applyFont="1" applyFill="1" applyBorder="1" applyAlignment="1">
      <alignment horizontal="center"/>
    </xf>
    <xf numFmtId="0" fontId="0" fillId="0" borderId="1" xfId="10" applyNumberFormat="1" applyFont="1" applyFill="1" applyBorder="1" applyAlignment="1">
      <alignment horizontal="right"/>
    </xf>
    <xf numFmtId="0" fontId="100" fillId="0" borderId="1" xfId="18" applyBorder="1" applyAlignment="1">
      <alignment horizontal="center"/>
    </xf>
    <xf numFmtId="174" fontId="0" fillId="0" borderId="1" xfId="10" applyNumberFormat="1" applyFont="1" applyFill="1" applyBorder="1" applyAlignment="1">
      <alignment horizontal="center"/>
    </xf>
    <xf numFmtId="0" fontId="100" fillId="0" borderId="1" xfId="18" applyBorder="1" applyAlignment="1">
      <alignment horizontal="left"/>
    </xf>
    <xf numFmtId="174" fontId="100" fillId="0" borderId="1" xfId="18" applyNumberFormat="1" applyBorder="1" applyAlignment="1">
      <alignment horizontal="center"/>
    </xf>
    <xf numFmtId="0" fontId="100" fillId="0" borderId="1" xfId="18" applyBorder="1" applyAlignment="1">
      <alignment horizontal="right"/>
    </xf>
    <xf numFmtId="43" fontId="0" fillId="0" borderId="1" xfId="10" applyNumberFormat="1" applyFont="1" applyFill="1" applyBorder="1" applyAlignment="1">
      <alignment horizontal="right"/>
    </xf>
    <xf numFmtId="2" fontId="0" fillId="0" borderId="1" xfId="10" applyNumberFormat="1" applyFont="1" applyFill="1" applyBorder="1" applyAlignment="1">
      <alignment horizontal="right"/>
    </xf>
    <xf numFmtId="164" fontId="0" fillId="0" borderId="1" xfId="10" applyFont="1" applyFill="1" applyBorder="1" applyAlignment="1">
      <alignment horizontal="right"/>
    </xf>
    <xf numFmtId="0" fontId="63" fillId="0" borderId="1" xfId="10" applyNumberFormat="1" applyFont="1" applyFill="1" applyBorder="1" applyAlignment="1">
      <alignment horizontal="center"/>
    </xf>
    <xf numFmtId="2" fontId="10" fillId="0" borderId="1" xfId="10" applyNumberFormat="1" applyFont="1" applyFill="1" applyBorder="1" applyAlignment="1">
      <alignment horizontal="right"/>
    </xf>
    <xf numFmtId="43" fontId="0" fillId="0" borderId="1" xfId="10" applyNumberFormat="1" applyFont="1" applyBorder="1" applyAlignment="1">
      <alignment horizontal="right" vertical="center"/>
    </xf>
    <xf numFmtId="2" fontId="0" fillId="0" borderId="1" xfId="10" applyNumberFormat="1" applyFont="1" applyBorder="1" applyAlignment="1">
      <alignment horizontal="right" vertical="center"/>
    </xf>
    <xf numFmtId="0" fontId="0" fillId="0" borderId="1" xfId="10" applyNumberFormat="1" applyFont="1" applyBorder="1" applyAlignment="1">
      <alignment horizontal="center"/>
    </xf>
    <xf numFmtId="43" fontId="0" fillId="0" borderId="1" xfId="10" applyNumberFormat="1" applyFont="1" applyBorder="1" applyAlignment="1">
      <alignment horizontal="right"/>
    </xf>
    <xf numFmtId="0" fontId="91" fillId="0" borderId="1" xfId="18" applyFont="1" applyBorder="1" applyAlignment="1">
      <alignment horizontal="center" wrapText="1"/>
    </xf>
    <xf numFmtId="174" fontId="91" fillId="0" borderId="1" xfId="10" applyNumberFormat="1" applyFont="1" applyFill="1" applyBorder="1" applyAlignment="1">
      <alignment horizontal="center" wrapText="1"/>
    </xf>
    <xf numFmtId="0" fontId="91" fillId="0" borderId="1" xfId="10" applyNumberFormat="1" applyFont="1" applyFill="1" applyBorder="1" applyAlignment="1">
      <alignment horizontal="center"/>
    </xf>
    <xf numFmtId="43" fontId="91" fillId="0" borderId="1" xfId="10" applyNumberFormat="1" applyFont="1" applyFill="1" applyBorder="1" applyAlignment="1">
      <alignment horizontal="center"/>
    </xf>
    <xf numFmtId="174" fontId="91" fillId="0" borderId="1" xfId="10" applyNumberFormat="1" applyFont="1" applyFill="1" applyBorder="1" applyAlignment="1">
      <alignment horizontal="center"/>
    </xf>
    <xf numFmtId="164" fontId="0" fillId="0" borderId="1" xfId="1" applyFont="1" applyFill="1" applyBorder="1" applyAlignment="1">
      <alignment horizontal="center" wrapText="1"/>
    </xf>
    <xf numFmtId="175" fontId="0" fillId="0" borderId="1" xfId="10" applyNumberFormat="1" applyFont="1" applyFill="1" applyBorder="1" applyAlignment="1">
      <alignment horizontal="right"/>
    </xf>
    <xf numFmtId="175" fontId="10" fillId="0" borderId="1" xfId="10" applyNumberFormat="1" applyFont="1" applyFill="1" applyBorder="1" applyAlignment="1">
      <alignment horizontal="right"/>
    </xf>
    <xf numFmtId="0" fontId="10" fillId="0" borderId="1" xfId="18" applyFont="1" applyBorder="1" applyAlignment="1">
      <alignment horizontal="left"/>
    </xf>
    <xf numFmtId="174" fontId="100" fillId="0" borderId="1" xfId="18" applyNumberFormat="1" applyBorder="1" applyAlignment="1">
      <alignment horizontal="left"/>
    </xf>
    <xf numFmtId="175" fontId="100" fillId="0" borderId="1" xfId="18" applyNumberFormat="1" applyBorder="1" applyAlignment="1">
      <alignment horizontal="left"/>
    </xf>
    <xf numFmtId="0" fontId="0" fillId="0" borderId="1" xfId="10" applyNumberFormat="1" applyFont="1" applyBorder="1" applyAlignment="1">
      <alignment horizontal="right"/>
    </xf>
    <xf numFmtId="43" fontId="10" fillId="0" borderId="1" xfId="10" applyNumberFormat="1" applyFont="1" applyBorder="1" applyAlignment="1">
      <alignment horizontal="right"/>
    </xf>
    <xf numFmtId="0" fontId="100" fillId="0" borderId="1" xfId="18" applyBorder="1" applyAlignment="1">
      <alignment horizontal="center" wrapText="1"/>
    </xf>
    <xf numFmtId="0" fontId="63" fillId="0" borderId="1" xfId="18" applyFont="1" applyBorder="1" applyAlignment="1">
      <alignment horizontal="justify" vertical="top"/>
    </xf>
    <xf numFmtId="0" fontId="63" fillId="0" borderId="1" xfId="18" applyFont="1" applyBorder="1" applyAlignment="1">
      <alignment horizontal="center" wrapText="1"/>
    </xf>
    <xf numFmtId="174" fontId="63" fillId="0" borderId="1" xfId="10" applyNumberFormat="1" applyFont="1" applyFill="1" applyBorder="1" applyAlignment="1">
      <alignment horizontal="center"/>
    </xf>
    <xf numFmtId="0" fontId="63" fillId="0" borderId="1" xfId="10" applyNumberFormat="1" applyFont="1" applyBorder="1" applyAlignment="1">
      <alignment horizontal="center"/>
    </xf>
    <xf numFmtId="174" fontId="100" fillId="0" borderId="0" xfId="18" applyNumberFormat="1" applyAlignment="1">
      <alignment horizontal="left"/>
    </xf>
    <xf numFmtId="174" fontId="0" fillId="0" borderId="1" xfId="10" applyNumberFormat="1" applyFont="1" applyBorder="1" applyAlignment="1">
      <alignment horizontal="center"/>
    </xf>
    <xf numFmtId="2" fontId="100" fillId="0" borderId="1" xfId="18" applyNumberFormat="1" applyBorder="1" applyAlignment="1">
      <alignment horizontal="justify" vertical="top"/>
    </xf>
    <xf numFmtId="174" fontId="10" fillId="0" borderId="1" xfId="10" applyNumberFormat="1" applyFont="1" applyBorder="1" applyAlignment="1">
      <alignment horizontal="right"/>
    </xf>
    <xf numFmtId="0" fontId="10" fillId="0" borderId="1" xfId="18" applyFont="1" applyBorder="1" applyAlignment="1">
      <alignment horizontal="justify" vertical="justify"/>
    </xf>
    <xf numFmtId="0" fontId="100" fillId="0" borderId="0" xfId="18" applyAlignment="1">
      <alignment horizontal="left" wrapText="1"/>
    </xf>
    <xf numFmtId="176" fontId="0" fillId="0" borderId="1" xfId="10" applyNumberFormat="1" applyFont="1" applyBorder="1" applyAlignment="1">
      <alignment horizontal="right"/>
    </xf>
    <xf numFmtId="164" fontId="0" fillId="0" borderId="1" xfId="10" applyFont="1" applyBorder="1" applyAlignment="1">
      <alignment horizontal="right"/>
    </xf>
    <xf numFmtId="0" fontId="100" fillId="0" borderId="1" xfId="18" applyBorder="1" applyAlignment="1">
      <alignment horizontal="justify" vertical="justify"/>
    </xf>
    <xf numFmtId="0" fontId="100" fillId="0" borderId="1" xfId="19" applyBorder="1" applyAlignment="1">
      <alignment horizontal="justify" vertical="top"/>
    </xf>
    <xf numFmtId="164" fontId="10" fillId="0" borderId="1" xfId="10" applyFont="1" applyBorder="1" applyAlignment="1">
      <alignment horizontal="right"/>
    </xf>
    <xf numFmtId="164" fontId="0" fillId="0" borderId="1" xfId="1" applyFont="1" applyBorder="1" applyAlignment="1">
      <alignment horizontal="center"/>
    </xf>
    <xf numFmtId="164" fontId="100" fillId="0" borderId="1" xfId="18" applyNumberFormat="1" applyBorder="1" applyAlignment="1">
      <alignment horizontal="center"/>
    </xf>
    <xf numFmtId="0" fontId="10" fillId="0" borderId="1" xfId="10" applyNumberFormat="1" applyFont="1" applyFill="1" applyBorder="1" applyAlignment="1">
      <alignment horizontal="center" wrapText="1"/>
    </xf>
    <xf numFmtId="0" fontId="10" fillId="0" borderId="1" xfId="10" applyNumberFormat="1" applyFont="1" applyFill="1" applyBorder="1" applyAlignment="1">
      <alignment horizontal="center"/>
    </xf>
    <xf numFmtId="0" fontId="10" fillId="0" borderId="1" xfId="18" applyFont="1" applyBorder="1" applyAlignment="1">
      <alignment horizontal="left" wrapText="1"/>
    </xf>
    <xf numFmtId="177" fontId="0" fillId="0" borderId="1" xfId="10" applyNumberFormat="1" applyFont="1" applyBorder="1" applyAlignment="1">
      <alignment horizontal="right"/>
    </xf>
    <xf numFmtId="2" fontId="0" fillId="0" borderId="1" xfId="10" applyNumberFormat="1" applyFont="1" applyBorder="1" applyAlignment="1">
      <alignment horizontal="right"/>
    </xf>
    <xf numFmtId="177" fontId="10" fillId="0" borderId="1" xfId="10" applyNumberFormat="1" applyFont="1" applyBorder="1" applyAlignment="1">
      <alignment horizontal="right"/>
    </xf>
    <xf numFmtId="2" fontId="10" fillId="0" borderId="1" xfId="10" applyNumberFormat="1" applyFont="1" applyBorder="1" applyAlignment="1">
      <alignment horizontal="right"/>
    </xf>
    <xf numFmtId="165" fontId="10" fillId="0" borderId="1" xfId="18" applyNumberFormat="1" applyFont="1" applyBorder="1" applyAlignment="1">
      <alignment horizontal="left" vertical="top"/>
    </xf>
    <xf numFmtId="0" fontId="100" fillId="22" borderId="1" xfId="18" applyFill="1" applyBorder="1" applyAlignment="1">
      <alignment horizontal="center"/>
    </xf>
    <xf numFmtId="164" fontId="0" fillId="0" borderId="1" xfId="1" applyFont="1" applyFill="1" applyBorder="1" applyAlignment="1">
      <alignment horizontal="left" vertical="center"/>
    </xf>
    <xf numFmtId="0" fontId="10" fillId="0" borderId="1" xfId="18" applyFont="1" applyBorder="1" applyAlignment="1">
      <alignment horizontal="right"/>
    </xf>
    <xf numFmtId="43" fontId="10" fillId="0" borderId="1" xfId="18" applyNumberFormat="1" applyFont="1" applyBorder="1" applyAlignment="1">
      <alignment horizontal="right"/>
    </xf>
    <xf numFmtId="0" fontId="23" fillId="0" borderId="0" xfId="0" applyFont="1" applyAlignment="1">
      <alignment horizontal="center"/>
    </xf>
    <xf numFmtId="0" fontId="88" fillId="0" borderId="0" xfId="0" applyFont="1" applyAlignment="1">
      <alignment horizontal="center"/>
    </xf>
    <xf numFmtId="0" fontId="23" fillId="0" borderId="0" xfId="0" applyFont="1" applyAlignment="1">
      <alignment horizontal="left"/>
    </xf>
    <xf numFmtId="0" fontId="23" fillId="0" borderId="0" xfId="0" applyFont="1" applyAlignment="1">
      <alignment horizontal="left" vertical="center"/>
    </xf>
    <xf numFmtId="0" fontId="53" fillId="0" borderId="0" xfId="0" applyFont="1"/>
    <xf numFmtId="0" fontId="23" fillId="0" borderId="0" xfId="0" applyFont="1" applyAlignment="1">
      <alignment horizontal="center" vertical="center"/>
    </xf>
    <xf numFmtId="0" fontId="23" fillId="0" borderId="0" xfId="0" applyFont="1" applyAlignment="1">
      <alignment horizontal="justify" vertical="top" wrapText="1"/>
    </xf>
    <xf numFmtId="168" fontId="23" fillId="0" borderId="0" xfId="1" applyNumberFormat="1" applyFont="1" applyFill="1" applyBorder="1" applyAlignment="1">
      <alignment horizontal="center" vertical="center"/>
    </xf>
    <xf numFmtId="164" fontId="23" fillId="0" borderId="0" xfId="1" applyFont="1" applyAlignment="1">
      <alignment horizontal="center" vertical="center"/>
    </xf>
    <xf numFmtId="164" fontId="23" fillId="0" borderId="0" xfId="1" applyFont="1" applyFill="1" applyBorder="1" applyAlignment="1">
      <alignment horizontal="center" vertical="center"/>
    </xf>
    <xf numFmtId="164" fontId="23" fillId="4" borderId="0" xfId="1" applyFont="1" applyFill="1" applyBorder="1" applyAlignment="1">
      <alignment horizontal="left" vertical="top" wrapText="1"/>
    </xf>
    <xf numFmtId="0" fontId="23" fillId="0" borderId="1" xfId="18" applyFont="1" applyBorder="1" applyAlignment="1">
      <alignment horizontal="justify" vertical="top"/>
    </xf>
    <xf numFmtId="168" fontId="88" fillId="0" borderId="1" xfId="1" applyNumberFormat="1" applyFont="1" applyFill="1" applyBorder="1" applyAlignment="1">
      <alignment horizontal="center" vertical="center"/>
    </xf>
    <xf numFmtId="0" fontId="21" fillId="3" borderId="1" xfId="0" applyFont="1" applyFill="1" applyBorder="1" applyAlignment="1">
      <alignment horizontal="justify" vertical="top" wrapText="1"/>
    </xf>
    <xf numFmtId="168" fontId="21" fillId="3" borderId="1" xfId="1" applyNumberFormat="1" applyFont="1" applyFill="1" applyBorder="1" applyAlignment="1">
      <alignment horizontal="center" vertical="center"/>
    </xf>
    <xf numFmtId="164" fontId="21" fillId="3" borderId="1" xfId="1" applyFont="1" applyFill="1" applyBorder="1" applyAlignment="1">
      <alignment horizontal="center" vertical="center" wrapText="1"/>
    </xf>
    <xf numFmtId="164" fontId="21" fillId="3" borderId="1" xfId="1" applyFont="1" applyFill="1" applyBorder="1" applyAlignment="1">
      <alignment horizontal="center" vertical="center"/>
    </xf>
    <xf numFmtId="164" fontId="21" fillId="3" borderId="1" xfId="1" applyFont="1" applyFill="1" applyBorder="1" applyAlignment="1" applyProtection="1">
      <alignment horizontal="center" vertical="center"/>
    </xf>
    <xf numFmtId="168" fontId="23" fillId="0" borderId="1" xfId="1" applyNumberFormat="1" applyFont="1" applyFill="1" applyBorder="1" applyAlignment="1">
      <alignment horizontal="center" vertical="center"/>
    </xf>
    <xf numFmtId="2" fontId="23" fillId="0" borderId="1" xfId="0" applyNumberFormat="1" applyFont="1" applyBorder="1" applyAlignment="1">
      <alignment horizontal="justify" vertical="top"/>
    </xf>
    <xf numFmtId="0" fontId="54" fillId="3" borderId="1" xfId="0" applyFont="1" applyFill="1" applyBorder="1" applyAlignment="1">
      <alignment horizontal="center" vertical="center"/>
    </xf>
    <xf numFmtId="168" fontId="54" fillId="3" borderId="1" xfId="1" applyNumberFormat="1" applyFont="1" applyFill="1" applyBorder="1" applyAlignment="1">
      <alignment horizontal="center" vertical="center"/>
    </xf>
    <xf numFmtId="164" fontId="54" fillId="3" borderId="1" xfId="1" applyFont="1" applyFill="1" applyBorder="1" applyAlignment="1">
      <alignment horizontal="center" vertical="center"/>
    </xf>
    <xf numFmtId="168" fontId="23" fillId="0" borderId="1" xfId="1" applyNumberFormat="1" applyFont="1" applyFill="1" applyBorder="1" applyAlignment="1">
      <alignment horizontal="center" vertical="center" wrapText="1"/>
    </xf>
    <xf numFmtId="0" fontId="23" fillId="0" borderId="1" xfId="0" applyFont="1" applyBorder="1" applyAlignment="1">
      <alignment horizontal="center" vertical="center" wrapText="1"/>
    </xf>
    <xf numFmtId="168" fontId="23" fillId="0" borderId="1" xfId="1" applyNumberFormat="1" applyFont="1" applyBorder="1" applyAlignment="1">
      <alignment horizontal="center" vertical="center" wrapText="1"/>
    </xf>
    <xf numFmtId="0" fontId="92" fillId="0" borderId="1" xfId="0" applyFont="1" applyBorder="1" applyAlignment="1">
      <alignment horizontal="center" vertical="center" wrapText="1"/>
    </xf>
    <xf numFmtId="168" fontId="92" fillId="0" borderId="1" xfId="1" applyNumberFormat="1" applyFont="1" applyFill="1" applyBorder="1" applyAlignment="1">
      <alignment horizontal="center" vertical="center" wrapText="1"/>
    </xf>
    <xf numFmtId="0" fontId="23" fillId="0" borderId="1" xfId="19" applyFont="1" applyBorder="1" applyAlignment="1">
      <alignment horizontal="justify" vertical="top" wrapText="1"/>
    </xf>
    <xf numFmtId="168" fontId="23" fillId="0" borderId="1" xfId="1" applyNumberFormat="1" applyFont="1" applyBorder="1" applyAlignment="1">
      <alignment horizontal="center" vertical="center"/>
    </xf>
    <xf numFmtId="164" fontId="88" fillId="4" borderId="1" xfId="1" applyFont="1" applyFill="1" applyBorder="1" applyAlignment="1">
      <alignment horizontal="left" vertical="top" wrapText="1"/>
    </xf>
    <xf numFmtId="10" fontId="88" fillId="0" borderId="0" xfId="0" applyNumberFormat="1" applyFont="1" applyAlignment="1">
      <alignment horizontal="center"/>
    </xf>
    <xf numFmtId="43" fontId="88" fillId="0" borderId="0" xfId="0" applyNumberFormat="1" applyFont="1" applyAlignment="1">
      <alignment horizontal="center"/>
    </xf>
    <xf numFmtId="164" fontId="21" fillId="3" borderId="1" xfId="1" applyFont="1" applyFill="1" applyBorder="1" applyAlignment="1">
      <alignment horizontal="left" vertical="top" wrapText="1"/>
    </xf>
    <xf numFmtId="164" fontId="23" fillId="4" borderId="1" xfId="1" applyFont="1" applyFill="1" applyBorder="1" applyAlignment="1">
      <alignment horizontal="left" vertical="top" wrapText="1"/>
    </xf>
    <xf numFmtId="43" fontId="23" fillId="0" borderId="0" xfId="0" applyNumberFormat="1" applyFont="1" applyAlignment="1">
      <alignment horizontal="left"/>
    </xf>
    <xf numFmtId="164" fontId="23" fillId="4" borderId="1" xfId="1" applyFont="1" applyFill="1" applyBorder="1" applyAlignment="1">
      <alignment horizontal="left" vertical="center" wrapText="1"/>
    </xf>
    <xf numFmtId="0" fontId="23" fillId="4" borderId="1" xfId="0" applyFont="1" applyFill="1" applyBorder="1" applyAlignment="1">
      <alignment horizontal="left" wrapText="1"/>
    </xf>
    <xf numFmtId="0" fontId="49" fillId="0" borderId="1" xfId="0" applyFont="1" applyBorder="1" applyAlignment="1">
      <alignment horizontal="justify" vertical="top" wrapText="1"/>
    </xf>
    <xf numFmtId="0" fontId="49" fillId="0" borderId="1" xfId="0" applyFont="1" applyBorder="1" applyAlignment="1">
      <alignment horizontal="center" vertical="center" wrapText="1"/>
    </xf>
    <xf numFmtId="0" fontId="21" fillId="3" borderId="1" xfId="0" applyFont="1" applyFill="1" applyBorder="1" applyAlignment="1">
      <alignment horizontal="justify" vertical="justify"/>
    </xf>
    <xf numFmtId="0" fontId="92" fillId="0" borderId="1" xfId="0" applyFont="1" applyBorder="1" applyAlignment="1">
      <alignment horizontal="center" vertical="center"/>
    </xf>
    <xf numFmtId="0" fontId="23" fillId="0" borderId="1" xfId="19" applyFont="1" applyBorder="1" applyAlignment="1">
      <alignment horizontal="justify" vertical="top"/>
    </xf>
    <xf numFmtId="0" fontId="89" fillId="0" borderId="1" xfId="0" applyFont="1" applyBorder="1" applyAlignment="1">
      <alignment horizontal="center" vertical="center"/>
    </xf>
    <xf numFmtId="168" fontId="89" fillId="0" borderId="1" xfId="1" applyNumberFormat="1" applyFont="1" applyFill="1" applyBorder="1" applyAlignment="1">
      <alignment horizontal="center" vertical="center"/>
    </xf>
    <xf numFmtId="0" fontId="89" fillId="0" borderId="1" xfId="0" applyFont="1" applyBorder="1" applyAlignment="1">
      <alignment horizontal="justify" vertical="top" wrapText="1"/>
    </xf>
    <xf numFmtId="0" fontId="23" fillId="0" borderId="1" xfId="0" applyFont="1" applyBorder="1" applyAlignment="1">
      <alignment horizontal="left" vertical="center" wrapText="1"/>
    </xf>
    <xf numFmtId="164" fontId="54" fillId="0" borderId="1" xfId="1" applyFont="1" applyBorder="1" applyAlignment="1">
      <alignment horizontal="center" vertical="center"/>
    </xf>
    <xf numFmtId="0" fontId="54" fillId="3" borderId="1" xfId="0" applyFont="1" applyFill="1" applyBorder="1" applyAlignment="1">
      <alignment horizontal="left" vertical="center"/>
    </xf>
    <xf numFmtId="0" fontId="21" fillId="3" borderId="1" xfId="0" applyFont="1" applyFill="1" applyBorder="1" applyAlignment="1">
      <alignment horizontal="left"/>
    </xf>
    <xf numFmtId="0" fontId="23" fillId="0" borderId="1" xfId="0" applyFont="1" applyBorder="1" applyAlignment="1">
      <alignment horizontal="left" vertical="center"/>
    </xf>
    <xf numFmtId="0" fontId="93" fillId="0" borderId="0" xfId="0" applyFont="1" applyAlignment="1">
      <alignment horizontal="center" vertical="center" readingOrder="1"/>
    </xf>
    <xf numFmtId="0" fontId="23" fillId="0" borderId="1" xfId="0" applyFont="1" applyBorder="1" applyAlignment="1">
      <alignment horizontal="justify" vertical="center"/>
    </xf>
    <xf numFmtId="164" fontId="23" fillId="0" borderId="1" xfId="1" applyFont="1" applyFill="1" applyBorder="1" applyAlignment="1">
      <alignment horizontal="left" vertical="center"/>
    </xf>
    <xf numFmtId="0" fontId="21" fillId="3" borderId="1" xfId="0" applyFont="1" applyFill="1" applyBorder="1" applyAlignment="1">
      <alignment horizontal="left" wrapText="1"/>
    </xf>
    <xf numFmtId="43" fontId="23" fillId="0" borderId="1" xfId="0" applyNumberFormat="1" applyFont="1" applyBorder="1" applyAlignment="1">
      <alignment horizontal="center" vertical="center"/>
    </xf>
    <xf numFmtId="0" fontId="88" fillId="0" borderId="1" xfId="0" applyFont="1" applyBorder="1" applyAlignment="1">
      <alignment horizontal="justify" vertical="justify"/>
    </xf>
    <xf numFmtId="0" fontId="92" fillId="0" borderId="1" xfId="0" applyFont="1" applyBorder="1"/>
    <xf numFmtId="168" fontId="92" fillId="0" borderId="1" xfId="1" applyNumberFormat="1" applyFont="1" applyFill="1" applyBorder="1" applyAlignment="1">
      <alignment horizontal="center" vertical="center"/>
    </xf>
    <xf numFmtId="164" fontId="92" fillId="0" borderId="1" xfId="1" applyFont="1" applyFill="1" applyBorder="1" applyAlignment="1">
      <alignment horizontal="center" vertical="center"/>
    </xf>
    <xf numFmtId="164" fontId="92" fillId="4" borderId="1" xfId="1" applyFont="1" applyFill="1" applyBorder="1" applyAlignment="1">
      <alignment horizontal="left" vertical="top" wrapText="1"/>
    </xf>
    <xf numFmtId="164" fontId="23" fillId="0" borderId="1" xfId="1" applyFont="1" applyFill="1" applyBorder="1" applyAlignment="1">
      <alignment horizontal="left" vertical="top" wrapText="1"/>
    </xf>
    <xf numFmtId="0" fontId="87" fillId="2" borderId="1" xfId="0" applyFont="1" applyFill="1" applyBorder="1" applyAlignment="1">
      <alignment horizontal="center" vertical="center"/>
    </xf>
    <xf numFmtId="0" fontId="87" fillId="2" borderId="1" xfId="0" applyFont="1" applyFill="1" applyBorder="1" applyAlignment="1">
      <alignment horizontal="justify" vertical="center" wrapText="1"/>
    </xf>
    <xf numFmtId="0" fontId="94" fillId="2" borderId="1" xfId="0" applyFont="1" applyFill="1" applyBorder="1" applyAlignment="1">
      <alignment horizontal="center" vertical="center"/>
    </xf>
    <xf numFmtId="168" fontId="94" fillId="2" borderId="1" xfId="1" applyNumberFormat="1" applyFont="1" applyFill="1" applyBorder="1" applyAlignment="1">
      <alignment horizontal="center" vertical="center"/>
    </xf>
    <xf numFmtId="164" fontId="94" fillId="2" borderId="1" xfId="1" applyFont="1" applyFill="1" applyBorder="1" applyAlignment="1">
      <alignment horizontal="center" vertical="center"/>
    </xf>
    <xf numFmtId="0" fontId="23" fillId="0" borderId="1" xfId="0" applyFont="1" applyBorder="1" applyAlignment="1">
      <alignment horizontal="justify" vertical="center" wrapText="1"/>
    </xf>
    <xf numFmtId="0" fontId="23" fillId="0" borderId="2" xfId="0" applyFont="1" applyBorder="1" applyAlignment="1">
      <alignment horizontal="center" vertical="center"/>
    </xf>
    <xf numFmtId="0" fontId="23" fillId="0" borderId="2" xfId="0" applyFont="1" applyBorder="1" applyAlignment="1">
      <alignment horizontal="justify" vertical="top" wrapText="1"/>
    </xf>
    <xf numFmtId="168" fontId="23" fillId="0" borderId="2" xfId="1" applyNumberFormat="1" applyFont="1" applyFill="1" applyBorder="1" applyAlignment="1">
      <alignment horizontal="center" vertical="center"/>
    </xf>
    <xf numFmtId="164" fontId="23" fillId="0" borderId="2" xfId="1" applyFont="1" applyFill="1" applyBorder="1" applyAlignment="1">
      <alignment horizontal="center" vertical="center"/>
    </xf>
    <xf numFmtId="0" fontId="80" fillId="3" borderId="1" xfId="0" applyFont="1" applyFill="1" applyBorder="1" applyAlignment="1">
      <alignment horizontal="center" vertical="center"/>
    </xf>
    <xf numFmtId="0" fontId="80" fillId="3" borderId="1" xfId="0" applyFont="1" applyFill="1" applyBorder="1" applyAlignment="1">
      <alignment horizontal="justify" vertical="top" wrapText="1"/>
    </xf>
    <xf numFmtId="168" fontId="80" fillId="3" borderId="1" xfId="1" applyNumberFormat="1" applyFont="1" applyFill="1" applyBorder="1" applyAlignment="1">
      <alignment horizontal="center" vertical="center"/>
    </xf>
    <xf numFmtId="164" fontId="80" fillId="3" borderId="1" xfId="1" applyFont="1" applyFill="1" applyBorder="1" applyAlignment="1">
      <alignment horizontal="center" vertical="center"/>
    </xf>
    <xf numFmtId="164" fontId="23" fillId="0" borderId="0" xfId="1" applyFont="1" applyBorder="1" applyAlignment="1">
      <alignment horizontal="center" vertical="center"/>
    </xf>
    <xf numFmtId="0" fontId="23" fillId="4" borderId="1" xfId="0" applyFont="1" applyFill="1" applyBorder="1" applyAlignment="1">
      <alignment wrapText="1"/>
    </xf>
    <xf numFmtId="164" fontId="88" fillId="0" borderId="1" xfId="1" applyFont="1" applyFill="1" applyBorder="1" applyAlignment="1">
      <alignment horizontal="left" vertical="top" wrapText="1"/>
    </xf>
    <xf numFmtId="164" fontId="94" fillId="2" borderId="1" xfId="1" applyFont="1" applyFill="1" applyBorder="1" applyAlignment="1">
      <alignment horizontal="left" vertical="center" wrapText="1"/>
    </xf>
    <xf numFmtId="1" fontId="23" fillId="0" borderId="1" xfId="0" applyNumberFormat="1" applyFont="1" applyBorder="1" applyAlignment="1">
      <alignment horizontal="center" vertical="center"/>
    </xf>
    <xf numFmtId="0" fontId="23" fillId="0" borderId="7" xfId="0" applyFont="1" applyBorder="1" applyAlignment="1">
      <alignment horizontal="left"/>
    </xf>
    <xf numFmtId="0" fontId="23" fillId="0" borderId="7" xfId="0" applyFont="1" applyBorder="1" applyAlignment="1">
      <alignment horizontal="left" vertical="center"/>
    </xf>
    <xf numFmtId="164" fontId="23" fillId="0" borderId="7" xfId="1" applyFont="1" applyFill="1" applyBorder="1" applyAlignment="1">
      <alignment horizontal="left" vertical="top" wrapText="1"/>
    </xf>
    <xf numFmtId="1" fontId="23" fillId="0" borderId="2" xfId="0" applyNumberFormat="1" applyFont="1" applyBorder="1" applyAlignment="1">
      <alignment horizontal="center" vertical="center"/>
    </xf>
    <xf numFmtId="164" fontId="23" fillId="0" borderId="0" xfId="1" applyFont="1" applyFill="1" applyBorder="1" applyAlignment="1">
      <alignment horizontal="left" vertical="top" wrapText="1"/>
    </xf>
    <xf numFmtId="1" fontId="80" fillId="3" borderId="1" xfId="0" applyNumberFormat="1" applyFont="1" applyFill="1" applyBorder="1" applyAlignment="1">
      <alignment horizontal="center" vertical="center"/>
    </xf>
    <xf numFmtId="164" fontId="81" fillId="3" borderId="1" xfId="1" applyFont="1" applyFill="1" applyBorder="1" applyAlignment="1">
      <alignment horizontal="left" vertical="top" wrapText="1"/>
    </xf>
    <xf numFmtId="0" fontId="21" fillId="2" borderId="1" xfId="0" applyFont="1" applyFill="1" applyBorder="1" applyAlignment="1">
      <alignment horizontal="center" vertical="center" wrapText="1"/>
    </xf>
    <xf numFmtId="164" fontId="21" fillId="2" borderId="1" xfId="1" applyFont="1" applyFill="1" applyBorder="1" applyAlignment="1">
      <alignment horizontal="center" vertical="center" wrapText="1"/>
    </xf>
    <xf numFmtId="4" fontId="23" fillId="0" borderId="1" xfId="0" applyNumberFormat="1" applyFont="1" applyBorder="1" applyAlignment="1">
      <alignment horizontal="center" vertical="center"/>
    </xf>
    <xf numFmtId="0" fontId="21" fillId="2" borderId="5" xfId="0" applyFont="1" applyFill="1" applyBorder="1" applyAlignment="1">
      <alignment horizontal="center" vertical="center"/>
    </xf>
    <xf numFmtId="0" fontId="21" fillId="2" borderId="1" xfId="0" applyFont="1" applyFill="1" applyBorder="1"/>
    <xf numFmtId="0" fontId="21" fillId="2" borderId="1" xfId="0" applyFont="1" applyFill="1" applyBorder="1" applyAlignment="1">
      <alignment horizontal="center" vertical="center"/>
    </xf>
    <xf numFmtId="164" fontId="21" fillId="2" borderId="1" xfId="1" applyFont="1" applyFill="1" applyBorder="1" applyAlignment="1">
      <alignment vertical="center" wrapText="1"/>
    </xf>
    <xf numFmtId="0" fontId="21" fillId="2" borderId="5" xfId="0" applyFont="1" applyFill="1" applyBorder="1" applyAlignment="1">
      <alignment horizontal="center"/>
    </xf>
    <xf numFmtId="0" fontId="23" fillId="0" borderId="1" xfId="0" applyFont="1" applyBorder="1" applyAlignment="1">
      <alignment horizontal="left" wrapText="1"/>
    </xf>
    <xf numFmtId="0" fontId="68" fillId="0" borderId="0" xfId="0" applyFont="1"/>
    <xf numFmtId="0" fontId="11" fillId="0" borderId="0" xfId="0" applyFont="1"/>
    <xf numFmtId="164" fontId="0" fillId="0" borderId="0" xfId="1" applyFont="1" applyBorder="1"/>
    <xf numFmtId="0" fontId="3" fillId="0" borderId="0" xfId="0" applyFont="1" applyAlignment="1">
      <alignment vertical="top" wrapText="1"/>
    </xf>
    <xf numFmtId="0" fontId="3" fillId="13" borderId="1" xfId="0" applyFont="1" applyFill="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left" vertical="top" wrapText="1"/>
    </xf>
    <xf numFmtId="164" fontId="3" fillId="0" borderId="1" xfId="1" applyFont="1" applyBorder="1" applyAlignment="1">
      <alignment vertical="top" wrapText="1"/>
    </xf>
    <xf numFmtId="0" fontId="11" fillId="0" borderId="1" xfId="0" applyFont="1" applyBorder="1" applyAlignment="1">
      <alignment horizontal="center" vertical="top" wrapText="1"/>
    </xf>
    <xf numFmtId="164" fontId="68" fillId="0" borderId="1" xfId="1" applyFont="1" applyBorder="1" applyAlignment="1">
      <alignment vertical="top" wrapText="1"/>
    </xf>
    <xf numFmtId="0" fontId="11" fillId="0" borderId="1" xfId="0" applyFont="1" applyBorder="1" applyAlignment="1">
      <alignment horizontal="center"/>
    </xf>
    <xf numFmtId="0" fontId="3" fillId="0" borderId="1" xfId="0" applyFont="1" applyBorder="1" applyAlignment="1">
      <alignment horizontal="justify" vertical="top"/>
    </xf>
    <xf numFmtId="164" fontId="11" fillId="0" borderId="1" xfId="1" applyFont="1" applyBorder="1" applyAlignment="1">
      <alignment horizontal="center"/>
    </xf>
    <xf numFmtId="0" fontId="68" fillId="0" borderId="1" xfId="0" applyFont="1" applyBorder="1" applyAlignment="1">
      <alignment horizontal="center"/>
    </xf>
    <xf numFmtId="0" fontId="68" fillId="0" borderId="1" xfId="0" applyFont="1" applyBorder="1" applyAlignment="1">
      <alignment horizontal="justify" vertical="top"/>
    </xf>
    <xf numFmtId="164" fontId="3" fillId="0" borderId="1" xfId="1"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justify" vertical="top"/>
    </xf>
    <xf numFmtId="0" fontId="3" fillId="0" borderId="1" xfId="0" applyFont="1" applyBorder="1" applyAlignment="1">
      <alignment horizontal="justify" vertical="top" wrapText="1"/>
    </xf>
    <xf numFmtId="164" fontId="9" fillId="0" borderId="1" xfId="1" applyFont="1" applyBorder="1" applyAlignment="1">
      <alignment horizontal="center"/>
    </xf>
    <xf numFmtId="0" fontId="3" fillId="0" borderId="1" xfId="0" applyFont="1" applyBorder="1" applyAlignment="1">
      <alignment horizontal="center" vertical="top"/>
    </xf>
    <xf numFmtId="164" fontId="3" fillId="0" borderId="1" xfId="1" applyFont="1" applyFill="1" applyBorder="1" applyAlignment="1">
      <alignment horizontal="center"/>
    </xf>
    <xf numFmtId="164" fontId="3" fillId="0" borderId="1" xfId="1" applyFont="1" applyBorder="1" applyAlignment="1"/>
    <xf numFmtId="0" fontId="3" fillId="0" borderId="1" xfId="0" applyFont="1" applyBorder="1"/>
    <xf numFmtId="164" fontId="3" fillId="0" borderId="1" xfId="1" applyFont="1" applyFill="1" applyBorder="1"/>
    <xf numFmtId="0" fontId="11" fillId="0" borderId="2" xfId="0" applyFont="1" applyBorder="1"/>
    <xf numFmtId="0" fontId="11" fillId="0" borderId="2" xfId="0" applyFont="1" applyBorder="1" applyAlignment="1">
      <alignment horizontal="justify" vertical="top"/>
    </xf>
    <xf numFmtId="164" fontId="11" fillId="0" borderId="2" xfId="1" applyFont="1" applyBorder="1" applyAlignment="1">
      <alignment horizontal="center"/>
    </xf>
    <xf numFmtId="0" fontId="68" fillId="0" borderId="2" xfId="0" applyFont="1" applyBorder="1" applyAlignment="1">
      <alignment horizontal="center"/>
    </xf>
    <xf numFmtId="164" fontId="68" fillId="0" borderId="2" xfId="1" applyFont="1" applyBorder="1" applyAlignment="1">
      <alignment horizontal="center"/>
    </xf>
    <xf numFmtId="0" fontId="11" fillId="20" borderId="1" xfId="0" applyFont="1" applyFill="1" applyBorder="1"/>
    <xf numFmtId="0" fontId="3" fillId="20" borderId="1" xfId="0" applyFont="1" applyFill="1" applyBorder="1" applyAlignment="1">
      <alignment horizontal="justify" vertical="top"/>
    </xf>
    <xf numFmtId="164" fontId="3" fillId="20" borderId="1" xfId="1" applyFont="1" applyFill="1" applyBorder="1" applyAlignment="1">
      <alignment horizontal="center"/>
    </xf>
    <xf numFmtId="0" fontId="9" fillId="20" borderId="1" xfId="0" applyFont="1" applyFill="1" applyBorder="1" applyAlignment="1">
      <alignment horizontal="center"/>
    </xf>
    <xf numFmtId="0" fontId="3" fillId="20" borderId="1" xfId="0" applyFont="1" applyFill="1" applyBorder="1"/>
    <xf numFmtId="164" fontId="3" fillId="20" borderId="1" xfId="0" applyNumberFormat="1" applyFont="1" applyFill="1" applyBorder="1"/>
    <xf numFmtId="164" fontId="0" fillId="0" borderId="1" xfId="1" applyFont="1" applyBorder="1"/>
    <xf numFmtId="0" fontId="3" fillId="13" borderId="1" xfId="0" applyFont="1" applyFill="1" applyBorder="1"/>
    <xf numFmtId="164" fontId="3" fillId="13" borderId="1" xfId="1" applyFont="1" applyFill="1" applyBorder="1"/>
    <xf numFmtId="0" fontId="3" fillId="0" borderId="1" xfId="0" applyFont="1" applyBorder="1" applyAlignment="1">
      <alignment wrapText="1"/>
    </xf>
    <xf numFmtId="164" fontId="3" fillId="0" borderId="1" xfId="1" applyFont="1" applyBorder="1"/>
    <xf numFmtId="167" fontId="3" fillId="0" borderId="1" xfId="0" applyNumberFormat="1" applyFont="1" applyBorder="1"/>
    <xf numFmtId="0" fontId="3" fillId="0" borderId="1" xfId="0" applyFont="1" applyBorder="1" applyAlignment="1">
      <alignment vertical="center" wrapText="1"/>
    </xf>
    <xf numFmtId="0" fontId="10" fillId="0" borderId="1" xfId="0" applyFont="1" applyBorder="1" applyAlignment="1">
      <alignment vertical="center"/>
    </xf>
    <xf numFmtId="164" fontId="3" fillId="0" borderId="1" xfId="1" applyFont="1" applyBorder="1" applyAlignment="1">
      <alignment vertical="center"/>
    </xf>
    <xf numFmtId="164" fontId="3" fillId="0" borderId="1" xfId="0" applyNumberFormat="1" applyFont="1" applyBorder="1" applyAlignment="1">
      <alignment vertical="center"/>
    </xf>
    <xf numFmtId="0" fontId="3" fillId="0" borderId="1" xfId="0" applyFont="1" applyBorder="1" applyAlignment="1">
      <alignment horizontal="center" vertical="center"/>
    </xf>
    <xf numFmtId="4" fontId="3" fillId="0" borderId="1" xfId="0" applyNumberFormat="1" applyFont="1" applyBorder="1" applyAlignment="1">
      <alignment horizontal="right" vertical="center"/>
    </xf>
    <xf numFmtId="164" fontId="3" fillId="0" borderId="1" xfId="1" applyFont="1" applyFill="1" applyBorder="1" applyAlignment="1">
      <alignment vertical="center"/>
    </xf>
    <xf numFmtId="0" fontId="10" fillId="0" borderId="1" xfId="0" applyFont="1" applyBorder="1"/>
    <xf numFmtId="0" fontId="10" fillId="13" borderId="1" xfId="0" applyFont="1" applyFill="1" applyBorder="1"/>
    <xf numFmtId="0" fontId="10" fillId="24" borderId="1" xfId="0" applyFont="1" applyFill="1" applyBorder="1"/>
    <xf numFmtId="164" fontId="10" fillId="24" borderId="1" xfId="1" applyFont="1" applyFill="1" applyBorder="1"/>
    <xf numFmtId="0" fontId="12" fillId="3" borderId="1" xfId="0" applyFont="1" applyFill="1" applyBorder="1" applyAlignment="1">
      <alignment vertical="center"/>
    </xf>
    <xf numFmtId="164" fontId="12" fillId="3" borderId="1" xfId="1" applyFont="1" applyFill="1" applyBorder="1" applyAlignment="1">
      <alignment vertical="center"/>
    </xf>
    <xf numFmtId="0" fontId="50" fillId="0" borderId="1" xfId="0" quotePrefix="1" applyFont="1" applyBorder="1" applyAlignment="1">
      <alignment horizontal="left" vertical="top" wrapText="1"/>
    </xf>
    <xf numFmtId="0" fontId="50" fillId="0" borderId="1" xfId="0" quotePrefix="1" applyFont="1" applyBorder="1" applyAlignment="1">
      <alignment horizontal="justify" vertical="top" wrapText="1"/>
    </xf>
    <xf numFmtId="0" fontId="54"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164" fontId="50" fillId="0" borderId="1" xfId="1" applyFont="1" applyFill="1" applyBorder="1"/>
    <xf numFmtId="0" fontId="50" fillId="0" borderId="1" xfId="0" applyFont="1" applyBorder="1" applyAlignment="1">
      <alignment vertical="center"/>
    </xf>
    <xf numFmtId="0" fontId="50" fillId="0" borderId="1" xfId="0" applyFont="1" applyBorder="1" applyAlignment="1">
      <alignment horizontal="center"/>
    </xf>
    <xf numFmtId="173" fontId="50" fillId="0" borderId="1" xfId="0" applyNumberFormat="1" applyFont="1" applyBorder="1" applyAlignment="1">
      <alignment horizontal="center" vertical="center"/>
    </xf>
    <xf numFmtId="173" fontId="50" fillId="0" borderId="1" xfId="0" applyNumberFormat="1" applyFont="1" applyBorder="1" applyAlignment="1">
      <alignment horizontal="center" vertical="top"/>
    </xf>
    <xf numFmtId="0" fontId="85" fillId="0" borderId="1" xfId="0" applyFont="1" applyBorder="1" applyAlignment="1">
      <alignment horizontal="right"/>
    </xf>
    <xf numFmtId="164" fontId="85" fillId="0" borderId="1" xfId="1" applyFont="1" applyFill="1" applyBorder="1"/>
    <xf numFmtId="164" fontId="85" fillId="0" borderId="1" xfId="1" applyFont="1" applyFill="1" applyBorder="1" applyAlignment="1">
      <alignment vertical="center"/>
    </xf>
    <xf numFmtId="0" fontId="85" fillId="0" borderId="1" xfId="0" applyFont="1" applyBorder="1"/>
    <xf numFmtId="0" fontId="23" fillId="0" borderId="1" xfId="0" applyFont="1" applyBorder="1" applyAlignment="1">
      <alignment horizontal="right" vertical="top"/>
    </xf>
    <xf numFmtId="0" fontId="89" fillId="0" borderId="1" xfId="0" applyFont="1" applyBorder="1" applyAlignment="1">
      <alignment horizontal="center" vertical="top"/>
    </xf>
    <xf numFmtId="43" fontId="85" fillId="0" borderId="1" xfId="1" applyNumberFormat="1" applyFont="1" applyFill="1" applyBorder="1" applyAlignment="1">
      <alignment horizontal="right" vertical="center" wrapText="1"/>
    </xf>
    <xf numFmtId="164" fontId="50" fillId="0" borderId="1" xfId="1" applyFont="1" applyFill="1" applyBorder="1" applyAlignment="1">
      <alignment horizontal="center" vertical="center" wrapText="1"/>
    </xf>
    <xf numFmtId="164" fontId="85" fillId="0" borderId="1" xfId="1" applyFont="1" applyFill="1" applyBorder="1" applyAlignment="1">
      <alignment horizontal="center" vertical="center" wrapText="1"/>
    </xf>
    <xf numFmtId="2" fontId="50" fillId="0" borderId="1" xfId="0" applyNumberFormat="1" applyFont="1" applyBorder="1" applyAlignment="1">
      <alignment horizontal="center" vertical="top"/>
    </xf>
    <xf numFmtId="43" fontId="45" fillId="0" borderId="0" xfId="0" applyNumberFormat="1" applyFont="1"/>
    <xf numFmtId="43" fontId="78" fillId="0" borderId="5"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64" fontId="11" fillId="0" borderId="0" xfId="0" applyNumberFormat="1" applyFont="1"/>
    <xf numFmtId="167" fontId="0" fillId="0" borderId="0" xfId="0" applyNumberFormat="1"/>
    <xf numFmtId="166" fontId="0" fillId="0" borderId="0" xfId="0" applyNumberFormat="1"/>
    <xf numFmtId="0" fontId="32" fillId="0" borderId="0" xfId="0" applyFont="1" applyAlignment="1" applyProtection="1">
      <alignment horizontal="center" vertical="center" wrapText="1"/>
      <protection locked="0"/>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164" fontId="23" fillId="22" borderId="1" xfId="1" applyFont="1" applyFill="1" applyBorder="1" applyAlignment="1">
      <alignment vertical="center"/>
    </xf>
    <xf numFmtId="43" fontId="45" fillId="22" borderId="1" xfId="1" applyNumberFormat="1" applyFont="1" applyFill="1" applyBorder="1" applyAlignment="1">
      <alignment horizontal="center" vertical="center"/>
    </xf>
    <xf numFmtId="43" fontId="45" fillId="22" borderId="1" xfId="1" applyNumberFormat="1" applyFont="1" applyFill="1" applyBorder="1" applyAlignment="1">
      <alignment vertical="center"/>
    </xf>
    <xf numFmtId="164" fontId="50" fillId="22" borderId="1" xfId="1" applyFont="1" applyFill="1" applyBorder="1"/>
    <xf numFmtId="2" fontId="50" fillId="22" borderId="1" xfId="0" applyNumberFormat="1" applyFont="1" applyFill="1" applyBorder="1" applyAlignment="1">
      <alignment horizontal="right" vertical="center"/>
    </xf>
    <xf numFmtId="2" fontId="50" fillId="22" borderId="1" xfId="0" applyNumberFormat="1" applyFont="1" applyFill="1" applyBorder="1" applyAlignment="1">
      <alignment horizontal="right"/>
    </xf>
    <xf numFmtId="164" fontId="23" fillId="22" borderId="1" xfId="1" applyFont="1" applyFill="1" applyBorder="1" applyAlignment="1">
      <alignment horizontal="center" vertical="center" wrapText="1"/>
    </xf>
    <xf numFmtId="0" fontId="48" fillId="22" borderId="1" xfId="20" applyFont="1" applyFill="1" applyBorder="1" applyAlignment="1">
      <alignment horizontal="center"/>
    </xf>
    <xf numFmtId="0" fontId="1" fillId="0" borderId="0" xfId="0" applyFont="1"/>
    <xf numFmtId="0" fontId="3" fillId="18" borderId="1" xfId="0" applyFont="1" applyFill="1" applyBorder="1" applyAlignment="1">
      <alignment horizontal="center" vertical="center" wrapText="1"/>
    </xf>
    <xf numFmtId="0" fontId="3" fillId="5" borderId="0" xfId="0" applyFont="1" applyFill="1" applyAlignment="1">
      <alignment horizontal="center" vertical="center" wrapText="1"/>
    </xf>
    <xf numFmtId="167" fontId="33" fillId="5" borderId="2" xfId="1" applyNumberFormat="1" applyFont="1" applyFill="1" applyBorder="1" applyAlignment="1" applyProtection="1">
      <alignment horizontal="center" vertical="center"/>
      <protection locked="0"/>
    </xf>
    <xf numFmtId="167" fontId="33" fillId="5" borderId="4" xfId="1" applyNumberFormat="1" applyFont="1" applyFill="1" applyBorder="1" applyAlignment="1">
      <alignment horizontal="center" vertical="center" wrapText="1"/>
    </xf>
    <xf numFmtId="164" fontId="3" fillId="0" borderId="1" xfId="0" applyNumberFormat="1" applyFont="1" applyBorder="1"/>
    <xf numFmtId="0" fontId="3" fillId="0" borderId="0" xfId="0" applyFont="1"/>
    <xf numFmtId="0" fontId="3" fillId="13" borderId="1" xfId="0" applyFont="1" applyFill="1" applyBorder="1" applyAlignment="1">
      <alignment horizontal="center" vertical="center" wrapText="1"/>
    </xf>
    <xf numFmtId="164" fontId="3" fillId="13" borderId="1" xfId="1" applyFont="1" applyFill="1" applyBorder="1" applyAlignment="1">
      <alignment horizontal="center" vertical="center" wrapText="1"/>
    </xf>
    <xf numFmtId="164" fontId="4" fillId="0" borderId="0" xfId="1" applyFont="1" applyFill="1" applyBorder="1" applyAlignment="1" applyProtection="1">
      <alignment horizontal="center" vertical="center" wrapText="1"/>
      <protection locked="0"/>
    </xf>
    <xf numFmtId="0" fontId="45" fillId="22" borderId="1" xfId="0" applyFont="1" applyFill="1" applyBorder="1"/>
    <xf numFmtId="0" fontId="45" fillId="22" borderId="1" xfId="0" applyFont="1" applyFill="1" applyBorder="1" applyAlignment="1">
      <alignment horizontal="right" vertical="center"/>
    </xf>
    <xf numFmtId="164" fontId="45" fillId="22" borderId="1" xfId="1" applyFont="1" applyFill="1" applyBorder="1" applyAlignment="1">
      <alignment horizontal="right" vertical="center"/>
    </xf>
    <xf numFmtId="0" fontId="23" fillId="22" borderId="1" xfId="0" applyFont="1" applyFill="1" applyBorder="1"/>
    <xf numFmtId="164" fontId="85" fillId="22" borderId="1" xfId="1" applyFont="1" applyFill="1" applyBorder="1"/>
    <xf numFmtId="171" fontId="23" fillId="22" borderId="1" xfId="1" applyNumberFormat="1" applyFont="1" applyFill="1" applyBorder="1" applyAlignment="1">
      <alignment horizontal="center" vertical="center" wrapText="1"/>
    </xf>
    <xf numFmtId="164" fontId="50" fillId="22" borderId="1" xfId="1" applyFont="1" applyFill="1" applyBorder="1" applyAlignment="1">
      <alignment vertical="center"/>
    </xf>
    <xf numFmtId="174" fontId="50" fillId="22" borderId="1" xfId="1" applyNumberFormat="1" applyFont="1" applyFill="1" applyBorder="1" applyAlignment="1">
      <alignment vertical="center"/>
    </xf>
    <xf numFmtId="0" fontId="50" fillId="22" borderId="1" xfId="0" applyFont="1" applyFill="1" applyBorder="1" applyAlignment="1">
      <alignment vertical="center"/>
    </xf>
    <xf numFmtId="0" fontId="50" fillId="22" borderId="1" xfId="0" applyFont="1" applyFill="1" applyBorder="1"/>
    <xf numFmtId="43" fontId="25" fillId="22" borderId="1" xfId="1" applyNumberFormat="1" applyFont="1" applyFill="1" applyBorder="1" applyAlignment="1">
      <alignment horizontal="center" vertical="center"/>
    </xf>
    <xf numFmtId="43" fontId="78" fillId="22" borderId="1" xfId="1" applyNumberFormat="1" applyFont="1" applyFill="1" applyBorder="1" applyAlignment="1" applyProtection="1">
      <alignment horizontal="center" vertical="center"/>
    </xf>
    <xf numFmtId="164" fontId="21" fillId="25" borderId="1" xfId="1" applyFont="1" applyFill="1" applyBorder="1" applyAlignment="1" applyProtection="1">
      <alignment horizontal="center" vertical="center"/>
    </xf>
    <xf numFmtId="164" fontId="21" fillId="25" borderId="1" xfId="1" applyFont="1" applyFill="1" applyBorder="1" applyAlignment="1">
      <alignment horizontal="center" vertical="center"/>
    </xf>
    <xf numFmtId="164" fontId="94" fillId="26" borderId="1" xfId="1" applyFont="1" applyFill="1" applyBorder="1" applyAlignment="1">
      <alignment horizontal="center" vertical="center"/>
    </xf>
    <xf numFmtId="164" fontId="80" fillId="25" borderId="1" xfId="1" applyFont="1" applyFill="1" applyBorder="1" applyAlignment="1">
      <alignment horizontal="center" vertical="center"/>
    </xf>
    <xf numFmtId="0" fontId="33" fillId="2" borderId="1" xfId="21" applyFont="1" applyFill="1" applyBorder="1" applyAlignment="1">
      <alignment vertical="center" wrapText="1"/>
    </xf>
    <xf numFmtId="0" fontId="54" fillId="25" borderId="1" xfId="21" applyFont="1" applyFill="1" applyBorder="1"/>
    <xf numFmtId="164" fontId="0" fillId="0" borderId="0" xfId="0" applyNumberFormat="1" applyAlignment="1">
      <alignment vertical="center"/>
    </xf>
    <xf numFmtId="164" fontId="23" fillId="0" borderId="0" xfId="0" applyNumberFormat="1" applyFont="1" applyAlignment="1">
      <alignment horizontal="left"/>
    </xf>
    <xf numFmtId="43" fontId="45" fillId="22" borderId="1" xfId="1" applyNumberFormat="1" applyFont="1" applyFill="1" applyBorder="1" applyAlignment="1">
      <alignment vertical="center" wrapText="1"/>
    </xf>
    <xf numFmtId="164" fontId="9" fillId="4" borderId="1" xfId="1" applyFont="1" applyFill="1" applyBorder="1" applyAlignment="1" applyProtection="1">
      <alignment horizontal="center" vertical="justify"/>
      <protection locked="0"/>
    </xf>
    <xf numFmtId="164" fontId="0" fillId="22" borderId="1" xfId="1" applyFont="1" applyFill="1" applyBorder="1" applyAlignment="1">
      <alignment horizontal="center" vertical="center"/>
    </xf>
    <xf numFmtId="164" fontId="0" fillId="22" borderId="1" xfId="1" applyFont="1" applyFill="1" applyBorder="1" applyAlignment="1" applyProtection="1">
      <alignment horizontal="center" vertical="center"/>
      <protection locked="0"/>
    </xf>
    <xf numFmtId="0" fontId="45" fillId="0" borderId="5" xfId="0" applyFont="1" applyBorder="1"/>
    <xf numFmtId="0" fontId="5" fillId="0" borderId="1" xfId="0" applyFont="1" applyBorder="1" applyAlignment="1">
      <alignment vertical="center" wrapText="1"/>
    </xf>
    <xf numFmtId="0" fontId="5" fillId="0" borderId="5" xfId="0" applyFont="1" applyBorder="1" applyAlignment="1">
      <alignment horizontal="left" vertical="top"/>
    </xf>
    <xf numFmtId="166" fontId="67" fillId="3" borderId="1" xfId="1" applyNumberFormat="1" applyFont="1" applyFill="1" applyBorder="1" applyAlignment="1">
      <alignment horizontal="center" vertical="center" wrapText="1"/>
    </xf>
    <xf numFmtId="0" fontId="4" fillId="27" borderId="1" xfId="0" applyFont="1" applyFill="1" applyBorder="1" applyAlignment="1">
      <alignment horizontal="center" vertical="center" wrapText="1"/>
    </xf>
    <xf numFmtId="0" fontId="5" fillId="27" borderId="1" xfId="0" applyFont="1" applyFill="1" applyBorder="1" applyAlignment="1">
      <alignment horizontal="justify" vertical="top" wrapText="1"/>
    </xf>
    <xf numFmtId="166" fontId="69" fillId="3" borderId="1" xfId="1" applyNumberFormat="1" applyFont="1" applyFill="1" applyBorder="1" applyAlignment="1" applyProtection="1">
      <alignment horizontal="center" vertical="center"/>
      <protection locked="0"/>
    </xf>
    <xf numFmtId="174" fontId="50" fillId="0" borderId="1" xfId="1" applyNumberFormat="1" applyFont="1" applyFill="1" applyBorder="1" applyAlignment="1">
      <alignment vertical="center"/>
    </xf>
    <xf numFmtId="4" fontId="9" fillId="3" borderId="1" xfId="0" applyNumberFormat="1" applyFont="1" applyFill="1" applyBorder="1"/>
    <xf numFmtId="0" fontId="21" fillId="20" borderId="1" xfId="0" applyFont="1" applyFill="1" applyBorder="1" applyAlignment="1">
      <alignment vertical="center" wrapText="1"/>
    </xf>
    <xf numFmtId="43" fontId="78" fillId="28" borderId="1" xfId="1" applyNumberFormat="1" applyFont="1" applyFill="1" applyBorder="1" applyAlignment="1">
      <alignment vertical="center"/>
    </xf>
    <xf numFmtId="167" fontId="37" fillId="6" borderId="5" xfId="0" applyNumberFormat="1" applyFont="1" applyFill="1" applyBorder="1" applyAlignment="1">
      <alignment horizontal="center" vertical="center"/>
    </xf>
    <xf numFmtId="1" fontId="23" fillId="0" borderId="7" xfId="0" applyNumberFormat="1" applyFont="1" applyBorder="1" applyAlignment="1">
      <alignment horizontal="center" vertical="center"/>
    </xf>
    <xf numFmtId="1" fontId="23" fillId="0" borderId="0" xfId="0" applyNumberFormat="1" applyFont="1" applyAlignment="1">
      <alignment horizontal="center" vertical="center"/>
    </xf>
    <xf numFmtId="0" fontId="83" fillId="2" borderId="1" xfId="0" applyFont="1" applyFill="1" applyBorder="1" applyAlignment="1">
      <alignment horizontal="center" vertical="center"/>
    </xf>
    <xf numFmtId="0" fontId="83" fillId="2" borderId="1" xfId="0" applyFont="1" applyFill="1" applyBorder="1" applyAlignment="1">
      <alignment horizontal="center" vertical="center" wrapText="1"/>
    </xf>
    <xf numFmtId="168" fontId="83" fillId="2" borderId="1" xfId="1" applyNumberFormat="1" applyFont="1" applyFill="1" applyBorder="1" applyAlignment="1">
      <alignment horizontal="center" vertical="center"/>
    </xf>
    <xf numFmtId="164" fontId="83" fillId="2" borderId="1" xfId="1" applyFont="1" applyFill="1" applyBorder="1" applyAlignment="1">
      <alignment horizontal="center" vertical="center" wrapText="1"/>
    </xf>
    <xf numFmtId="2" fontId="23" fillId="0" borderId="7" xfId="0" applyNumberFormat="1" applyFont="1" applyBorder="1" applyAlignment="1">
      <alignment horizontal="center" vertical="center"/>
    </xf>
    <xf numFmtId="0" fontId="0" fillId="4" borderId="1" xfId="0" applyFill="1" applyBorder="1" applyAlignment="1" applyProtection="1">
      <alignment horizontal="justify" vertical="justify"/>
      <protection locked="0"/>
    </xf>
    <xf numFmtId="0" fontId="0" fillId="4" borderId="1" xfId="0" applyFill="1" applyBorder="1" applyAlignment="1" applyProtection="1">
      <alignment horizontal="justify" vertical="top" wrapText="1"/>
      <protection locked="0"/>
    </xf>
    <xf numFmtId="0" fontId="0" fillId="4" borderId="1" xfId="0" applyFill="1" applyBorder="1" applyAlignment="1" applyProtection="1">
      <alignment horizontal="justify" vertical="center" wrapText="1"/>
      <protection locked="0"/>
    </xf>
    <xf numFmtId="0" fontId="0" fillId="4" borderId="1" xfId="0" applyFill="1" applyBorder="1" applyAlignment="1" applyProtection="1">
      <alignment vertical="center" wrapText="1"/>
      <protection locked="0"/>
    </xf>
    <xf numFmtId="166" fontId="0" fillId="0" borderId="1" xfId="1" applyNumberFormat="1" applyFont="1" applyFill="1" applyBorder="1" applyAlignment="1" applyProtection="1">
      <alignment horizontal="center" vertical="center" wrapText="1"/>
      <protection locked="0"/>
    </xf>
    <xf numFmtId="43" fontId="0" fillId="4" borderId="1" xfId="0" applyNumberFormat="1" applyFill="1" applyBorder="1" applyAlignment="1" applyProtection="1">
      <alignment horizontal="justify" vertical="top" wrapText="1"/>
      <protection locked="0"/>
    </xf>
    <xf numFmtId="0" fontId="49" fillId="0" borderId="1" xfId="0" applyFont="1" applyBorder="1"/>
    <xf numFmtId="0" fontId="49" fillId="0" borderId="1" xfId="21" applyFont="1" applyBorder="1"/>
    <xf numFmtId="0" fontId="50" fillId="0" borderId="1" xfId="21" applyFont="1" applyBorder="1" applyAlignment="1">
      <alignment horizontal="center"/>
    </xf>
    <xf numFmtId="0" fontId="23" fillId="0" borderId="1" xfId="0" applyFont="1" applyBorder="1" applyAlignment="1" applyProtection="1">
      <alignment horizontal="justify" vertical="justify"/>
      <protection locked="0"/>
    </xf>
    <xf numFmtId="0" fontId="49" fillId="0" borderId="1" xfId="0" applyFont="1" applyBorder="1" applyAlignment="1" applyProtection="1">
      <alignment vertical="justify"/>
      <protection locked="0"/>
    </xf>
    <xf numFmtId="0" fontId="49" fillId="28" borderId="1" xfId="21" applyFont="1" applyFill="1" applyBorder="1"/>
    <xf numFmtId="1" fontId="49" fillId="0" borderId="1" xfId="0" applyNumberFormat="1" applyFont="1" applyBorder="1"/>
    <xf numFmtId="0" fontId="21" fillId="20" borderId="5" xfId="0" applyFont="1" applyFill="1" applyBorder="1" applyAlignment="1">
      <alignment vertical="center" wrapText="1"/>
    </xf>
    <xf numFmtId="0" fontId="12" fillId="0" borderId="5" xfId="0" applyFont="1" applyBorder="1"/>
    <xf numFmtId="167" fontId="5" fillId="6" borderId="5" xfId="1" applyNumberFormat="1" applyFont="1" applyFill="1" applyBorder="1" applyAlignment="1">
      <alignment horizontal="center" vertical="center" wrapText="1"/>
    </xf>
    <xf numFmtId="0" fontId="0" fillId="20" borderId="1" xfId="0" applyFill="1" applyBorder="1" applyAlignment="1">
      <alignment vertical="top"/>
    </xf>
    <xf numFmtId="1" fontId="0" fillId="0" borderId="1" xfId="0" applyNumberFormat="1" applyBorder="1" applyAlignment="1">
      <alignment vertical="top"/>
    </xf>
    <xf numFmtId="3" fontId="0" fillId="0" borderId="1" xfId="0" applyNumberFormat="1" applyBorder="1" applyAlignment="1">
      <alignment vertical="top"/>
    </xf>
    <xf numFmtId="168" fontId="21" fillId="5" borderId="5" xfId="0" applyNumberFormat="1" applyFont="1" applyFill="1" applyBorder="1" applyAlignment="1" applyProtection="1">
      <alignment horizontal="right" vertical="justify"/>
      <protection locked="0"/>
    </xf>
    <xf numFmtId="168" fontId="9" fillId="4" borderId="5" xfId="0" applyNumberFormat="1" applyFont="1" applyFill="1" applyBorder="1" applyAlignment="1" applyProtection="1">
      <alignment horizontal="right" vertical="justify"/>
      <protection locked="0"/>
    </xf>
    <xf numFmtId="168" fontId="9" fillId="5" borderId="5" xfId="0" applyNumberFormat="1" applyFont="1" applyFill="1" applyBorder="1" applyAlignment="1" applyProtection="1">
      <alignment horizontal="right" vertical="justify"/>
      <protection locked="0"/>
    </xf>
    <xf numFmtId="168" fontId="39" fillId="6" borderId="5" xfId="0" applyNumberFormat="1" applyFont="1" applyFill="1" applyBorder="1" applyAlignment="1">
      <alignment horizontal="right" vertical="center" wrapText="1"/>
    </xf>
    <xf numFmtId="168" fontId="9" fillId="16" borderId="5" xfId="0" applyNumberFormat="1" applyFont="1" applyFill="1" applyBorder="1" applyAlignment="1" applyProtection="1">
      <alignment horizontal="right" vertical="justify"/>
      <protection locked="0"/>
    </xf>
    <xf numFmtId="168" fontId="9" fillId="4" borderId="5" xfId="0" applyNumberFormat="1" applyFont="1" applyFill="1" applyBorder="1" applyAlignment="1" applyProtection="1">
      <alignment horizontal="right" vertical="center"/>
      <protection locked="0"/>
    </xf>
    <xf numFmtId="168" fontId="9" fillId="4" borderId="5" xfId="0" applyNumberFormat="1" applyFont="1" applyFill="1" applyBorder="1" applyAlignment="1" applyProtection="1">
      <alignment vertical="center"/>
      <protection locked="0"/>
    </xf>
    <xf numFmtId="168" fontId="9" fillId="0" borderId="5" xfId="0" applyNumberFormat="1" applyFont="1" applyBorder="1" applyAlignment="1" applyProtection="1">
      <alignment horizontal="right" vertical="justify"/>
      <protection locked="0"/>
    </xf>
    <xf numFmtId="0" fontId="21" fillId="4" borderId="1" xfId="0" applyFont="1" applyFill="1" applyBorder="1" applyAlignment="1" applyProtection="1">
      <alignment horizontal="justify" vertical="justify"/>
      <protection locked="0"/>
    </xf>
    <xf numFmtId="0" fontId="0" fillId="4" borderId="1" xfId="0" applyFill="1" applyBorder="1" applyAlignment="1" applyProtection="1">
      <alignment horizontal="right" vertical="center"/>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horizontal="justify" vertical="center"/>
      <protection locked="0"/>
    </xf>
    <xf numFmtId="0" fontId="43" fillId="0" borderId="1" xfId="0" applyFont="1" applyBorder="1" applyAlignment="1" applyProtection="1">
      <alignment horizontal="center" vertical="center"/>
      <protection locked="0"/>
    </xf>
    <xf numFmtId="0" fontId="15" fillId="4" borderId="1" xfId="0" applyFont="1" applyFill="1" applyBorder="1" applyAlignment="1" applyProtection="1">
      <alignment vertical="justify"/>
      <protection locked="0"/>
    </xf>
    <xf numFmtId="0" fontId="15" fillId="0" borderId="1" xfId="0" applyFont="1" applyBorder="1" applyAlignment="1" applyProtection="1">
      <alignment vertical="justify"/>
      <protection locked="0"/>
    </xf>
    <xf numFmtId="0" fontId="4" fillId="7" borderId="17" xfId="0" applyFont="1" applyFill="1" applyBorder="1" applyAlignment="1">
      <alignment vertical="top"/>
    </xf>
    <xf numFmtId="0" fontId="5" fillId="7" borderId="2" xfId="0" applyFont="1" applyFill="1" applyBorder="1"/>
    <xf numFmtId="0" fontId="5" fillId="7" borderId="2" xfId="0" applyFont="1" applyFill="1" applyBorder="1" applyAlignment="1">
      <alignment horizontal="center"/>
    </xf>
    <xf numFmtId="0" fontId="5" fillId="7" borderId="8" xfId="0" applyFont="1" applyFill="1" applyBorder="1"/>
    <xf numFmtId="0" fontId="5" fillId="7" borderId="5" xfId="0" applyFont="1" applyFill="1" applyBorder="1"/>
    <xf numFmtId="164" fontId="3" fillId="3" borderId="4" xfId="1" applyFont="1" applyFill="1" applyBorder="1" applyAlignment="1">
      <alignment vertical="center"/>
    </xf>
    <xf numFmtId="0" fontId="3" fillId="7" borderId="1" xfId="0" applyFont="1" applyFill="1" applyBorder="1" applyAlignment="1">
      <alignment vertical="center" wrapText="1"/>
    </xf>
    <xf numFmtId="0" fontId="3" fillId="7" borderId="1" xfId="0" applyFont="1" applyFill="1" applyBorder="1" applyAlignment="1">
      <alignment horizontal="center"/>
    </xf>
    <xf numFmtId="0" fontId="10" fillId="7" borderId="1" xfId="0" applyFont="1" applyFill="1" applyBorder="1" applyAlignment="1">
      <alignment vertical="center"/>
    </xf>
    <xf numFmtId="164" fontId="3" fillId="7" borderId="1" xfId="1" applyFont="1" applyFill="1" applyBorder="1" applyAlignment="1">
      <alignment vertical="center"/>
    </xf>
    <xf numFmtId="164" fontId="3" fillId="7" borderId="1" xfId="0" applyNumberFormat="1" applyFont="1" applyFill="1" applyBorder="1" applyAlignment="1">
      <alignment vertical="center"/>
    </xf>
    <xf numFmtId="0" fontId="4" fillId="0" borderId="24" xfId="0" applyFont="1" applyBorder="1" applyAlignment="1">
      <alignment vertical="top"/>
    </xf>
    <xf numFmtId="0" fontId="5" fillId="0" borderId="2" xfId="0" applyFont="1" applyBorder="1"/>
    <xf numFmtId="0" fontId="5" fillId="0" borderId="2" xfId="0" applyFont="1" applyBorder="1" applyAlignment="1">
      <alignment horizontal="center"/>
    </xf>
    <xf numFmtId="0" fontId="5" fillId="0" borderId="8" xfId="0" applyFont="1" applyBorder="1"/>
    <xf numFmtId="0" fontId="5" fillId="0" borderId="5" xfId="0" applyFont="1" applyBorder="1"/>
    <xf numFmtId="0" fontId="100" fillId="0" borderId="1" xfId="0" applyFont="1" applyBorder="1" applyAlignment="1">
      <alignment horizontal="left" vertical="top" wrapText="1"/>
    </xf>
    <xf numFmtId="167" fontId="37" fillId="6" borderId="1" xfId="0" applyNumberFormat="1" applyFont="1" applyFill="1" applyBorder="1" applyAlignment="1">
      <alignment horizontal="center" vertical="center"/>
    </xf>
    <xf numFmtId="0" fontId="3" fillId="18"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wrapText="1"/>
    </xf>
    <xf numFmtId="0" fontId="23" fillId="0" borderId="4" xfId="0" applyFont="1" applyBorder="1" applyAlignment="1">
      <alignment horizontal="left" wrapText="1"/>
    </xf>
    <xf numFmtId="164" fontId="80" fillId="0" borderId="8" xfId="1" applyFont="1" applyFill="1" applyBorder="1" applyAlignment="1">
      <alignment horizontal="center" vertical="center" wrapText="1"/>
    </xf>
    <xf numFmtId="164" fontId="80" fillId="2" borderId="9" xfId="1" applyFont="1" applyFill="1" applyBorder="1" applyAlignment="1">
      <alignment horizontal="center" vertical="center" wrapText="1"/>
    </xf>
    <xf numFmtId="164" fontId="80" fillId="2" borderId="24" xfId="1" applyFont="1" applyFill="1" applyBorder="1" applyAlignment="1">
      <alignment horizontal="center" vertical="center" wrapText="1"/>
    </xf>
    <xf numFmtId="164" fontId="80" fillId="0" borderId="23" xfId="1" applyFont="1" applyFill="1" applyBorder="1" applyAlignment="1">
      <alignment horizontal="center" vertical="center" wrapText="1"/>
    </xf>
    <xf numFmtId="164" fontId="80" fillId="2" borderId="22" xfId="1" applyFont="1" applyFill="1" applyBorder="1" applyAlignment="1">
      <alignment horizontal="center" vertical="center" wrapText="1"/>
    </xf>
    <xf numFmtId="164" fontId="80" fillId="2" borderId="25" xfId="1" applyFont="1" applyFill="1" applyBorder="1" applyAlignment="1">
      <alignment horizontal="center" vertical="center" wrapText="1"/>
    </xf>
    <xf numFmtId="0" fontId="86" fillId="2" borderId="1" xfId="21" applyFont="1" applyFill="1" applyBorder="1" applyAlignment="1">
      <alignment horizontal="center" vertical="center"/>
    </xf>
    <xf numFmtId="164" fontId="86" fillId="2" borderId="1" xfId="1" applyFont="1" applyFill="1" applyBorder="1" applyAlignment="1" applyProtection="1">
      <alignment horizontal="center" vertical="center"/>
    </xf>
    <xf numFmtId="0" fontId="86" fillId="2" borderId="1" xfId="21" applyFont="1" applyFill="1" applyBorder="1" applyAlignment="1">
      <alignment vertical="center"/>
    </xf>
    <xf numFmtId="0" fontId="87" fillId="2" borderId="1" xfId="21" applyFont="1" applyFill="1" applyBorder="1" applyAlignment="1">
      <alignment horizontal="center" vertical="center"/>
    </xf>
    <xf numFmtId="164" fontId="87" fillId="2" borderId="1" xfId="1" applyFont="1" applyFill="1" applyBorder="1" applyAlignment="1" applyProtection="1">
      <alignment horizontal="center" vertical="center"/>
    </xf>
    <xf numFmtId="0" fontId="87" fillId="2" borderId="1" xfId="21" applyFont="1" applyFill="1" applyBorder="1" applyAlignment="1">
      <alignment vertical="center"/>
    </xf>
    <xf numFmtId="43" fontId="78" fillId="23" borderId="1" xfId="1" applyNumberFormat="1" applyFont="1" applyFill="1" applyBorder="1" applyAlignment="1" applyProtection="1">
      <alignment horizontal="center" vertical="center"/>
    </xf>
    <xf numFmtId="164" fontId="78" fillId="23" borderId="1" xfId="1" applyFont="1" applyFill="1" applyBorder="1" applyAlignment="1" applyProtection="1">
      <alignment horizontal="center" vertical="center"/>
    </xf>
    <xf numFmtId="43" fontId="78" fillId="23" borderId="1" xfId="1" applyNumberFormat="1" applyFont="1" applyFill="1" applyBorder="1" applyAlignment="1" applyProtection="1">
      <alignment vertical="center"/>
    </xf>
    <xf numFmtId="0" fontId="79" fillId="18" borderId="0" xfId="0" applyFont="1" applyFill="1" applyAlignment="1">
      <alignment horizontal="center" vertical="top" wrapText="1"/>
    </xf>
    <xf numFmtId="0" fontId="79" fillId="18" borderId="22" xfId="0" applyFont="1" applyFill="1" applyBorder="1" applyAlignment="1">
      <alignment horizontal="center" vertical="top" wrapText="1"/>
    </xf>
    <xf numFmtId="0" fontId="37" fillId="19" borderId="6" xfId="21" applyFont="1" applyFill="1" applyBorder="1" applyAlignment="1">
      <alignment horizontal="center" vertical="center"/>
    </xf>
    <xf numFmtId="0" fontId="5" fillId="0" borderId="1" xfId="0" applyFont="1" applyBorder="1" applyAlignment="1">
      <alignment horizontal="left" vertical="top" wrapText="1"/>
    </xf>
    <xf numFmtId="164" fontId="88" fillId="2" borderId="2" xfId="1" applyFont="1" applyFill="1" applyBorder="1" applyAlignment="1" applyProtection="1">
      <alignment vertical="center" wrapText="1"/>
      <protection locked="0"/>
    </xf>
    <xf numFmtId="164" fontId="88" fillId="2" borderId="4" xfId="1" applyFont="1" applyFill="1" applyBorder="1" applyAlignment="1" applyProtection="1">
      <alignment vertical="center" wrapText="1"/>
      <protection locked="0"/>
    </xf>
    <xf numFmtId="164" fontId="88" fillId="2" borderId="2" xfId="1" applyFont="1" applyFill="1" applyBorder="1" applyAlignment="1" applyProtection="1">
      <alignment horizontal="center" vertical="center" wrapText="1"/>
      <protection locked="0"/>
    </xf>
    <xf numFmtId="164" fontId="88" fillId="2" borderId="4" xfId="1" applyFont="1" applyFill="1" applyBorder="1" applyAlignment="1" applyProtection="1">
      <alignment horizontal="center" vertical="center" wrapText="1"/>
      <protection locked="0"/>
    </xf>
    <xf numFmtId="167" fontId="5" fillId="2" borderId="1" xfId="1" applyNumberFormat="1" applyFont="1" applyFill="1" applyBorder="1" applyAlignment="1" applyProtection="1">
      <alignment horizontal="center" vertical="center"/>
      <protection locked="0"/>
    </xf>
    <xf numFmtId="167" fontId="5" fillId="2" borderId="1" xfId="1" applyNumberFormat="1" applyFont="1" applyFill="1" applyBorder="1" applyAlignment="1">
      <alignment horizontal="center" vertical="center"/>
    </xf>
    <xf numFmtId="0" fontId="32" fillId="2" borderId="0" xfId="0" applyFont="1" applyFill="1" applyAlignment="1" applyProtection="1">
      <alignment horizontal="center" vertical="center" wrapText="1"/>
      <protection locked="0"/>
    </xf>
    <xf numFmtId="164" fontId="32" fillId="2" borderId="0" xfId="1" applyFont="1" applyFill="1" applyAlignment="1" applyProtection="1">
      <alignment horizontal="center" vertical="center" wrapText="1"/>
      <protection locked="0"/>
    </xf>
    <xf numFmtId="0" fontId="37" fillId="2" borderId="1" xfId="0" applyFont="1" applyFill="1" applyBorder="1" applyAlignment="1">
      <alignment horizontal="center" vertical="center"/>
    </xf>
    <xf numFmtId="0" fontId="37" fillId="2" borderId="1" xfId="0" applyFont="1" applyFill="1" applyBorder="1" applyAlignment="1">
      <alignment horizontal="justify" vertical="center"/>
    </xf>
    <xf numFmtId="0" fontId="5" fillId="2" borderId="1" xfId="0" applyFont="1" applyFill="1" applyBorder="1" applyAlignment="1">
      <alignment horizontal="center" vertical="center"/>
    </xf>
    <xf numFmtId="167" fontId="5" fillId="2" borderId="1" xfId="1" applyNumberFormat="1" applyFont="1" applyFill="1" applyBorder="1" applyAlignment="1" applyProtection="1">
      <alignment horizontal="center" vertical="center" wrapText="1"/>
    </xf>
    <xf numFmtId="167" fontId="5" fillId="2" borderId="2" xfId="1" applyNumberFormat="1" applyFont="1" applyFill="1" applyBorder="1" applyAlignment="1" applyProtection="1">
      <alignment horizontal="center" vertical="center" wrapText="1"/>
      <protection locked="0"/>
    </xf>
    <xf numFmtId="167" fontId="5" fillId="2" borderId="4" xfId="1" applyNumberFormat="1" applyFont="1" applyFill="1" applyBorder="1" applyAlignment="1">
      <alignment horizontal="center" vertical="center" wrapText="1"/>
    </xf>
    <xf numFmtId="167" fontId="5" fillId="2" borderId="4" xfId="1" applyNumberFormat="1" applyFont="1" applyFill="1" applyBorder="1" applyAlignment="1" applyProtection="1">
      <alignment horizontal="center" vertical="center" wrapText="1"/>
      <protection locked="0"/>
    </xf>
    <xf numFmtId="0" fontId="59" fillId="2" borderId="1" xfId="0" applyFont="1" applyFill="1" applyBorder="1" applyAlignment="1">
      <alignment horizontal="center" vertical="center" wrapText="1"/>
    </xf>
    <xf numFmtId="0" fontId="52" fillId="2" borderId="1" xfId="21" applyFont="1" applyFill="1" applyBorder="1" applyAlignment="1">
      <alignment horizontal="center" vertical="center"/>
    </xf>
    <xf numFmtId="0" fontId="21" fillId="0" borderId="1" xfId="0" applyFont="1" applyBorder="1" applyAlignment="1">
      <alignment horizontal="center" vertical="center"/>
    </xf>
    <xf numFmtId="0" fontId="54" fillId="0" borderId="1" xfId="0" applyFont="1" applyBorder="1" applyAlignment="1">
      <alignment horizontal="center" vertical="center"/>
    </xf>
    <xf numFmtId="0" fontId="4"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5"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46" fillId="0" borderId="0" xfId="0" applyFont="1" applyAlignment="1">
      <alignment horizontal="center"/>
    </xf>
    <xf numFmtId="0" fontId="45" fillId="0" borderId="1" xfId="0" applyFont="1" applyBorder="1" applyAlignment="1">
      <alignment horizontal="center"/>
    </xf>
    <xf numFmtId="0" fontId="33" fillId="2" borderId="2"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167" fontId="33" fillId="5" borderId="1" xfId="1" applyNumberFormat="1" applyFont="1" applyFill="1" applyBorder="1" applyAlignment="1" applyProtection="1">
      <alignment horizontal="center" vertical="center"/>
      <protection locked="0"/>
    </xf>
    <xf numFmtId="167" fontId="33" fillId="5" borderId="1" xfId="1" applyNumberFormat="1" applyFont="1" applyFill="1" applyBorder="1" applyAlignment="1">
      <alignment horizontal="center" vertical="center"/>
    </xf>
    <xf numFmtId="0" fontId="32" fillId="0" borderId="0" xfId="0" applyFont="1" applyAlignment="1" applyProtection="1">
      <alignment horizontal="center" vertical="center" wrapText="1"/>
      <protection locked="0"/>
    </xf>
    <xf numFmtId="0" fontId="33" fillId="5" borderId="1" xfId="0" applyFont="1" applyFill="1" applyBorder="1" applyAlignment="1">
      <alignment horizontal="center" vertical="center"/>
    </xf>
    <xf numFmtId="167" fontId="33" fillId="5" borderId="1" xfId="1" applyNumberFormat="1" applyFont="1" applyFill="1" applyBorder="1" applyAlignment="1" applyProtection="1">
      <alignment horizontal="center" vertical="center" wrapText="1"/>
    </xf>
    <xf numFmtId="167" fontId="33" fillId="5" borderId="1" xfId="1" applyNumberFormat="1" applyFont="1" applyFill="1" applyBorder="1" applyAlignment="1" applyProtection="1">
      <alignment horizontal="center" vertical="center" wrapText="1"/>
      <protection locked="0"/>
    </xf>
    <xf numFmtId="167" fontId="33" fillId="5" borderId="1" xfId="1" applyNumberFormat="1" applyFont="1" applyFill="1" applyBorder="1" applyAlignment="1">
      <alignment horizontal="center" vertical="center" wrapText="1"/>
    </xf>
    <xf numFmtId="0" fontId="21" fillId="13" borderId="0" xfId="0" applyFont="1" applyFill="1" applyAlignment="1">
      <alignment horizontal="center" vertical="center"/>
    </xf>
    <xf numFmtId="164" fontId="21" fillId="13" borderId="0" xfId="1" applyFont="1" applyFill="1" applyAlignment="1">
      <alignment horizontal="center" vertical="center"/>
    </xf>
    <xf numFmtId="0" fontId="4" fillId="0" borderId="5" xfId="21" applyFont="1" applyBorder="1" applyAlignment="1">
      <alignment horizontal="center"/>
    </xf>
    <xf numFmtId="0" fontId="4" fillId="0" borderId="6" xfId="21" applyFont="1" applyBorder="1" applyAlignment="1">
      <alignment horizontal="center"/>
    </xf>
    <xf numFmtId="0" fontId="4" fillId="0" borderId="7" xfId="21" applyFont="1" applyBorder="1" applyAlignment="1">
      <alignment horizontal="center"/>
    </xf>
    <xf numFmtId="0" fontId="5" fillId="11" borderId="5" xfId="21" applyFont="1" applyFill="1" applyBorder="1" applyAlignment="1">
      <alignment horizontal="left" vertical="justify"/>
    </xf>
    <xf numFmtId="0" fontId="5" fillId="11" borderId="7" xfId="21" applyFont="1" applyFill="1" applyBorder="1" applyAlignment="1">
      <alignment horizontal="left" vertical="justify"/>
    </xf>
    <xf numFmtId="0" fontId="5" fillId="11" borderId="7" xfId="0" applyFont="1" applyFill="1" applyBorder="1" applyAlignment="1">
      <alignment horizontal="left" vertical="justify"/>
    </xf>
    <xf numFmtId="0" fontId="5" fillId="11" borderId="5" xfId="0" applyFont="1" applyFill="1" applyBorder="1" applyAlignment="1">
      <alignment horizontal="left" vertical="justify"/>
    </xf>
    <xf numFmtId="0" fontId="10" fillId="9" borderId="1" xfId="0" applyFont="1" applyFill="1" applyBorder="1" applyAlignment="1">
      <alignment horizontal="left" wrapText="1"/>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49" fontId="13" fillId="8" borderId="1" xfId="20" applyNumberFormat="1" applyFont="1" applyFill="1" applyBorder="1" applyAlignment="1">
      <alignment vertical="center"/>
    </xf>
    <xf numFmtId="0" fontId="14" fillId="4" borderId="1" xfId="0" applyFont="1" applyFill="1" applyBorder="1" applyAlignment="1">
      <alignment horizontal="left" vertical="center"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164" fontId="9" fillId="5" borderId="1" xfId="1" applyFont="1" applyFill="1" applyBorder="1" applyAlignment="1">
      <alignment horizontal="center" vertical="center" wrapText="1"/>
    </xf>
    <xf numFmtId="164" fontId="0" fillId="4" borderId="2" xfId="1" applyFont="1" applyFill="1" applyBorder="1" applyAlignment="1">
      <alignment horizontal="center" vertical="center" wrapText="1"/>
    </xf>
    <xf numFmtId="164" fontId="0" fillId="4" borderId="3" xfId="1" applyFont="1" applyFill="1" applyBorder="1" applyAlignment="1">
      <alignment horizontal="center" vertical="center" wrapText="1"/>
    </xf>
    <xf numFmtId="164" fontId="0" fillId="4" borderId="4" xfId="1" applyFont="1" applyFill="1" applyBorder="1" applyAlignment="1">
      <alignment horizontal="center" vertical="center" wrapText="1"/>
    </xf>
    <xf numFmtId="164" fontId="0" fillId="4" borderId="2" xfId="1" applyFont="1" applyFill="1" applyBorder="1" applyAlignment="1">
      <alignment horizontal="left" vertical="center" wrapText="1"/>
    </xf>
    <xf numFmtId="164" fontId="0" fillId="4" borderId="3" xfId="1" applyFont="1" applyFill="1" applyBorder="1" applyAlignment="1">
      <alignment horizontal="left" vertical="center" wrapText="1"/>
    </xf>
    <xf numFmtId="164" fontId="0" fillId="4" borderId="4" xfId="1" applyFont="1" applyFill="1" applyBorder="1" applyAlignment="1">
      <alignment horizontal="left" vertical="center" wrapText="1"/>
    </xf>
    <xf numFmtId="0" fontId="3"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3" fontId="3" fillId="0" borderId="0" xfId="0" applyNumberFormat="1" applyFont="1"/>
    <xf numFmtId="0" fontId="3" fillId="18" borderId="0"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3" fillId="0" borderId="0" xfId="0" applyFont="1" applyBorder="1"/>
    <xf numFmtId="164" fontId="3" fillId="0" borderId="0" xfId="0" applyNumberFormat="1" applyFont="1" applyBorder="1"/>
    <xf numFmtId="164" fontId="3" fillId="20" borderId="0" xfId="1" applyFont="1" applyFill="1" applyBorder="1" applyAlignment="1">
      <alignment horizontal="center"/>
    </xf>
    <xf numFmtId="164" fontId="3" fillId="0" borderId="0" xfId="1" applyFont="1" applyFill="1" applyBorder="1"/>
    <xf numFmtId="164" fontId="3" fillId="20" borderId="0" xfId="0" applyNumberFormat="1" applyFont="1" applyFill="1" applyBorder="1"/>
    <xf numFmtId="0" fontId="3" fillId="13" borderId="0" xfId="0" applyFont="1" applyFill="1" applyBorder="1"/>
    <xf numFmtId="167" fontId="3" fillId="0" borderId="0" xfId="0" applyNumberFormat="1" applyFont="1" applyBorder="1"/>
    <xf numFmtId="166" fontId="3" fillId="0" borderId="0" xfId="0" applyNumberFormat="1" applyFont="1" applyBorder="1" applyAlignment="1">
      <alignment vertical="center"/>
    </xf>
    <xf numFmtId="164" fontId="3" fillId="0" borderId="0" xfId="0" applyNumberFormat="1" applyFont="1" applyBorder="1" applyAlignment="1">
      <alignment vertical="center"/>
    </xf>
    <xf numFmtId="164" fontId="3" fillId="7" borderId="0" xfId="0" applyNumberFormat="1" applyFont="1" applyFill="1" applyBorder="1" applyAlignment="1">
      <alignment vertical="center"/>
    </xf>
    <xf numFmtId="4" fontId="3" fillId="0" borderId="0" xfId="0" applyNumberFormat="1" applyFont="1" applyBorder="1" applyAlignment="1">
      <alignment horizontal="right" vertical="center"/>
    </xf>
    <xf numFmtId="164" fontId="3" fillId="0" borderId="0" xfId="1" applyFont="1" applyFill="1" applyBorder="1" applyAlignment="1">
      <alignment vertical="center"/>
    </xf>
    <xf numFmtId="164" fontId="3" fillId="13" borderId="0" xfId="1" applyFont="1" applyFill="1" applyBorder="1"/>
    <xf numFmtId="164" fontId="3" fillId="3" borderId="0" xfId="1" applyFont="1" applyFill="1" applyBorder="1" applyAlignment="1">
      <alignment vertical="center"/>
    </xf>
  </cellXfs>
  <cellStyles count="33">
    <cellStyle name="Comma" xfId="1" builtinId="3"/>
    <cellStyle name="Comma 10" xfId="3"/>
    <cellStyle name="Comma 2" xfId="4"/>
    <cellStyle name="Comma 2 2" xfId="5"/>
    <cellStyle name="Comma 2 2 2" xfId="6"/>
    <cellStyle name="Comma 2 2 2 2" xfId="7"/>
    <cellStyle name="Comma 2 3" xfId="8"/>
    <cellStyle name="Comma 2 3 2" xfId="9"/>
    <cellStyle name="Comma 26" xfId="10"/>
    <cellStyle name="Comma 26 2" xfId="11"/>
    <cellStyle name="Comma 26 2 2" xfId="12"/>
    <cellStyle name="Comma 3" xfId="13"/>
    <cellStyle name="Comma 3 2" xfId="14"/>
    <cellStyle name="Comma 42" xfId="15"/>
    <cellStyle name="Comma 5" xfId="16"/>
    <cellStyle name="Normal" xfId="0" builtinId="0"/>
    <cellStyle name="Normal 10" xfId="17"/>
    <cellStyle name="Normal 11 2" xfId="18"/>
    <cellStyle name="Normal 11 2 2" xfId="19"/>
    <cellStyle name="Normal 2" xfId="20"/>
    <cellStyle name="Normal 2 2" xfId="21"/>
    <cellStyle name="Normal 2 3" xfId="22"/>
    <cellStyle name="Normal 22" xfId="23"/>
    <cellStyle name="Normal 23" xfId="24"/>
    <cellStyle name="Normal 24" xfId="25"/>
    <cellStyle name="Normal 25" xfId="26"/>
    <cellStyle name="Normal 28" xfId="27"/>
    <cellStyle name="Normal 3" xfId="28"/>
    <cellStyle name="Normal 4 3 2" xfId="29"/>
    <cellStyle name="Normal 41" xfId="30"/>
    <cellStyle name="Normal_Sheet1" xfId="31"/>
    <cellStyle name="Percent" xfId="2" builtinId="5"/>
    <cellStyle name="Style 1 2" xfId="32"/>
  </cellStyles>
  <dxfs count="24">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colors>
    <mruColors>
      <color rgb="FFFCD5B4"/>
      <color rgb="FFFFFF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2577145</xdr:colOff>
      <xdr:row>399</xdr:row>
      <xdr:rowOff>1269801</xdr:rowOff>
    </xdr:from>
    <xdr:to>
      <xdr:col>2</xdr:col>
      <xdr:colOff>3347834</xdr:colOff>
      <xdr:row>399</xdr:row>
      <xdr:rowOff>1965841</xdr:rowOff>
    </xdr:to>
    <xdr:pic>
      <xdr:nvPicPr>
        <xdr:cNvPr id="2" name="Picture 1" descr=" ">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4004310" y="94739460"/>
          <a:ext cx="770890" cy="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146589</xdr:colOff>
      <xdr:row>21</xdr:row>
      <xdr:rowOff>147268</xdr:rowOff>
    </xdr:from>
    <xdr:to>
      <xdr:col>8</xdr:col>
      <xdr:colOff>814753</xdr:colOff>
      <xdr:row>21</xdr:row>
      <xdr:rowOff>797591</xdr:rowOff>
    </xdr:to>
    <xdr:pic>
      <xdr:nvPicPr>
        <xdr:cNvPr id="2" name=" " descr=" ">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a:xfrm rot="10800000" flipH="1" flipV="1">
          <a:off x="10213975" y="10046970"/>
          <a:ext cx="668655" cy="13335"/>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146589</xdr:colOff>
      <xdr:row>21</xdr:row>
      <xdr:rowOff>147268</xdr:rowOff>
    </xdr:from>
    <xdr:to>
      <xdr:col>6</xdr:col>
      <xdr:colOff>814753</xdr:colOff>
      <xdr:row>21</xdr:row>
      <xdr:rowOff>797591</xdr:rowOff>
    </xdr:to>
    <xdr:pic>
      <xdr:nvPicPr>
        <xdr:cNvPr id="2" name=" " descr=" ">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a:xfrm rot="10800000" flipH="1" flipV="1">
          <a:off x="10401839" y="10078668"/>
          <a:ext cx="668164" cy="21673"/>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76200</xdr:colOff>
      <xdr:row>29</xdr:row>
      <xdr:rowOff>148590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 name="Text Box 10">
          <a:extLst>
            <a:ext uri="{FF2B5EF4-FFF2-40B4-BE49-F238E27FC236}">
              <a16:creationId xmlns:a16="http://schemas.microsoft.com/office/drawing/2014/main" id="{00000000-0008-0000-1400-00000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 name="Text Box 11">
          <a:extLst>
            <a:ext uri="{FF2B5EF4-FFF2-40B4-BE49-F238E27FC236}">
              <a16:creationId xmlns:a16="http://schemas.microsoft.com/office/drawing/2014/main" id="{00000000-0008-0000-1400-00000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 name="Text Box 12">
          <a:extLst>
            <a:ext uri="{FF2B5EF4-FFF2-40B4-BE49-F238E27FC236}">
              <a16:creationId xmlns:a16="http://schemas.microsoft.com/office/drawing/2014/main" id="{00000000-0008-0000-1400-00000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 name="Text Box 13">
          <a:extLst>
            <a:ext uri="{FF2B5EF4-FFF2-40B4-BE49-F238E27FC236}">
              <a16:creationId xmlns:a16="http://schemas.microsoft.com/office/drawing/2014/main" id="{00000000-0008-0000-1400-00000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 name="Text Box 14">
          <a:extLst>
            <a:ext uri="{FF2B5EF4-FFF2-40B4-BE49-F238E27FC236}">
              <a16:creationId xmlns:a16="http://schemas.microsoft.com/office/drawing/2014/main" id="{00000000-0008-0000-1400-00000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 name="Text Box 15">
          <a:extLst>
            <a:ext uri="{FF2B5EF4-FFF2-40B4-BE49-F238E27FC236}">
              <a16:creationId xmlns:a16="http://schemas.microsoft.com/office/drawing/2014/main" id="{00000000-0008-0000-1400-00000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 name="Text Box 16">
          <a:extLst>
            <a:ext uri="{FF2B5EF4-FFF2-40B4-BE49-F238E27FC236}">
              <a16:creationId xmlns:a16="http://schemas.microsoft.com/office/drawing/2014/main" id="{00000000-0008-0000-1400-00000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 name="Text Box 17">
          <a:extLst>
            <a:ext uri="{FF2B5EF4-FFF2-40B4-BE49-F238E27FC236}">
              <a16:creationId xmlns:a16="http://schemas.microsoft.com/office/drawing/2014/main" id="{00000000-0008-0000-1400-00001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 name="Text Box 18">
          <a:extLst>
            <a:ext uri="{FF2B5EF4-FFF2-40B4-BE49-F238E27FC236}">
              <a16:creationId xmlns:a16="http://schemas.microsoft.com/office/drawing/2014/main" id="{00000000-0008-0000-1400-00001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 name="Text Box 20">
          <a:extLst>
            <a:ext uri="{FF2B5EF4-FFF2-40B4-BE49-F238E27FC236}">
              <a16:creationId xmlns:a16="http://schemas.microsoft.com/office/drawing/2014/main" id="{00000000-0008-0000-1400-00001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 name="Text Box 21">
          <a:extLst>
            <a:ext uri="{FF2B5EF4-FFF2-40B4-BE49-F238E27FC236}">
              <a16:creationId xmlns:a16="http://schemas.microsoft.com/office/drawing/2014/main" id="{00000000-0008-0000-1400-00001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 name="Text Box 22">
          <a:extLst>
            <a:ext uri="{FF2B5EF4-FFF2-40B4-BE49-F238E27FC236}">
              <a16:creationId xmlns:a16="http://schemas.microsoft.com/office/drawing/2014/main" id="{00000000-0008-0000-1400-00001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 name="Text Box 23">
          <a:extLst>
            <a:ext uri="{FF2B5EF4-FFF2-40B4-BE49-F238E27FC236}">
              <a16:creationId xmlns:a16="http://schemas.microsoft.com/office/drawing/2014/main" id="{00000000-0008-0000-1400-00001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 name="Text Box 24">
          <a:extLst>
            <a:ext uri="{FF2B5EF4-FFF2-40B4-BE49-F238E27FC236}">
              <a16:creationId xmlns:a16="http://schemas.microsoft.com/office/drawing/2014/main" id="{00000000-0008-0000-1400-00001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 name="Text Box 25">
          <a:extLst>
            <a:ext uri="{FF2B5EF4-FFF2-40B4-BE49-F238E27FC236}">
              <a16:creationId xmlns:a16="http://schemas.microsoft.com/office/drawing/2014/main" id="{00000000-0008-0000-1400-00001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 name="Text Box 26">
          <a:extLst>
            <a:ext uri="{FF2B5EF4-FFF2-40B4-BE49-F238E27FC236}">
              <a16:creationId xmlns:a16="http://schemas.microsoft.com/office/drawing/2014/main" id="{00000000-0008-0000-1400-00001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 name="Text Box 27">
          <a:extLst>
            <a:ext uri="{FF2B5EF4-FFF2-40B4-BE49-F238E27FC236}">
              <a16:creationId xmlns:a16="http://schemas.microsoft.com/office/drawing/2014/main" id="{00000000-0008-0000-1400-00001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 name="Text Box 28">
          <a:extLst>
            <a:ext uri="{FF2B5EF4-FFF2-40B4-BE49-F238E27FC236}">
              <a16:creationId xmlns:a16="http://schemas.microsoft.com/office/drawing/2014/main" id="{00000000-0008-0000-1400-00001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 name="Text Box 29">
          <a:extLst>
            <a:ext uri="{FF2B5EF4-FFF2-40B4-BE49-F238E27FC236}">
              <a16:creationId xmlns:a16="http://schemas.microsoft.com/office/drawing/2014/main" id="{00000000-0008-0000-1400-00001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 name="Text Box 30">
          <a:extLst>
            <a:ext uri="{FF2B5EF4-FFF2-40B4-BE49-F238E27FC236}">
              <a16:creationId xmlns:a16="http://schemas.microsoft.com/office/drawing/2014/main" id="{00000000-0008-0000-1400-00001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 name="Text Box 31">
          <a:extLst>
            <a:ext uri="{FF2B5EF4-FFF2-40B4-BE49-F238E27FC236}">
              <a16:creationId xmlns:a16="http://schemas.microsoft.com/office/drawing/2014/main" id="{00000000-0008-0000-1400-00001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 name="Text Box 32">
          <a:extLst>
            <a:ext uri="{FF2B5EF4-FFF2-40B4-BE49-F238E27FC236}">
              <a16:creationId xmlns:a16="http://schemas.microsoft.com/office/drawing/2014/main" id="{00000000-0008-0000-1400-00001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 name="Text Box 33">
          <a:extLst>
            <a:ext uri="{FF2B5EF4-FFF2-40B4-BE49-F238E27FC236}">
              <a16:creationId xmlns:a16="http://schemas.microsoft.com/office/drawing/2014/main" id="{00000000-0008-0000-1400-00001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 name="Text Box 34">
          <a:extLst>
            <a:ext uri="{FF2B5EF4-FFF2-40B4-BE49-F238E27FC236}">
              <a16:creationId xmlns:a16="http://schemas.microsoft.com/office/drawing/2014/main" id="{00000000-0008-0000-1400-00002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 name="Text Box 35">
          <a:extLst>
            <a:ext uri="{FF2B5EF4-FFF2-40B4-BE49-F238E27FC236}">
              <a16:creationId xmlns:a16="http://schemas.microsoft.com/office/drawing/2014/main" id="{00000000-0008-0000-1400-00002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 name="Text Box 36">
          <a:extLst>
            <a:ext uri="{FF2B5EF4-FFF2-40B4-BE49-F238E27FC236}">
              <a16:creationId xmlns:a16="http://schemas.microsoft.com/office/drawing/2014/main" id="{00000000-0008-0000-1400-00002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 name="Text Box 37">
          <a:extLst>
            <a:ext uri="{FF2B5EF4-FFF2-40B4-BE49-F238E27FC236}">
              <a16:creationId xmlns:a16="http://schemas.microsoft.com/office/drawing/2014/main" id="{00000000-0008-0000-1400-00002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 name="Text Box 38">
          <a:extLst>
            <a:ext uri="{FF2B5EF4-FFF2-40B4-BE49-F238E27FC236}">
              <a16:creationId xmlns:a16="http://schemas.microsoft.com/office/drawing/2014/main" id="{00000000-0008-0000-1400-00002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 name="Text Box 39">
          <a:extLst>
            <a:ext uri="{FF2B5EF4-FFF2-40B4-BE49-F238E27FC236}">
              <a16:creationId xmlns:a16="http://schemas.microsoft.com/office/drawing/2014/main" id="{00000000-0008-0000-1400-00002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 name="Text Box 40">
          <a:extLst>
            <a:ext uri="{FF2B5EF4-FFF2-40B4-BE49-F238E27FC236}">
              <a16:creationId xmlns:a16="http://schemas.microsoft.com/office/drawing/2014/main" id="{00000000-0008-0000-1400-00002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9" name="Text Box 41">
          <a:extLst>
            <a:ext uri="{FF2B5EF4-FFF2-40B4-BE49-F238E27FC236}">
              <a16:creationId xmlns:a16="http://schemas.microsoft.com/office/drawing/2014/main" id="{00000000-0008-0000-1400-00002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0" name="Text Box 42">
          <a:extLst>
            <a:ext uri="{FF2B5EF4-FFF2-40B4-BE49-F238E27FC236}">
              <a16:creationId xmlns:a16="http://schemas.microsoft.com/office/drawing/2014/main" id="{00000000-0008-0000-1400-00002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1" name="Text Box 43">
          <a:extLst>
            <a:ext uri="{FF2B5EF4-FFF2-40B4-BE49-F238E27FC236}">
              <a16:creationId xmlns:a16="http://schemas.microsoft.com/office/drawing/2014/main" id="{00000000-0008-0000-1400-00002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2" name="Text Box 44">
          <a:extLst>
            <a:ext uri="{FF2B5EF4-FFF2-40B4-BE49-F238E27FC236}">
              <a16:creationId xmlns:a16="http://schemas.microsoft.com/office/drawing/2014/main" id="{00000000-0008-0000-1400-00002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3" name="Text Box 45">
          <a:extLst>
            <a:ext uri="{FF2B5EF4-FFF2-40B4-BE49-F238E27FC236}">
              <a16:creationId xmlns:a16="http://schemas.microsoft.com/office/drawing/2014/main" id="{00000000-0008-0000-1400-00002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4" name="Text Box 46">
          <a:extLst>
            <a:ext uri="{FF2B5EF4-FFF2-40B4-BE49-F238E27FC236}">
              <a16:creationId xmlns:a16="http://schemas.microsoft.com/office/drawing/2014/main" id="{00000000-0008-0000-1400-00002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5" name="Text Box 47">
          <a:extLst>
            <a:ext uri="{FF2B5EF4-FFF2-40B4-BE49-F238E27FC236}">
              <a16:creationId xmlns:a16="http://schemas.microsoft.com/office/drawing/2014/main" id="{00000000-0008-0000-1400-00002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6" name="Text Box 48">
          <a:extLst>
            <a:ext uri="{FF2B5EF4-FFF2-40B4-BE49-F238E27FC236}">
              <a16:creationId xmlns:a16="http://schemas.microsoft.com/office/drawing/2014/main" id="{00000000-0008-0000-1400-00002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7" name="Text Box 51">
          <a:extLst>
            <a:ext uri="{FF2B5EF4-FFF2-40B4-BE49-F238E27FC236}">
              <a16:creationId xmlns:a16="http://schemas.microsoft.com/office/drawing/2014/main" id="{00000000-0008-0000-1400-00002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8" name="Text Box 52">
          <a:extLst>
            <a:ext uri="{FF2B5EF4-FFF2-40B4-BE49-F238E27FC236}">
              <a16:creationId xmlns:a16="http://schemas.microsoft.com/office/drawing/2014/main" id="{00000000-0008-0000-1400-00003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49" name="Text Box 53">
          <a:extLst>
            <a:ext uri="{FF2B5EF4-FFF2-40B4-BE49-F238E27FC236}">
              <a16:creationId xmlns:a16="http://schemas.microsoft.com/office/drawing/2014/main" id="{00000000-0008-0000-1400-00003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0" name="Text Box 54">
          <a:extLst>
            <a:ext uri="{FF2B5EF4-FFF2-40B4-BE49-F238E27FC236}">
              <a16:creationId xmlns:a16="http://schemas.microsoft.com/office/drawing/2014/main" id="{00000000-0008-0000-1400-00003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1" name="Text Box 55">
          <a:extLst>
            <a:ext uri="{FF2B5EF4-FFF2-40B4-BE49-F238E27FC236}">
              <a16:creationId xmlns:a16="http://schemas.microsoft.com/office/drawing/2014/main" id="{00000000-0008-0000-1400-00003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2" name="Text Box 56">
          <a:extLst>
            <a:ext uri="{FF2B5EF4-FFF2-40B4-BE49-F238E27FC236}">
              <a16:creationId xmlns:a16="http://schemas.microsoft.com/office/drawing/2014/main" id="{00000000-0008-0000-1400-00003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3" name="Text Box 57">
          <a:extLst>
            <a:ext uri="{FF2B5EF4-FFF2-40B4-BE49-F238E27FC236}">
              <a16:creationId xmlns:a16="http://schemas.microsoft.com/office/drawing/2014/main" id="{00000000-0008-0000-1400-00003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4" name="Text Box 58">
          <a:extLst>
            <a:ext uri="{FF2B5EF4-FFF2-40B4-BE49-F238E27FC236}">
              <a16:creationId xmlns:a16="http://schemas.microsoft.com/office/drawing/2014/main" id="{00000000-0008-0000-1400-00003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5" name="Text Box 59">
          <a:extLst>
            <a:ext uri="{FF2B5EF4-FFF2-40B4-BE49-F238E27FC236}">
              <a16:creationId xmlns:a16="http://schemas.microsoft.com/office/drawing/2014/main" id="{00000000-0008-0000-1400-00003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6" name="Text Box 60">
          <a:extLst>
            <a:ext uri="{FF2B5EF4-FFF2-40B4-BE49-F238E27FC236}">
              <a16:creationId xmlns:a16="http://schemas.microsoft.com/office/drawing/2014/main" id="{00000000-0008-0000-1400-00003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7" name="Text Box 61">
          <a:extLst>
            <a:ext uri="{FF2B5EF4-FFF2-40B4-BE49-F238E27FC236}">
              <a16:creationId xmlns:a16="http://schemas.microsoft.com/office/drawing/2014/main" id="{00000000-0008-0000-1400-00003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8" name="Text Box 62">
          <a:extLst>
            <a:ext uri="{FF2B5EF4-FFF2-40B4-BE49-F238E27FC236}">
              <a16:creationId xmlns:a16="http://schemas.microsoft.com/office/drawing/2014/main" id="{00000000-0008-0000-1400-00003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59" name="Text Box 63">
          <a:extLst>
            <a:ext uri="{FF2B5EF4-FFF2-40B4-BE49-F238E27FC236}">
              <a16:creationId xmlns:a16="http://schemas.microsoft.com/office/drawing/2014/main" id="{00000000-0008-0000-1400-00003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0" name="Text Box 64">
          <a:extLst>
            <a:ext uri="{FF2B5EF4-FFF2-40B4-BE49-F238E27FC236}">
              <a16:creationId xmlns:a16="http://schemas.microsoft.com/office/drawing/2014/main" id="{00000000-0008-0000-1400-00003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1" name="Text Box 65">
          <a:extLst>
            <a:ext uri="{FF2B5EF4-FFF2-40B4-BE49-F238E27FC236}">
              <a16:creationId xmlns:a16="http://schemas.microsoft.com/office/drawing/2014/main" id="{00000000-0008-0000-1400-00003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2" name="Text Box 66">
          <a:extLst>
            <a:ext uri="{FF2B5EF4-FFF2-40B4-BE49-F238E27FC236}">
              <a16:creationId xmlns:a16="http://schemas.microsoft.com/office/drawing/2014/main" id="{00000000-0008-0000-1400-00003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3" name="Text Box 68">
          <a:extLst>
            <a:ext uri="{FF2B5EF4-FFF2-40B4-BE49-F238E27FC236}">
              <a16:creationId xmlns:a16="http://schemas.microsoft.com/office/drawing/2014/main" id="{00000000-0008-0000-1400-00003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4" name="Text Box 69">
          <a:extLst>
            <a:ext uri="{FF2B5EF4-FFF2-40B4-BE49-F238E27FC236}">
              <a16:creationId xmlns:a16="http://schemas.microsoft.com/office/drawing/2014/main" id="{00000000-0008-0000-1400-00004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5" name="Text Box 70">
          <a:extLst>
            <a:ext uri="{FF2B5EF4-FFF2-40B4-BE49-F238E27FC236}">
              <a16:creationId xmlns:a16="http://schemas.microsoft.com/office/drawing/2014/main" id="{00000000-0008-0000-1400-00004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6" name="Text Box 71">
          <a:extLst>
            <a:ext uri="{FF2B5EF4-FFF2-40B4-BE49-F238E27FC236}">
              <a16:creationId xmlns:a16="http://schemas.microsoft.com/office/drawing/2014/main" id="{00000000-0008-0000-1400-00004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7" name="Text Box 72">
          <a:extLst>
            <a:ext uri="{FF2B5EF4-FFF2-40B4-BE49-F238E27FC236}">
              <a16:creationId xmlns:a16="http://schemas.microsoft.com/office/drawing/2014/main" id="{00000000-0008-0000-1400-00004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8" name="Text Box 73">
          <a:extLst>
            <a:ext uri="{FF2B5EF4-FFF2-40B4-BE49-F238E27FC236}">
              <a16:creationId xmlns:a16="http://schemas.microsoft.com/office/drawing/2014/main" id="{00000000-0008-0000-1400-00004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69" name="Text Box 74">
          <a:extLst>
            <a:ext uri="{FF2B5EF4-FFF2-40B4-BE49-F238E27FC236}">
              <a16:creationId xmlns:a16="http://schemas.microsoft.com/office/drawing/2014/main" id="{00000000-0008-0000-1400-00004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0" name="Text Box 75">
          <a:extLst>
            <a:ext uri="{FF2B5EF4-FFF2-40B4-BE49-F238E27FC236}">
              <a16:creationId xmlns:a16="http://schemas.microsoft.com/office/drawing/2014/main" id="{00000000-0008-0000-1400-00004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1" name="Text Box 76">
          <a:extLst>
            <a:ext uri="{FF2B5EF4-FFF2-40B4-BE49-F238E27FC236}">
              <a16:creationId xmlns:a16="http://schemas.microsoft.com/office/drawing/2014/main" id="{00000000-0008-0000-1400-00004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2" name="Text Box 77">
          <a:extLst>
            <a:ext uri="{FF2B5EF4-FFF2-40B4-BE49-F238E27FC236}">
              <a16:creationId xmlns:a16="http://schemas.microsoft.com/office/drawing/2014/main" id="{00000000-0008-0000-1400-00004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3" name="Text Box 78">
          <a:extLst>
            <a:ext uri="{FF2B5EF4-FFF2-40B4-BE49-F238E27FC236}">
              <a16:creationId xmlns:a16="http://schemas.microsoft.com/office/drawing/2014/main" id="{00000000-0008-0000-1400-00004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4" name="Text Box 79">
          <a:extLst>
            <a:ext uri="{FF2B5EF4-FFF2-40B4-BE49-F238E27FC236}">
              <a16:creationId xmlns:a16="http://schemas.microsoft.com/office/drawing/2014/main" id="{00000000-0008-0000-1400-00004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5" name="Text Box 80">
          <a:extLst>
            <a:ext uri="{FF2B5EF4-FFF2-40B4-BE49-F238E27FC236}">
              <a16:creationId xmlns:a16="http://schemas.microsoft.com/office/drawing/2014/main" id="{00000000-0008-0000-1400-00004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6" name="Text Box 81">
          <a:extLst>
            <a:ext uri="{FF2B5EF4-FFF2-40B4-BE49-F238E27FC236}">
              <a16:creationId xmlns:a16="http://schemas.microsoft.com/office/drawing/2014/main" id="{00000000-0008-0000-1400-00004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7" name="Text Box 84">
          <a:extLst>
            <a:ext uri="{FF2B5EF4-FFF2-40B4-BE49-F238E27FC236}">
              <a16:creationId xmlns:a16="http://schemas.microsoft.com/office/drawing/2014/main" id="{00000000-0008-0000-1400-00004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8" name="Text Box 85">
          <a:extLst>
            <a:ext uri="{FF2B5EF4-FFF2-40B4-BE49-F238E27FC236}">
              <a16:creationId xmlns:a16="http://schemas.microsoft.com/office/drawing/2014/main" id="{00000000-0008-0000-1400-00004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79" name="Text Box 86">
          <a:extLst>
            <a:ext uri="{FF2B5EF4-FFF2-40B4-BE49-F238E27FC236}">
              <a16:creationId xmlns:a16="http://schemas.microsoft.com/office/drawing/2014/main" id="{00000000-0008-0000-1400-00004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0" name="Text Box 87">
          <a:extLst>
            <a:ext uri="{FF2B5EF4-FFF2-40B4-BE49-F238E27FC236}">
              <a16:creationId xmlns:a16="http://schemas.microsoft.com/office/drawing/2014/main" id="{00000000-0008-0000-1400-00005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1" name="Text Box 88">
          <a:extLst>
            <a:ext uri="{FF2B5EF4-FFF2-40B4-BE49-F238E27FC236}">
              <a16:creationId xmlns:a16="http://schemas.microsoft.com/office/drawing/2014/main" id="{00000000-0008-0000-1400-00005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2" name="Text Box 89">
          <a:extLst>
            <a:ext uri="{FF2B5EF4-FFF2-40B4-BE49-F238E27FC236}">
              <a16:creationId xmlns:a16="http://schemas.microsoft.com/office/drawing/2014/main" id="{00000000-0008-0000-1400-00005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3" name="Text Box 90">
          <a:extLst>
            <a:ext uri="{FF2B5EF4-FFF2-40B4-BE49-F238E27FC236}">
              <a16:creationId xmlns:a16="http://schemas.microsoft.com/office/drawing/2014/main" id="{00000000-0008-0000-1400-00005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4" name="Text Box 91">
          <a:extLst>
            <a:ext uri="{FF2B5EF4-FFF2-40B4-BE49-F238E27FC236}">
              <a16:creationId xmlns:a16="http://schemas.microsoft.com/office/drawing/2014/main" id="{00000000-0008-0000-1400-00005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5" name="Text Box 92">
          <a:extLst>
            <a:ext uri="{FF2B5EF4-FFF2-40B4-BE49-F238E27FC236}">
              <a16:creationId xmlns:a16="http://schemas.microsoft.com/office/drawing/2014/main" id="{00000000-0008-0000-1400-00005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6" name="Text Box 93">
          <a:extLst>
            <a:ext uri="{FF2B5EF4-FFF2-40B4-BE49-F238E27FC236}">
              <a16:creationId xmlns:a16="http://schemas.microsoft.com/office/drawing/2014/main" id="{00000000-0008-0000-1400-00005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7" name="Text Box 94">
          <a:extLst>
            <a:ext uri="{FF2B5EF4-FFF2-40B4-BE49-F238E27FC236}">
              <a16:creationId xmlns:a16="http://schemas.microsoft.com/office/drawing/2014/main" id="{00000000-0008-0000-1400-00005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8" name="Text Box 98">
          <a:extLst>
            <a:ext uri="{FF2B5EF4-FFF2-40B4-BE49-F238E27FC236}">
              <a16:creationId xmlns:a16="http://schemas.microsoft.com/office/drawing/2014/main" id="{00000000-0008-0000-1400-00005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89" name="Text Box 99">
          <a:extLst>
            <a:ext uri="{FF2B5EF4-FFF2-40B4-BE49-F238E27FC236}">
              <a16:creationId xmlns:a16="http://schemas.microsoft.com/office/drawing/2014/main" id="{00000000-0008-0000-1400-00005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0" name="Text Box 100">
          <a:extLst>
            <a:ext uri="{FF2B5EF4-FFF2-40B4-BE49-F238E27FC236}">
              <a16:creationId xmlns:a16="http://schemas.microsoft.com/office/drawing/2014/main" id="{00000000-0008-0000-1400-00005A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1" name="Text Box 101">
          <a:extLst>
            <a:ext uri="{FF2B5EF4-FFF2-40B4-BE49-F238E27FC236}">
              <a16:creationId xmlns:a16="http://schemas.microsoft.com/office/drawing/2014/main" id="{00000000-0008-0000-1400-00005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2" name="Text Box 102">
          <a:extLst>
            <a:ext uri="{FF2B5EF4-FFF2-40B4-BE49-F238E27FC236}">
              <a16:creationId xmlns:a16="http://schemas.microsoft.com/office/drawing/2014/main" id="{00000000-0008-0000-1400-00005C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3" name="Text Box 103">
          <a:extLst>
            <a:ext uri="{FF2B5EF4-FFF2-40B4-BE49-F238E27FC236}">
              <a16:creationId xmlns:a16="http://schemas.microsoft.com/office/drawing/2014/main" id="{00000000-0008-0000-1400-00005D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94" name="Text Box 104">
          <a:extLst>
            <a:ext uri="{FF2B5EF4-FFF2-40B4-BE49-F238E27FC236}">
              <a16:creationId xmlns:a16="http://schemas.microsoft.com/office/drawing/2014/main" id="{00000000-0008-0000-1400-00005E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5" name="Text Box 105">
          <a:extLst>
            <a:ext uri="{FF2B5EF4-FFF2-40B4-BE49-F238E27FC236}">
              <a16:creationId xmlns:a16="http://schemas.microsoft.com/office/drawing/2014/main" id="{00000000-0008-0000-1400-00005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6" name="Text Box 106">
          <a:extLst>
            <a:ext uri="{FF2B5EF4-FFF2-40B4-BE49-F238E27FC236}">
              <a16:creationId xmlns:a16="http://schemas.microsoft.com/office/drawing/2014/main" id="{00000000-0008-0000-1400-00006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7" name="Text Box 116">
          <a:extLst>
            <a:ext uri="{FF2B5EF4-FFF2-40B4-BE49-F238E27FC236}">
              <a16:creationId xmlns:a16="http://schemas.microsoft.com/office/drawing/2014/main" id="{00000000-0008-0000-1400-00006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8" name="Text Box 117">
          <a:extLst>
            <a:ext uri="{FF2B5EF4-FFF2-40B4-BE49-F238E27FC236}">
              <a16:creationId xmlns:a16="http://schemas.microsoft.com/office/drawing/2014/main" id="{00000000-0008-0000-1400-00006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99" name="Text Box 118">
          <a:extLst>
            <a:ext uri="{FF2B5EF4-FFF2-40B4-BE49-F238E27FC236}">
              <a16:creationId xmlns:a16="http://schemas.microsoft.com/office/drawing/2014/main" id="{00000000-0008-0000-1400-00006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0" name="Text Box 1">
          <a:extLst>
            <a:ext uri="{FF2B5EF4-FFF2-40B4-BE49-F238E27FC236}">
              <a16:creationId xmlns:a16="http://schemas.microsoft.com/office/drawing/2014/main" id="{00000000-0008-0000-1400-00006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1" name="Text Box 2">
          <a:extLst>
            <a:ext uri="{FF2B5EF4-FFF2-40B4-BE49-F238E27FC236}">
              <a16:creationId xmlns:a16="http://schemas.microsoft.com/office/drawing/2014/main" id="{00000000-0008-0000-1400-00006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2" name="Text Box 3">
          <a:extLst>
            <a:ext uri="{FF2B5EF4-FFF2-40B4-BE49-F238E27FC236}">
              <a16:creationId xmlns:a16="http://schemas.microsoft.com/office/drawing/2014/main" id="{00000000-0008-0000-1400-00006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3" name="Text Box 4">
          <a:extLst>
            <a:ext uri="{FF2B5EF4-FFF2-40B4-BE49-F238E27FC236}">
              <a16:creationId xmlns:a16="http://schemas.microsoft.com/office/drawing/2014/main" id="{00000000-0008-0000-1400-00006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4" name="Text Box 5">
          <a:extLst>
            <a:ext uri="{FF2B5EF4-FFF2-40B4-BE49-F238E27FC236}">
              <a16:creationId xmlns:a16="http://schemas.microsoft.com/office/drawing/2014/main" id="{00000000-0008-0000-1400-00006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5" name="Text Box 6">
          <a:extLst>
            <a:ext uri="{FF2B5EF4-FFF2-40B4-BE49-F238E27FC236}">
              <a16:creationId xmlns:a16="http://schemas.microsoft.com/office/drawing/2014/main" id="{00000000-0008-0000-1400-00006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6" name="Text Box 7">
          <a:extLst>
            <a:ext uri="{FF2B5EF4-FFF2-40B4-BE49-F238E27FC236}">
              <a16:creationId xmlns:a16="http://schemas.microsoft.com/office/drawing/2014/main" id="{00000000-0008-0000-1400-00006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7" name="Text Box 10">
          <a:extLst>
            <a:ext uri="{FF2B5EF4-FFF2-40B4-BE49-F238E27FC236}">
              <a16:creationId xmlns:a16="http://schemas.microsoft.com/office/drawing/2014/main" id="{00000000-0008-0000-1400-00006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8" name="Text Box 11">
          <a:extLst>
            <a:ext uri="{FF2B5EF4-FFF2-40B4-BE49-F238E27FC236}">
              <a16:creationId xmlns:a16="http://schemas.microsoft.com/office/drawing/2014/main" id="{00000000-0008-0000-1400-00006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09" name="Text Box 12">
          <a:extLst>
            <a:ext uri="{FF2B5EF4-FFF2-40B4-BE49-F238E27FC236}">
              <a16:creationId xmlns:a16="http://schemas.microsoft.com/office/drawing/2014/main" id="{00000000-0008-0000-1400-00006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0" name="Text Box 13">
          <a:extLst>
            <a:ext uri="{FF2B5EF4-FFF2-40B4-BE49-F238E27FC236}">
              <a16:creationId xmlns:a16="http://schemas.microsoft.com/office/drawing/2014/main" id="{00000000-0008-0000-1400-00006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1" name="Text Box 14">
          <a:extLst>
            <a:ext uri="{FF2B5EF4-FFF2-40B4-BE49-F238E27FC236}">
              <a16:creationId xmlns:a16="http://schemas.microsoft.com/office/drawing/2014/main" id="{00000000-0008-0000-1400-00006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2" name="Text Box 15">
          <a:extLst>
            <a:ext uri="{FF2B5EF4-FFF2-40B4-BE49-F238E27FC236}">
              <a16:creationId xmlns:a16="http://schemas.microsoft.com/office/drawing/2014/main" id="{00000000-0008-0000-1400-00007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3" name="Text Box 16">
          <a:extLst>
            <a:ext uri="{FF2B5EF4-FFF2-40B4-BE49-F238E27FC236}">
              <a16:creationId xmlns:a16="http://schemas.microsoft.com/office/drawing/2014/main" id="{00000000-0008-0000-1400-00007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4" name="Text Box 17">
          <a:extLst>
            <a:ext uri="{FF2B5EF4-FFF2-40B4-BE49-F238E27FC236}">
              <a16:creationId xmlns:a16="http://schemas.microsoft.com/office/drawing/2014/main" id="{00000000-0008-0000-1400-00007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5" name="Text Box 18">
          <a:extLst>
            <a:ext uri="{FF2B5EF4-FFF2-40B4-BE49-F238E27FC236}">
              <a16:creationId xmlns:a16="http://schemas.microsoft.com/office/drawing/2014/main" id="{00000000-0008-0000-1400-00007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6" name="Text Box 20">
          <a:extLst>
            <a:ext uri="{FF2B5EF4-FFF2-40B4-BE49-F238E27FC236}">
              <a16:creationId xmlns:a16="http://schemas.microsoft.com/office/drawing/2014/main" id="{00000000-0008-0000-1400-00007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7" name="Text Box 21">
          <a:extLst>
            <a:ext uri="{FF2B5EF4-FFF2-40B4-BE49-F238E27FC236}">
              <a16:creationId xmlns:a16="http://schemas.microsoft.com/office/drawing/2014/main" id="{00000000-0008-0000-1400-00007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8" name="Text Box 22">
          <a:extLst>
            <a:ext uri="{FF2B5EF4-FFF2-40B4-BE49-F238E27FC236}">
              <a16:creationId xmlns:a16="http://schemas.microsoft.com/office/drawing/2014/main" id="{00000000-0008-0000-1400-00007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19" name="Text Box 23">
          <a:extLst>
            <a:ext uri="{FF2B5EF4-FFF2-40B4-BE49-F238E27FC236}">
              <a16:creationId xmlns:a16="http://schemas.microsoft.com/office/drawing/2014/main" id="{00000000-0008-0000-1400-00007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0" name="Text Box 24">
          <a:extLst>
            <a:ext uri="{FF2B5EF4-FFF2-40B4-BE49-F238E27FC236}">
              <a16:creationId xmlns:a16="http://schemas.microsoft.com/office/drawing/2014/main" id="{00000000-0008-0000-1400-00007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1" name="Text Box 25">
          <a:extLst>
            <a:ext uri="{FF2B5EF4-FFF2-40B4-BE49-F238E27FC236}">
              <a16:creationId xmlns:a16="http://schemas.microsoft.com/office/drawing/2014/main" id="{00000000-0008-0000-1400-00007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2" name="Text Box 26">
          <a:extLst>
            <a:ext uri="{FF2B5EF4-FFF2-40B4-BE49-F238E27FC236}">
              <a16:creationId xmlns:a16="http://schemas.microsoft.com/office/drawing/2014/main" id="{00000000-0008-0000-1400-00007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3" name="Text Box 27">
          <a:extLst>
            <a:ext uri="{FF2B5EF4-FFF2-40B4-BE49-F238E27FC236}">
              <a16:creationId xmlns:a16="http://schemas.microsoft.com/office/drawing/2014/main" id="{00000000-0008-0000-1400-00007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4" name="Text Box 28">
          <a:extLst>
            <a:ext uri="{FF2B5EF4-FFF2-40B4-BE49-F238E27FC236}">
              <a16:creationId xmlns:a16="http://schemas.microsoft.com/office/drawing/2014/main" id="{00000000-0008-0000-1400-00007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5" name="Text Box 29">
          <a:extLst>
            <a:ext uri="{FF2B5EF4-FFF2-40B4-BE49-F238E27FC236}">
              <a16:creationId xmlns:a16="http://schemas.microsoft.com/office/drawing/2014/main" id="{00000000-0008-0000-1400-00007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6" name="Text Box 30">
          <a:extLst>
            <a:ext uri="{FF2B5EF4-FFF2-40B4-BE49-F238E27FC236}">
              <a16:creationId xmlns:a16="http://schemas.microsoft.com/office/drawing/2014/main" id="{00000000-0008-0000-1400-00007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7" name="Text Box 31">
          <a:extLst>
            <a:ext uri="{FF2B5EF4-FFF2-40B4-BE49-F238E27FC236}">
              <a16:creationId xmlns:a16="http://schemas.microsoft.com/office/drawing/2014/main" id="{00000000-0008-0000-1400-00007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8" name="Text Box 32">
          <a:extLst>
            <a:ext uri="{FF2B5EF4-FFF2-40B4-BE49-F238E27FC236}">
              <a16:creationId xmlns:a16="http://schemas.microsoft.com/office/drawing/2014/main" id="{00000000-0008-0000-1400-00008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29" name="Text Box 33">
          <a:extLst>
            <a:ext uri="{FF2B5EF4-FFF2-40B4-BE49-F238E27FC236}">
              <a16:creationId xmlns:a16="http://schemas.microsoft.com/office/drawing/2014/main" id="{00000000-0008-0000-1400-00008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0" name="Text Box 34">
          <a:extLst>
            <a:ext uri="{FF2B5EF4-FFF2-40B4-BE49-F238E27FC236}">
              <a16:creationId xmlns:a16="http://schemas.microsoft.com/office/drawing/2014/main" id="{00000000-0008-0000-1400-00008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1" name="Text Box 35">
          <a:extLst>
            <a:ext uri="{FF2B5EF4-FFF2-40B4-BE49-F238E27FC236}">
              <a16:creationId xmlns:a16="http://schemas.microsoft.com/office/drawing/2014/main" id="{00000000-0008-0000-1400-00008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2" name="Text Box 36">
          <a:extLst>
            <a:ext uri="{FF2B5EF4-FFF2-40B4-BE49-F238E27FC236}">
              <a16:creationId xmlns:a16="http://schemas.microsoft.com/office/drawing/2014/main" id="{00000000-0008-0000-1400-00008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3" name="Text Box 37">
          <a:extLst>
            <a:ext uri="{FF2B5EF4-FFF2-40B4-BE49-F238E27FC236}">
              <a16:creationId xmlns:a16="http://schemas.microsoft.com/office/drawing/2014/main" id="{00000000-0008-0000-1400-00008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4" name="Text Box 38">
          <a:extLst>
            <a:ext uri="{FF2B5EF4-FFF2-40B4-BE49-F238E27FC236}">
              <a16:creationId xmlns:a16="http://schemas.microsoft.com/office/drawing/2014/main" id="{00000000-0008-0000-1400-00008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5" name="Text Box 39">
          <a:extLst>
            <a:ext uri="{FF2B5EF4-FFF2-40B4-BE49-F238E27FC236}">
              <a16:creationId xmlns:a16="http://schemas.microsoft.com/office/drawing/2014/main" id="{00000000-0008-0000-1400-00008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6" name="Text Box 40">
          <a:extLst>
            <a:ext uri="{FF2B5EF4-FFF2-40B4-BE49-F238E27FC236}">
              <a16:creationId xmlns:a16="http://schemas.microsoft.com/office/drawing/2014/main" id="{00000000-0008-0000-1400-00008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7" name="Text Box 41">
          <a:extLst>
            <a:ext uri="{FF2B5EF4-FFF2-40B4-BE49-F238E27FC236}">
              <a16:creationId xmlns:a16="http://schemas.microsoft.com/office/drawing/2014/main" id="{00000000-0008-0000-1400-00008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8" name="Text Box 42">
          <a:extLst>
            <a:ext uri="{FF2B5EF4-FFF2-40B4-BE49-F238E27FC236}">
              <a16:creationId xmlns:a16="http://schemas.microsoft.com/office/drawing/2014/main" id="{00000000-0008-0000-1400-00008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39" name="Text Box 43">
          <a:extLst>
            <a:ext uri="{FF2B5EF4-FFF2-40B4-BE49-F238E27FC236}">
              <a16:creationId xmlns:a16="http://schemas.microsoft.com/office/drawing/2014/main" id="{00000000-0008-0000-1400-00008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0" name="Text Box 44">
          <a:extLst>
            <a:ext uri="{FF2B5EF4-FFF2-40B4-BE49-F238E27FC236}">
              <a16:creationId xmlns:a16="http://schemas.microsoft.com/office/drawing/2014/main" id="{00000000-0008-0000-1400-00008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1" name="Text Box 45">
          <a:extLst>
            <a:ext uri="{FF2B5EF4-FFF2-40B4-BE49-F238E27FC236}">
              <a16:creationId xmlns:a16="http://schemas.microsoft.com/office/drawing/2014/main" id="{00000000-0008-0000-1400-00008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2" name="Text Box 46">
          <a:extLst>
            <a:ext uri="{FF2B5EF4-FFF2-40B4-BE49-F238E27FC236}">
              <a16:creationId xmlns:a16="http://schemas.microsoft.com/office/drawing/2014/main" id="{00000000-0008-0000-1400-00008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3" name="Text Box 47">
          <a:extLst>
            <a:ext uri="{FF2B5EF4-FFF2-40B4-BE49-F238E27FC236}">
              <a16:creationId xmlns:a16="http://schemas.microsoft.com/office/drawing/2014/main" id="{00000000-0008-0000-1400-00008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4" name="Text Box 48">
          <a:extLst>
            <a:ext uri="{FF2B5EF4-FFF2-40B4-BE49-F238E27FC236}">
              <a16:creationId xmlns:a16="http://schemas.microsoft.com/office/drawing/2014/main" id="{00000000-0008-0000-1400-00009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5" name="Text Box 51">
          <a:extLst>
            <a:ext uri="{FF2B5EF4-FFF2-40B4-BE49-F238E27FC236}">
              <a16:creationId xmlns:a16="http://schemas.microsoft.com/office/drawing/2014/main" id="{00000000-0008-0000-1400-00009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6" name="Text Box 52">
          <a:extLst>
            <a:ext uri="{FF2B5EF4-FFF2-40B4-BE49-F238E27FC236}">
              <a16:creationId xmlns:a16="http://schemas.microsoft.com/office/drawing/2014/main" id="{00000000-0008-0000-1400-00009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7" name="Text Box 53">
          <a:extLst>
            <a:ext uri="{FF2B5EF4-FFF2-40B4-BE49-F238E27FC236}">
              <a16:creationId xmlns:a16="http://schemas.microsoft.com/office/drawing/2014/main" id="{00000000-0008-0000-1400-00009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8" name="Text Box 54">
          <a:extLst>
            <a:ext uri="{FF2B5EF4-FFF2-40B4-BE49-F238E27FC236}">
              <a16:creationId xmlns:a16="http://schemas.microsoft.com/office/drawing/2014/main" id="{00000000-0008-0000-1400-00009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49" name="Text Box 55">
          <a:extLst>
            <a:ext uri="{FF2B5EF4-FFF2-40B4-BE49-F238E27FC236}">
              <a16:creationId xmlns:a16="http://schemas.microsoft.com/office/drawing/2014/main" id="{00000000-0008-0000-1400-00009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0" name="Text Box 56">
          <a:extLst>
            <a:ext uri="{FF2B5EF4-FFF2-40B4-BE49-F238E27FC236}">
              <a16:creationId xmlns:a16="http://schemas.microsoft.com/office/drawing/2014/main" id="{00000000-0008-0000-1400-00009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1" name="Text Box 57">
          <a:extLst>
            <a:ext uri="{FF2B5EF4-FFF2-40B4-BE49-F238E27FC236}">
              <a16:creationId xmlns:a16="http://schemas.microsoft.com/office/drawing/2014/main" id="{00000000-0008-0000-1400-00009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2" name="Text Box 58">
          <a:extLst>
            <a:ext uri="{FF2B5EF4-FFF2-40B4-BE49-F238E27FC236}">
              <a16:creationId xmlns:a16="http://schemas.microsoft.com/office/drawing/2014/main" id="{00000000-0008-0000-1400-00009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3" name="Text Box 59">
          <a:extLst>
            <a:ext uri="{FF2B5EF4-FFF2-40B4-BE49-F238E27FC236}">
              <a16:creationId xmlns:a16="http://schemas.microsoft.com/office/drawing/2014/main" id="{00000000-0008-0000-1400-00009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4" name="Text Box 60">
          <a:extLst>
            <a:ext uri="{FF2B5EF4-FFF2-40B4-BE49-F238E27FC236}">
              <a16:creationId xmlns:a16="http://schemas.microsoft.com/office/drawing/2014/main" id="{00000000-0008-0000-1400-00009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5" name="Text Box 61">
          <a:extLst>
            <a:ext uri="{FF2B5EF4-FFF2-40B4-BE49-F238E27FC236}">
              <a16:creationId xmlns:a16="http://schemas.microsoft.com/office/drawing/2014/main" id="{00000000-0008-0000-1400-00009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6" name="Text Box 62">
          <a:extLst>
            <a:ext uri="{FF2B5EF4-FFF2-40B4-BE49-F238E27FC236}">
              <a16:creationId xmlns:a16="http://schemas.microsoft.com/office/drawing/2014/main" id="{00000000-0008-0000-1400-00009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7" name="Text Box 63">
          <a:extLst>
            <a:ext uri="{FF2B5EF4-FFF2-40B4-BE49-F238E27FC236}">
              <a16:creationId xmlns:a16="http://schemas.microsoft.com/office/drawing/2014/main" id="{00000000-0008-0000-1400-00009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8" name="Text Box 64">
          <a:extLst>
            <a:ext uri="{FF2B5EF4-FFF2-40B4-BE49-F238E27FC236}">
              <a16:creationId xmlns:a16="http://schemas.microsoft.com/office/drawing/2014/main" id="{00000000-0008-0000-1400-00009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59" name="Text Box 65">
          <a:extLst>
            <a:ext uri="{FF2B5EF4-FFF2-40B4-BE49-F238E27FC236}">
              <a16:creationId xmlns:a16="http://schemas.microsoft.com/office/drawing/2014/main" id="{00000000-0008-0000-1400-00009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0" name="Text Box 66">
          <a:extLst>
            <a:ext uri="{FF2B5EF4-FFF2-40B4-BE49-F238E27FC236}">
              <a16:creationId xmlns:a16="http://schemas.microsoft.com/office/drawing/2014/main" id="{00000000-0008-0000-1400-0000A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1" name="Text Box 68">
          <a:extLst>
            <a:ext uri="{FF2B5EF4-FFF2-40B4-BE49-F238E27FC236}">
              <a16:creationId xmlns:a16="http://schemas.microsoft.com/office/drawing/2014/main" id="{00000000-0008-0000-1400-0000A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2" name="Text Box 69">
          <a:extLst>
            <a:ext uri="{FF2B5EF4-FFF2-40B4-BE49-F238E27FC236}">
              <a16:creationId xmlns:a16="http://schemas.microsoft.com/office/drawing/2014/main" id="{00000000-0008-0000-1400-0000A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3" name="Text Box 70">
          <a:extLst>
            <a:ext uri="{FF2B5EF4-FFF2-40B4-BE49-F238E27FC236}">
              <a16:creationId xmlns:a16="http://schemas.microsoft.com/office/drawing/2014/main" id="{00000000-0008-0000-1400-0000A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4" name="Text Box 71">
          <a:extLst>
            <a:ext uri="{FF2B5EF4-FFF2-40B4-BE49-F238E27FC236}">
              <a16:creationId xmlns:a16="http://schemas.microsoft.com/office/drawing/2014/main" id="{00000000-0008-0000-1400-0000A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5" name="Text Box 72">
          <a:extLst>
            <a:ext uri="{FF2B5EF4-FFF2-40B4-BE49-F238E27FC236}">
              <a16:creationId xmlns:a16="http://schemas.microsoft.com/office/drawing/2014/main" id="{00000000-0008-0000-1400-0000A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6" name="Text Box 73">
          <a:extLst>
            <a:ext uri="{FF2B5EF4-FFF2-40B4-BE49-F238E27FC236}">
              <a16:creationId xmlns:a16="http://schemas.microsoft.com/office/drawing/2014/main" id="{00000000-0008-0000-1400-0000A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7" name="Text Box 74">
          <a:extLst>
            <a:ext uri="{FF2B5EF4-FFF2-40B4-BE49-F238E27FC236}">
              <a16:creationId xmlns:a16="http://schemas.microsoft.com/office/drawing/2014/main" id="{00000000-0008-0000-1400-0000A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8" name="Text Box 75">
          <a:extLst>
            <a:ext uri="{FF2B5EF4-FFF2-40B4-BE49-F238E27FC236}">
              <a16:creationId xmlns:a16="http://schemas.microsoft.com/office/drawing/2014/main" id="{00000000-0008-0000-1400-0000A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69" name="Text Box 76">
          <a:extLst>
            <a:ext uri="{FF2B5EF4-FFF2-40B4-BE49-F238E27FC236}">
              <a16:creationId xmlns:a16="http://schemas.microsoft.com/office/drawing/2014/main" id="{00000000-0008-0000-1400-0000A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0" name="Text Box 77">
          <a:extLst>
            <a:ext uri="{FF2B5EF4-FFF2-40B4-BE49-F238E27FC236}">
              <a16:creationId xmlns:a16="http://schemas.microsoft.com/office/drawing/2014/main" id="{00000000-0008-0000-1400-0000A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1" name="Text Box 78">
          <a:extLst>
            <a:ext uri="{FF2B5EF4-FFF2-40B4-BE49-F238E27FC236}">
              <a16:creationId xmlns:a16="http://schemas.microsoft.com/office/drawing/2014/main" id="{00000000-0008-0000-1400-0000A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2" name="Text Box 79">
          <a:extLst>
            <a:ext uri="{FF2B5EF4-FFF2-40B4-BE49-F238E27FC236}">
              <a16:creationId xmlns:a16="http://schemas.microsoft.com/office/drawing/2014/main" id="{00000000-0008-0000-1400-0000A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3" name="Text Box 80">
          <a:extLst>
            <a:ext uri="{FF2B5EF4-FFF2-40B4-BE49-F238E27FC236}">
              <a16:creationId xmlns:a16="http://schemas.microsoft.com/office/drawing/2014/main" id="{00000000-0008-0000-1400-0000A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4" name="Text Box 81">
          <a:extLst>
            <a:ext uri="{FF2B5EF4-FFF2-40B4-BE49-F238E27FC236}">
              <a16:creationId xmlns:a16="http://schemas.microsoft.com/office/drawing/2014/main" id="{00000000-0008-0000-1400-0000A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5" name="Text Box 84">
          <a:extLst>
            <a:ext uri="{FF2B5EF4-FFF2-40B4-BE49-F238E27FC236}">
              <a16:creationId xmlns:a16="http://schemas.microsoft.com/office/drawing/2014/main" id="{00000000-0008-0000-1400-0000A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6" name="Text Box 85">
          <a:extLst>
            <a:ext uri="{FF2B5EF4-FFF2-40B4-BE49-F238E27FC236}">
              <a16:creationId xmlns:a16="http://schemas.microsoft.com/office/drawing/2014/main" id="{00000000-0008-0000-1400-0000B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7" name="Text Box 86">
          <a:extLst>
            <a:ext uri="{FF2B5EF4-FFF2-40B4-BE49-F238E27FC236}">
              <a16:creationId xmlns:a16="http://schemas.microsoft.com/office/drawing/2014/main" id="{00000000-0008-0000-1400-0000B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8" name="Text Box 87">
          <a:extLst>
            <a:ext uri="{FF2B5EF4-FFF2-40B4-BE49-F238E27FC236}">
              <a16:creationId xmlns:a16="http://schemas.microsoft.com/office/drawing/2014/main" id="{00000000-0008-0000-1400-0000B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79" name="Text Box 88">
          <a:extLst>
            <a:ext uri="{FF2B5EF4-FFF2-40B4-BE49-F238E27FC236}">
              <a16:creationId xmlns:a16="http://schemas.microsoft.com/office/drawing/2014/main" id="{00000000-0008-0000-1400-0000B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0" name="Text Box 89">
          <a:extLst>
            <a:ext uri="{FF2B5EF4-FFF2-40B4-BE49-F238E27FC236}">
              <a16:creationId xmlns:a16="http://schemas.microsoft.com/office/drawing/2014/main" id="{00000000-0008-0000-1400-0000B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1" name="Text Box 90">
          <a:extLst>
            <a:ext uri="{FF2B5EF4-FFF2-40B4-BE49-F238E27FC236}">
              <a16:creationId xmlns:a16="http://schemas.microsoft.com/office/drawing/2014/main" id="{00000000-0008-0000-1400-0000B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2" name="Text Box 91">
          <a:extLst>
            <a:ext uri="{FF2B5EF4-FFF2-40B4-BE49-F238E27FC236}">
              <a16:creationId xmlns:a16="http://schemas.microsoft.com/office/drawing/2014/main" id="{00000000-0008-0000-1400-0000B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3" name="Text Box 92">
          <a:extLst>
            <a:ext uri="{FF2B5EF4-FFF2-40B4-BE49-F238E27FC236}">
              <a16:creationId xmlns:a16="http://schemas.microsoft.com/office/drawing/2014/main" id="{00000000-0008-0000-1400-0000B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4" name="Text Box 93">
          <a:extLst>
            <a:ext uri="{FF2B5EF4-FFF2-40B4-BE49-F238E27FC236}">
              <a16:creationId xmlns:a16="http://schemas.microsoft.com/office/drawing/2014/main" id="{00000000-0008-0000-1400-0000B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5" name="Text Box 94">
          <a:extLst>
            <a:ext uri="{FF2B5EF4-FFF2-40B4-BE49-F238E27FC236}">
              <a16:creationId xmlns:a16="http://schemas.microsoft.com/office/drawing/2014/main" id="{00000000-0008-0000-1400-0000B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6" name="Text Box 98">
          <a:extLst>
            <a:ext uri="{FF2B5EF4-FFF2-40B4-BE49-F238E27FC236}">
              <a16:creationId xmlns:a16="http://schemas.microsoft.com/office/drawing/2014/main" id="{00000000-0008-0000-1400-0000B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7" name="Text Box 99">
          <a:extLst>
            <a:ext uri="{FF2B5EF4-FFF2-40B4-BE49-F238E27FC236}">
              <a16:creationId xmlns:a16="http://schemas.microsoft.com/office/drawing/2014/main" id="{00000000-0008-0000-1400-0000B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88" name="Text Box 100">
          <a:extLst>
            <a:ext uri="{FF2B5EF4-FFF2-40B4-BE49-F238E27FC236}">
              <a16:creationId xmlns:a16="http://schemas.microsoft.com/office/drawing/2014/main" id="{00000000-0008-0000-1400-0000BC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89" name="Text Box 101">
          <a:extLst>
            <a:ext uri="{FF2B5EF4-FFF2-40B4-BE49-F238E27FC236}">
              <a16:creationId xmlns:a16="http://schemas.microsoft.com/office/drawing/2014/main" id="{00000000-0008-0000-1400-0000B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90" name="Text Box 102">
          <a:extLst>
            <a:ext uri="{FF2B5EF4-FFF2-40B4-BE49-F238E27FC236}">
              <a16:creationId xmlns:a16="http://schemas.microsoft.com/office/drawing/2014/main" id="{00000000-0008-0000-1400-0000BE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191" name="Text Box 103">
          <a:extLst>
            <a:ext uri="{FF2B5EF4-FFF2-40B4-BE49-F238E27FC236}">
              <a16:creationId xmlns:a16="http://schemas.microsoft.com/office/drawing/2014/main" id="{00000000-0008-0000-1400-0000BF00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2" name="Text Box 105">
          <a:extLst>
            <a:ext uri="{FF2B5EF4-FFF2-40B4-BE49-F238E27FC236}">
              <a16:creationId xmlns:a16="http://schemas.microsoft.com/office/drawing/2014/main" id="{00000000-0008-0000-1400-0000C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3" name="Text Box 106">
          <a:extLst>
            <a:ext uri="{FF2B5EF4-FFF2-40B4-BE49-F238E27FC236}">
              <a16:creationId xmlns:a16="http://schemas.microsoft.com/office/drawing/2014/main" id="{00000000-0008-0000-1400-0000C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4" name="Text Box 116">
          <a:extLst>
            <a:ext uri="{FF2B5EF4-FFF2-40B4-BE49-F238E27FC236}">
              <a16:creationId xmlns:a16="http://schemas.microsoft.com/office/drawing/2014/main" id="{00000000-0008-0000-1400-0000C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5" name="Text Box 117">
          <a:extLst>
            <a:ext uri="{FF2B5EF4-FFF2-40B4-BE49-F238E27FC236}">
              <a16:creationId xmlns:a16="http://schemas.microsoft.com/office/drawing/2014/main" id="{00000000-0008-0000-1400-0000C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6" name="Text Box 118">
          <a:extLst>
            <a:ext uri="{FF2B5EF4-FFF2-40B4-BE49-F238E27FC236}">
              <a16:creationId xmlns:a16="http://schemas.microsoft.com/office/drawing/2014/main" id="{00000000-0008-0000-1400-0000C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7" name="Text Box 1">
          <a:extLst>
            <a:ext uri="{FF2B5EF4-FFF2-40B4-BE49-F238E27FC236}">
              <a16:creationId xmlns:a16="http://schemas.microsoft.com/office/drawing/2014/main" id="{00000000-0008-0000-1400-0000C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8" name="Text Box 2">
          <a:extLst>
            <a:ext uri="{FF2B5EF4-FFF2-40B4-BE49-F238E27FC236}">
              <a16:creationId xmlns:a16="http://schemas.microsoft.com/office/drawing/2014/main" id="{00000000-0008-0000-1400-0000C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199" name="Text Box 3">
          <a:extLst>
            <a:ext uri="{FF2B5EF4-FFF2-40B4-BE49-F238E27FC236}">
              <a16:creationId xmlns:a16="http://schemas.microsoft.com/office/drawing/2014/main" id="{00000000-0008-0000-1400-0000C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0" name="Text Box 4">
          <a:extLst>
            <a:ext uri="{FF2B5EF4-FFF2-40B4-BE49-F238E27FC236}">
              <a16:creationId xmlns:a16="http://schemas.microsoft.com/office/drawing/2014/main" id="{00000000-0008-0000-1400-0000C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1" name="Text Box 5">
          <a:extLst>
            <a:ext uri="{FF2B5EF4-FFF2-40B4-BE49-F238E27FC236}">
              <a16:creationId xmlns:a16="http://schemas.microsoft.com/office/drawing/2014/main" id="{00000000-0008-0000-1400-0000C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2" name="Text Box 6">
          <a:extLst>
            <a:ext uri="{FF2B5EF4-FFF2-40B4-BE49-F238E27FC236}">
              <a16:creationId xmlns:a16="http://schemas.microsoft.com/office/drawing/2014/main" id="{00000000-0008-0000-1400-0000C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3" name="Text Box 7">
          <a:extLst>
            <a:ext uri="{FF2B5EF4-FFF2-40B4-BE49-F238E27FC236}">
              <a16:creationId xmlns:a16="http://schemas.microsoft.com/office/drawing/2014/main" id="{00000000-0008-0000-1400-0000C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4" name="Text Box 10">
          <a:extLst>
            <a:ext uri="{FF2B5EF4-FFF2-40B4-BE49-F238E27FC236}">
              <a16:creationId xmlns:a16="http://schemas.microsoft.com/office/drawing/2014/main" id="{00000000-0008-0000-1400-0000C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5" name="Text Box 11">
          <a:extLst>
            <a:ext uri="{FF2B5EF4-FFF2-40B4-BE49-F238E27FC236}">
              <a16:creationId xmlns:a16="http://schemas.microsoft.com/office/drawing/2014/main" id="{00000000-0008-0000-1400-0000C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6" name="Text Box 12">
          <a:extLst>
            <a:ext uri="{FF2B5EF4-FFF2-40B4-BE49-F238E27FC236}">
              <a16:creationId xmlns:a16="http://schemas.microsoft.com/office/drawing/2014/main" id="{00000000-0008-0000-1400-0000C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7" name="Text Box 13">
          <a:extLst>
            <a:ext uri="{FF2B5EF4-FFF2-40B4-BE49-F238E27FC236}">
              <a16:creationId xmlns:a16="http://schemas.microsoft.com/office/drawing/2014/main" id="{00000000-0008-0000-1400-0000C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8" name="Text Box 14">
          <a:extLst>
            <a:ext uri="{FF2B5EF4-FFF2-40B4-BE49-F238E27FC236}">
              <a16:creationId xmlns:a16="http://schemas.microsoft.com/office/drawing/2014/main" id="{00000000-0008-0000-1400-0000D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09" name="Text Box 15">
          <a:extLst>
            <a:ext uri="{FF2B5EF4-FFF2-40B4-BE49-F238E27FC236}">
              <a16:creationId xmlns:a16="http://schemas.microsoft.com/office/drawing/2014/main" id="{00000000-0008-0000-1400-0000D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0" name="Text Box 16">
          <a:extLst>
            <a:ext uri="{FF2B5EF4-FFF2-40B4-BE49-F238E27FC236}">
              <a16:creationId xmlns:a16="http://schemas.microsoft.com/office/drawing/2014/main" id="{00000000-0008-0000-1400-0000D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1" name="Text Box 17">
          <a:extLst>
            <a:ext uri="{FF2B5EF4-FFF2-40B4-BE49-F238E27FC236}">
              <a16:creationId xmlns:a16="http://schemas.microsoft.com/office/drawing/2014/main" id="{00000000-0008-0000-1400-0000D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2" name="Text Box 18">
          <a:extLst>
            <a:ext uri="{FF2B5EF4-FFF2-40B4-BE49-F238E27FC236}">
              <a16:creationId xmlns:a16="http://schemas.microsoft.com/office/drawing/2014/main" id="{00000000-0008-0000-1400-0000D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3" name="Text Box 20">
          <a:extLst>
            <a:ext uri="{FF2B5EF4-FFF2-40B4-BE49-F238E27FC236}">
              <a16:creationId xmlns:a16="http://schemas.microsoft.com/office/drawing/2014/main" id="{00000000-0008-0000-1400-0000D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4" name="Text Box 21">
          <a:extLst>
            <a:ext uri="{FF2B5EF4-FFF2-40B4-BE49-F238E27FC236}">
              <a16:creationId xmlns:a16="http://schemas.microsoft.com/office/drawing/2014/main" id="{00000000-0008-0000-1400-0000D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5" name="Text Box 22">
          <a:extLst>
            <a:ext uri="{FF2B5EF4-FFF2-40B4-BE49-F238E27FC236}">
              <a16:creationId xmlns:a16="http://schemas.microsoft.com/office/drawing/2014/main" id="{00000000-0008-0000-1400-0000D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6" name="Text Box 23">
          <a:extLst>
            <a:ext uri="{FF2B5EF4-FFF2-40B4-BE49-F238E27FC236}">
              <a16:creationId xmlns:a16="http://schemas.microsoft.com/office/drawing/2014/main" id="{00000000-0008-0000-1400-0000D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7" name="Text Box 24">
          <a:extLst>
            <a:ext uri="{FF2B5EF4-FFF2-40B4-BE49-F238E27FC236}">
              <a16:creationId xmlns:a16="http://schemas.microsoft.com/office/drawing/2014/main" id="{00000000-0008-0000-1400-0000D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8" name="Text Box 25">
          <a:extLst>
            <a:ext uri="{FF2B5EF4-FFF2-40B4-BE49-F238E27FC236}">
              <a16:creationId xmlns:a16="http://schemas.microsoft.com/office/drawing/2014/main" id="{00000000-0008-0000-1400-0000D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19" name="Text Box 26">
          <a:extLst>
            <a:ext uri="{FF2B5EF4-FFF2-40B4-BE49-F238E27FC236}">
              <a16:creationId xmlns:a16="http://schemas.microsoft.com/office/drawing/2014/main" id="{00000000-0008-0000-1400-0000D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0" name="Text Box 27">
          <a:extLst>
            <a:ext uri="{FF2B5EF4-FFF2-40B4-BE49-F238E27FC236}">
              <a16:creationId xmlns:a16="http://schemas.microsoft.com/office/drawing/2014/main" id="{00000000-0008-0000-1400-0000D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1" name="Text Box 28">
          <a:extLst>
            <a:ext uri="{FF2B5EF4-FFF2-40B4-BE49-F238E27FC236}">
              <a16:creationId xmlns:a16="http://schemas.microsoft.com/office/drawing/2014/main" id="{00000000-0008-0000-1400-0000D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2" name="Text Box 29">
          <a:extLst>
            <a:ext uri="{FF2B5EF4-FFF2-40B4-BE49-F238E27FC236}">
              <a16:creationId xmlns:a16="http://schemas.microsoft.com/office/drawing/2014/main" id="{00000000-0008-0000-1400-0000D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3" name="Text Box 30">
          <a:extLst>
            <a:ext uri="{FF2B5EF4-FFF2-40B4-BE49-F238E27FC236}">
              <a16:creationId xmlns:a16="http://schemas.microsoft.com/office/drawing/2014/main" id="{00000000-0008-0000-1400-0000D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4" name="Text Box 31">
          <a:extLst>
            <a:ext uri="{FF2B5EF4-FFF2-40B4-BE49-F238E27FC236}">
              <a16:creationId xmlns:a16="http://schemas.microsoft.com/office/drawing/2014/main" id="{00000000-0008-0000-1400-0000E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5" name="Text Box 32">
          <a:extLst>
            <a:ext uri="{FF2B5EF4-FFF2-40B4-BE49-F238E27FC236}">
              <a16:creationId xmlns:a16="http://schemas.microsoft.com/office/drawing/2014/main" id="{00000000-0008-0000-1400-0000E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6" name="Text Box 33">
          <a:extLst>
            <a:ext uri="{FF2B5EF4-FFF2-40B4-BE49-F238E27FC236}">
              <a16:creationId xmlns:a16="http://schemas.microsoft.com/office/drawing/2014/main" id="{00000000-0008-0000-1400-0000E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7" name="Text Box 34">
          <a:extLst>
            <a:ext uri="{FF2B5EF4-FFF2-40B4-BE49-F238E27FC236}">
              <a16:creationId xmlns:a16="http://schemas.microsoft.com/office/drawing/2014/main" id="{00000000-0008-0000-1400-0000E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8" name="Text Box 35">
          <a:extLst>
            <a:ext uri="{FF2B5EF4-FFF2-40B4-BE49-F238E27FC236}">
              <a16:creationId xmlns:a16="http://schemas.microsoft.com/office/drawing/2014/main" id="{00000000-0008-0000-1400-0000E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29" name="Text Box 36">
          <a:extLst>
            <a:ext uri="{FF2B5EF4-FFF2-40B4-BE49-F238E27FC236}">
              <a16:creationId xmlns:a16="http://schemas.microsoft.com/office/drawing/2014/main" id="{00000000-0008-0000-1400-0000E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0" name="Text Box 37">
          <a:extLst>
            <a:ext uri="{FF2B5EF4-FFF2-40B4-BE49-F238E27FC236}">
              <a16:creationId xmlns:a16="http://schemas.microsoft.com/office/drawing/2014/main" id="{00000000-0008-0000-1400-0000E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1" name="Text Box 38">
          <a:extLst>
            <a:ext uri="{FF2B5EF4-FFF2-40B4-BE49-F238E27FC236}">
              <a16:creationId xmlns:a16="http://schemas.microsoft.com/office/drawing/2014/main" id="{00000000-0008-0000-1400-0000E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2" name="Text Box 39">
          <a:extLst>
            <a:ext uri="{FF2B5EF4-FFF2-40B4-BE49-F238E27FC236}">
              <a16:creationId xmlns:a16="http://schemas.microsoft.com/office/drawing/2014/main" id="{00000000-0008-0000-1400-0000E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3" name="Text Box 40">
          <a:extLst>
            <a:ext uri="{FF2B5EF4-FFF2-40B4-BE49-F238E27FC236}">
              <a16:creationId xmlns:a16="http://schemas.microsoft.com/office/drawing/2014/main" id="{00000000-0008-0000-1400-0000E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4" name="Text Box 41">
          <a:extLst>
            <a:ext uri="{FF2B5EF4-FFF2-40B4-BE49-F238E27FC236}">
              <a16:creationId xmlns:a16="http://schemas.microsoft.com/office/drawing/2014/main" id="{00000000-0008-0000-1400-0000E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5" name="Text Box 42">
          <a:extLst>
            <a:ext uri="{FF2B5EF4-FFF2-40B4-BE49-F238E27FC236}">
              <a16:creationId xmlns:a16="http://schemas.microsoft.com/office/drawing/2014/main" id="{00000000-0008-0000-1400-0000E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6" name="Text Box 43">
          <a:extLst>
            <a:ext uri="{FF2B5EF4-FFF2-40B4-BE49-F238E27FC236}">
              <a16:creationId xmlns:a16="http://schemas.microsoft.com/office/drawing/2014/main" id="{00000000-0008-0000-1400-0000E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7" name="Text Box 44">
          <a:extLst>
            <a:ext uri="{FF2B5EF4-FFF2-40B4-BE49-F238E27FC236}">
              <a16:creationId xmlns:a16="http://schemas.microsoft.com/office/drawing/2014/main" id="{00000000-0008-0000-1400-0000E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8" name="Text Box 45">
          <a:extLst>
            <a:ext uri="{FF2B5EF4-FFF2-40B4-BE49-F238E27FC236}">
              <a16:creationId xmlns:a16="http://schemas.microsoft.com/office/drawing/2014/main" id="{00000000-0008-0000-1400-0000E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39" name="Text Box 46">
          <a:extLst>
            <a:ext uri="{FF2B5EF4-FFF2-40B4-BE49-F238E27FC236}">
              <a16:creationId xmlns:a16="http://schemas.microsoft.com/office/drawing/2014/main" id="{00000000-0008-0000-1400-0000E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0" name="Text Box 47">
          <a:extLst>
            <a:ext uri="{FF2B5EF4-FFF2-40B4-BE49-F238E27FC236}">
              <a16:creationId xmlns:a16="http://schemas.microsoft.com/office/drawing/2014/main" id="{00000000-0008-0000-1400-0000F0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1" name="Text Box 48">
          <a:extLst>
            <a:ext uri="{FF2B5EF4-FFF2-40B4-BE49-F238E27FC236}">
              <a16:creationId xmlns:a16="http://schemas.microsoft.com/office/drawing/2014/main" id="{00000000-0008-0000-1400-0000F1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2" name="Text Box 51">
          <a:extLst>
            <a:ext uri="{FF2B5EF4-FFF2-40B4-BE49-F238E27FC236}">
              <a16:creationId xmlns:a16="http://schemas.microsoft.com/office/drawing/2014/main" id="{00000000-0008-0000-1400-0000F2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3" name="Text Box 52">
          <a:extLst>
            <a:ext uri="{FF2B5EF4-FFF2-40B4-BE49-F238E27FC236}">
              <a16:creationId xmlns:a16="http://schemas.microsoft.com/office/drawing/2014/main" id="{00000000-0008-0000-1400-0000F3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4" name="Text Box 53">
          <a:extLst>
            <a:ext uri="{FF2B5EF4-FFF2-40B4-BE49-F238E27FC236}">
              <a16:creationId xmlns:a16="http://schemas.microsoft.com/office/drawing/2014/main" id="{00000000-0008-0000-1400-0000F4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5" name="Text Box 54">
          <a:extLst>
            <a:ext uri="{FF2B5EF4-FFF2-40B4-BE49-F238E27FC236}">
              <a16:creationId xmlns:a16="http://schemas.microsoft.com/office/drawing/2014/main" id="{00000000-0008-0000-1400-0000F5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6" name="Text Box 55">
          <a:extLst>
            <a:ext uri="{FF2B5EF4-FFF2-40B4-BE49-F238E27FC236}">
              <a16:creationId xmlns:a16="http://schemas.microsoft.com/office/drawing/2014/main" id="{00000000-0008-0000-1400-0000F6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7" name="Text Box 56">
          <a:extLst>
            <a:ext uri="{FF2B5EF4-FFF2-40B4-BE49-F238E27FC236}">
              <a16:creationId xmlns:a16="http://schemas.microsoft.com/office/drawing/2014/main" id="{00000000-0008-0000-1400-0000F7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8" name="Text Box 57">
          <a:extLst>
            <a:ext uri="{FF2B5EF4-FFF2-40B4-BE49-F238E27FC236}">
              <a16:creationId xmlns:a16="http://schemas.microsoft.com/office/drawing/2014/main" id="{00000000-0008-0000-1400-0000F8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49" name="Text Box 58">
          <a:extLst>
            <a:ext uri="{FF2B5EF4-FFF2-40B4-BE49-F238E27FC236}">
              <a16:creationId xmlns:a16="http://schemas.microsoft.com/office/drawing/2014/main" id="{00000000-0008-0000-1400-0000F9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0" name="Text Box 59">
          <a:extLst>
            <a:ext uri="{FF2B5EF4-FFF2-40B4-BE49-F238E27FC236}">
              <a16:creationId xmlns:a16="http://schemas.microsoft.com/office/drawing/2014/main" id="{00000000-0008-0000-1400-0000FA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1" name="Text Box 60">
          <a:extLst>
            <a:ext uri="{FF2B5EF4-FFF2-40B4-BE49-F238E27FC236}">
              <a16:creationId xmlns:a16="http://schemas.microsoft.com/office/drawing/2014/main" id="{00000000-0008-0000-1400-0000FB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2" name="Text Box 61">
          <a:extLst>
            <a:ext uri="{FF2B5EF4-FFF2-40B4-BE49-F238E27FC236}">
              <a16:creationId xmlns:a16="http://schemas.microsoft.com/office/drawing/2014/main" id="{00000000-0008-0000-1400-0000FC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3" name="Text Box 62">
          <a:extLst>
            <a:ext uri="{FF2B5EF4-FFF2-40B4-BE49-F238E27FC236}">
              <a16:creationId xmlns:a16="http://schemas.microsoft.com/office/drawing/2014/main" id="{00000000-0008-0000-1400-0000FD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4" name="Text Box 63">
          <a:extLst>
            <a:ext uri="{FF2B5EF4-FFF2-40B4-BE49-F238E27FC236}">
              <a16:creationId xmlns:a16="http://schemas.microsoft.com/office/drawing/2014/main" id="{00000000-0008-0000-1400-0000FE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5" name="Text Box 64">
          <a:extLst>
            <a:ext uri="{FF2B5EF4-FFF2-40B4-BE49-F238E27FC236}">
              <a16:creationId xmlns:a16="http://schemas.microsoft.com/office/drawing/2014/main" id="{00000000-0008-0000-1400-0000FF00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6" name="Text Box 65">
          <a:extLst>
            <a:ext uri="{FF2B5EF4-FFF2-40B4-BE49-F238E27FC236}">
              <a16:creationId xmlns:a16="http://schemas.microsoft.com/office/drawing/2014/main" id="{00000000-0008-0000-1400-00000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7" name="Text Box 66">
          <a:extLst>
            <a:ext uri="{FF2B5EF4-FFF2-40B4-BE49-F238E27FC236}">
              <a16:creationId xmlns:a16="http://schemas.microsoft.com/office/drawing/2014/main" id="{00000000-0008-0000-1400-00000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8" name="Text Box 68">
          <a:extLst>
            <a:ext uri="{FF2B5EF4-FFF2-40B4-BE49-F238E27FC236}">
              <a16:creationId xmlns:a16="http://schemas.microsoft.com/office/drawing/2014/main" id="{00000000-0008-0000-1400-00000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59" name="Text Box 69">
          <a:extLst>
            <a:ext uri="{FF2B5EF4-FFF2-40B4-BE49-F238E27FC236}">
              <a16:creationId xmlns:a16="http://schemas.microsoft.com/office/drawing/2014/main" id="{00000000-0008-0000-1400-00000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0" name="Text Box 70">
          <a:extLst>
            <a:ext uri="{FF2B5EF4-FFF2-40B4-BE49-F238E27FC236}">
              <a16:creationId xmlns:a16="http://schemas.microsoft.com/office/drawing/2014/main" id="{00000000-0008-0000-1400-00000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1" name="Text Box 71">
          <a:extLst>
            <a:ext uri="{FF2B5EF4-FFF2-40B4-BE49-F238E27FC236}">
              <a16:creationId xmlns:a16="http://schemas.microsoft.com/office/drawing/2014/main" id="{00000000-0008-0000-1400-00000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2" name="Text Box 72">
          <a:extLst>
            <a:ext uri="{FF2B5EF4-FFF2-40B4-BE49-F238E27FC236}">
              <a16:creationId xmlns:a16="http://schemas.microsoft.com/office/drawing/2014/main" id="{00000000-0008-0000-1400-00000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3" name="Text Box 73">
          <a:extLst>
            <a:ext uri="{FF2B5EF4-FFF2-40B4-BE49-F238E27FC236}">
              <a16:creationId xmlns:a16="http://schemas.microsoft.com/office/drawing/2014/main" id="{00000000-0008-0000-1400-00000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4" name="Text Box 74">
          <a:extLst>
            <a:ext uri="{FF2B5EF4-FFF2-40B4-BE49-F238E27FC236}">
              <a16:creationId xmlns:a16="http://schemas.microsoft.com/office/drawing/2014/main" id="{00000000-0008-0000-1400-00000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5" name="Text Box 75">
          <a:extLst>
            <a:ext uri="{FF2B5EF4-FFF2-40B4-BE49-F238E27FC236}">
              <a16:creationId xmlns:a16="http://schemas.microsoft.com/office/drawing/2014/main" id="{00000000-0008-0000-1400-00000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6" name="Text Box 76">
          <a:extLst>
            <a:ext uri="{FF2B5EF4-FFF2-40B4-BE49-F238E27FC236}">
              <a16:creationId xmlns:a16="http://schemas.microsoft.com/office/drawing/2014/main" id="{00000000-0008-0000-1400-00000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7" name="Text Box 77">
          <a:extLst>
            <a:ext uri="{FF2B5EF4-FFF2-40B4-BE49-F238E27FC236}">
              <a16:creationId xmlns:a16="http://schemas.microsoft.com/office/drawing/2014/main" id="{00000000-0008-0000-1400-00000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8" name="Text Box 78">
          <a:extLst>
            <a:ext uri="{FF2B5EF4-FFF2-40B4-BE49-F238E27FC236}">
              <a16:creationId xmlns:a16="http://schemas.microsoft.com/office/drawing/2014/main" id="{00000000-0008-0000-1400-00000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69" name="Text Box 80">
          <a:extLst>
            <a:ext uri="{FF2B5EF4-FFF2-40B4-BE49-F238E27FC236}">
              <a16:creationId xmlns:a16="http://schemas.microsoft.com/office/drawing/2014/main" id="{00000000-0008-0000-1400-00000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0" name="Text Box 81">
          <a:extLst>
            <a:ext uri="{FF2B5EF4-FFF2-40B4-BE49-F238E27FC236}">
              <a16:creationId xmlns:a16="http://schemas.microsoft.com/office/drawing/2014/main" id="{00000000-0008-0000-1400-00000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1" name="Text Box 84">
          <a:extLst>
            <a:ext uri="{FF2B5EF4-FFF2-40B4-BE49-F238E27FC236}">
              <a16:creationId xmlns:a16="http://schemas.microsoft.com/office/drawing/2014/main" id="{00000000-0008-0000-1400-00000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2" name="Text Box 85">
          <a:extLst>
            <a:ext uri="{FF2B5EF4-FFF2-40B4-BE49-F238E27FC236}">
              <a16:creationId xmlns:a16="http://schemas.microsoft.com/office/drawing/2014/main" id="{00000000-0008-0000-1400-00001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3" name="Text Box 86">
          <a:extLst>
            <a:ext uri="{FF2B5EF4-FFF2-40B4-BE49-F238E27FC236}">
              <a16:creationId xmlns:a16="http://schemas.microsoft.com/office/drawing/2014/main" id="{00000000-0008-0000-1400-00001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4" name="Text Box 87">
          <a:extLst>
            <a:ext uri="{FF2B5EF4-FFF2-40B4-BE49-F238E27FC236}">
              <a16:creationId xmlns:a16="http://schemas.microsoft.com/office/drawing/2014/main" id="{00000000-0008-0000-1400-00001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5" name="Text Box 88">
          <a:extLst>
            <a:ext uri="{FF2B5EF4-FFF2-40B4-BE49-F238E27FC236}">
              <a16:creationId xmlns:a16="http://schemas.microsoft.com/office/drawing/2014/main" id="{00000000-0008-0000-1400-00001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6" name="Text Box 89">
          <a:extLst>
            <a:ext uri="{FF2B5EF4-FFF2-40B4-BE49-F238E27FC236}">
              <a16:creationId xmlns:a16="http://schemas.microsoft.com/office/drawing/2014/main" id="{00000000-0008-0000-1400-00001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7" name="Text Box 90">
          <a:extLst>
            <a:ext uri="{FF2B5EF4-FFF2-40B4-BE49-F238E27FC236}">
              <a16:creationId xmlns:a16="http://schemas.microsoft.com/office/drawing/2014/main" id="{00000000-0008-0000-1400-00001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8" name="Text Box 91">
          <a:extLst>
            <a:ext uri="{FF2B5EF4-FFF2-40B4-BE49-F238E27FC236}">
              <a16:creationId xmlns:a16="http://schemas.microsoft.com/office/drawing/2014/main" id="{00000000-0008-0000-1400-00001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79" name="Text Box 92">
          <a:extLst>
            <a:ext uri="{FF2B5EF4-FFF2-40B4-BE49-F238E27FC236}">
              <a16:creationId xmlns:a16="http://schemas.microsoft.com/office/drawing/2014/main" id="{00000000-0008-0000-1400-00001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0" name="Text Box 93">
          <a:extLst>
            <a:ext uri="{FF2B5EF4-FFF2-40B4-BE49-F238E27FC236}">
              <a16:creationId xmlns:a16="http://schemas.microsoft.com/office/drawing/2014/main" id="{00000000-0008-0000-1400-00001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1" name="Text Box 94">
          <a:extLst>
            <a:ext uri="{FF2B5EF4-FFF2-40B4-BE49-F238E27FC236}">
              <a16:creationId xmlns:a16="http://schemas.microsoft.com/office/drawing/2014/main" id="{00000000-0008-0000-1400-00001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2" name="Text Box 98">
          <a:extLst>
            <a:ext uri="{FF2B5EF4-FFF2-40B4-BE49-F238E27FC236}">
              <a16:creationId xmlns:a16="http://schemas.microsoft.com/office/drawing/2014/main" id="{00000000-0008-0000-1400-00001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3" name="Text Box 99">
          <a:extLst>
            <a:ext uri="{FF2B5EF4-FFF2-40B4-BE49-F238E27FC236}">
              <a16:creationId xmlns:a16="http://schemas.microsoft.com/office/drawing/2014/main" id="{00000000-0008-0000-1400-00001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284" name="Text Box 100">
          <a:extLst>
            <a:ext uri="{FF2B5EF4-FFF2-40B4-BE49-F238E27FC236}">
              <a16:creationId xmlns:a16="http://schemas.microsoft.com/office/drawing/2014/main" id="{00000000-0008-0000-1400-00001C01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5" name="Text Box 101">
          <a:extLst>
            <a:ext uri="{FF2B5EF4-FFF2-40B4-BE49-F238E27FC236}">
              <a16:creationId xmlns:a16="http://schemas.microsoft.com/office/drawing/2014/main" id="{00000000-0008-0000-1400-00001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148590</xdr:rowOff>
    </xdr:to>
    <xdr:sp macro="" textlink="">
      <xdr:nvSpPr>
        <xdr:cNvPr id="286" name="Text Box 102">
          <a:extLst>
            <a:ext uri="{FF2B5EF4-FFF2-40B4-BE49-F238E27FC236}">
              <a16:creationId xmlns:a16="http://schemas.microsoft.com/office/drawing/2014/main" id="{00000000-0008-0000-1400-00001E010000}"/>
            </a:ext>
          </a:extLst>
        </xdr:cNvPr>
        <xdr:cNvSpPr txBox="1">
          <a:spLocks noChangeArrowheads="1"/>
        </xdr:cNvSpPr>
      </xdr:nvSpPr>
      <xdr:spPr>
        <a:xfrm>
          <a:off x="571055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7" name="Text Box 105">
          <a:extLst>
            <a:ext uri="{FF2B5EF4-FFF2-40B4-BE49-F238E27FC236}">
              <a16:creationId xmlns:a16="http://schemas.microsoft.com/office/drawing/2014/main" id="{00000000-0008-0000-1400-00001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8" name="Text Box 106">
          <a:extLst>
            <a:ext uri="{FF2B5EF4-FFF2-40B4-BE49-F238E27FC236}">
              <a16:creationId xmlns:a16="http://schemas.microsoft.com/office/drawing/2014/main" id="{00000000-0008-0000-1400-00002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89" name="Text Box 116">
          <a:extLst>
            <a:ext uri="{FF2B5EF4-FFF2-40B4-BE49-F238E27FC236}">
              <a16:creationId xmlns:a16="http://schemas.microsoft.com/office/drawing/2014/main" id="{00000000-0008-0000-1400-00002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0" name="Text Box 117">
          <a:extLst>
            <a:ext uri="{FF2B5EF4-FFF2-40B4-BE49-F238E27FC236}">
              <a16:creationId xmlns:a16="http://schemas.microsoft.com/office/drawing/2014/main" id="{00000000-0008-0000-1400-00002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1" name="Text Box 118">
          <a:extLst>
            <a:ext uri="{FF2B5EF4-FFF2-40B4-BE49-F238E27FC236}">
              <a16:creationId xmlns:a16="http://schemas.microsoft.com/office/drawing/2014/main" id="{00000000-0008-0000-1400-00002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2" name="Text Box 1">
          <a:extLst>
            <a:ext uri="{FF2B5EF4-FFF2-40B4-BE49-F238E27FC236}">
              <a16:creationId xmlns:a16="http://schemas.microsoft.com/office/drawing/2014/main" id="{00000000-0008-0000-1400-00002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3" name="Text Box 2">
          <a:extLst>
            <a:ext uri="{FF2B5EF4-FFF2-40B4-BE49-F238E27FC236}">
              <a16:creationId xmlns:a16="http://schemas.microsoft.com/office/drawing/2014/main" id="{00000000-0008-0000-1400-00002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4" name="Text Box 3">
          <a:extLst>
            <a:ext uri="{FF2B5EF4-FFF2-40B4-BE49-F238E27FC236}">
              <a16:creationId xmlns:a16="http://schemas.microsoft.com/office/drawing/2014/main" id="{00000000-0008-0000-1400-00002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5" name="Text Box 4">
          <a:extLst>
            <a:ext uri="{FF2B5EF4-FFF2-40B4-BE49-F238E27FC236}">
              <a16:creationId xmlns:a16="http://schemas.microsoft.com/office/drawing/2014/main" id="{00000000-0008-0000-1400-00002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6" name="Text Box 5">
          <a:extLst>
            <a:ext uri="{FF2B5EF4-FFF2-40B4-BE49-F238E27FC236}">
              <a16:creationId xmlns:a16="http://schemas.microsoft.com/office/drawing/2014/main" id="{00000000-0008-0000-1400-00002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7" name="Text Box 6">
          <a:extLst>
            <a:ext uri="{FF2B5EF4-FFF2-40B4-BE49-F238E27FC236}">
              <a16:creationId xmlns:a16="http://schemas.microsoft.com/office/drawing/2014/main" id="{00000000-0008-0000-1400-00002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8" name="Text Box 7">
          <a:extLst>
            <a:ext uri="{FF2B5EF4-FFF2-40B4-BE49-F238E27FC236}">
              <a16:creationId xmlns:a16="http://schemas.microsoft.com/office/drawing/2014/main" id="{00000000-0008-0000-1400-00002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299" name="Text Box 10">
          <a:extLst>
            <a:ext uri="{FF2B5EF4-FFF2-40B4-BE49-F238E27FC236}">
              <a16:creationId xmlns:a16="http://schemas.microsoft.com/office/drawing/2014/main" id="{00000000-0008-0000-1400-00002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0" name="Text Box 11">
          <a:extLst>
            <a:ext uri="{FF2B5EF4-FFF2-40B4-BE49-F238E27FC236}">
              <a16:creationId xmlns:a16="http://schemas.microsoft.com/office/drawing/2014/main" id="{00000000-0008-0000-1400-00002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1" name="Text Box 12">
          <a:extLst>
            <a:ext uri="{FF2B5EF4-FFF2-40B4-BE49-F238E27FC236}">
              <a16:creationId xmlns:a16="http://schemas.microsoft.com/office/drawing/2014/main" id="{00000000-0008-0000-1400-00002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2" name="Text Box 13">
          <a:extLst>
            <a:ext uri="{FF2B5EF4-FFF2-40B4-BE49-F238E27FC236}">
              <a16:creationId xmlns:a16="http://schemas.microsoft.com/office/drawing/2014/main" id="{00000000-0008-0000-1400-00002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3" name="Text Box 14">
          <a:extLst>
            <a:ext uri="{FF2B5EF4-FFF2-40B4-BE49-F238E27FC236}">
              <a16:creationId xmlns:a16="http://schemas.microsoft.com/office/drawing/2014/main" id="{00000000-0008-0000-1400-00002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4" name="Text Box 15">
          <a:extLst>
            <a:ext uri="{FF2B5EF4-FFF2-40B4-BE49-F238E27FC236}">
              <a16:creationId xmlns:a16="http://schemas.microsoft.com/office/drawing/2014/main" id="{00000000-0008-0000-1400-00003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5" name="Text Box 16">
          <a:extLst>
            <a:ext uri="{FF2B5EF4-FFF2-40B4-BE49-F238E27FC236}">
              <a16:creationId xmlns:a16="http://schemas.microsoft.com/office/drawing/2014/main" id="{00000000-0008-0000-1400-00003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6" name="Text Box 17">
          <a:extLst>
            <a:ext uri="{FF2B5EF4-FFF2-40B4-BE49-F238E27FC236}">
              <a16:creationId xmlns:a16="http://schemas.microsoft.com/office/drawing/2014/main" id="{00000000-0008-0000-1400-00003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7" name="Text Box 18">
          <a:extLst>
            <a:ext uri="{FF2B5EF4-FFF2-40B4-BE49-F238E27FC236}">
              <a16:creationId xmlns:a16="http://schemas.microsoft.com/office/drawing/2014/main" id="{00000000-0008-0000-1400-00003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8" name="Text Box 20">
          <a:extLst>
            <a:ext uri="{FF2B5EF4-FFF2-40B4-BE49-F238E27FC236}">
              <a16:creationId xmlns:a16="http://schemas.microsoft.com/office/drawing/2014/main" id="{00000000-0008-0000-1400-00003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09" name="Text Box 21">
          <a:extLst>
            <a:ext uri="{FF2B5EF4-FFF2-40B4-BE49-F238E27FC236}">
              <a16:creationId xmlns:a16="http://schemas.microsoft.com/office/drawing/2014/main" id="{00000000-0008-0000-1400-00003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0" name="Text Box 22">
          <a:extLst>
            <a:ext uri="{FF2B5EF4-FFF2-40B4-BE49-F238E27FC236}">
              <a16:creationId xmlns:a16="http://schemas.microsoft.com/office/drawing/2014/main" id="{00000000-0008-0000-1400-00003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1" name="Text Box 23">
          <a:extLst>
            <a:ext uri="{FF2B5EF4-FFF2-40B4-BE49-F238E27FC236}">
              <a16:creationId xmlns:a16="http://schemas.microsoft.com/office/drawing/2014/main" id="{00000000-0008-0000-1400-00003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2" name="Text Box 24">
          <a:extLst>
            <a:ext uri="{FF2B5EF4-FFF2-40B4-BE49-F238E27FC236}">
              <a16:creationId xmlns:a16="http://schemas.microsoft.com/office/drawing/2014/main" id="{00000000-0008-0000-1400-00003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3" name="Text Box 25">
          <a:extLst>
            <a:ext uri="{FF2B5EF4-FFF2-40B4-BE49-F238E27FC236}">
              <a16:creationId xmlns:a16="http://schemas.microsoft.com/office/drawing/2014/main" id="{00000000-0008-0000-1400-00003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4" name="Text Box 26">
          <a:extLst>
            <a:ext uri="{FF2B5EF4-FFF2-40B4-BE49-F238E27FC236}">
              <a16:creationId xmlns:a16="http://schemas.microsoft.com/office/drawing/2014/main" id="{00000000-0008-0000-1400-00003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5" name="Text Box 27">
          <a:extLst>
            <a:ext uri="{FF2B5EF4-FFF2-40B4-BE49-F238E27FC236}">
              <a16:creationId xmlns:a16="http://schemas.microsoft.com/office/drawing/2014/main" id="{00000000-0008-0000-1400-00003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6" name="Text Box 28">
          <a:extLst>
            <a:ext uri="{FF2B5EF4-FFF2-40B4-BE49-F238E27FC236}">
              <a16:creationId xmlns:a16="http://schemas.microsoft.com/office/drawing/2014/main" id="{00000000-0008-0000-1400-00003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7" name="Text Box 29">
          <a:extLst>
            <a:ext uri="{FF2B5EF4-FFF2-40B4-BE49-F238E27FC236}">
              <a16:creationId xmlns:a16="http://schemas.microsoft.com/office/drawing/2014/main" id="{00000000-0008-0000-1400-00003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5080</xdr:rowOff>
    </xdr:to>
    <xdr:sp macro="" textlink="">
      <xdr:nvSpPr>
        <xdr:cNvPr id="318" name="Text Box 30">
          <a:extLst>
            <a:ext uri="{FF2B5EF4-FFF2-40B4-BE49-F238E27FC236}">
              <a16:creationId xmlns:a16="http://schemas.microsoft.com/office/drawing/2014/main" id="{00000000-0008-0000-1400-00003E010000}"/>
            </a:ext>
          </a:extLst>
        </xdr:cNvPr>
        <xdr:cNvSpPr txBox="1">
          <a:spLocks noChangeArrowheads="1"/>
        </xdr:cNvSpPr>
      </xdr:nvSpPr>
      <xdr:spPr>
        <a:xfrm>
          <a:off x="5093335" y="8199120"/>
          <a:ext cx="7620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19" name="Text Box 31">
          <a:extLst>
            <a:ext uri="{FF2B5EF4-FFF2-40B4-BE49-F238E27FC236}">
              <a16:creationId xmlns:a16="http://schemas.microsoft.com/office/drawing/2014/main" id="{00000000-0008-0000-1400-00003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0" name="Text Box 32">
          <a:extLst>
            <a:ext uri="{FF2B5EF4-FFF2-40B4-BE49-F238E27FC236}">
              <a16:creationId xmlns:a16="http://schemas.microsoft.com/office/drawing/2014/main" id="{00000000-0008-0000-1400-00004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1" name="Text Box 33">
          <a:extLst>
            <a:ext uri="{FF2B5EF4-FFF2-40B4-BE49-F238E27FC236}">
              <a16:creationId xmlns:a16="http://schemas.microsoft.com/office/drawing/2014/main" id="{00000000-0008-0000-1400-00004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2" name="Text Box 34">
          <a:extLst>
            <a:ext uri="{FF2B5EF4-FFF2-40B4-BE49-F238E27FC236}">
              <a16:creationId xmlns:a16="http://schemas.microsoft.com/office/drawing/2014/main" id="{00000000-0008-0000-1400-00004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3" name="Text Box 35">
          <a:extLst>
            <a:ext uri="{FF2B5EF4-FFF2-40B4-BE49-F238E27FC236}">
              <a16:creationId xmlns:a16="http://schemas.microsoft.com/office/drawing/2014/main" id="{00000000-0008-0000-1400-00004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4" name="Text Box 36">
          <a:extLst>
            <a:ext uri="{FF2B5EF4-FFF2-40B4-BE49-F238E27FC236}">
              <a16:creationId xmlns:a16="http://schemas.microsoft.com/office/drawing/2014/main" id="{00000000-0008-0000-1400-00004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5" name="Text Box 37">
          <a:extLst>
            <a:ext uri="{FF2B5EF4-FFF2-40B4-BE49-F238E27FC236}">
              <a16:creationId xmlns:a16="http://schemas.microsoft.com/office/drawing/2014/main" id="{00000000-0008-0000-1400-00004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6" name="Text Box 38">
          <a:extLst>
            <a:ext uri="{FF2B5EF4-FFF2-40B4-BE49-F238E27FC236}">
              <a16:creationId xmlns:a16="http://schemas.microsoft.com/office/drawing/2014/main" id="{00000000-0008-0000-1400-00004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7" name="Text Box 39">
          <a:extLst>
            <a:ext uri="{FF2B5EF4-FFF2-40B4-BE49-F238E27FC236}">
              <a16:creationId xmlns:a16="http://schemas.microsoft.com/office/drawing/2014/main" id="{00000000-0008-0000-1400-00004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8" name="Text Box 40">
          <a:extLst>
            <a:ext uri="{FF2B5EF4-FFF2-40B4-BE49-F238E27FC236}">
              <a16:creationId xmlns:a16="http://schemas.microsoft.com/office/drawing/2014/main" id="{00000000-0008-0000-1400-00004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29" name="Text Box 41">
          <a:extLst>
            <a:ext uri="{FF2B5EF4-FFF2-40B4-BE49-F238E27FC236}">
              <a16:creationId xmlns:a16="http://schemas.microsoft.com/office/drawing/2014/main" id="{00000000-0008-0000-1400-00004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0" name="Text Box 42">
          <a:extLst>
            <a:ext uri="{FF2B5EF4-FFF2-40B4-BE49-F238E27FC236}">
              <a16:creationId xmlns:a16="http://schemas.microsoft.com/office/drawing/2014/main" id="{00000000-0008-0000-1400-00004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1" name="Text Box 43">
          <a:extLst>
            <a:ext uri="{FF2B5EF4-FFF2-40B4-BE49-F238E27FC236}">
              <a16:creationId xmlns:a16="http://schemas.microsoft.com/office/drawing/2014/main" id="{00000000-0008-0000-1400-00004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2" name="Text Box 44">
          <a:extLst>
            <a:ext uri="{FF2B5EF4-FFF2-40B4-BE49-F238E27FC236}">
              <a16:creationId xmlns:a16="http://schemas.microsoft.com/office/drawing/2014/main" id="{00000000-0008-0000-1400-00004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3" name="Text Box 45">
          <a:extLst>
            <a:ext uri="{FF2B5EF4-FFF2-40B4-BE49-F238E27FC236}">
              <a16:creationId xmlns:a16="http://schemas.microsoft.com/office/drawing/2014/main" id="{00000000-0008-0000-1400-00004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4" name="Text Box 46">
          <a:extLst>
            <a:ext uri="{FF2B5EF4-FFF2-40B4-BE49-F238E27FC236}">
              <a16:creationId xmlns:a16="http://schemas.microsoft.com/office/drawing/2014/main" id="{00000000-0008-0000-1400-00004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5" name="Text Box 47">
          <a:extLst>
            <a:ext uri="{FF2B5EF4-FFF2-40B4-BE49-F238E27FC236}">
              <a16:creationId xmlns:a16="http://schemas.microsoft.com/office/drawing/2014/main" id="{00000000-0008-0000-1400-00004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6" name="Text Box 48">
          <a:extLst>
            <a:ext uri="{FF2B5EF4-FFF2-40B4-BE49-F238E27FC236}">
              <a16:creationId xmlns:a16="http://schemas.microsoft.com/office/drawing/2014/main" id="{00000000-0008-0000-1400-00005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7" name="Text Box 51">
          <a:extLst>
            <a:ext uri="{FF2B5EF4-FFF2-40B4-BE49-F238E27FC236}">
              <a16:creationId xmlns:a16="http://schemas.microsoft.com/office/drawing/2014/main" id="{00000000-0008-0000-1400-00005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8" name="Text Box 52">
          <a:extLst>
            <a:ext uri="{FF2B5EF4-FFF2-40B4-BE49-F238E27FC236}">
              <a16:creationId xmlns:a16="http://schemas.microsoft.com/office/drawing/2014/main" id="{00000000-0008-0000-1400-00005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39" name="Text Box 53">
          <a:extLst>
            <a:ext uri="{FF2B5EF4-FFF2-40B4-BE49-F238E27FC236}">
              <a16:creationId xmlns:a16="http://schemas.microsoft.com/office/drawing/2014/main" id="{00000000-0008-0000-1400-00005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0" name="Text Box 54">
          <a:extLst>
            <a:ext uri="{FF2B5EF4-FFF2-40B4-BE49-F238E27FC236}">
              <a16:creationId xmlns:a16="http://schemas.microsoft.com/office/drawing/2014/main" id="{00000000-0008-0000-1400-00005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1" name="Text Box 55">
          <a:extLst>
            <a:ext uri="{FF2B5EF4-FFF2-40B4-BE49-F238E27FC236}">
              <a16:creationId xmlns:a16="http://schemas.microsoft.com/office/drawing/2014/main" id="{00000000-0008-0000-1400-00005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2" name="Text Box 56">
          <a:extLst>
            <a:ext uri="{FF2B5EF4-FFF2-40B4-BE49-F238E27FC236}">
              <a16:creationId xmlns:a16="http://schemas.microsoft.com/office/drawing/2014/main" id="{00000000-0008-0000-1400-00005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3" name="Text Box 57">
          <a:extLst>
            <a:ext uri="{FF2B5EF4-FFF2-40B4-BE49-F238E27FC236}">
              <a16:creationId xmlns:a16="http://schemas.microsoft.com/office/drawing/2014/main" id="{00000000-0008-0000-1400-00005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4" name="Text Box 58">
          <a:extLst>
            <a:ext uri="{FF2B5EF4-FFF2-40B4-BE49-F238E27FC236}">
              <a16:creationId xmlns:a16="http://schemas.microsoft.com/office/drawing/2014/main" id="{00000000-0008-0000-1400-00005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5" name="Text Box 59">
          <a:extLst>
            <a:ext uri="{FF2B5EF4-FFF2-40B4-BE49-F238E27FC236}">
              <a16:creationId xmlns:a16="http://schemas.microsoft.com/office/drawing/2014/main" id="{00000000-0008-0000-1400-00005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6" name="Text Box 60">
          <a:extLst>
            <a:ext uri="{FF2B5EF4-FFF2-40B4-BE49-F238E27FC236}">
              <a16:creationId xmlns:a16="http://schemas.microsoft.com/office/drawing/2014/main" id="{00000000-0008-0000-1400-00005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7" name="Text Box 61">
          <a:extLst>
            <a:ext uri="{FF2B5EF4-FFF2-40B4-BE49-F238E27FC236}">
              <a16:creationId xmlns:a16="http://schemas.microsoft.com/office/drawing/2014/main" id="{00000000-0008-0000-1400-00005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8" name="Text Box 62">
          <a:extLst>
            <a:ext uri="{FF2B5EF4-FFF2-40B4-BE49-F238E27FC236}">
              <a16:creationId xmlns:a16="http://schemas.microsoft.com/office/drawing/2014/main" id="{00000000-0008-0000-1400-00005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49" name="Text Box 63">
          <a:extLst>
            <a:ext uri="{FF2B5EF4-FFF2-40B4-BE49-F238E27FC236}">
              <a16:creationId xmlns:a16="http://schemas.microsoft.com/office/drawing/2014/main" id="{00000000-0008-0000-1400-00005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0" name="Text Box 64">
          <a:extLst>
            <a:ext uri="{FF2B5EF4-FFF2-40B4-BE49-F238E27FC236}">
              <a16:creationId xmlns:a16="http://schemas.microsoft.com/office/drawing/2014/main" id="{00000000-0008-0000-1400-00005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1" name="Text Box 65">
          <a:extLst>
            <a:ext uri="{FF2B5EF4-FFF2-40B4-BE49-F238E27FC236}">
              <a16:creationId xmlns:a16="http://schemas.microsoft.com/office/drawing/2014/main" id="{00000000-0008-0000-1400-00005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2" name="Text Box 66">
          <a:extLst>
            <a:ext uri="{FF2B5EF4-FFF2-40B4-BE49-F238E27FC236}">
              <a16:creationId xmlns:a16="http://schemas.microsoft.com/office/drawing/2014/main" id="{00000000-0008-0000-1400-00006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3" name="Text Box 68">
          <a:extLst>
            <a:ext uri="{FF2B5EF4-FFF2-40B4-BE49-F238E27FC236}">
              <a16:creationId xmlns:a16="http://schemas.microsoft.com/office/drawing/2014/main" id="{00000000-0008-0000-1400-00006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4" name="Text Box 69">
          <a:extLst>
            <a:ext uri="{FF2B5EF4-FFF2-40B4-BE49-F238E27FC236}">
              <a16:creationId xmlns:a16="http://schemas.microsoft.com/office/drawing/2014/main" id="{00000000-0008-0000-1400-00006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5" name="Text Box 70">
          <a:extLst>
            <a:ext uri="{FF2B5EF4-FFF2-40B4-BE49-F238E27FC236}">
              <a16:creationId xmlns:a16="http://schemas.microsoft.com/office/drawing/2014/main" id="{00000000-0008-0000-1400-00006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6" name="Text Box 71">
          <a:extLst>
            <a:ext uri="{FF2B5EF4-FFF2-40B4-BE49-F238E27FC236}">
              <a16:creationId xmlns:a16="http://schemas.microsoft.com/office/drawing/2014/main" id="{00000000-0008-0000-1400-00006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7" name="Text Box 72">
          <a:extLst>
            <a:ext uri="{FF2B5EF4-FFF2-40B4-BE49-F238E27FC236}">
              <a16:creationId xmlns:a16="http://schemas.microsoft.com/office/drawing/2014/main" id="{00000000-0008-0000-1400-00006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8" name="Text Box 73">
          <a:extLst>
            <a:ext uri="{FF2B5EF4-FFF2-40B4-BE49-F238E27FC236}">
              <a16:creationId xmlns:a16="http://schemas.microsoft.com/office/drawing/2014/main" id="{00000000-0008-0000-1400-00006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59" name="Text Box 74">
          <a:extLst>
            <a:ext uri="{FF2B5EF4-FFF2-40B4-BE49-F238E27FC236}">
              <a16:creationId xmlns:a16="http://schemas.microsoft.com/office/drawing/2014/main" id="{00000000-0008-0000-1400-00006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0" name="Text Box 75">
          <a:extLst>
            <a:ext uri="{FF2B5EF4-FFF2-40B4-BE49-F238E27FC236}">
              <a16:creationId xmlns:a16="http://schemas.microsoft.com/office/drawing/2014/main" id="{00000000-0008-0000-1400-00006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1" name="Text Box 76">
          <a:extLst>
            <a:ext uri="{FF2B5EF4-FFF2-40B4-BE49-F238E27FC236}">
              <a16:creationId xmlns:a16="http://schemas.microsoft.com/office/drawing/2014/main" id="{00000000-0008-0000-1400-00006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2" name="Text Box 77">
          <a:extLst>
            <a:ext uri="{FF2B5EF4-FFF2-40B4-BE49-F238E27FC236}">
              <a16:creationId xmlns:a16="http://schemas.microsoft.com/office/drawing/2014/main" id="{00000000-0008-0000-1400-00006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3" name="Text Box 78">
          <a:extLst>
            <a:ext uri="{FF2B5EF4-FFF2-40B4-BE49-F238E27FC236}">
              <a16:creationId xmlns:a16="http://schemas.microsoft.com/office/drawing/2014/main" id="{00000000-0008-0000-1400-00006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4" name="Text Box 79">
          <a:extLst>
            <a:ext uri="{FF2B5EF4-FFF2-40B4-BE49-F238E27FC236}">
              <a16:creationId xmlns:a16="http://schemas.microsoft.com/office/drawing/2014/main" id="{00000000-0008-0000-1400-00006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5" name="Text Box 80">
          <a:extLst>
            <a:ext uri="{FF2B5EF4-FFF2-40B4-BE49-F238E27FC236}">
              <a16:creationId xmlns:a16="http://schemas.microsoft.com/office/drawing/2014/main" id="{00000000-0008-0000-1400-00006D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6" name="Text Box 81">
          <a:extLst>
            <a:ext uri="{FF2B5EF4-FFF2-40B4-BE49-F238E27FC236}">
              <a16:creationId xmlns:a16="http://schemas.microsoft.com/office/drawing/2014/main" id="{00000000-0008-0000-1400-00006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7" name="Text Box 84">
          <a:extLst>
            <a:ext uri="{FF2B5EF4-FFF2-40B4-BE49-F238E27FC236}">
              <a16:creationId xmlns:a16="http://schemas.microsoft.com/office/drawing/2014/main" id="{00000000-0008-0000-1400-00006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8" name="Text Box 85">
          <a:extLst>
            <a:ext uri="{FF2B5EF4-FFF2-40B4-BE49-F238E27FC236}">
              <a16:creationId xmlns:a16="http://schemas.microsoft.com/office/drawing/2014/main" id="{00000000-0008-0000-1400-00007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69" name="Text Box 86">
          <a:extLst>
            <a:ext uri="{FF2B5EF4-FFF2-40B4-BE49-F238E27FC236}">
              <a16:creationId xmlns:a16="http://schemas.microsoft.com/office/drawing/2014/main" id="{00000000-0008-0000-1400-00007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0" name="Text Box 87">
          <a:extLst>
            <a:ext uri="{FF2B5EF4-FFF2-40B4-BE49-F238E27FC236}">
              <a16:creationId xmlns:a16="http://schemas.microsoft.com/office/drawing/2014/main" id="{00000000-0008-0000-1400-00007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1" name="Text Box 88">
          <a:extLst>
            <a:ext uri="{FF2B5EF4-FFF2-40B4-BE49-F238E27FC236}">
              <a16:creationId xmlns:a16="http://schemas.microsoft.com/office/drawing/2014/main" id="{00000000-0008-0000-1400-000073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2" name="Text Box 89">
          <a:extLst>
            <a:ext uri="{FF2B5EF4-FFF2-40B4-BE49-F238E27FC236}">
              <a16:creationId xmlns:a16="http://schemas.microsoft.com/office/drawing/2014/main" id="{00000000-0008-0000-1400-000074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3" name="Text Box 90">
          <a:extLst>
            <a:ext uri="{FF2B5EF4-FFF2-40B4-BE49-F238E27FC236}">
              <a16:creationId xmlns:a16="http://schemas.microsoft.com/office/drawing/2014/main" id="{00000000-0008-0000-1400-000075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4" name="Text Box 91">
          <a:extLst>
            <a:ext uri="{FF2B5EF4-FFF2-40B4-BE49-F238E27FC236}">
              <a16:creationId xmlns:a16="http://schemas.microsoft.com/office/drawing/2014/main" id="{00000000-0008-0000-1400-000076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5" name="Text Box 92">
          <a:extLst>
            <a:ext uri="{FF2B5EF4-FFF2-40B4-BE49-F238E27FC236}">
              <a16:creationId xmlns:a16="http://schemas.microsoft.com/office/drawing/2014/main" id="{00000000-0008-0000-1400-000077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6" name="Text Box 93">
          <a:extLst>
            <a:ext uri="{FF2B5EF4-FFF2-40B4-BE49-F238E27FC236}">
              <a16:creationId xmlns:a16="http://schemas.microsoft.com/office/drawing/2014/main" id="{00000000-0008-0000-1400-000078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7" name="Text Box 94">
          <a:extLst>
            <a:ext uri="{FF2B5EF4-FFF2-40B4-BE49-F238E27FC236}">
              <a16:creationId xmlns:a16="http://schemas.microsoft.com/office/drawing/2014/main" id="{00000000-0008-0000-1400-000079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8" name="Text Box 98">
          <a:extLst>
            <a:ext uri="{FF2B5EF4-FFF2-40B4-BE49-F238E27FC236}">
              <a16:creationId xmlns:a16="http://schemas.microsoft.com/office/drawing/2014/main" id="{00000000-0008-0000-1400-00007A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79" name="Text Box 99">
          <a:extLst>
            <a:ext uri="{FF2B5EF4-FFF2-40B4-BE49-F238E27FC236}">
              <a16:creationId xmlns:a16="http://schemas.microsoft.com/office/drawing/2014/main" id="{00000000-0008-0000-1400-00007B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0" name="Text Box 101">
          <a:extLst>
            <a:ext uri="{FF2B5EF4-FFF2-40B4-BE49-F238E27FC236}">
              <a16:creationId xmlns:a16="http://schemas.microsoft.com/office/drawing/2014/main" id="{00000000-0008-0000-1400-00007C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28</xdr:row>
      <xdr:rowOff>0</xdr:rowOff>
    </xdr:from>
    <xdr:to>
      <xdr:col>3</xdr:col>
      <xdr:colOff>476250</xdr:colOff>
      <xdr:row>29</xdr:row>
      <xdr:rowOff>6985</xdr:rowOff>
    </xdr:to>
    <xdr:sp macro="" textlink="">
      <xdr:nvSpPr>
        <xdr:cNvPr id="381" name="Text Box 102">
          <a:extLst>
            <a:ext uri="{FF2B5EF4-FFF2-40B4-BE49-F238E27FC236}">
              <a16:creationId xmlns:a16="http://schemas.microsoft.com/office/drawing/2014/main" id="{00000000-0008-0000-1400-00007D010000}"/>
            </a:ext>
          </a:extLst>
        </xdr:cNvPr>
        <xdr:cNvSpPr txBox="1">
          <a:spLocks noChangeArrowheads="1"/>
        </xdr:cNvSpPr>
      </xdr:nvSpPr>
      <xdr:spPr>
        <a:xfrm>
          <a:off x="6101080" y="8199120"/>
          <a:ext cx="85725"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2" name="Text Box 105">
          <a:extLst>
            <a:ext uri="{FF2B5EF4-FFF2-40B4-BE49-F238E27FC236}">
              <a16:creationId xmlns:a16="http://schemas.microsoft.com/office/drawing/2014/main" id="{00000000-0008-0000-1400-00007E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3" name="Text Box 106">
          <a:extLst>
            <a:ext uri="{FF2B5EF4-FFF2-40B4-BE49-F238E27FC236}">
              <a16:creationId xmlns:a16="http://schemas.microsoft.com/office/drawing/2014/main" id="{00000000-0008-0000-1400-00007F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4" name="Text Box 116">
          <a:extLst>
            <a:ext uri="{FF2B5EF4-FFF2-40B4-BE49-F238E27FC236}">
              <a16:creationId xmlns:a16="http://schemas.microsoft.com/office/drawing/2014/main" id="{00000000-0008-0000-1400-000080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5" name="Text Box 117">
          <a:extLst>
            <a:ext uri="{FF2B5EF4-FFF2-40B4-BE49-F238E27FC236}">
              <a16:creationId xmlns:a16="http://schemas.microsoft.com/office/drawing/2014/main" id="{00000000-0008-0000-1400-000081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148590</xdr:rowOff>
    </xdr:to>
    <xdr:sp macro="" textlink="">
      <xdr:nvSpPr>
        <xdr:cNvPr id="386" name="Text Box 118">
          <a:extLst>
            <a:ext uri="{FF2B5EF4-FFF2-40B4-BE49-F238E27FC236}">
              <a16:creationId xmlns:a16="http://schemas.microsoft.com/office/drawing/2014/main" id="{00000000-0008-0000-1400-000082010000}"/>
            </a:ext>
          </a:extLst>
        </xdr:cNvPr>
        <xdr:cNvSpPr txBox="1">
          <a:spLocks noChangeArrowheads="1"/>
        </xdr:cNvSpPr>
      </xdr:nvSpPr>
      <xdr:spPr>
        <a:xfrm>
          <a:off x="5093335" y="8199120"/>
          <a:ext cx="7620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7" name="Text Box 1">
          <a:extLst>
            <a:ext uri="{FF2B5EF4-FFF2-40B4-BE49-F238E27FC236}">
              <a16:creationId xmlns:a16="http://schemas.microsoft.com/office/drawing/2014/main" id="{00000000-0008-0000-1400-00008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8" name="Text Box 2">
          <a:extLst>
            <a:ext uri="{FF2B5EF4-FFF2-40B4-BE49-F238E27FC236}">
              <a16:creationId xmlns:a16="http://schemas.microsoft.com/office/drawing/2014/main" id="{00000000-0008-0000-1400-00008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89" name="Text Box 3">
          <a:extLst>
            <a:ext uri="{FF2B5EF4-FFF2-40B4-BE49-F238E27FC236}">
              <a16:creationId xmlns:a16="http://schemas.microsoft.com/office/drawing/2014/main" id="{00000000-0008-0000-1400-00008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0" name="Text Box 4">
          <a:extLst>
            <a:ext uri="{FF2B5EF4-FFF2-40B4-BE49-F238E27FC236}">
              <a16:creationId xmlns:a16="http://schemas.microsoft.com/office/drawing/2014/main" id="{00000000-0008-0000-1400-00008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1" name="Text Box 5">
          <a:extLst>
            <a:ext uri="{FF2B5EF4-FFF2-40B4-BE49-F238E27FC236}">
              <a16:creationId xmlns:a16="http://schemas.microsoft.com/office/drawing/2014/main" id="{00000000-0008-0000-1400-00008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2" name="Text Box 6">
          <a:extLst>
            <a:ext uri="{FF2B5EF4-FFF2-40B4-BE49-F238E27FC236}">
              <a16:creationId xmlns:a16="http://schemas.microsoft.com/office/drawing/2014/main" id="{00000000-0008-0000-1400-00008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3" name="Text Box 7">
          <a:extLst>
            <a:ext uri="{FF2B5EF4-FFF2-40B4-BE49-F238E27FC236}">
              <a16:creationId xmlns:a16="http://schemas.microsoft.com/office/drawing/2014/main" id="{00000000-0008-0000-1400-00008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4" name="Text Box 10">
          <a:extLst>
            <a:ext uri="{FF2B5EF4-FFF2-40B4-BE49-F238E27FC236}">
              <a16:creationId xmlns:a16="http://schemas.microsoft.com/office/drawing/2014/main" id="{00000000-0008-0000-1400-00008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5" name="Text Box 11">
          <a:extLst>
            <a:ext uri="{FF2B5EF4-FFF2-40B4-BE49-F238E27FC236}">
              <a16:creationId xmlns:a16="http://schemas.microsoft.com/office/drawing/2014/main" id="{00000000-0008-0000-1400-00008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6" name="Text Box 12">
          <a:extLst>
            <a:ext uri="{FF2B5EF4-FFF2-40B4-BE49-F238E27FC236}">
              <a16:creationId xmlns:a16="http://schemas.microsoft.com/office/drawing/2014/main" id="{00000000-0008-0000-1400-00008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7" name="Text Box 13">
          <a:extLst>
            <a:ext uri="{FF2B5EF4-FFF2-40B4-BE49-F238E27FC236}">
              <a16:creationId xmlns:a16="http://schemas.microsoft.com/office/drawing/2014/main" id="{00000000-0008-0000-1400-00008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8" name="Text Box 14">
          <a:extLst>
            <a:ext uri="{FF2B5EF4-FFF2-40B4-BE49-F238E27FC236}">
              <a16:creationId xmlns:a16="http://schemas.microsoft.com/office/drawing/2014/main" id="{00000000-0008-0000-1400-00008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399" name="Text Box 15">
          <a:extLst>
            <a:ext uri="{FF2B5EF4-FFF2-40B4-BE49-F238E27FC236}">
              <a16:creationId xmlns:a16="http://schemas.microsoft.com/office/drawing/2014/main" id="{00000000-0008-0000-1400-00008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0" name="Text Box 16">
          <a:extLst>
            <a:ext uri="{FF2B5EF4-FFF2-40B4-BE49-F238E27FC236}">
              <a16:creationId xmlns:a16="http://schemas.microsoft.com/office/drawing/2014/main" id="{00000000-0008-0000-1400-00009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1" name="Text Box 17">
          <a:extLst>
            <a:ext uri="{FF2B5EF4-FFF2-40B4-BE49-F238E27FC236}">
              <a16:creationId xmlns:a16="http://schemas.microsoft.com/office/drawing/2014/main" id="{00000000-0008-0000-1400-00009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2" name="Text Box 18">
          <a:extLst>
            <a:ext uri="{FF2B5EF4-FFF2-40B4-BE49-F238E27FC236}">
              <a16:creationId xmlns:a16="http://schemas.microsoft.com/office/drawing/2014/main" id="{00000000-0008-0000-1400-00009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3" name="Text Box 20">
          <a:extLst>
            <a:ext uri="{FF2B5EF4-FFF2-40B4-BE49-F238E27FC236}">
              <a16:creationId xmlns:a16="http://schemas.microsoft.com/office/drawing/2014/main" id="{00000000-0008-0000-1400-00009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4" name="Text Box 21">
          <a:extLst>
            <a:ext uri="{FF2B5EF4-FFF2-40B4-BE49-F238E27FC236}">
              <a16:creationId xmlns:a16="http://schemas.microsoft.com/office/drawing/2014/main" id="{00000000-0008-0000-1400-00009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5" name="Text Box 22">
          <a:extLst>
            <a:ext uri="{FF2B5EF4-FFF2-40B4-BE49-F238E27FC236}">
              <a16:creationId xmlns:a16="http://schemas.microsoft.com/office/drawing/2014/main" id="{00000000-0008-0000-1400-00009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6" name="Text Box 23">
          <a:extLst>
            <a:ext uri="{FF2B5EF4-FFF2-40B4-BE49-F238E27FC236}">
              <a16:creationId xmlns:a16="http://schemas.microsoft.com/office/drawing/2014/main" id="{00000000-0008-0000-1400-00009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7" name="Text Box 24">
          <a:extLst>
            <a:ext uri="{FF2B5EF4-FFF2-40B4-BE49-F238E27FC236}">
              <a16:creationId xmlns:a16="http://schemas.microsoft.com/office/drawing/2014/main" id="{00000000-0008-0000-1400-00009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8" name="Text Box 25">
          <a:extLst>
            <a:ext uri="{FF2B5EF4-FFF2-40B4-BE49-F238E27FC236}">
              <a16:creationId xmlns:a16="http://schemas.microsoft.com/office/drawing/2014/main" id="{00000000-0008-0000-1400-00009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09" name="Text Box 26">
          <a:extLst>
            <a:ext uri="{FF2B5EF4-FFF2-40B4-BE49-F238E27FC236}">
              <a16:creationId xmlns:a16="http://schemas.microsoft.com/office/drawing/2014/main" id="{00000000-0008-0000-1400-00009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0" name="Text Box 27">
          <a:extLst>
            <a:ext uri="{FF2B5EF4-FFF2-40B4-BE49-F238E27FC236}">
              <a16:creationId xmlns:a16="http://schemas.microsoft.com/office/drawing/2014/main" id="{00000000-0008-0000-1400-00009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1" name="Text Box 28">
          <a:extLst>
            <a:ext uri="{FF2B5EF4-FFF2-40B4-BE49-F238E27FC236}">
              <a16:creationId xmlns:a16="http://schemas.microsoft.com/office/drawing/2014/main" id="{00000000-0008-0000-1400-00009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2" name="Text Box 29">
          <a:extLst>
            <a:ext uri="{FF2B5EF4-FFF2-40B4-BE49-F238E27FC236}">
              <a16:creationId xmlns:a16="http://schemas.microsoft.com/office/drawing/2014/main" id="{00000000-0008-0000-1400-00009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3" name="Text Box 30">
          <a:extLst>
            <a:ext uri="{FF2B5EF4-FFF2-40B4-BE49-F238E27FC236}">
              <a16:creationId xmlns:a16="http://schemas.microsoft.com/office/drawing/2014/main" id="{00000000-0008-0000-1400-00009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4" name="Text Box 31">
          <a:extLst>
            <a:ext uri="{FF2B5EF4-FFF2-40B4-BE49-F238E27FC236}">
              <a16:creationId xmlns:a16="http://schemas.microsoft.com/office/drawing/2014/main" id="{00000000-0008-0000-1400-00009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5" name="Text Box 32">
          <a:extLst>
            <a:ext uri="{FF2B5EF4-FFF2-40B4-BE49-F238E27FC236}">
              <a16:creationId xmlns:a16="http://schemas.microsoft.com/office/drawing/2014/main" id="{00000000-0008-0000-1400-00009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6" name="Text Box 33">
          <a:extLst>
            <a:ext uri="{FF2B5EF4-FFF2-40B4-BE49-F238E27FC236}">
              <a16:creationId xmlns:a16="http://schemas.microsoft.com/office/drawing/2014/main" id="{00000000-0008-0000-1400-0000A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7" name="Text Box 34">
          <a:extLst>
            <a:ext uri="{FF2B5EF4-FFF2-40B4-BE49-F238E27FC236}">
              <a16:creationId xmlns:a16="http://schemas.microsoft.com/office/drawing/2014/main" id="{00000000-0008-0000-1400-0000A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8" name="Text Box 35">
          <a:extLst>
            <a:ext uri="{FF2B5EF4-FFF2-40B4-BE49-F238E27FC236}">
              <a16:creationId xmlns:a16="http://schemas.microsoft.com/office/drawing/2014/main" id="{00000000-0008-0000-1400-0000A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19" name="Text Box 36">
          <a:extLst>
            <a:ext uri="{FF2B5EF4-FFF2-40B4-BE49-F238E27FC236}">
              <a16:creationId xmlns:a16="http://schemas.microsoft.com/office/drawing/2014/main" id="{00000000-0008-0000-1400-0000A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0" name="Text Box 37">
          <a:extLst>
            <a:ext uri="{FF2B5EF4-FFF2-40B4-BE49-F238E27FC236}">
              <a16:creationId xmlns:a16="http://schemas.microsoft.com/office/drawing/2014/main" id="{00000000-0008-0000-1400-0000A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1" name="Text Box 38">
          <a:extLst>
            <a:ext uri="{FF2B5EF4-FFF2-40B4-BE49-F238E27FC236}">
              <a16:creationId xmlns:a16="http://schemas.microsoft.com/office/drawing/2014/main" id="{00000000-0008-0000-1400-0000A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2" name="Text Box 39">
          <a:extLst>
            <a:ext uri="{FF2B5EF4-FFF2-40B4-BE49-F238E27FC236}">
              <a16:creationId xmlns:a16="http://schemas.microsoft.com/office/drawing/2014/main" id="{00000000-0008-0000-1400-0000A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3" name="Text Box 40">
          <a:extLst>
            <a:ext uri="{FF2B5EF4-FFF2-40B4-BE49-F238E27FC236}">
              <a16:creationId xmlns:a16="http://schemas.microsoft.com/office/drawing/2014/main" id="{00000000-0008-0000-1400-0000A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4" name="Text Box 41">
          <a:extLst>
            <a:ext uri="{FF2B5EF4-FFF2-40B4-BE49-F238E27FC236}">
              <a16:creationId xmlns:a16="http://schemas.microsoft.com/office/drawing/2014/main" id="{00000000-0008-0000-1400-0000A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5" name="Text Box 42">
          <a:extLst>
            <a:ext uri="{FF2B5EF4-FFF2-40B4-BE49-F238E27FC236}">
              <a16:creationId xmlns:a16="http://schemas.microsoft.com/office/drawing/2014/main" id="{00000000-0008-0000-1400-0000A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6" name="Text Box 43">
          <a:extLst>
            <a:ext uri="{FF2B5EF4-FFF2-40B4-BE49-F238E27FC236}">
              <a16:creationId xmlns:a16="http://schemas.microsoft.com/office/drawing/2014/main" id="{00000000-0008-0000-1400-0000A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7" name="Text Box 44">
          <a:extLst>
            <a:ext uri="{FF2B5EF4-FFF2-40B4-BE49-F238E27FC236}">
              <a16:creationId xmlns:a16="http://schemas.microsoft.com/office/drawing/2014/main" id="{00000000-0008-0000-1400-0000A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8" name="Text Box 45">
          <a:extLst>
            <a:ext uri="{FF2B5EF4-FFF2-40B4-BE49-F238E27FC236}">
              <a16:creationId xmlns:a16="http://schemas.microsoft.com/office/drawing/2014/main" id="{00000000-0008-0000-1400-0000A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29" name="Text Box 46">
          <a:extLst>
            <a:ext uri="{FF2B5EF4-FFF2-40B4-BE49-F238E27FC236}">
              <a16:creationId xmlns:a16="http://schemas.microsoft.com/office/drawing/2014/main" id="{00000000-0008-0000-1400-0000A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0" name="Text Box 47">
          <a:extLst>
            <a:ext uri="{FF2B5EF4-FFF2-40B4-BE49-F238E27FC236}">
              <a16:creationId xmlns:a16="http://schemas.microsoft.com/office/drawing/2014/main" id="{00000000-0008-0000-1400-0000A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1" name="Text Box 48">
          <a:extLst>
            <a:ext uri="{FF2B5EF4-FFF2-40B4-BE49-F238E27FC236}">
              <a16:creationId xmlns:a16="http://schemas.microsoft.com/office/drawing/2014/main" id="{00000000-0008-0000-1400-0000A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2" name="Text Box 51">
          <a:extLst>
            <a:ext uri="{FF2B5EF4-FFF2-40B4-BE49-F238E27FC236}">
              <a16:creationId xmlns:a16="http://schemas.microsoft.com/office/drawing/2014/main" id="{00000000-0008-0000-1400-0000B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3" name="Text Box 52">
          <a:extLst>
            <a:ext uri="{FF2B5EF4-FFF2-40B4-BE49-F238E27FC236}">
              <a16:creationId xmlns:a16="http://schemas.microsoft.com/office/drawing/2014/main" id="{00000000-0008-0000-1400-0000B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4" name="Text Box 53">
          <a:extLst>
            <a:ext uri="{FF2B5EF4-FFF2-40B4-BE49-F238E27FC236}">
              <a16:creationId xmlns:a16="http://schemas.microsoft.com/office/drawing/2014/main" id="{00000000-0008-0000-1400-0000B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5" name="Text Box 54">
          <a:extLst>
            <a:ext uri="{FF2B5EF4-FFF2-40B4-BE49-F238E27FC236}">
              <a16:creationId xmlns:a16="http://schemas.microsoft.com/office/drawing/2014/main" id="{00000000-0008-0000-1400-0000B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6" name="Text Box 55">
          <a:extLst>
            <a:ext uri="{FF2B5EF4-FFF2-40B4-BE49-F238E27FC236}">
              <a16:creationId xmlns:a16="http://schemas.microsoft.com/office/drawing/2014/main" id="{00000000-0008-0000-1400-0000B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7" name="Text Box 56">
          <a:extLst>
            <a:ext uri="{FF2B5EF4-FFF2-40B4-BE49-F238E27FC236}">
              <a16:creationId xmlns:a16="http://schemas.microsoft.com/office/drawing/2014/main" id="{00000000-0008-0000-1400-0000B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8" name="Text Box 57">
          <a:extLst>
            <a:ext uri="{FF2B5EF4-FFF2-40B4-BE49-F238E27FC236}">
              <a16:creationId xmlns:a16="http://schemas.microsoft.com/office/drawing/2014/main" id="{00000000-0008-0000-1400-0000B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39" name="Text Box 58">
          <a:extLst>
            <a:ext uri="{FF2B5EF4-FFF2-40B4-BE49-F238E27FC236}">
              <a16:creationId xmlns:a16="http://schemas.microsoft.com/office/drawing/2014/main" id="{00000000-0008-0000-1400-0000B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0" name="Text Box 59">
          <a:extLst>
            <a:ext uri="{FF2B5EF4-FFF2-40B4-BE49-F238E27FC236}">
              <a16:creationId xmlns:a16="http://schemas.microsoft.com/office/drawing/2014/main" id="{00000000-0008-0000-1400-0000B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1" name="Text Box 60">
          <a:extLst>
            <a:ext uri="{FF2B5EF4-FFF2-40B4-BE49-F238E27FC236}">
              <a16:creationId xmlns:a16="http://schemas.microsoft.com/office/drawing/2014/main" id="{00000000-0008-0000-1400-0000B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2" name="Text Box 61">
          <a:extLst>
            <a:ext uri="{FF2B5EF4-FFF2-40B4-BE49-F238E27FC236}">
              <a16:creationId xmlns:a16="http://schemas.microsoft.com/office/drawing/2014/main" id="{00000000-0008-0000-1400-0000B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3" name="Text Box 62">
          <a:extLst>
            <a:ext uri="{FF2B5EF4-FFF2-40B4-BE49-F238E27FC236}">
              <a16:creationId xmlns:a16="http://schemas.microsoft.com/office/drawing/2014/main" id="{00000000-0008-0000-1400-0000B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4" name="Text Box 63">
          <a:extLst>
            <a:ext uri="{FF2B5EF4-FFF2-40B4-BE49-F238E27FC236}">
              <a16:creationId xmlns:a16="http://schemas.microsoft.com/office/drawing/2014/main" id="{00000000-0008-0000-1400-0000B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5" name="Text Box 64">
          <a:extLst>
            <a:ext uri="{FF2B5EF4-FFF2-40B4-BE49-F238E27FC236}">
              <a16:creationId xmlns:a16="http://schemas.microsoft.com/office/drawing/2014/main" id="{00000000-0008-0000-1400-0000B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6" name="Text Box 65">
          <a:extLst>
            <a:ext uri="{FF2B5EF4-FFF2-40B4-BE49-F238E27FC236}">
              <a16:creationId xmlns:a16="http://schemas.microsoft.com/office/drawing/2014/main" id="{00000000-0008-0000-1400-0000B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7" name="Text Box 66">
          <a:extLst>
            <a:ext uri="{FF2B5EF4-FFF2-40B4-BE49-F238E27FC236}">
              <a16:creationId xmlns:a16="http://schemas.microsoft.com/office/drawing/2014/main" id="{00000000-0008-0000-1400-0000B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8" name="Text Box 68">
          <a:extLst>
            <a:ext uri="{FF2B5EF4-FFF2-40B4-BE49-F238E27FC236}">
              <a16:creationId xmlns:a16="http://schemas.microsoft.com/office/drawing/2014/main" id="{00000000-0008-0000-1400-0000C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49" name="Text Box 69">
          <a:extLst>
            <a:ext uri="{FF2B5EF4-FFF2-40B4-BE49-F238E27FC236}">
              <a16:creationId xmlns:a16="http://schemas.microsoft.com/office/drawing/2014/main" id="{00000000-0008-0000-1400-0000C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0" name="Text Box 70">
          <a:extLst>
            <a:ext uri="{FF2B5EF4-FFF2-40B4-BE49-F238E27FC236}">
              <a16:creationId xmlns:a16="http://schemas.microsoft.com/office/drawing/2014/main" id="{00000000-0008-0000-1400-0000C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1" name="Text Box 71">
          <a:extLst>
            <a:ext uri="{FF2B5EF4-FFF2-40B4-BE49-F238E27FC236}">
              <a16:creationId xmlns:a16="http://schemas.microsoft.com/office/drawing/2014/main" id="{00000000-0008-0000-1400-0000C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2" name="Text Box 72">
          <a:extLst>
            <a:ext uri="{FF2B5EF4-FFF2-40B4-BE49-F238E27FC236}">
              <a16:creationId xmlns:a16="http://schemas.microsoft.com/office/drawing/2014/main" id="{00000000-0008-0000-1400-0000C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3" name="Text Box 73">
          <a:extLst>
            <a:ext uri="{FF2B5EF4-FFF2-40B4-BE49-F238E27FC236}">
              <a16:creationId xmlns:a16="http://schemas.microsoft.com/office/drawing/2014/main" id="{00000000-0008-0000-1400-0000C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4" name="Text Box 74">
          <a:extLst>
            <a:ext uri="{FF2B5EF4-FFF2-40B4-BE49-F238E27FC236}">
              <a16:creationId xmlns:a16="http://schemas.microsoft.com/office/drawing/2014/main" id="{00000000-0008-0000-1400-0000C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5" name="Text Box 75">
          <a:extLst>
            <a:ext uri="{FF2B5EF4-FFF2-40B4-BE49-F238E27FC236}">
              <a16:creationId xmlns:a16="http://schemas.microsoft.com/office/drawing/2014/main" id="{00000000-0008-0000-1400-0000C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6" name="Text Box 76">
          <a:extLst>
            <a:ext uri="{FF2B5EF4-FFF2-40B4-BE49-F238E27FC236}">
              <a16:creationId xmlns:a16="http://schemas.microsoft.com/office/drawing/2014/main" id="{00000000-0008-0000-1400-0000C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7" name="Text Box 77">
          <a:extLst>
            <a:ext uri="{FF2B5EF4-FFF2-40B4-BE49-F238E27FC236}">
              <a16:creationId xmlns:a16="http://schemas.microsoft.com/office/drawing/2014/main" id="{00000000-0008-0000-1400-0000C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8" name="Text Box 78">
          <a:extLst>
            <a:ext uri="{FF2B5EF4-FFF2-40B4-BE49-F238E27FC236}">
              <a16:creationId xmlns:a16="http://schemas.microsoft.com/office/drawing/2014/main" id="{00000000-0008-0000-1400-0000C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59" name="Text Box 79">
          <a:extLst>
            <a:ext uri="{FF2B5EF4-FFF2-40B4-BE49-F238E27FC236}">
              <a16:creationId xmlns:a16="http://schemas.microsoft.com/office/drawing/2014/main" id="{00000000-0008-0000-1400-0000CB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0" name="Text Box 80">
          <a:extLst>
            <a:ext uri="{FF2B5EF4-FFF2-40B4-BE49-F238E27FC236}">
              <a16:creationId xmlns:a16="http://schemas.microsoft.com/office/drawing/2014/main" id="{00000000-0008-0000-1400-0000C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1" name="Text Box 81">
          <a:extLst>
            <a:ext uri="{FF2B5EF4-FFF2-40B4-BE49-F238E27FC236}">
              <a16:creationId xmlns:a16="http://schemas.microsoft.com/office/drawing/2014/main" id="{00000000-0008-0000-1400-0000CD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2" name="Text Box 84">
          <a:extLst>
            <a:ext uri="{FF2B5EF4-FFF2-40B4-BE49-F238E27FC236}">
              <a16:creationId xmlns:a16="http://schemas.microsoft.com/office/drawing/2014/main" id="{00000000-0008-0000-1400-0000CE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3" name="Text Box 85">
          <a:extLst>
            <a:ext uri="{FF2B5EF4-FFF2-40B4-BE49-F238E27FC236}">
              <a16:creationId xmlns:a16="http://schemas.microsoft.com/office/drawing/2014/main" id="{00000000-0008-0000-1400-0000CF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4" name="Text Box 86">
          <a:extLst>
            <a:ext uri="{FF2B5EF4-FFF2-40B4-BE49-F238E27FC236}">
              <a16:creationId xmlns:a16="http://schemas.microsoft.com/office/drawing/2014/main" id="{00000000-0008-0000-1400-0000D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5" name="Text Box 87">
          <a:extLst>
            <a:ext uri="{FF2B5EF4-FFF2-40B4-BE49-F238E27FC236}">
              <a16:creationId xmlns:a16="http://schemas.microsoft.com/office/drawing/2014/main" id="{00000000-0008-0000-1400-0000D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6" name="Text Box 88">
          <a:extLst>
            <a:ext uri="{FF2B5EF4-FFF2-40B4-BE49-F238E27FC236}">
              <a16:creationId xmlns:a16="http://schemas.microsoft.com/office/drawing/2014/main" id="{00000000-0008-0000-1400-0000D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7" name="Text Box 89">
          <a:extLst>
            <a:ext uri="{FF2B5EF4-FFF2-40B4-BE49-F238E27FC236}">
              <a16:creationId xmlns:a16="http://schemas.microsoft.com/office/drawing/2014/main" id="{00000000-0008-0000-1400-0000D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8" name="Text Box 90">
          <a:extLst>
            <a:ext uri="{FF2B5EF4-FFF2-40B4-BE49-F238E27FC236}">
              <a16:creationId xmlns:a16="http://schemas.microsoft.com/office/drawing/2014/main" id="{00000000-0008-0000-1400-0000D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69" name="Text Box 91">
          <a:extLst>
            <a:ext uri="{FF2B5EF4-FFF2-40B4-BE49-F238E27FC236}">
              <a16:creationId xmlns:a16="http://schemas.microsoft.com/office/drawing/2014/main" id="{00000000-0008-0000-1400-0000D5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0" name="Text Box 92">
          <a:extLst>
            <a:ext uri="{FF2B5EF4-FFF2-40B4-BE49-F238E27FC236}">
              <a16:creationId xmlns:a16="http://schemas.microsoft.com/office/drawing/2014/main" id="{00000000-0008-0000-1400-0000D6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1" name="Text Box 93">
          <a:extLst>
            <a:ext uri="{FF2B5EF4-FFF2-40B4-BE49-F238E27FC236}">
              <a16:creationId xmlns:a16="http://schemas.microsoft.com/office/drawing/2014/main" id="{00000000-0008-0000-1400-0000D7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2" name="Text Box 94">
          <a:extLst>
            <a:ext uri="{FF2B5EF4-FFF2-40B4-BE49-F238E27FC236}">
              <a16:creationId xmlns:a16="http://schemas.microsoft.com/office/drawing/2014/main" id="{00000000-0008-0000-1400-0000D8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3" name="Text Box 98">
          <a:extLst>
            <a:ext uri="{FF2B5EF4-FFF2-40B4-BE49-F238E27FC236}">
              <a16:creationId xmlns:a16="http://schemas.microsoft.com/office/drawing/2014/main" id="{00000000-0008-0000-1400-0000D9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4" name="Text Box 99">
          <a:extLst>
            <a:ext uri="{FF2B5EF4-FFF2-40B4-BE49-F238E27FC236}">
              <a16:creationId xmlns:a16="http://schemas.microsoft.com/office/drawing/2014/main" id="{00000000-0008-0000-1400-0000DA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5" name="Text Box 100">
          <a:extLst>
            <a:ext uri="{FF2B5EF4-FFF2-40B4-BE49-F238E27FC236}">
              <a16:creationId xmlns:a16="http://schemas.microsoft.com/office/drawing/2014/main" id="{00000000-0008-0000-1400-0000DB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76" name="Text Box 101">
          <a:extLst>
            <a:ext uri="{FF2B5EF4-FFF2-40B4-BE49-F238E27FC236}">
              <a16:creationId xmlns:a16="http://schemas.microsoft.com/office/drawing/2014/main" id="{00000000-0008-0000-1400-0000DC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7" name="Text Box 102">
          <a:extLst>
            <a:ext uri="{FF2B5EF4-FFF2-40B4-BE49-F238E27FC236}">
              <a16:creationId xmlns:a16="http://schemas.microsoft.com/office/drawing/2014/main" id="{00000000-0008-0000-1400-0000DD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8" name="Text Box 103">
          <a:extLst>
            <a:ext uri="{FF2B5EF4-FFF2-40B4-BE49-F238E27FC236}">
              <a16:creationId xmlns:a16="http://schemas.microsoft.com/office/drawing/2014/main" id="{00000000-0008-0000-1400-0000DE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3810</xdr:rowOff>
    </xdr:to>
    <xdr:sp macro="" textlink="">
      <xdr:nvSpPr>
        <xdr:cNvPr id="479" name="Text Box 104">
          <a:extLst>
            <a:ext uri="{FF2B5EF4-FFF2-40B4-BE49-F238E27FC236}">
              <a16:creationId xmlns:a16="http://schemas.microsoft.com/office/drawing/2014/main" id="{00000000-0008-0000-1400-0000DF010000}"/>
            </a:ext>
          </a:extLst>
        </xdr:cNvPr>
        <xdr:cNvSpPr txBox="1">
          <a:spLocks noChangeArrowheads="1"/>
        </xdr:cNvSpPr>
      </xdr:nvSpPr>
      <xdr:spPr>
        <a:xfrm>
          <a:off x="571055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0" name="Text Box 105">
          <a:extLst>
            <a:ext uri="{FF2B5EF4-FFF2-40B4-BE49-F238E27FC236}">
              <a16:creationId xmlns:a16="http://schemas.microsoft.com/office/drawing/2014/main" id="{00000000-0008-0000-1400-0000E0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1" name="Text Box 106">
          <a:extLst>
            <a:ext uri="{FF2B5EF4-FFF2-40B4-BE49-F238E27FC236}">
              <a16:creationId xmlns:a16="http://schemas.microsoft.com/office/drawing/2014/main" id="{00000000-0008-0000-1400-0000E1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2" name="Text Box 116">
          <a:extLst>
            <a:ext uri="{FF2B5EF4-FFF2-40B4-BE49-F238E27FC236}">
              <a16:creationId xmlns:a16="http://schemas.microsoft.com/office/drawing/2014/main" id="{00000000-0008-0000-1400-0000E2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3" name="Text Box 117">
          <a:extLst>
            <a:ext uri="{FF2B5EF4-FFF2-40B4-BE49-F238E27FC236}">
              <a16:creationId xmlns:a16="http://schemas.microsoft.com/office/drawing/2014/main" id="{00000000-0008-0000-1400-0000E3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3810</xdr:rowOff>
    </xdr:to>
    <xdr:sp macro="" textlink="">
      <xdr:nvSpPr>
        <xdr:cNvPr id="484" name="Text Box 118">
          <a:extLst>
            <a:ext uri="{FF2B5EF4-FFF2-40B4-BE49-F238E27FC236}">
              <a16:creationId xmlns:a16="http://schemas.microsoft.com/office/drawing/2014/main" id="{00000000-0008-0000-1400-0000E4010000}"/>
            </a:ext>
          </a:extLst>
        </xdr:cNvPr>
        <xdr:cNvSpPr txBox="1">
          <a:spLocks noChangeArrowheads="1"/>
        </xdr:cNvSpPr>
      </xdr:nvSpPr>
      <xdr:spPr>
        <a:xfrm>
          <a:off x="5093335" y="819912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5" name="Text Box 1">
          <a:extLst>
            <a:ext uri="{FF2B5EF4-FFF2-40B4-BE49-F238E27FC236}">
              <a16:creationId xmlns:a16="http://schemas.microsoft.com/office/drawing/2014/main" id="{00000000-0008-0000-1400-0000E5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6" name="Text Box 2">
          <a:extLst>
            <a:ext uri="{FF2B5EF4-FFF2-40B4-BE49-F238E27FC236}">
              <a16:creationId xmlns:a16="http://schemas.microsoft.com/office/drawing/2014/main" id="{00000000-0008-0000-1400-0000E6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7" name="Text Box 3">
          <a:extLst>
            <a:ext uri="{FF2B5EF4-FFF2-40B4-BE49-F238E27FC236}">
              <a16:creationId xmlns:a16="http://schemas.microsoft.com/office/drawing/2014/main" id="{00000000-0008-0000-1400-0000E7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8" name="Text Box 4">
          <a:extLst>
            <a:ext uri="{FF2B5EF4-FFF2-40B4-BE49-F238E27FC236}">
              <a16:creationId xmlns:a16="http://schemas.microsoft.com/office/drawing/2014/main" id="{00000000-0008-0000-1400-0000E8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89" name="Text Box 5">
          <a:extLst>
            <a:ext uri="{FF2B5EF4-FFF2-40B4-BE49-F238E27FC236}">
              <a16:creationId xmlns:a16="http://schemas.microsoft.com/office/drawing/2014/main" id="{00000000-0008-0000-1400-0000E9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0" name="Text Box 6">
          <a:extLst>
            <a:ext uri="{FF2B5EF4-FFF2-40B4-BE49-F238E27FC236}">
              <a16:creationId xmlns:a16="http://schemas.microsoft.com/office/drawing/2014/main" id="{00000000-0008-0000-1400-0000EA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1" name="Text Box 7">
          <a:extLst>
            <a:ext uri="{FF2B5EF4-FFF2-40B4-BE49-F238E27FC236}">
              <a16:creationId xmlns:a16="http://schemas.microsoft.com/office/drawing/2014/main" id="{00000000-0008-0000-1400-0000EB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2" name="Text Box 10">
          <a:extLst>
            <a:ext uri="{FF2B5EF4-FFF2-40B4-BE49-F238E27FC236}">
              <a16:creationId xmlns:a16="http://schemas.microsoft.com/office/drawing/2014/main" id="{00000000-0008-0000-1400-0000EC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3" name="Text Box 11">
          <a:extLst>
            <a:ext uri="{FF2B5EF4-FFF2-40B4-BE49-F238E27FC236}">
              <a16:creationId xmlns:a16="http://schemas.microsoft.com/office/drawing/2014/main" id="{00000000-0008-0000-1400-0000ED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4" name="Text Box 12">
          <a:extLst>
            <a:ext uri="{FF2B5EF4-FFF2-40B4-BE49-F238E27FC236}">
              <a16:creationId xmlns:a16="http://schemas.microsoft.com/office/drawing/2014/main" id="{00000000-0008-0000-1400-0000EE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5" name="Text Box 13">
          <a:extLst>
            <a:ext uri="{FF2B5EF4-FFF2-40B4-BE49-F238E27FC236}">
              <a16:creationId xmlns:a16="http://schemas.microsoft.com/office/drawing/2014/main" id="{00000000-0008-0000-1400-0000EF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6" name="Text Box 14">
          <a:extLst>
            <a:ext uri="{FF2B5EF4-FFF2-40B4-BE49-F238E27FC236}">
              <a16:creationId xmlns:a16="http://schemas.microsoft.com/office/drawing/2014/main" id="{00000000-0008-0000-1400-0000F0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7" name="Text Box 15">
          <a:extLst>
            <a:ext uri="{FF2B5EF4-FFF2-40B4-BE49-F238E27FC236}">
              <a16:creationId xmlns:a16="http://schemas.microsoft.com/office/drawing/2014/main" id="{00000000-0008-0000-1400-0000F1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8" name="Text Box 16">
          <a:extLst>
            <a:ext uri="{FF2B5EF4-FFF2-40B4-BE49-F238E27FC236}">
              <a16:creationId xmlns:a16="http://schemas.microsoft.com/office/drawing/2014/main" id="{00000000-0008-0000-1400-0000F2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499" name="Text Box 17">
          <a:extLst>
            <a:ext uri="{FF2B5EF4-FFF2-40B4-BE49-F238E27FC236}">
              <a16:creationId xmlns:a16="http://schemas.microsoft.com/office/drawing/2014/main" id="{00000000-0008-0000-1400-0000F3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0" name="Text Box 18">
          <a:extLst>
            <a:ext uri="{FF2B5EF4-FFF2-40B4-BE49-F238E27FC236}">
              <a16:creationId xmlns:a16="http://schemas.microsoft.com/office/drawing/2014/main" id="{00000000-0008-0000-1400-0000F4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1" name="Text Box 20">
          <a:extLst>
            <a:ext uri="{FF2B5EF4-FFF2-40B4-BE49-F238E27FC236}">
              <a16:creationId xmlns:a16="http://schemas.microsoft.com/office/drawing/2014/main" id="{00000000-0008-0000-1400-0000F5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2" name="Text Box 21">
          <a:extLst>
            <a:ext uri="{FF2B5EF4-FFF2-40B4-BE49-F238E27FC236}">
              <a16:creationId xmlns:a16="http://schemas.microsoft.com/office/drawing/2014/main" id="{00000000-0008-0000-1400-0000F6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3" name="Text Box 22">
          <a:extLst>
            <a:ext uri="{FF2B5EF4-FFF2-40B4-BE49-F238E27FC236}">
              <a16:creationId xmlns:a16="http://schemas.microsoft.com/office/drawing/2014/main" id="{00000000-0008-0000-1400-0000F7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4" name="Text Box 23">
          <a:extLst>
            <a:ext uri="{FF2B5EF4-FFF2-40B4-BE49-F238E27FC236}">
              <a16:creationId xmlns:a16="http://schemas.microsoft.com/office/drawing/2014/main" id="{00000000-0008-0000-1400-0000F8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5" name="Text Box 24">
          <a:extLst>
            <a:ext uri="{FF2B5EF4-FFF2-40B4-BE49-F238E27FC236}">
              <a16:creationId xmlns:a16="http://schemas.microsoft.com/office/drawing/2014/main" id="{00000000-0008-0000-1400-0000F9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6" name="Text Box 25">
          <a:extLst>
            <a:ext uri="{FF2B5EF4-FFF2-40B4-BE49-F238E27FC236}">
              <a16:creationId xmlns:a16="http://schemas.microsoft.com/office/drawing/2014/main" id="{00000000-0008-0000-1400-0000FA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7" name="Text Box 26">
          <a:extLst>
            <a:ext uri="{FF2B5EF4-FFF2-40B4-BE49-F238E27FC236}">
              <a16:creationId xmlns:a16="http://schemas.microsoft.com/office/drawing/2014/main" id="{00000000-0008-0000-1400-0000FB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8" name="Text Box 27">
          <a:extLst>
            <a:ext uri="{FF2B5EF4-FFF2-40B4-BE49-F238E27FC236}">
              <a16:creationId xmlns:a16="http://schemas.microsoft.com/office/drawing/2014/main" id="{00000000-0008-0000-1400-0000FC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09" name="Text Box 28">
          <a:extLst>
            <a:ext uri="{FF2B5EF4-FFF2-40B4-BE49-F238E27FC236}">
              <a16:creationId xmlns:a16="http://schemas.microsoft.com/office/drawing/2014/main" id="{00000000-0008-0000-1400-0000FD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0" name="Text Box 29">
          <a:extLst>
            <a:ext uri="{FF2B5EF4-FFF2-40B4-BE49-F238E27FC236}">
              <a16:creationId xmlns:a16="http://schemas.microsoft.com/office/drawing/2014/main" id="{00000000-0008-0000-1400-0000FE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1" name="Text Box 30">
          <a:extLst>
            <a:ext uri="{FF2B5EF4-FFF2-40B4-BE49-F238E27FC236}">
              <a16:creationId xmlns:a16="http://schemas.microsoft.com/office/drawing/2014/main" id="{00000000-0008-0000-1400-0000FF01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2" name="Text Box 31">
          <a:extLst>
            <a:ext uri="{FF2B5EF4-FFF2-40B4-BE49-F238E27FC236}">
              <a16:creationId xmlns:a16="http://schemas.microsoft.com/office/drawing/2014/main" id="{00000000-0008-0000-1400-00000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3" name="Text Box 32">
          <a:extLst>
            <a:ext uri="{FF2B5EF4-FFF2-40B4-BE49-F238E27FC236}">
              <a16:creationId xmlns:a16="http://schemas.microsoft.com/office/drawing/2014/main" id="{00000000-0008-0000-1400-00000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4" name="Text Box 33">
          <a:extLst>
            <a:ext uri="{FF2B5EF4-FFF2-40B4-BE49-F238E27FC236}">
              <a16:creationId xmlns:a16="http://schemas.microsoft.com/office/drawing/2014/main" id="{00000000-0008-0000-1400-00000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5" name="Text Box 34">
          <a:extLst>
            <a:ext uri="{FF2B5EF4-FFF2-40B4-BE49-F238E27FC236}">
              <a16:creationId xmlns:a16="http://schemas.microsoft.com/office/drawing/2014/main" id="{00000000-0008-0000-1400-00000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6" name="Text Box 35">
          <a:extLst>
            <a:ext uri="{FF2B5EF4-FFF2-40B4-BE49-F238E27FC236}">
              <a16:creationId xmlns:a16="http://schemas.microsoft.com/office/drawing/2014/main" id="{00000000-0008-0000-1400-00000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7" name="Text Box 36">
          <a:extLst>
            <a:ext uri="{FF2B5EF4-FFF2-40B4-BE49-F238E27FC236}">
              <a16:creationId xmlns:a16="http://schemas.microsoft.com/office/drawing/2014/main" id="{00000000-0008-0000-1400-00000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8" name="Text Box 37">
          <a:extLst>
            <a:ext uri="{FF2B5EF4-FFF2-40B4-BE49-F238E27FC236}">
              <a16:creationId xmlns:a16="http://schemas.microsoft.com/office/drawing/2014/main" id="{00000000-0008-0000-1400-00000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19" name="Text Box 38">
          <a:extLst>
            <a:ext uri="{FF2B5EF4-FFF2-40B4-BE49-F238E27FC236}">
              <a16:creationId xmlns:a16="http://schemas.microsoft.com/office/drawing/2014/main" id="{00000000-0008-0000-1400-00000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0" name="Text Box 39">
          <a:extLst>
            <a:ext uri="{FF2B5EF4-FFF2-40B4-BE49-F238E27FC236}">
              <a16:creationId xmlns:a16="http://schemas.microsoft.com/office/drawing/2014/main" id="{00000000-0008-0000-1400-00000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1" name="Text Box 40">
          <a:extLst>
            <a:ext uri="{FF2B5EF4-FFF2-40B4-BE49-F238E27FC236}">
              <a16:creationId xmlns:a16="http://schemas.microsoft.com/office/drawing/2014/main" id="{00000000-0008-0000-1400-00000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2" name="Text Box 41">
          <a:extLst>
            <a:ext uri="{FF2B5EF4-FFF2-40B4-BE49-F238E27FC236}">
              <a16:creationId xmlns:a16="http://schemas.microsoft.com/office/drawing/2014/main" id="{00000000-0008-0000-1400-00000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3" name="Text Box 42">
          <a:extLst>
            <a:ext uri="{FF2B5EF4-FFF2-40B4-BE49-F238E27FC236}">
              <a16:creationId xmlns:a16="http://schemas.microsoft.com/office/drawing/2014/main" id="{00000000-0008-0000-1400-00000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4" name="Text Box 43">
          <a:extLst>
            <a:ext uri="{FF2B5EF4-FFF2-40B4-BE49-F238E27FC236}">
              <a16:creationId xmlns:a16="http://schemas.microsoft.com/office/drawing/2014/main" id="{00000000-0008-0000-1400-00000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5" name="Text Box 44">
          <a:extLst>
            <a:ext uri="{FF2B5EF4-FFF2-40B4-BE49-F238E27FC236}">
              <a16:creationId xmlns:a16="http://schemas.microsoft.com/office/drawing/2014/main" id="{00000000-0008-0000-1400-00000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6" name="Text Box 45">
          <a:extLst>
            <a:ext uri="{FF2B5EF4-FFF2-40B4-BE49-F238E27FC236}">
              <a16:creationId xmlns:a16="http://schemas.microsoft.com/office/drawing/2014/main" id="{00000000-0008-0000-1400-00000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7" name="Text Box 46">
          <a:extLst>
            <a:ext uri="{FF2B5EF4-FFF2-40B4-BE49-F238E27FC236}">
              <a16:creationId xmlns:a16="http://schemas.microsoft.com/office/drawing/2014/main" id="{00000000-0008-0000-1400-00000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8" name="Text Box 47">
          <a:extLst>
            <a:ext uri="{FF2B5EF4-FFF2-40B4-BE49-F238E27FC236}">
              <a16:creationId xmlns:a16="http://schemas.microsoft.com/office/drawing/2014/main" id="{00000000-0008-0000-1400-00001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29" name="Text Box 48">
          <a:extLst>
            <a:ext uri="{FF2B5EF4-FFF2-40B4-BE49-F238E27FC236}">
              <a16:creationId xmlns:a16="http://schemas.microsoft.com/office/drawing/2014/main" id="{00000000-0008-0000-1400-00001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0" name="Text Box 51">
          <a:extLst>
            <a:ext uri="{FF2B5EF4-FFF2-40B4-BE49-F238E27FC236}">
              <a16:creationId xmlns:a16="http://schemas.microsoft.com/office/drawing/2014/main" id="{00000000-0008-0000-1400-00001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1" name="Text Box 52">
          <a:extLst>
            <a:ext uri="{FF2B5EF4-FFF2-40B4-BE49-F238E27FC236}">
              <a16:creationId xmlns:a16="http://schemas.microsoft.com/office/drawing/2014/main" id="{00000000-0008-0000-1400-00001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2" name="Text Box 53">
          <a:extLst>
            <a:ext uri="{FF2B5EF4-FFF2-40B4-BE49-F238E27FC236}">
              <a16:creationId xmlns:a16="http://schemas.microsoft.com/office/drawing/2014/main" id="{00000000-0008-0000-1400-00001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3" name="Text Box 54">
          <a:extLst>
            <a:ext uri="{FF2B5EF4-FFF2-40B4-BE49-F238E27FC236}">
              <a16:creationId xmlns:a16="http://schemas.microsoft.com/office/drawing/2014/main" id="{00000000-0008-0000-1400-00001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4" name="Text Box 55">
          <a:extLst>
            <a:ext uri="{FF2B5EF4-FFF2-40B4-BE49-F238E27FC236}">
              <a16:creationId xmlns:a16="http://schemas.microsoft.com/office/drawing/2014/main" id="{00000000-0008-0000-1400-00001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5" name="Text Box 56">
          <a:extLst>
            <a:ext uri="{FF2B5EF4-FFF2-40B4-BE49-F238E27FC236}">
              <a16:creationId xmlns:a16="http://schemas.microsoft.com/office/drawing/2014/main" id="{00000000-0008-0000-1400-00001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6" name="Text Box 57">
          <a:extLst>
            <a:ext uri="{FF2B5EF4-FFF2-40B4-BE49-F238E27FC236}">
              <a16:creationId xmlns:a16="http://schemas.microsoft.com/office/drawing/2014/main" id="{00000000-0008-0000-1400-00001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7" name="Text Box 58">
          <a:extLst>
            <a:ext uri="{FF2B5EF4-FFF2-40B4-BE49-F238E27FC236}">
              <a16:creationId xmlns:a16="http://schemas.microsoft.com/office/drawing/2014/main" id="{00000000-0008-0000-1400-00001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8" name="Text Box 59">
          <a:extLst>
            <a:ext uri="{FF2B5EF4-FFF2-40B4-BE49-F238E27FC236}">
              <a16:creationId xmlns:a16="http://schemas.microsoft.com/office/drawing/2014/main" id="{00000000-0008-0000-1400-00001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39" name="Text Box 60">
          <a:extLst>
            <a:ext uri="{FF2B5EF4-FFF2-40B4-BE49-F238E27FC236}">
              <a16:creationId xmlns:a16="http://schemas.microsoft.com/office/drawing/2014/main" id="{00000000-0008-0000-1400-00001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0" name="Text Box 61">
          <a:extLst>
            <a:ext uri="{FF2B5EF4-FFF2-40B4-BE49-F238E27FC236}">
              <a16:creationId xmlns:a16="http://schemas.microsoft.com/office/drawing/2014/main" id="{00000000-0008-0000-1400-00001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1" name="Text Box 62">
          <a:extLst>
            <a:ext uri="{FF2B5EF4-FFF2-40B4-BE49-F238E27FC236}">
              <a16:creationId xmlns:a16="http://schemas.microsoft.com/office/drawing/2014/main" id="{00000000-0008-0000-1400-00001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2" name="Text Box 63">
          <a:extLst>
            <a:ext uri="{FF2B5EF4-FFF2-40B4-BE49-F238E27FC236}">
              <a16:creationId xmlns:a16="http://schemas.microsoft.com/office/drawing/2014/main" id="{00000000-0008-0000-1400-00001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3" name="Text Box 64">
          <a:extLst>
            <a:ext uri="{FF2B5EF4-FFF2-40B4-BE49-F238E27FC236}">
              <a16:creationId xmlns:a16="http://schemas.microsoft.com/office/drawing/2014/main" id="{00000000-0008-0000-1400-00001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4" name="Text Box 65">
          <a:extLst>
            <a:ext uri="{FF2B5EF4-FFF2-40B4-BE49-F238E27FC236}">
              <a16:creationId xmlns:a16="http://schemas.microsoft.com/office/drawing/2014/main" id="{00000000-0008-0000-1400-00002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5" name="Text Box 66">
          <a:extLst>
            <a:ext uri="{FF2B5EF4-FFF2-40B4-BE49-F238E27FC236}">
              <a16:creationId xmlns:a16="http://schemas.microsoft.com/office/drawing/2014/main" id="{00000000-0008-0000-1400-00002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6" name="Text Box 68">
          <a:extLst>
            <a:ext uri="{FF2B5EF4-FFF2-40B4-BE49-F238E27FC236}">
              <a16:creationId xmlns:a16="http://schemas.microsoft.com/office/drawing/2014/main" id="{00000000-0008-0000-1400-00002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7" name="Text Box 69">
          <a:extLst>
            <a:ext uri="{FF2B5EF4-FFF2-40B4-BE49-F238E27FC236}">
              <a16:creationId xmlns:a16="http://schemas.microsoft.com/office/drawing/2014/main" id="{00000000-0008-0000-1400-00002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8" name="Text Box 70">
          <a:extLst>
            <a:ext uri="{FF2B5EF4-FFF2-40B4-BE49-F238E27FC236}">
              <a16:creationId xmlns:a16="http://schemas.microsoft.com/office/drawing/2014/main" id="{00000000-0008-0000-1400-00002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49" name="Text Box 71">
          <a:extLst>
            <a:ext uri="{FF2B5EF4-FFF2-40B4-BE49-F238E27FC236}">
              <a16:creationId xmlns:a16="http://schemas.microsoft.com/office/drawing/2014/main" id="{00000000-0008-0000-1400-00002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0" name="Text Box 72">
          <a:extLst>
            <a:ext uri="{FF2B5EF4-FFF2-40B4-BE49-F238E27FC236}">
              <a16:creationId xmlns:a16="http://schemas.microsoft.com/office/drawing/2014/main" id="{00000000-0008-0000-1400-00002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1" name="Text Box 73">
          <a:extLst>
            <a:ext uri="{FF2B5EF4-FFF2-40B4-BE49-F238E27FC236}">
              <a16:creationId xmlns:a16="http://schemas.microsoft.com/office/drawing/2014/main" id="{00000000-0008-0000-1400-00002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2" name="Text Box 74">
          <a:extLst>
            <a:ext uri="{FF2B5EF4-FFF2-40B4-BE49-F238E27FC236}">
              <a16:creationId xmlns:a16="http://schemas.microsoft.com/office/drawing/2014/main" id="{00000000-0008-0000-1400-00002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3" name="Text Box 75">
          <a:extLst>
            <a:ext uri="{FF2B5EF4-FFF2-40B4-BE49-F238E27FC236}">
              <a16:creationId xmlns:a16="http://schemas.microsoft.com/office/drawing/2014/main" id="{00000000-0008-0000-1400-00002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4" name="Text Box 76">
          <a:extLst>
            <a:ext uri="{FF2B5EF4-FFF2-40B4-BE49-F238E27FC236}">
              <a16:creationId xmlns:a16="http://schemas.microsoft.com/office/drawing/2014/main" id="{00000000-0008-0000-1400-00002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5" name="Text Box 77">
          <a:extLst>
            <a:ext uri="{FF2B5EF4-FFF2-40B4-BE49-F238E27FC236}">
              <a16:creationId xmlns:a16="http://schemas.microsoft.com/office/drawing/2014/main" id="{00000000-0008-0000-1400-00002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6" name="Text Box 78">
          <a:extLst>
            <a:ext uri="{FF2B5EF4-FFF2-40B4-BE49-F238E27FC236}">
              <a16:creationId xmlns:a16="http://schemas.microsoft.com/office/drawing/2014/main" id="{00000000-0008-0000-1400-00002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7" name="Text Box 79">
          <a:extLst>
            <a:ext uri="{FF2B5EF4-FFF2-40B4-BE49-F238E27FC236}">
              <a16:creationId xmlns:a16="http://schemas.microsoft.com/office/drawing/2014/main" id="{00000000-0008-0000-1400-00002D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8" name="Text Box 80">
          <a:extLst>
            <a:ext uri="{FF2B5EF4-FFF2-40B4-BE49-F238E27FC236}">
              <a16:creationId xmlns:a16="http://schemas.microsoft.com/office/drawing/2014/main" id="{00000000-0008-0000-1400-00002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59" name="Text Box 81">
          <a:extLst>
            <a:ext uri="{FF2B5EF4-FFF2-40B4-BE49-F238E27FC236}">
              <a16:creationId xmlns:a16="http://schemas.microsoft.com/office/drawing/2014/main" id="{00000000-0008-0000-1400-00002F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0" name="Text Box 84">
          <a:extLst>
            <a:ext uri="{FF2B5EF4-FFF2-40B4-BE49-F238E27FC236}">
              <a16:creationId xmlns:a16="http://schemas.microsoft.com/office/drawing/2014/main" id="{00000000-0008-0000-1400-000030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1" name="Text Box 85">
          <a:extLst>
            <a:ext uri="{FF2B5EF4-FFF2-40B4-BE49-F238E27FC236}">
              <a16:creationId xmlns:a16="http://schemas.microsoft.com/office/drawing/2014/main" id="{00000000-0008-0000-1400-00003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2" name="Text Box 86">
          <a:extLst>
            <a:ext uri="{FF2B5EF4-FFF2-40B4-BE49-F238E27FC236}">
              <a16:creationId xmlns:a16="http://schemas.microsoft.com/office/drawing/2014/main" id="{00000000-0008-0000-1400-00003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3" name="Text Box 87">
          <a:extLst>
            <a:ext uri="{FF2B5EF4-FFF2-40B4-BE49-F238E27FC236}">
              <a16:creationId xmlns:a16="http://schemas.microsoft.com/office/drawing/2014/main" id="{00000000-0008-0000-1400-00003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4" name="Text Box 88">
          <a:extLst>
            <a:ext uri="{FF2B5EF4-FFF2-40B4-BE49-F238E27FC236}">
              <a16:creationId xmlns:a16="http://schemas.microsoft.com/office/drawing/2014/main" id="{00000000-0008-0000-1400-00003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5" name="Text Box 89">
          <a:extLst>
            <a:ext uri="{FF2B5EF4-FFF2-40B4-BE49-F238E27FC236}">
              <a16:creationId xmlns:a16="http://schemas.microsoft.com/office/drawing/2014/main" id="{00000000-0008-0000-1400-00003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6" name="Text Box 90">
          <a:extLst>
            <a:ext uri="{FF2B5EF4-FFF2-40B4-BE49-F238E27FC236}">
              <a16:creationId xmlns:a16="http://schemas.microsoft.com/office/drawing/2014/main" id="{00000000-0008-0000-1400-000036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7" name="Text Box 91">
          <a:extLst>
            <a:ext uri="{FF2B5EF4-FFF2-40B4-BE49-F238E27FC236}">
              <a16:creationId xmlns:a16="http://schemas.microsoft.com/office/drawing/2014/main" id="{00000000-0008-0000-1400-000037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8" name="Text Box 92">
          <a:extLst>
            <a:ext uri="{FF2B5EF4-FFF2-40B4-BE49-F238E27FC236}">
              <a16:creationId xmlns:a16="http://schemas.microsoft.com/office/drawing/2014/main" id="{00000000-0008-0000-1400-000038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69" name="Text Box 93">
          <a:extLst>
            <a:ext uri="{FF2B5EF4-FFF2-40B4-BE49-F238E27FC236}">
              <a16:creationId xmlns:a16="http://schemas.microsoft.com/office/drawing/2014/main" id="{00000000-0008-0000-1400-000039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0" name="Text Box 94">
          <a:extLst>
            <a:ext uri="{FF2B5EF4-FFF2-40B4-BE49-F238E27FC236}">
              <a16:creationId xmlns:a16="http://schemas.microsoft.com/office/drawing/2014/main" id="{00000000-0008-0000-1400-00003A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1" name="Text Box 98">
          <a:extLst>
            <a:ext uri="{FF2B5EF4-FFF2-40B4-BE49-F238E27FC236}">
              <a16:creationId xmlns:a16="http://schemas.microsoft.com/office/drawing/2014/main" id="{00000000-0008-0000-1400-00003B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2" name="Text Box 99">
          <a:extLst>
            <a:ext uri="{FF2B5EF4-FFF2-40B4-BE49-F238E27FC236}">
              <a16:creationId xmlns:a16="http://schemas.microsoft.com/office/drawing/2014/main" id="{00000000-0008-0000-1400-00003C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3" name="Text Box 100">
          <a:extLst>
            <a:ext uri="{FF2B5EF4-FFF2-40B4-BE49-F238E27FC236}">
              <a16:creationId xmlns:a16="http://schemas.microsoft.com/office/drawing/2014/main" id="{00000000-0008-0000-1400-00003D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4" name="Text Box 101">
          <a:extLst>
            <a:ext uri="{FF2B5EF4-FFF2-40B4-BE49-F238E27FC236}">
              <a16:creationId xmlns:a16="http://schemas.microsoft.com/office/drawing/2014/main" id="{00000000-0008-0000-1400-00003E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5" name="Text Box 102">
          <a:extLst>
            <a:ext uri="{FF2B5EF4-FFF2-40B4-BE49-F238E27FC236}">
              <a16:creationId xmlns:a16="http://schemas.microsoft.com/office/drawing/2014/main" id="{00000000-0008-0000-1400-00003F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28</xdr:row>
      <xdr:rowOff>0</xdr:rowOff>
    </xdr:from>
    <xdr:to>
      <xdr:col>3</xdr:col>
      <xdr:colOff>76200</xdr:colOff>
      <xdr:row>29</xdr:row>
      <xdr:rowOff>6985</xdr:rowOff>
    </xdr:to>
    <xdr:sp macro="" textlink="">
      <xdr:nvSpPr>
        <xdr:cNvPr id="576" name="Text Box 103">
          <a:extLst>
            <a:ext uri="{FF2B5EF4-FFF2-40B4-BE49-F238E27FC236}">
              <a16:creationId xmlns:a16="http://schemas.microsoft.com/office/drawing/2014/main" id="{00000000-0008-0000-1400-000040020000}"/>
            </a:ext>
          </a:extLst>
        </xdr:cNvPr>
        <xdr:cNvSpPr txBox="1">
          <a:spLocks noChangeArrowheads="1"/>
        </xdr:cNvSpPr>
      </xdr:nvSpPr>
      <xdr:spPr>
        <a:xfrm>
          <a:off x="571055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7" name="Text Box 105">
          <a:extLst>
            <a:ext uri="{FF2B5EF4-FFF2-40B4-BE49-F238E27FC236}">
              <a16:creationId xmlns:a16="http://schemas.microsoft.com/office/drawing/2014/main" id="{00000000-0008-0000-1400-000041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8" name="Text Box 106">
          <a:extLst>
            <a:ext uri="{FF2B5EF4-FFF2-40B4-BE49-F238E27FC236}">
              <a16:creationId xmlns:a16="http://schemas.microsoft.com/office/drawing/2014/main" id="{00000000-0008-0000-1400-000042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79" name="Text Box 116">
          <a:extLst>
            <a:ext uri="{FF2B5EF4-FFF2-40B4-BE49-F238E27FC236}">
              <a16:creationId xmlns:a16="http://schemas.microsoft.com/office/drawing/2014/main" id="{00000000-0008-0000-1400-000043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80" name="Text Box 117">
          <a:extLst>
            <a:ext uri="{FF2B5EF4-FFF2-40B4-BE49-F238E27FC236}">
              <a16:creationId xmlns:a16="http://schemas.microsoft.com/office/drawing/2014/main" id="{00000000-0008-0000-1400-000044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28</xdr:row>
      <xdr:rowOff>0</xdr:rowOff>
    </xdr:from>
    <xdr:to>
      <xdr:col>2</xdr:col>
      <xdr:colOff>76200</xdr:colOff>
      <xdr:row>29</xdr:row>
      <xdr:rowOff>6985</xdr:rowOff>
    </xdr:to>
    <xdr:sp macro="" textlink="">
      <xdr:nvSpPr>
        <xdr:cNvPr id="581" name="Text Box 118">
          <a:extLst>
            <a:ext uri="{FF2B5EF4-FFF2-40B4-BE49-F238E27FC236}">
              <a16:creationId xmlns:a16="http://schemas.microsoft.com/office/drawing/2014/main" id="{00000000-0008-0000-1400-000045020000}"/>
            </a:ext>
          </a:extLst>
        </xdr:cNvPr>
        <xdr:cNvSpPr txBox="1">
          <a:spLocks noChangeArrowheads="1"/>
        </xdr:cNvSpPr>
      </xdr:nvSpPr>
      <xdr:spPr>
        <a:xfrm>
          <a:off x="5093335" y="8199120"/>
          <a:ext cx="76200"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28</xdr:row>
      <xdr:rowOff>0</xdr:rowOff>
    </xdr:from>
    <xdr:to>
      <xdr:col>3</xdr:col>
      <xdr:colOff>476250</xdr:colOff>
      <xdr:row>30</xdr:row>
      <xdr:rowOff>128270</xdr:rowOff>
    </xdr:to>
    <xdr:sp macro="" textlink="">
      <xdr:nvSpPr>
        <xdr:cNvPr id="582" name="Text Box 102">
          <a:extLst>
            <a:ext uri="{FF2B5EF4-FFF2-40B4-BE49-F238E27FC236}">
              <a16:creationId xmlns:a16="http://schemas.microsoft.com/office/drawing/2014/main" id="{00000000-0008-0000-1400-000046020000}"/>
            </a:ext>
          </a:extLst>
        </xdr:cNvPr>
        <xdr:cNvSpPr txBox="1">
          <a:spLocks noChangeArrowheads="1"/>
        </xdr:cNvSpPr>
      </xdr:nvSpPr>
      <xdr:spPr>
        <a:xfrm>
          <a:off x="6101080" y="8199120"/>
          <a:ext cx="8572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SOTECT%20SITES\JAIPUR%20AIRPORT%20ADANI%20LOUNGE\RUNNING%20BILLS\RUNNING%20BILLS\RAB%20-02%20FINAL%20BILLS%20FOR%20CO\RA-2%20Bill%20Final%20submitted.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HVAC EXTRA ITEM"/>
      <sheetName val="PHE &amp; FF"/>
      <sheetName val="EXTRA ITEM PHE"/>
      <sheetName val="Electrical"/>
    </sheetNames>
    <sheetDataSet>
      <sheetData sheetId="0" refreshError="1">
        <row r="16">
          <cell r="D16">
            <v>1911748.23</v>
          </cell>
        </row>
        <row r="24">
          <cell r="D24">
            <v>1619968.2</v>
          </cell>
        </row>
        <row r="34">
          <cell r="D34">
            <v>466082.12</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s>
    <sheetDataSet>
      <sheetData sheetId="0" refreshError="1"/>
      <sheetData sheetId="1" refreshError="1">
        <row r="19">
          <cell r="F19">
            <v>656289.34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iture BOQ "/>
    </sheetNames>
    <sheetDataSet>
      <sheetData sheetId="0" refreshError="1">
        <row r="38">
          <cell r="G38">
            <v>3479529.2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RAB-02"/>
      <sheetName val="WORK ODER ISSUED"/>
      <sheetName val="C&amp;I BOQ "/>
      <sheetName val="Sheet1"/>
      <sheetName val="MB "/>
      <sheetName val="C&amp;I M.B Sheet"/>
      <sheetName val="Structural Steel Work BOQ"/>
      <sheetName val="Structural Steel Work M.B"/>
      <sheetName val="MEP SUMMARY"/>
      <sheetName val="ELECTRICAL"/>
      <sheetName val="MB ELELCTRICAL"/>
      <sheetName val="HVAC "/>
      <sheetName val="MB HVAC "/>
      <sheetName val="PHE &amp;FF"/>
      <sheetName val="MB PHE "/>
      <sheetName val="LIGHT FITTING"/>
      <sheetName val="FURNITURE BOQ"/>
      <sheetName val="C&amp;S Extra items "/>
      <sheetName val="HVAC EXTRA ITEM"/>
    </sheetNames>
    <sheetDataSet>
      <sheetData sheetId="0"/>
      <sheetData sheetId="1"/>
      <sheetData sheetId="2"/>
      <sheetData sheetId="3"/>
      <sheetData sheetId="4"/>
      <sheetData sheetId="5">
        <row r="22">
          <cell r="G22">
            <v>76.047300000000007</v>
          </cell>
        </row>
        <row r="28">
          <cell r="G28">
            <v>2.5</v>
          </cell>
        </row>
        <row r="42">
          <cell r="G42">
            <v>38.14</v>
          </cell>
        </row>
        <row r="49">
          <cell r="G49">
            <v>8.9279944499999999</v>
          </cell>
        </row>
        <row r="55">
          <cell r="G55">
            <v>154.72708899999998</v>
          </cell>
        </row>
        <row r="71">
          <cell r="G71">
            <v>199.91215</v>
          </cell>
        </row>
        <row r="77">
          <cell r="G77">
            <v>32.727800000000002</v>
          </cell>
        </row>
        <row r="82">
          <cell r="G82">
            <v>5.07</v>
          </cell>
        </row>
        <row r="99">
          <cell r="G99">
            <v>89.393200000000007</v>
          </cell>
        </row>
        <row r="106">
          <cell r="G106">
            <v>10.294790000000001</v>
          </cell>
        </row>
        <row r="111">
          <cell r="G111">
            <v>1.425</v>
          </cell>
        </row>
        <row r="123">
          <cell r="G123">
            <v>15.763160000000003</v>
          </cell>
        </row>
        <row r="132">
          <cell r="G132">
            <v>103.20777720000001</v>
          </cell>
        </row>
        <row r="138">
          <cell r="G138">
            <v>40.505375999999998</v>
          </cell>
        </row>
        <row r="142">
          <cell r="G142">
            <v>23.774000000000001</v>
          </cell>
        </row>
        <row r="151">
          <cell r="G151">
            <v>0.16425941659586521</v>
          </cell>
        </row>
        <row r="156">
          <cell r="G156">
            <v>2.88</v>
          </cell>
        </row>
        <row r="162">
          <cell r="G162">
            <v>6.4080000000000004</v>
          </cell>
        </row>
        <row r="172">
          <cell r="G172">
            <v>36.224299999999999</v>
          </cell>
        </row>
        <row r="178">
          <cell r="G178">
            <v>3</v>
          </cell>
        </row>
        <row r="184">
          <cell r="G184">
            <v>3</v>
          </cell>
        </row>
        <row r="190">
          <cell r="G190">
            <v>2</v>
          </cell>
        </row>
        <row r="213">
          <cell r="G213">
            <v>2189.2506000000003</v>
          </cell>
        </row>
        <row r="231">
          <cell r="G231">
            <v>217.55</v>
          </cell>
        </row>
        <row r="237">
          <cell r="G237">
            <v>16.075005000000001</v>
          </cell>
        </row>
        <row r="256">
          <cell r="G256">
            <v>173.79587000000001</v>
          </cell>
        </row>
        <row r="267">
          <cell r="G267">
            <v>63.654269999999997</v>
          </cell>
        </row>
        <row r="287">
          <cell r="G287">
            <v>82.771000000000001</v>
          </cell>
        </row>
        <row r="292">
          <cell r="G292">
            <v>2.1222000000000003</v>
          </cell>
        </row>
        <row r="298">
          <cell r="G298">
            <v>8.6140000000000008</v>
          </cell>
        </row>
        <row r="302">
          <cell r="G302">
            <v>1</v>
          </cell>
        </row>
        <row r="306">
          <cell r="G306">
            <v>1</v>
          </cell>
        </row>
        <row r="310">
          <cell r="G310">
            <v>3</v>
          </cell>
        </row>
        <row r="317">
          <cell r="G317">
            <v>19.802900000000001</v>
          </cell>
        </row>
        <row r="322">
          <cell r="G322">
            <v>161.73839099999998</v>
          </cell>
        </row>
        <row r="326">
          <cell r="G326">
            <v>24.955029999999997</v>
          </cell>
        </row>
        <row r="335">
          <cell r="G335">
            <v>47.176969999999997</v>
          </cell>
        </row>
        <row r="343">
          <cell r="G343">
            <v>225.476541</v>
          </cell>
        </row>
        <row r="351">
          <cell r="G351">
            <v>78.524529999999999</v>
          </cell>
        </row>
        <row r="364">
          <cell r="G364">
            <v>112.96560000000001</v>
          </cell>
        </row>
        <row r="368">
          <cell r="G368">
            <v>10.726000000000001</v>
          </cell>
        </row>
        <row r="382">
          <cell r="G382">
            <v>61.019000000000005</v>
          </cell>
        </row>
        <row r="392">
          <cell r="G392">
            <v>16.116225</v>
          </cell>
        </row>
        <row r="411">
          <cell r="G411">
            <v>42.017600000000009</v>
          </cell>
        </row>
        <row r="415">
          <cell r="G415">
            <v>5.7198719999999996</v>
          </cell>
        </row>
        <row r="431">
          <cell r="G431">
            <v>29.289799999999993</v>
          </cell>
        </row>
        <row r="436">
          <cell r="G436">
            <v>8</v>
          </cell>
        </row>
        <row r="439">
          <cell r="G439">
            <v>8</v>
          </cell>
        </row>
        <row r="442">
          <cell r="G442">
            <v>4</v>
          </cell>
        </row>
        <row r="445">
          <cell r="G445">
            <v>8</v>
          </cell>
        </row>
        <row r="448">
          <cell r="G448">
            <v>2</v>
          </cell>
        </row>
        <row r="454">
          <cell r="G454">
            <v>2</v>
          </cell>
        </row>
        <row r="457">
          <cell r="G457">
            <v>2</v>
          </cell>
        </row>
        <row r="467">
          <cell r="G467">
            <v>70</v>
          </cell>
        </row>
        <row r="491">
          <cell r="G491">
            <v>20.877000000000002</v>
          </cell>
        </row>
      </sheetData>
      <sheetData sheetId="6"/>
      <sheetData sheetId="7"/>
      <sheetData sheetId="8"/>
      <sheetData sheetId="9"/>
      <sheetData sheetId="10"/>
      <sheetData sheetId="11"/>
      <sheetData sheetId="12">
        <row r="125">
          <cell r="D125">
            <v>197.64500000000001</v>
          </cell>
        </row>
        <row r="126">
          <cell r="D126">
            <v>37.9</v>
          </cell>
        </row>
        <row r="129">
          <cell r="D129">
            <v>258.5</v>
          </cell>
        </row>
        <row r="133">
          <cell r="D133">
            <v>82.89</v>
          </cell>
        </row>
        <row r="134">
          <cell r="D134">
            <v>79.44</v>
          </cell>
        </row>
      </sheetData>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VAC"/>
      <sheetName val="PHE &amp; FF"/>
      <sheetName val="EXTRA ITEM PHE"/>
      <sheetName val="Electrical"/>
      <sheetName val="Sheet1"/>
    </sheetNames>
    <sheetDataSet>
      <sheetData sheetId="0" refreshError="1"/>
      <sheetData sheetId="1" refreshError="1">
        <row r="76">
          <cell r="B76" t="str">
            <v>TOTAL "SECTION-A"</v>
          </cell>
          <cell r="F76">
            <v>813712.4</v>
          </cell>
        </row>
        <row r="377">
          <cell r="B377" t="str">
            <v>TOTAL "SECTION-B"</v>
          </cell>
          <cell r="F377">
            <v>806255.8</v>
          </cell>
        </row>
      </sheetData>
      <sheetData sheetId="2" refreshError="1">
        <row r="31">
          <cell r="F31">
            <v>60745.3</v>
          </cell>
        </row>
        <row r="45">
          <cell r="F45">
            <v>67996.320000000007</v>
          </cell>
        </row>
        <row r="79">
          <cell r="F79">
            <v>337340.5</v>
          </cell>
        </row>
      </sheetData>
      <sheetData sheetId="3" refreshError="1"/>
      <sheetData sheetId="4" refreshError="1">
        <row r="56">
          <cell r="B56" t="str">
            <v>TOTAL SUB-HEAD I carried over to Summary</v>
          </cell>
        </row>
        <row r="84">
          <cell r="B84" t="str">
            <v>TOTAL SUB-HEAD II carried over to Summary</v>
          </cell>
          <cell r="F84">
            <v>232680.91</v>
          </cell>
        </row>
        <row r="139">
          <cell r="B139" t="str">
            <v>TOTAL SUB-HEAD III carried over to Summary</v>
          </cell>
          <cell r="F139">
            <v>520056.6</v>
          </cell>
        </row>
        <row r="167">
          <cell r="B167" t="str">
            <v>TOTAL SUB-HEAD IV carried over to Summary</v>
          </cell>
          <cell r="F167">
            <v>467858.86</v>
          </cell>
        </row>
        <row r="175">
          <cell r="B175" t="str">
            <v>TOTAL SUB-HEAD V carried over to Summary</v>
          </cell>
          <cell r="F175">
            <v>62426</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view="pageBreakPreview" topLeftCell="B1" zoomScaleNormal="100" zoomScaleSheetLayoutView="100" workbookViewId="0">
      <pane ySplit="2" topLeftCell="A36" activePane="bottomLeft" state="frozen"/>
      <selection pane="bottomLeft" activeCell="D54" sqref="D54"/>
    </sheetView>
  </sheetViews>
  <sheetFormatPr defaultColWidth="9" defaultRowHeight="15.5"/>
  <cols>
    <col min="1" max="1" width="7.36328125" customWidth="1"/>
    <col min="2" max="2" width="50.81640625" customWidth="1"/>
    <col min="3" max="3" width="5.6328125" customWidth="1"/>
    <col min="4" max="4" width="6.90625" customWidth="1"/>
    <col min="5" max="5" width="23.08984375" style="1030" customWidth="1"/>
    <col min="6" max="6" width="14.81640625" style="1030" customWidth="1"/>
    <col min="7" max="7" width="18.7265625" style="1030" bestFit="1" customWidth="1"/>
    <col min="8" max="8" width="18.7265625" style="1030" customWidth="1"/>
    <col min="9" max="9" width="21.90625" style="1125" bestFit="1" customWidth="1"/>
    <col min="10" max="10" width="21.90625" style="1125" customWidth="1"/>
    <col min="11" max="11" width="27.26953125" customWidth="1"/>
  </cols>
  <sheetData>
    <row r="1" spans="1:12" ht="42" customHeight="1">
      <c r="A1" s="1225" t="s">
        <v>0</v>
      </c>
      <c r="B1" s="1225"/>
      <c r="C1" s="1225"/>
      <c r="D1" s="1225"/>
      <c r="E1" s="1225"/>
      <c r="F1" s="1224"/>
      <c r="G1" s="1224"/>
      <c r="H1" s="1224"/>
      <c r="I1" s="1120"/>
      <c r="J1" s="1321"/>
      <c r="K1" s="1031"/>
      <c r="L1" s="1031"/>
    </row>
    <row r="2" spans="1:12" ht="39" customHeight="1">
      <c r="A2" s="1032" t="s">
        <v>1</v>
      </c>
      <c r="B2" s="1032" t="s">
        <v>1727</v>
      </c>
      <c r="C2" s="1032"/>
      <c r="D2" s="1032"/>
      <c r="E2" s="1127" t="s">
        <v>1937</v>
      </c>
      <c r="F2" s="1127" t="s">
        <v>1934</v>
      </c>
      <c r="G2" s="1126" t="s">
        <v>1935</v>
      </c>
      <c r="H2" s="1126" t="s">
        <v>1936</v>
      </c>
      <c r="I2" s="1126" t="s">
        <v>1938</v>
      </c>
      <c r="J2" s="1322"/>
    </row>
    <row r="3" spans="1:12">
      <c r="A3" s="1033"/>
      <c r="B3" s="1034" t="s">
        <v>3</v>
      </c>
      <c r="C3" s="1033"/>
      <c r="D3" s="1033"/>
      <c r="E3" s="1035"/>
      <c r="F3" s="1035"/>
      <c r="G3" s="1035"/>
      <c r="H3" s="1035"/>
      <c r="I3" s="1051"/>
      <c r="J3" s="1323"/>
    </row>
    <row r="4" spans="1:12">
      <c r="A4" s="1033"/>
      <c r="B4" s="1033"/>
      <c r="C4" s="1033"/>
      <c r="D4" s="1033"/>
      <c r="E4" s="1035"/>
      <c r="F4" s="1035"/>
      <c r="G4" s="1035"/>
      <c r="H4" s="1035"/>
      <c r="I4" s="1051"/>
      <c r="J4" s="1323"/>
    </row>
    <row r="5" spans="1:12" ht="14.25" customHeight="1">
      <c r="A5" s="1036" t="s">
        <v>4</v>
      </c>
      <c r="B5" s="1034" t="s">
        <v>5</v>
      </c>
      <c r="C5" s="1036"/>
      <c r="D5" s="1036"/>
      <c r="E5" s="1037"/>
      <c r="F5" s="1037"/>
      <c r="G5" s="1037"/>
      <c r="H5" s="1037"/>
      <c r="I5" s="1051"/>
      <c r="J5" s="1323"/>
    </row>
    <row r="6" spans="1:12" ht="14.25" customHeight="1">
      <c r="A6" s="1036"/>
      <c r="B6" s="1034"/>
      <c r="C6" s="1036"/>
      <c r="D6" s="1036"/>
      <c r="E6" s="1037"/>
      <c r="F6" s="1037"/>
      <c r="G6" s="1037"/>
      <c r="H6" s="1037"/>
      <c r="I6" s="1051"/>
      <c r="J6" s="1323"/>
    </row>
    <row r="7" spans="1:12">
      <c r="A7" s="1038" t="s">
        <v>6</v>
      </c>
      <c r="B7" s="1039" t="s">
        <v>7</v>
      </c>
      <c r="C7" s="1040"/>
      <c r="D7" s="1041"/>
      <c r="E7" s="1040">
        <f>'C&amp;I BOQ '!F19</f>
        <v>33004.722240000003</v>
      </c>
      <c r="F7" s="1040"/>
      <c r="G7" s="1040"/>
      <c r="H7" s="1040"/>
      <c r="I7" s="1124">
        <f>E7-H7</f>
        <v>33004.722240000003</v>
      </c>
      <c r="J7" s="1324"/>
    </row>
    <row r="8" spans="1:12">
      <c r="A8" s="1038"/>
      <c r="B8" s="1042"/>
      <c r="C8" s="1040"/>
      <c r="D8" s="1041"/>
      <c r="E8" s="1040"/>
      <c r="F8" s="1040"/>
      <c r="G8" s="1040"/>
      <c r="H8" s="1040"/>
      <c r="I8" s="1051"/>
      <c r="J8" s="1323"/>
    </row>
    <row r="9" spans="1:12">
      <c r="A9" s="1039" t="s">
        <v>8</v>
      </c>
      <c r="B9" s="1039" t="s">
        <v>9</v>
      </c>
      <c r="C9" s="1043"/>
      <c r="D9" s="288"/>
      <c r="E9" s="1043">
        <f>'C&amp;I BOQ '!F39</f>
        <v>302311.3851744</v>
      </c>
      <c r="F9" s="1043">
        <f>0</f>
        <v>0</v>
      </c>
      <c r="G9" s="1043">
        <f>'C&amp;I BOQ '!J39</f>
        <v>251264.82287199999</v>
      </c>
      <c r="H9" s="1043">
        <f>G9</f>
        <v>251264.82287199999</v>
      </c>
      <c r="I9" s="1124">
        <f>E9-H9</f>
        <v>51046.562302400009</v>
      </c>
      <c r="J9" s="1324"/>
    </row>
    <row r="10" spans="1:12">
      <c r="A10" s="1044"/>
      <c r="B10" s="1045"/>
      <c r="C10" s="1043"/>
      <c r="D10" s="288"/>
      <c r="E10" s="1043"/>
      <c r="F10" s="1043"/>
      <c r="G10" s="1043"/>
      <c r="H10" s="1043"/>
      <c r="I10" s="1051"/>
      <c r="J10" s="1323"/>
    </row>
    <row r="11" spans="1:12">
      <c r="A11" s="288" t="s">
        <v>10</v>
      </c>
      <c r="B11" s="1039" t="s">
        <v>11</v>
      </c>
      <c r="C11" s="1043"/>
      <c r="D11" s="288"/>
      <c r="E11" s="1043"/>
      <c r="F11" s="1043"/>
      <c r="G11" s="1043"/>
      <c r="H11" s="1043"/>
      <c r="I11" s="1051"/>
      <c r="J11" s="1323"/>
    </row>
    <row r="12" spans="1:12">
      <c r="A12" s="1044"/>
      <c r="B12" s="1045"/>
      <c r="C12" s="1043"/>
      <c r="D12" s="288"/>
      <c r="E12" s="1043"/>
      <c r="F12" s="1043"/>
      <c r="G12" s="1043"/>
      <c r="H12" s="1043"/>
      <c r="I12" s="1051"/>
      <c r="J12" s="1323"/>
    </row>
    <row r="13" spans="1:12" ht="15.75" customHeight="1">
      <c r="A13" s="1044" t="s">
        <v>6</v>
      </c>
      <c r="B13" s="1046" t="s">
        <v>12</v>
      </c>
      <c r="C13" s="1043"/>
      <c r="D13" s="288"/>
      <c r="E13" s="1043">
        <f>'C&amp;I BOQ '!F90</f>
        <v>1201287.1630480001</v>
      </c>
      <c r="F13" s="1043">
        <f>0</f>
        <v>0</v>
      </c>
      <c r="G13" s="1043">
        <f>'C&amp;I BOQ '!J90</f>
        <v>960925.01226400002</v>
      </c>
      <c r="H13" s="1043">
        <f>G13</f>
        <v>960925.01226400002</v>
      </c>
      <c r="I13" s="1124">
        <f>E13-H13</f>
        <v>240362.15078400006</v>
      </c>
      <c r="J13" s="1324"/>
    </row>
    <row r="14" spans="1:12">
      <c r="A14" s="1044"/>
      <c r="B14" s="1045"/>
      <c r="C14" s="1043"/>
      <c r="D14" s="288"/>
      <c r="E14" s="1047"/>
      <c r="F14" s="1047"/>
      <c r="G14" s="1047"/>
      <c r="H14" s="1047"/>
      <c r="I14" s="1051"/>
      <c r="J14" s="1323"/>
    </row>
    <row r="15" spans="1:12" ht="16.5" customHeight="1">
      <c r="A15" s="1044" t="s">
        <v>8</v>
      </c>
      <c r="B15" s="1039" t="s">
        <v>13</v>
      </c>
      <c r="C15" s="1043"/>
      <c r="D15" s="288"/>
      <c r="E15" s="1043">
        <f>'C&amp;I BOQ '!F119</f>
        <v>746279.90044999996</v>
      </c>
      <c r="F15" s="1043">
        <f>0</f>
        <v>0</v>
      </c>
      <c r="G15" s="1043">
        <f>'C&amp;I BOQ '!J119</f>
        <v>423490.78100000002</v>
      </c>
      <c r="H15" s="1043">
        <f>G15</f>
        <v>423490.78100000002</v>
      </c>
      <c r="I15" s="1124">
        <f>E15-H15</f>
        <v>322789.11944999994</v>
      </c>
      <c r="J15" s="1324"/>
    </row>
    <row r="16" spans="1:12">
      <c r="A16" s="1044"/>
      <c r="B16" s="1045"/>
      <c r="C16" s="1043"/>
      <c r="D16" s="288"/>
      <c r="E16" s="1047"/>
      <c r="F16" s="1047"/>
      <c r="G16" s="1047"/>
      <c r="H16" s="1047"/>
      <c r="I16" s="1051"/>
      <c r="J16" s="1323"/>
    </row>
    <row r="17" spans="1:11" ht="33" customHeight="1">
      <c r="A17" s="1048" t="s">
        <v>14</v>
      </c>
      <c r="B17" s="1039" t="s">
        <v>15</v>
      </c>
      <c r="C17" s="1043"/>
      <c r="D17" s="288"/>
      <c r="E17" s="1049">
        <f>'C&amp;I BOQ '!F159</f>
        <v>2189172.5913399998</v>
      </c>
      <c r="F17" s="1043">
        <f>0</f>
        <v>0</v>
      </c>
      <c r="G17" s="1043">
        <f>'C&amp;I BOQ '!J159</f>
        <v>1672030.4211800001</v>
      </c>
      <c r="H17" s="1043">
        <f>G17</f>
        <v>1672030.4211800001</v>
      </c>
      <c r="I17" s="1124">
        <f>E17-H17</f>
        <v>517142.17015999975</v>
      </c>
      <c r="J17" s="1324"/>
    </row>
    <row r="18" spans="1:11" s="1028" customFormat="1">
      <c r="A18" s="285"/>
      <c r="B18" s="1046"/>
      <c r="C18" s="288"/>
      <c r="D18" s="1043"/>
      <c r="E18" s="1050"/>
      <c r="F18" s="1050"/>
      <c r="G18" s="1050"/>
      <c r="H18" s="1050"/>
      <c r="I18" s="1051"/>
      <c r="J18" s="1323"/>
    </row>
    <row r="19" spans="1:11" s="1028" customFormat="1">
      <c r="A19" s="1044" t="s">
        <v>16</v>
      </c>
      <c r="B19" s="1046" t="s">
        <v>17</v>
      </c>
      <c r="C19" s="288"/>
      <c r="D19" s="1043"/>
      <c r="E19" s="1050">
        <f>'C&amp;I BOQ '!F169</f>
        <v>412731.9</v>
      </c>
      <c r="F19" s="1043">
        <f>0</f>
        <v>0</v>
      </c>
      <c r="G19" s="1043">
        <f>'C&amp;I BOQ '!J169</f>
        <v>397800.08100000001</v>
      </c>
      <c r="H19" s="1043">
        <f>G19</f>
        <v>397800.08100000001</v>
      </c>
      <c r="I19" s="1124">
        <f>E19-H19</f>
        <v>14931.819000000018</v>
      </c>
      <c r="J19" s="1324"/>
    </row>
    <row r="20" spans="1:11" s="1028" customFormat="1">
      <c r="A20" s="1044"/>
      <c r="B20" s="1046"/>
      <c r="C20" s="288"/>
      <c r="D20" s="1043"/>
      <c r="E20" s="1050"/>
      <c r="F20" s="1050"/>
      <c r="G20" s="1050"/>
      <c r="H20" s="1050"/>
      <c r="I20" s="1051"/>
      <c r="J20" s="1323"/>
    </row>
    <row r="21" spans="1:11" s="1029" customFormat="1" ht="18.75" customHeight="1">
      <c r="A21" s="1044" t="s">
        <v>18</v>
      </c>
      <c r="B21" s="1046" t="s">
        <v>19</v>
      </c>
      <c r="C21" s="1051"/>
      <c r="D21" s="1051"/>
      <c r="E21" s="1052">
        <f>'C&amp;I BOQ '!F179</f>
        <v>451039.44202799996</v>
      </c>
      <c r="F21" s="1043">
        <f>0</f>
        <v>0</v>
      </c>
      <c r="G21" s="1043">
        <f>'C&amp;I BOQ '!J179</f>
        <v>383362.67592000001</v>
      </c>
      <c r="H21" s="1043">
        <f>G21</f>
        <v>383362.67592000001</v>
      </c>
      <c r="I21" s="1124">
        <f>E21-H21</f>
        <v>67676.766107999953</v>
      </c>
      <c r="J21" s="1324"/>
    </row>
    <row r="22" spans="1:11" s="1029" customFormat="1">
      <c r="A22" s="1044"/>
      <c r="B22" s="1039"/>
      <c r="C22" s="1043"/>
      <c r="D22" s="288"/>
      <c r="E22" s="1047"/>
      <c r="F22" s="1047"/>
      <c r="G22" s="1047"/>
      <c r="H22" s="1047"/>
      <c r="I22" s="1051"/>
      <c r="J22" s="1323"/>
    </row>
    <row r="23" spans="1:11" s="1029" customFormat="1">
      <c r="A23" s="1044" t="s">
        <v>20</v>
      </c>
      <c r="B23" s="1039" t="s">
        <v>21</v>
      </c>
      <c r="C23" s="1043"/>
      <c r="D23" s="288"/>
      <c r="E23" s="1049">
        <f>'C&amp;I BOQ '!F200</f>
        <v>525793.47736999998</v>
      </c>
      <c r="F23" s="1043">
        <f>0</f>
        <v>0</v>
      </c>
      <c r="G23" s="1043">
        <f>'C&amp;I BOQ '!J200</f>
        <v>422287.39980000001</v>
      </c>
      <c r="H23" s="1043">
        <f>G23</f>
        <v>422287.39980000001</v>
      </c>
      <c r="I23" s="1124">
        <f>E23-H23</f>
        <v>103506.07756999996</v>
      </c>
      <c r="J23" s="1324"/>
    </row>
    <row r="24" spans="1:11" s="1029" customFormat="1">
      <c r="A24" s="1053"/>
      <c r="B24" s="1054"/>
      <c r="C24" s="1055"/>
      <c r="D24" s="1056"/>
      <c r="E24" s="1057"/>
      <c r="F24" s="1057"/>
      <c r="G24" s="1057"/>
      <c r="H24" s="1057"/>
      <c r="I24" s="1051"/>
      <c r="J24" s="1323"/>
    </row>
    <row r="25" spans="1:11" s="1029" customFormat="1">
      <c r="I25" s="1125"/>
      <c r="J25" s="1125"/>
    </row>
    <row r="26" spans="1:11" s="1029" customFormat="1">
      <c r="A26" s="1058"/>
      <c r="B26" s="1059" t="s">
        <v>22</v>
      </c>
      <c r="C26" s="1060"/>
      <c r="D26" s="1061"/>
      <c r="E26" s="1060">
        <f>SUM(E7:E24)</f>
        <v>5861620.5816504005</v>
      </c>
      <c r="F26" s="1060">
        <f>SUM(F3:F25)</f>
        <v>0</v>
      </c>
      <c r="G26" s="1060">
        <f>SUM(G5:G25)</f>
        <v>4511161.1940360004</v>
      </c>
      <c r="H26" s="1060">
        <f>G26</f>
        <v>4511161.1940360004</v>
      </c>
      <c r="I26" s="1060">
        <f>SUM(I7:I23)</f>
        <v>1350459.3876143997</v>
      </c>
      <c r="J26" s="1325"/>
      <c r="K26" s="1105"/>
    </row>
    <row r="27" spans="1:11" s="1029" customFormat="1" ht="21" customHeight="1">
      <c r="A27" s="1044" t="s">
        <v>23</v>
      </c>
      <c r="B27" s="1039" t="s">
        <v>24</v>
      </c>
      <c r="C27" s="1043"/>
      <c r="D27" s="288"/>
      <c r="E27" s="1043">
        <f>'C&amp;I BOQ '!F229</f>
        <v>121010.40000000001</v>
      </c>
      <c r="F27" s="1043">
        <f>0</f>
        <v>0</v>
      </c>
      <c r="G27" s="1043">
        <f>'C&amp;I BOQ '!J229</f>
        <v>13925.8</v>
      </c>
      <c r="H27" s="1043">
        <f>G27</f>
        <v>13925.8</v>
      </c>
      <c r="I27" s="1124">
        <f>E27-H27</f>
        <v>107084.6</v>
      </c>
      <c r="J27" s="1324"/>
    </row>
    <row r="28" spans="1:11" s="1029" customFormat="1" ht="18" customHeight="1">
      <c r="A28" s="1044"/>
      <c r="B28" s="1051"/>
      <c r="C28" s="1051"/>
      <c r="D28" s="1051"/>
      <c r="E28" s="1051"/>
      <c r="F28" s="1051"/>
      <c r="G28" s="1051"/>
      <c r="H28" s="1051"/>
      <c r="I28" s="1051"/>
      <c r="J28" s="1323"/>
    </row>
    <row r="29" spans="1:11" s="1029" customFormat="1" ht="18" customHeight="1">
      <c r="A29" s="1044" t="s">
        <v>25</v>
      </c>
      <c r="B29" s="1051" t="s">
        <v>26</v>
      </c>
      <c r="C29" s="1051"/>
      <c r="D29" s="1051"/>
      <c r="E29" s="1043">
        <f>'Structural Steel Work BOQ'!F85</f>
        <v>470595.99999999994</v>
      </c>
      <c r="F29" s="1043">
        <f>0</f>
        <v>0</v>
      </c>
      <c r="G29" s="1043">
        <f>'Structural Steel Work BOQ'!J85</f>
        <v>147878.78089599998</v>
      </c>
      <c r="H29" s="1043">
        <f>G29</f>
        <v>147878.78089599998</v>
      </c>
      <c r="I29" s="1124">
        <f>E29-H29</f>
        <v>322717.21910399996</v>
      </c>
      <c r="J29" s="1326"/>
    </row>
    <row r="30" spans="1:11" s="1029" customFormat="1" ht="18" customHeight="1">
      <c r="A30" s="1044" t="s">
        <v>1912</v>
      </c>
      <c r="B30" s="1051" t="s">
        <v>1913</v>
      </c>
      <c r="C30" s="1051"/>
      <c r="D30" s="1051"/>
      <c r="E30" s="1051"/>
      <c r="F30" s="1051"/>
      <c r="G30" s="1051"/>
      <c r="H30" s="1051"/>
      <c r="I30" s="1051"/>
      <c r="J30" s="1323"/>
    </row>
    <row r="31" spans="1:11" s="1029" customFormat="1" ht="40.5" customHeight="1">
      <c r="A31" s="1062"/>
      <c r="B31" s="1059" t="s">
        <v>27</v>
      </c>
      <c r="C31" s="1062"/>
      <c r="D31" s="1062"/>
      <c r="E31" s="1063">
        <f>SUM(E26:E29)</f>
        <v>6453226.9816504009</v>
      </c>
      <c r="F31" s="1063">
        <f>SUM(F27:F30)</f>
        <v>0</v>
      </c>
      <c r="G31" s="1063">
        <f>SUM(G26:G29)</f>
        <v>4672965.7749319999</v>
      </c>
      <c r="H31" s="1063">
        <f>G31</f>
        <v>4672965.7749319999</v>
      </c>
      <c r="I31" s="1063">
        <f>SUM(I26:I29)</f>
        <v>1780261.2067183997</v>
      </c>
      <c r="J31" s="1327"/>
    </row>
    <row r="32" spans="1:11">
      <c r="A32" s="2"/>
      <c r="B32" s="2"/>
      <c r="C32" s="2"/>
      <c r="D32" s="2"/>
      <c r="E32" s="1064"/>
      <c r="F32" s="1064"/>
      <c r="G32" s="1064"/>
      <c r="H32" s="1064"/>
      <c r="I32" s="1051"/>
      <c r="J32" s="1323"/>
    </row>
    <row r="33" spans="1:11">
      <c r="A33" s="1065"/>
      <c r="B33" s="1065" t="s">
        <v>28</v>
      </c>
      <c r="C33" s="1065"/>
      <c r="D33" s="1065"/>
      <c r="E33" s="1066"/>
      <c r="F33" s="1066"/>
      <c r="G33" s="1066"/>
      <c r="H33" s="1066"/>
      <c r="I33" s="1065"/>
      <c r="J33" s="1328"/>
    </row>
    <row r="34" spans="1:11" ht="20" customHeight="1">
      <c r="A34" s="1044">
        <v>1</v>
      </c>
      <c r="B34" s="1067" t="s">
        <v>29</v>
      </c>
      <c r="C34" s="1051"/>
      <c r="D34" s="1051"/>
      <c r="E34" s="1068">
        <f>[1]Summary!$D$16</f>
        <v>1911748.23</v>
      </c>
      <c r="F34" s="1043">
        <f>0</f>
        <v>0</v>
      </c>
      <c r="G34" s="1043">
        <f>'MEP SUMMARY'!E15</f>
        <v>967506.96</v>
      </c>
      <c r="H34" s="1043">
        <f>G34</f>
        <v>967506.96</v>
      </c>
      <c r="I34" s="1124">
        <f>E34-H34</f>
        <v>944241.27</v>
      </c>
      <c r="J34" s="1329"/>
      <c r="K34" s="1106"/>
    </row>
    <row r="35" spans="1:11" ht="20" customHeight="1">
      <c r="A35" s="1044">
        <v>2</v>
      </c>
      <c r="B35" s="1067" t="s">
        <v>30</v>
      </c>
      <c r="C35" s="1051"/>
      <c r="D35" s="1051"/>
      <c r="E35" s="1068"/>
      <c r="F35" s="1068"/>
      <c r="G35" s="1068"/>
      <c r="H35" s="1068"/>
      <c r="I35" s="1069">
        <f>ELECTRICAL!J198</f>
        <v>0</v>
      </c>
      <c r="J35" s="1329"/>
    </row>
    <row r="36" spans="1:11" ht="18" customHeight="1">
      <c r="A36" s="1044">
        <v>3</v>
      </c>
      <c r="B36" s="1067" t="s">
        <v>31</v>
      </c>
      <c r="C36" s="2"/>
      <c r="D36" s="2"/>
      <c r="E36" s="1068">
        <f>[1]Summary!$D$24</f>
        <v>1619968.2</v>
      </c>
      <c r="F36" s="1043">
        <f>0</f>
        <v>0</v>
      </c>
      <c r="G36" s="1043">
        <f>'MEP SUMMARY'!E23</f>
        <v>625390.87100000004</v>
      </c>
      <c r="H36" s="1043">
        <f>G36</f>
        <v>625390.87100000004</v>
      </c>
      <c r="I36" s="1124">
        <f>E36-H36</f>
        <v>994577.32899999991</v>
      </c>
      <c r="J36" s="1329"/>
      <c r="K36" s="1106"/>
    </row>
    <row r="37" spans="1:11" ht="19" customHeight="1">
      <c r="A37" s="1044">
        <v>4</v>
      </c>
      <c r="B37" s="1051" t="s">
        <v>32</v>
      </c>
      <c r="C37" s="2"/>
      <c r="D37" s="2"/>
      <c r="E37" s="1068">
        <f>[1]Summary!$D$34</f>
        <v>466082.12</v>
      </c>
      <c r="F37" s="1043">
        <f>0</f>
        <v>0</v>
      </c>
      <c r="G37" s="1043">
        <f>'MEP SUMMARY'!E33</f>
        <v>97288.51999999999</v>
      </c>
      <c r="H37" s="1043">
        <f>G37</f>
        <v>97288.51999999999</v>
      </c>
      <c r="I37" s="1124">
        <f>E37-H37</f>
        <v>368793.59999999998</v>
      </c>
      <c r="J37" s="1329"/>
    </row>
    <row r="38" spans="1:11" ht="19" customHeight="1">
      <c r="A38" s="1044">
        <v>5</v>
      </c>
      <c r="B38" s="1051" t="s">
        <v>33</v>
      </c>
      <c r="C38" s="2"/>
      <c r="D38" s="2"/>
      <c r="E38" s="1068"/>
      <c r="F38" s="1068"/>
      <c r="G38" s="1068"/>
      <c r="H38" s="1068"/>
      <c r="I38" s="1069">
        <f>'PHE &amp;FF'!J85</f>
        <v>0</v>
      </c>
      <c r="J38" s="1329"/>
    </row>
    <row r="39" spans="1:11" ht="18" customHeight="1">
      <c r="A39" s="1044">
        <v>6</v>
      </c>
      <c r="B39" s="1067" t="s">
        <v>34</v>
      </c>
      <c r="C39" s="2"/>
      <c r="D39" s="2"/>
      <c r="E39" s="1068">
        <f>[2]BOQ!$F$19</f>
        <v>656289.34</v>
      </c>
      <c r="F39" s="1043">
        <f>0</f>
        <v>0</v>
      </c>
      <c r="G39" s="1043">
        <f>'LIGHT FITTING'!H18</f>
        <v>616672.84000000008</v>
      </c>
      <c r="H39" s="1043">
        <f>G39</f>
        <v>616672.84000000008</v>
      </c>
      <c r="I39" s="1124">
        <f>E39-H39</f>
        <v>39616.499999999884</v>
      </c>
      <c r="J39" s="1329"/>
      <c r="K39" s="1106"/>
    </row>
    <row r="40" spans="1:11" ht="18" customHeight="1">
      <c r="A40" s="1044">
        <v>7</v>
      </c>
      <c r="B40" s="1067" t="s">
        <v>35</v>
      </c>
      <c r="C40" s="2"/>
      <c r="D40" s="2"/>
      <c r="E40" s="1068"/>
      <c r="F40" s="1068"/>
      <c r="G40" s="1068"/>
      <c r="H40" s="1068"/>
      <c r="I40" s="1069"/>
      <c r="J40" s="1329"/>
    </row>
    <row r="41" spans="1:11" ht="19" customHeight="1">
      <c r="A41" s="1044">
        <v>8</v>
      </c>
      <c r="B41" s="1067" t="s">
        <v>36</v>
      </c>
      <c r="C41" s="2"/>
      <c r="D41" s="2"/>
      <c r="E41" s="1068"/>
      <c r="F41" s="1068"/>
      <c r="G41" s="1068"/>
      <c r="H41" s="1068"/>
      <c r="I41" s="1051"/>
      <c r="J41" s="1323"/>
    </row>
    <row r="42" spans="1:11" ht="19" customHeight="1">
      <c r="A42" s="1044">
        <v>9</v>
      </c>
      <c r="B42" s="1070" t="s">
        <v>37</v>
      </c>
      <c r="C42" s="1071"/>
      <c r="D42" s="1071"/>
      <c r="E42" s="1072">
        <f>'[3]Furniture BOQ '!$G$38</f>
        <v>3479529.2</v>
      </c>
      <c r="F42" s="1043">
        <f>0</f>
        <v>0</v>
      </c>
      <c r="G42" s="1043">
        <f>'FURNITURE BOQ'!I29</f>
        <v>3178443.8</v>
      </c>
      <c r="H42" s="1043">
        <f>G42</f>
        <v>3178443.8</v>
      </c>
      <c r="I42" s="1124">
        <f>E42-H42</f>
        <v>301085.40000000037</v>
      </c>
      <c r="J42" s="1330"/>
      <c r="K42" s="1107"/>
    </row>
    <row r="43" spans="1:11" s="24" customFormat="1" ht="22" customHeight="1">
      <c r="A43" s="1044">
        <v>10</v>
      </c>
      <c r="B43" s="1070" t="s">
        <v>38</v>
      </c>
      <c r="C43" s="1071"/>
      <c r="D43" s="1071"/>
      <c r="E43" s="1072"/>
      <c r="F43" s="1072"/>
      <c r="G43" s="1072"/>
      <c r="H43" s="1072"/>
      <c r="I43" s="1073"/>
      <c r="J43" s="1331"/>
      <c r="K43" s="1147"/>
    </row>
    <row r="44" spans="1:11" s="24" customFormat="1" ht="22" customHeight="1">
      <c r="A44" s="1213"/>
      <c r="B44" s="1212" t="s">
        <v>1914</v>
      </c>
      <c r="C44" s="1214"/>
      <c r="D44" s="1214"/>
      <c r="E44" s="1215"/>
      <c r="F44" s="1215"/>
      <c r="G44" s="1215"/>
      <c r="H44" s="1215"/>
      <c r="I44" s="1216"/>
      <c r="J44" s="1332"/>
      <c r="K44" s="1147"/>
    </row>
    <row r="45" spans="1:11" s="24" customFormat="1" ht="33" customHeight="1">
      <c r="A45" s="1074">
        <v>11</v>
      </c>
      <c r="B45" s="1070" t="s">
        <v>39</v>
      </c>
      <c r="C45" s="1071"/>
      <c r="D45" s="1071"/>
      <c r="E45" s="1072"/>
      <c r="F45" s="1072"/>
      <c r="G45" s="1072"/>
      <c r="H45" s="1072"/>
      <c r="I45" s="1075"/>
      <c r="J45" s="1333"/>
    </row>
    <row r="46" spans="1:11" s="24" customFormat="1" ht="20" customHeight="1">
      <c r="A46" s="1044">
        <v>12</v>
      </c>
      <c r="B46" s="1070" t="s">
        <v>40</v>
      </c>
      <c r="C46" s="1071"/>
      <c r="D46" s="1071"/>
      <c r="E46" s="1072"/>
      <c r="F46" s="1072"/>
      <c r="G46" s="1072"/>
      <c r="H46" s="1072"/>
      <c r="I46" s="1076">
        <f>'C&amp;S Extra items '!F36</f>
        <v>0</v>
      </c>
      <c r="J46" s="1334"/>
    </row>
    <row r="47" spans="1:11">
      <c r="A47" s="1048"/>
      <c r="B47" s="1067"/>
      <c r="C47" s="1077"/>
      <c r="D47" s="1077"/>
      <c r="E47" s="1068"/>
      <c r="F47" s="1068"/>
      <c r="G47" s="1068"/>
      <c r="H47" s="1068"/>
      <c r="I47" s="1051"/>
      <c r="J47" s="1323"/>
    </row>
    <row r="48" spans="1:11">
      <c r="A48" s="1078"/>
      <c r="B48" s="1078" t="s">
        <v>41</v>
      </c>
      <c r="C48" s="1078"/>
      <c r="D48" s="1078"/>
      <c r="E48" s="1066">
        <f>SUM(E34:E42)</f>
        <v>8133617.0899999999</v>
      </c>
      <c r="F48" s="1066">
        <f>SUM(F45:F47)</f>
        <v>0</v>
      </c>
      <c r="G48" s="1066">
        <f>SUM(G34:G46)</f>
        <v>5485302.9910000004</v>
      </c>
      <c r="H48" s="1066">
        <f>G48</f>
        <v>5485302.9910000004</v>
      </c>
      <c r="I48" s="1066">
        <f>SUM(I34:I46)</f>
        <v>2648314.0990000004</v>
      </c>
      <c r="J48" s="1335"/>
    </row>
    <row r="49" spans="1:10">
      <c r="A49" s="1079"/>
      <c r="B49" s="1079"/>
      <c r="C49" s="1079"/>
      <c r="D49" s="1079"/>
      <c r="E49" s="1080"/>
      <c r="F49" s="1080"/>
      <c r="G49" s="1080"/>
      <c r="H49" s="1080"/>
      <c r="I49" s="1051"/>
      <c r="J49" s="1323"/>
    </row>
    <row r="50" spans="1:10" ht="39.5" customHeight="1">
      <c r="A50" s="1081"/>
      <c r="B50" s="1081" t="s">
        <v>42</v>
      </c>
      <c r="C50" s="1081"/>
      <c r="D50" s="1081"/>
      <c r="E50" s="1082">
        <f>E48+E31</f>
        <v>14586844.071650401</v>
      </c>
      <c r="F50" s="1211">
        <f>F48+F31</f>
        <v>0</v>
      </c>
      <c r="G50" s="1211">
        <f>G48+G31</f>
        <v>10158268.765932001</v>
      </c>
      <c r="H50" s="1211">
        <f>G50</f>
        <v>10158268.765932001</v>
      </c>
      <c r="I50" s="1211">
        <f>I48+I31</f>
        <v>4428575.3057183996</v>
      </c>
      <c r="J50" s="1336"/>
    </row>
    <row r="52" spans="1:10">
      <c r="I52" s="1320"/>
      <c r="J52" s="1320"/>
    </row>
  </sheetData>
  <mergeCells count="1">
    <mergeCell ref="A1:E1"/>
  </mergeCells>
  <printOptions gridLines="1"/>
  <pageMargins left="0.70866141732283472" right="0.70866141732283472" top="0.74803149606299213" bottom="0.74803149606299213" header="0.31496062992125984" footer="0.31496062992125984"/>
  <pageSetup scale="80" orientation="portrait" r:id="rId1"/>
  <headerFooter differentOddEven="1">
    <oddHeader>&amp;LInternational CIP Lounge T2
&amp;RRAB-01</oddHeader>
    <oddFooter>&amp;CNS ASSOCIATES PVT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topLeftCell="A7" zoomScale="85" zoomScaleNormal="100" workbookViewId="0">
      <selection activeCell="C19" sqref="C19:C24"/>
    </sheetView>
  </sheetViews>
  <sheetFormatPr defaultColWidth="9" defaultRowHeight="12.5"/>
  <cols>
    <col min="2" max="2" width="40.54296875" customWidth="1"/>
    <col min="3" max="3" width="17" style="29" customWidth="1"/>
    <col min="4" max="4" width="11.1796875" style="29" customWidth="1"/>
    <col min="5" max="5" width="19.1796875" style="29" customWidth="1"/>
    <col min="6" max="6" width="15.6328125" style="29" customWidth="1"/>
    <col min="7" max="7" width="18" style="29" customWidth="1"/>
    <col min="8" max="8" width="18.453125" style="29" customWidth="1"/>
    <col min="9" max="9" width="45.453125" customWidth="1"/>
  </cols>
  <sheetData>
    <row r="1" spans="1:9" ht="46.5">
      <c r="A1" s="1019" t="s">
        <v>1</v>
      </c>
      <c r="B1" s="1019" t="s">
        <v>2</v>
      </c>
      <c r="C1" s="1019" t="s">
        <v>43</v>
      </c>
      <c r="D1" s="1019" t="s">
        <v>44</v>
      </c>
      <c r="E1" s="1019" t="s">
        <v>45</v>
      </c>
      <c r="F1" s="1019"/>
      <c r="G1" s="1020" t="s">
        <v>46</v>
      </c>
      <c r="H1" s="1020"/>
      <c r="I1" s="1025"/>
    </row>
    <row r="2" spans="1:9" ht="13">
      <c r="A2" s="734">
        <v>1</v>
      </c>
      <c r="B2" s="734" t="s">
        <v>47</v>
      </c>
      <c r="C2" s="803" t="s">
        <v>48</v>
      </c>
      <c r="D2" s="803" t="s">
        <v>49</v>
      </c>
      <c r="E2" s="803">
        <v>5700329979</v>
      </c>
      <c r="F2" s="803"/>
      <c r="G2" s="1021">
        <v>431356.4</v>
      </c>
      <c r="H2" s="1021"/>
      <c r="I2" s="734"/>
    </row>
    <row r="3" spans="1:9" ht="13">
      <c r="A3" s="734"/>
      <c r="B3" s="734"/>
      <c r="C3" s="803"/>
      <c r="D3" s="803"/>
      <c r="E3" s="803"/>
      <c r="F3" s="803"/>
      <c r="G3" s="1021"/>
      <c r="H3" s="1021"/>
      <c r="I3" s="734"/>
    </row>
    <row r="4" spans="1:9" ht="26">
      <c r="A4" s="734">
        <v>2</v>
      </c>
      <c r="B4" s="734" t="s">
        <v>50</v>
      </c>
      <c r="C4" s="955" t="s">
        <v>51</v>
      </c>
      <c r="D4" s="803" t="s">
        <v>52</v>
      </c>
      <c r="E4" s="955" t="s">
        <v>53</v>
      </c>
      <c r="F4" s="955"/>
      <c r="G4" s="1021">
        <v>14586825</v>
      </c>
      <c r="H4" s="1021"/>
      <c r="I4" s="734"/>
    </row>
    <row r="5" spans="1:9" ht="13">
      <c r="A5" s="734"/>
      <c r="B5" s="734"/>
      <c r="C5" s="803"/>
      <c r="D5" s="803"/>
      <c r="E5" s="803"/>
      <c r="F5" s="803"/>
      <c r="G5" s="803"/>
      <c r="H5" s="803"/>
      <c r="I5" s="734"/>
    </row>
    <row r="6" spans="1:9" ht="13">
      <c r="A6" s="734"/>
      <c r="B6" s="734"/>
      <c r="C6" s="803"/>
      <c r="D6" s="803"/>
      <c r="E6" s="803"/>
      <c r="F6" s="803"/>
      <c r="G6" s="803"/>
      <c r="H6" s="803"/>
      <c r="I6" s="734"/>
    </row>
    <row r="7" spans="1:9" ht="13">
      <c r="A7" s="734"/>
      <c r="B7" s="734" t="s">
        <v>54</v>
      </c>
      <c r="C7" s="803"/>
      <c r="D7" s="803"/>
      <c r="E7" s="803"/>
      <c r="F7" s="803"/>
      <c r="G7" s="1021">
        <f>SUM(G2:G6)</f>
        <v>15018181.4</v>
      </c>
      <c r="H7" s="1021"/>
      <c r="I7" s="734"/>
    </row>
    <row r="8" spans="1:9" ht="13">
      <c r="A8" s="734"/>
      <c r="B8" s="734"/>
      <c r="C8" s="803"/>
      <c r="D8" s="803"/>
      <c r="E8" s="803"/>
      <c r="F8" s="803"/>
      <c r="G8" s="803"/>
      <c r="H8" s="803"/>
      <c r="I8" s="734"/>
    </row>
    <row r="9" spans="1:9" ht="13">
      <c r="A9" s="734"/>
      <c r="B9" s="734"/>
      <c r="C9" s="803"/>
      <c r="D9" s="803"/>
      <c r="E9" s="803"/>
      <c r="F9" s="803"/>
      <c r="G9" s="803"/>
      <c r="H9" s="803"/>
      <c r="I9" s="734"/>
    </row>
    <row r="10" spans="1:9" ht="15.5">
      <c r="A10" s="1226" t="s">
        <v>55</v>
      </c>
      <c r="B10" s="1227"/>
      <c r="C10" s="1227"/>
      <c r="D10" s="1227"/>
      <c r="E10" s="1227"/>
      <c r="F10" s="1227"/>
      <c r="G10" s="1227"/>
      <c r="H10" s="1227"/>
      <c r="I10" s="1228"/>
    </row>
    <row r="11" spans="1:9" ht="15.5">
      <c r="A11" s="1023" t="s">
        <v>56</v>
      </c>
      <c r="B11" s="1023" t="s">
        <v>57</v>
      </c>
      <c r="C11" s="1024" t="s">
        <v>58</v>
      </c>
      <c r="D11" s="1024" t="s">
        <v>59</v>
      </c>
      <c r="E11" s="1024" t="s">
        <v>60</v>
      </c>
      <c r="F11" s="1024" t="s">
        <v>61</v>
      </c>
      <c r="G11" s="1024" t="s">
        <v>62</v>
      </c>
      <c r="H11" s="1022" t="s">
        <v>63</v>
      </c>
      <c r="I11" s="1026" t="s">
        <v>64</v>
      </c>
    </row>
    <row r="12" spans="1:9" ht="47.5" customHeight="1">
      <c r="A12" s="734">
        <v>1</v>
      </c>
      <c r="B12" s="734" t="s">
        <v>65</v>
      </c>
      <c r="C12" s="955" t="s">
        <v>51</v>
      </c>
      <c r="D12" s="955" t="s">
        <v>53</v>
      </c>
      <c r="E12" s="803" t="s">
        <v>52</v>
      </c>
      <c r="F12" s="803" t="s">
        <v>66</v>
      </c>
      <c r="G12" s="803" t="s">
        <v>67</v>
      </c>
      <c r="H12" s="803" t="s">
        <v>68</v>
      </c>
      <c r="I12" s="1027" t="s">
        <v>69</v>
      </c>
    </row>
    <row r="13" spans="1:9" ht="27.5" customHeight="1">
      <c r="A13" s="734">
        <v>2</v>
      </c>
      <c r="B13" s="734" t="s">
        <v>70</v>
      </c>
      <c r="C13" s="803" t="s">
        <v>71</v>
      </c>
      <c r="D13" s="803"/>
      <c r="E13" s="803" t="s">
        <v>52</v>
      </c>
      <c r="F13" s="803" t="s">
        <v>72</v>
      </c>
      <c r="G13" s="803" t="s">
        <v>68</v>
      </c>
      <c r="H13" s="803" t="s">
        <v>73</v>
      </c>
      <c r="I13" s="1229" t="s">
        <v>74</v>
      </c>
    </row>
    <row r="14" spans="1:9" ht="82.5" customHeight="1">
      <c r="A14" s="734">
        <v>3</v>
      </c>
      <c r="B14" s="734" t="s">
        <v>75</v>
      </c>
      <c r="C14" s="803" t="s">
        <v>71</v>
      </c>
      <c r="D14" s="803"/>
      <c r="E14" s="803" t="s">
        <v>76</v>
      </c>
      <c r="F14" s="803" t="s">
        <v>77</v>
      </c>
      <c r="G14" s="803" t="s">
        <v>76</v>
      </c>
      <c r="H14" s="803" t="s">
        <v>73</v>
      </c>
      <c r="I14" s="1230"/>
    </row>
    <row r="15" spans="1:9" ht="19" customHeight="1">
      <c r="A15" s="734">
        <v>4</v>
      </c>
      <c r="B15" s="734" t="s">
        <v>78</v>
      </c>
      <c r="C15" s="803"/>
      <c r="D15" s="803"/>
      <c r="E15" s="803" t="s">
        <v>77</v>
      </c>
      <c r="F15" s="803" t="s">
        <v>79</v>
      </c>
      <c r="G15" s="803" t="s">
        <v>73</v>
      </c>
      <c r="H15" s="803" t="s">
        <v>80</v>
      </c>
      <c r="I15" s="1231" t="s">
        <v>81</v>
      </c>
    </row>
    <row r="16" spans="1:9" ht="22.5" customHeight="1">
      <c r="A16" s="734">
        <v>5</v>
      </c>
      <c r="B16" s="734" t="s">
        <v>82</v>
      </c>
      <c r="C16" s="803"/>
      <c r="D16" s="803"/>
      <c r="E16" s="803" t="s">
        <v>79</v>
      </c>
      <c r="F16" s="803" t="s">
        <v>83</v>
      </c>
      <c r="G16" s="803" t="s">
        <v>80</v>
      </c>
      <c r="H16" s="803" t="s">
        <v>84</v>
      </c>
      <c r="I16" s="1232"/>
    </row>
    <row r="17" spans="1:9">
      <c r="A17" s="2"/>
      <c r="B17" s="2"/>
      <c r="C17" s="43"/>
      <c r="D17" s="43"/>
      <c r="E17" s="43"/>
      <c r="F17" s="43"/>
      <c r="G17" s="43"/>
      <c r="H17" s="43"/>
      <c r="I17" s="2"/>
    </row>
  </sheetData>
  <mergeCells count="3">
    <mergeCell ref="A10:I10"/>
    <mergeCell ref="I13:I14"/>
    <mergeCell ref="I15:I16"/>
  </mergeCell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39"/>
  <sheetViews>
    <sheetView view="pageBreakPreview" zoomScale="87" zoomScaleNormal="87" zoomScaleSheetLayoutView="87" workbookViewId="0">
      <pane ySplit="3" topLeftCell="A222" activePane="bottomLeft" state="frozen"/>
      <selection pane="bottomLeft" activeCell="E211" sqref="E211"/>
    </sheetView>
  </sheetViews>
  <sheetFormatPr defaultColWidth="9.08984375" defaultRowHeight="13"/>
  <cols>
    <col min="1" max="1" width="7" style="936" customWidth="1"/>
    <col min="2" max="2" width="88.6328125" style="937" customWidth="1"/>
    <col min="3" max="3" width="8.08984375" style="936" customWidth="1"/>
    <col min="4" max="4" width="9.54296875" style="938" customWidth="1"/>
    <col min="5" max="5" width="12.81640625" style="939" customWidth="1"/>
    <col min="6" max="6" width="16.81640625" style="1007" customWidth="1"/>
    <col min="7" max="8" width="16.81640625" style="1007" hidden="1" customWidth="1"/>
    <col min="9" max="9" width="10.7265625" style="940" customWidth="1"/>
    <col min="10" max="10" width="16.81640625" style="940" customWidth="1"/>
    <col min="11" max="12" width="16.81640625" style="940" hidden="1" customWidth="1"/>
    <col min="13" max="13" width="24.36328125" style="941" hidden="1" customWidth="1"/>
    <col min="14" max="14" width="11.6328125" style="338" customWidth="1"/>
    <col min="15" max="16384" width="9.08984375" style="338"/>
  </cols>
  <sheetData>
    <row r="1" spans="1:15" s="931" customFormat="1">
      <c r="A1" s="1233" t="s">
        <v>85</v>
      </c>
      <c r="B1" s="1234"/>
      <c r="C1" s="1234"/>
      <c r="D1" s="1234"/>
      <c r="E1" s="1234"/>
      <c r="F1" s="1234"/>
      <c r="G1" s="1234"/>
      <c r="H1" s="1234"/>
      <c r="I1" s="1234"/>
      <c r="J1" s="1234"/>
      <c r="K1" s="1234"/>
      <c r="L1" s="1234"/>
      <c r="M1" s="1235"/>
    </row>
    <row r="2" spans="1:15" s="931" customFormat="1">
      <c r="A2" s="1236"/>
      <c r="B2" s="1237"/>
      <c r="C2" s="1237"/>
      <c r="D2" s="1237"/>
      <c r="E2" s="1237"/>
      <c r="F2" s="1237"/>
      <c r="G2" s="1237"/>
      <c r="H2" s="1237"/>
      <c r="I2" s="1237"/>
      <c r="J2" s="1237"/>
      <c r="K2" s="1237"/>
      <c r="L2" s="1237"/>
      <c r="M2" s="1238"/>
    </row>
    <row r="3" spans="1:15" s="932" customFormat="1" ht="58">
      <c r="A3" s="1167" t="s">
        <v>86</v>
      </c>
      <c r="B3" s="1168" t="s">
        <v>87</v>
      </c>
      <c r="C3" s="1167" t="s">
        <v>88</v>
      </c>
      <c r="D3" s="1169" t="s">
        <v>89</v>
      </c>
      <c r="E3" s="1170" t="s">
        <v>90</v>
      </c>
      <c r="F3" s="1170" t="s">
        <v>91</v>
      </c>
      <c r="G3" s="1170" t="s">
        <v>1874</v>
      </c>
      <c r="H3" s="1170" t="s">
        <v>1900</v>
      </c>
      <c r="I3" s="1170" t="s">
        <v>1921</v>
      </c>
      <c r="J3" s="1170" t="s">
        <v>1922</v>
      </c>
      <c r="K3" s="1170" t="s">
        <v>1901</v>
      </c>
      <c r="L3" s="1170" t="s">
        <v>1902</v>
      </c>
      <c r="M3" s="1170" t="s">
        <v>92</v>
      </c>
    </row>
    <row r="4" spans="1:15" s="932" customFormat="1">
      <c r="A4" s="757" t="s">
        <v>6</v>
      </c>
      <c r="B4" s="756" t="s">
        <v>93</v>
      </c>
      <c r="C4" s="757"/>
      <c r="D4" s="828"/>
      <c r="E4" s="798"/>
      <c r="F4" s="796"/>
      <c r="G4" s="828"/>
      <c r="H4" s="796"/>
      <c r="I4" s="828"/>
      <c r="J4" s="828"/>
      <c r="K4" s="828"/>
      <c r="L4" s="828"/>
      <c r="M4" s="961"/>
    </row>
    <row r="5" spans="1:15" s="932" customFormat="1">
      <c r="A5" s="757"/>
      <c r="B5" s="756"/>
      <c r="C5" s="757"/>
      <c r="D5" s="828"/>
      <c r="E5" s="798"/>
      <c r="F5" s="796"/>
      <c r="G5" s="828"/>
      <c r="H5" s="796"/>
      <c r="I5" s="828"/>
      <c r="J5" s="828"/>
      <c r="K5" s="828"/>
      <c r="L5" s="828"/>
      <c r="M5" s="961"/>
    </row>
    <row r="6" spans="1:15" s="932" customFormat="1" ht="52">
      <c r="A6" s="757" t="s">
        <v>94</v>
      </c>
      <c r="B6" s="942" t="s">
        <v>95</v>
      </c>
      <c r="C6" s="757"/>
      <c r="D6" s="943"/>
      <c r="E6" s="798"/>
      <c r="F6" s="796"/>
      <c r="G6" s="828"/>
      <c r="H6" s="796"/>
      <c r="I6" s="828"/>
      <c r="J6" s="828"/>
      <c r="K6" s="828"/>
      <c r="L6" s="828"/>
      <c r="M6" s="961"/>
    </row>
    <row r="7" spans="1:15" s="932" customFormat="1">
      <c r="A7" s="757"/>
      <c r="B7" s="756"/>
      <c r="C7" s="757" t="s">
        <v>96</v>
      </c>
      <c r="D7" s="943">
        <f>'MB '!G9</f>
        <v>9.8079999999999998</v>
      </c>
      <c r="E7" s="798">
        <v>672.28</v>
      </c>
      <c r="F7" s="796">
        <f>E7*D7</f>
        <v>6593.7222400000001</v>
      </c>
      <c r="G7" s="828">
        <f>D7</f>
        <v>9.8079999999999998</v>
      </c>
      <c r="H7" s="796">
        <f>G7*E7</f>
        <v>6593.7222400000001</v>
      </c>
      <c r="I7" s="828">
        <f>'C&amp;I M.B Sheet'!G7</f>
        <v>0</v>
      </c>
      <c r="J7" s="828">
        <f>I7*E7</f>
        <v>0</v>
      </c>
      <c r="K7" s="828"/>
      <c r="L7" s="828"/>
      <c r="M7" s="961"/>
      <c r="O7" s="962"/>
    </row>
    <row r="8" spans="1:15" s="932" customFormat="1">
      <c r="A8" s="757"/>
      <c r="B8" s="756"/>
      <c r="C8" s="757"/>
      <c r="D8" s="943"/>
      <c r="E8" s="798"/>
      <c r="F8" s="796"/>
      <c r="G8" s="828"/>
      <c r="H8" s="796">
        <f t="shared" ref="H8:H71" si="0">G8*E8</f>
        <v>0</v>
      </c>
      <c r="I8" s="828"/>
      <c r="J8" s="828"/>
      <c r="K8" s="828"/>
      <c r="L8" s="828"/>
      <c r="M8" s="961"/>
    </row>
    <row r="9" spans="1:15" s="932" customFormat="1" ht="39">
      <c r="A9" s="757">
        <v>2</v>
      </c>
      <c r="B9" s="756" t="s">
        <v>97</v>
      </c>
      <c r="C9" s="757" t="s">
        <v>98</v>
      </c>
      <c r="D9" s="943" t="s">
        <v>99</v>
      </c>
      <c r="E9" s="796">
        <v>4802</v>
      </c>
      <c r="F9" s="796">
        <f>E9</f>
        <v>4802</v>
      </c>
      <c r="G9" s="828"/>
      <c r="H9" s="796">
        <f t="shared" si="0"/>
        <v>0</v>
      </c>
      <c r="I9" s="828"/>
      <c r="J9" s="828"/>
      <c r="K9" s="828"/>
      <c r="L9" s="828"/>
      <c r="M9" s="961"/>
      <c r="N9" s="963"/>
      <c r="O9" s="963"/>
    </row>
    <row r="10" spans="1:15" s="932" customFormat="1">
      <c r="A10" s="757"/>
      <c r="B10" s="756"/>
      <c r="C10" s="757"/>
      <c r="D10" s="943"/>
      <c r="E10" s="796"/>
      <c r="F10" s="796"/>
      <c r="G10" s="828"/>
      <c r="H10" s="796">
        <f t="shared" si="0"/>
        <v>0</v>
      </c>
      <c r="I10" s="828"/>
      <c r="J10" s="828"/>
      <c r="K10" s="828"/>
      <c r="L10" s="828"/>
      <c r="M10" s="961"/>
    </row>
    <row r="11" spans="1:15" s="932" customFormat="1" ht="26">
      <c r="A11" s="757">
        <v>3</v>
      </c>
      <c r="B11" s="756" t="s">
        <v>100</v>
      </c>
      <c r="C11" s="757" t="s">
        <v>101</v>
      </c>
      <c r="D11" s="943" t="s">
        <v>99</v>
      </c>
      <c r="E11" s="796">
        <v>4802</v>
      </c>
      <c r="F11" s="796">
        <f>E11</f>
        <v>4802</v>
      </c>
      <c r="G11" s="828"/>
      <c r="H11" s="796">
        <f t="shared" si="0"/>
        <v>0</v>
      </c>
      <c r="I11" s="828"/>
      <c r="J11" s="828"/>
      <c r="K11" s="828"/>
      <c r="L11" s="828"/>
      <c r="M11" s="961"/>
    </row>
    <row r="12" spans="1:15" s="932" customFormat="1">
      <c r="A12" s="757"/>
      <c r="B12" s="756"/>
      <c r="C12" s="757"/>
      <c r="D12" s="943"/>
      <c r="E12" s="796"/>
      <c r="F12" s="796"/>
      <c r="G12" s="828"/>
      <c r="H12" s="796">
        <f t="shared" si="0"/>
        <v>0</v>
      </c>
      <c r="I12" s="828"/>
      <c r="J12" s="828"/>
      <c r="K12" s="828"/>
      <c r="L12" s="828"/>
      <c r="M12" s="961"/>
    </row>
    <row r="13" spans="1:15" s="932" customFormat="1" ht="39">
      <c r="A13" s="757">
        <v>4</v>
      </c>
      <c r="B13" s="756" t="s">
        <v>102</v>
      </c>
      <c r="C13" s="757" t="s">
        <v>101</v>
      </c>
      <c r="D13" s="943" t="s">
        <v>99</v>
      </c>
      <c r="E13" s="796">
        <v>4802</v>
      </c>
      <c r="F13" s="796">
        <f>E13</f>
        <v>4802</v>
      </c>
      <c r="G13" s="828"/>
      <c r="H13" s="796">
        <f t="shared" si="0"/>
        <v>0</v>
      </c>
      <c r="I13" s="828"/>
      <c r="J13" s="828"/>
      <c r="K13" s="828"/>
      <c r="L13" s="828"/>
      <c r="M13" s="961"/>
    </row>
    <row r="14" spans="1:15" s="932" customFormat="1">
      <c r="A14" s="757"/>
      <c r="B14" s="756"/>
      <c r="C14" s="757"/>
      <c r="D14" s="943"/>
      <c r="E14" s="796"/>
      <c r="F14" s="796"/>
      <c r="G14" s="828"/>
      <c r="H14" s="796">
        <f t="shared" si="0"/>
        <v>0</v>
      </c>
      <c r="I14" s="828"/>
      <c r="J14" s="828"/>
      <c r="K14" s="828"/>
      <c r="L14" s="828"/>
      <c r="M14" s="961"/>
    </row>
    <row r="15" spans="1:15" s="932" customFormat="1" ht="26">
      <c r="A15" s="757">
        <v>5</v>
      </c>
      <c r="B15" s="756" t="s">
        <v>103</v>
      </c>
      <c r="C15" s="757" t="s">
        <v>98</v>
      </c>
      <c r="D15" s="943" t="s">
        <v>99</v>
      </c>
      <c r="E15" s="796">
        <v>2401</v>
      </c>
      <c r="F15" s="796">
        <f>E15</f>
        <v>2401</v>
      </c>
      <c r="G15" s="828"/>
      <c r="H15" s="796">
        <f t="shared" si="0"/>
        <v>0</v>
      </c>
      <c r="I15" s="828"/>
      <c r="J15" s="828"/>
      <c r="K15" s="828"/>
      <c r="L15" s="828"/>
      <c r="M15" s="961"/>
    </row>
    <row r="16" spans="1:15" s="932" customFormat="1">
      <c r="A16" s="757"/>
      <c r="B16" s="756"/>
      <c r="C16" s="757"/>
      <c r="D16" s="943"/>
      <c r="E16" s="796"/>
      <c r="F16" s="796"/>
      <c r="G16" s="828"/>
      <c r="H16" s="796">
        <f t="shared" si="0"/>
        <v>0</v>
      </c>
      <c r="I16" s="828"/>
      <c r="J16" s="828"/>
      <c r="K16" s="828"/>
      <c r="L16" s="828"/>
      <c r="M16" s="961"/>
    </row>
    <row r="17" spans="1:14" s="932" customFormat="1" ht="39">
      <c r="A17" s="757">
        <v>6</v>
      </c>
      <c r="B17" s="756" t="s">
        <v>104</v>
      </c>
      <c r="C17" s="757" t="s">
        <v>101</v>
      </c>
      <c r="D17" s="943" t="s">
        <v>99</v>
      </c>
      <c r="E17" s="796">
        <v>9604</v>
      </c>
      <c r="F17" s="796">
        <f>E17</f>
        <v>9604</v>
      </c>
      <c r="G17" s="828"/>
      <c r="H17" s="796">
        <f t="shared" si="0"/>
        <v>0</v>
      </c>
      <c r="I17" s="828"/>
      <c r="J17" s="828"/>
      <c r="K17" s="828"/>
      <c r="L17" s="828"/>
      <c r="M17" s="961"/>
    </row>
    <row r="18" spans="1:14" s="932" customFormat="1">
      <c r="A18" s="757"/>
      <c r="B18" s="756"/>
      <c r="C18" s="757"/>
      <c r="D18" s="943"/>
      <c r="E18" s="798"/>
      <c r="F18" s="796"/>
      <c r="G18" s="828"/>
      <c r="H18" s="796">
        <f t="shared" si="0"/>
        <v>0</v>
      </c>
      <c r="I18" s="828"/>
      <c r="J18" s="828"/>
      <c r="K18" s="828"/>
      <c r="L18" s="828"/>
      <c r="M18" s="961"/>
    </row>
    <row r="19" spans="1:14" s="932" customFormat="1" ht="19" customHeight="1">
      <c r="A19" s="433"/>
      <c r="B19" s="944" t="s">
        <v>105</v>
      </c>
      <c r="C19" s="433"/>
      <c r="D19" s="945"/>
      <c r="E19" s="946"/>
      <c r="F19" s="947">
        <f>SUM(F7:F18)</f>
        <v>33004.722240000003</v>
      </c>
      <c r="G19" s="1141"/>
      <c r="H19" s="947">
        <f>SUM(H7:H18)</f>
        <v>6593.7222400000001</v>
      </c>
      <c r="I19" s="948"/>
      <c r="J19" s="947">
        <f>SUM(J7:J18)</f>
        <v>0</v>
      </c>
      <c r="K19" s="948"/>
      <c r="L19" s="948"/>
      <c r="M19" s="964"/>
    </row>
    <row r="20" spans="1:14" s="933" customFormat="1">
      <c r="A20" s="803"/>
      <c r="B20" s="756"/>
      <c r="C20" s="803"/>
      <c r="D20" s="949"/>
      <c r="E20" s="799"/>
      <c r="F20" s="796"/>
      <c r="G20" s="828"/>
      <c r="H20" s="796">
        <f t="shared" si="0"/>
        <v>0</v>
      </c>
      <c r="I20" s="828"/>
      <c r="J20" s="828"/>
      <c r="K20" s="828"/>
      <c r="L20" s="828"/>
      <c r="M20" s="961"/>
    </row>
    <row r="21" spans="1:14" s="933" customFormat="1">
      <c r="A21" s="757" t="s">
        <v>8</v>
      </c>
      <c r="B21" s="756" t="s">
        <v>106</v>
      </c>
      <c r="C21" s="803"/>
      <c r="D21" s="949"/>
      <c r="E21" s="763"/>
      <c r="F21" s="763"/>
      <c r="G21" s="763"/>
      <c r="H21" s="796">
        <f t="shared" si="0"/>
        <v>0</v>
      </c>
      <c r="I21" s="763"/>
      <c r="J21" s="763"/>
      <c r="K21" s="763"/>
      <c r="L21" s="763"/>
      <c r="M21" s="965"/>
    </row>
    <row r="22" spans="1:14" s="933" customFormat="1">
      <c r="A22" s="803"/>
      <c r="B22" s="644"/>
      <c r="C22" s="803"/>
      <c r="D22" s="949"/>
      <c r="E22" s="763"/>
      <c r="F22" s="763"/>
      <c r="G22" s="763"/>
      <c r="H22" s="796">
        <f t="shared" si="0"/>
        <v>0</v>
      </c>
      <c r="I22" s="763"/>
      <c r="J22" s="763"/>
      <c r="K22" s="763"/>
      <c r="L22" s="763"/>
      <c r="M22" s="965"/>
    </row>
    <row r="23" spans="1:14" s="933" customFormat="1" ht="78">
      <c r="A23" s="803">
        <v>7</v>
      </c>
      <c r="B23" s="644" t="s">
        <v>107</v>
      </c>
      <c r="C23" s="803" t="s">
        <v>108</v>
      </c>
      <c r="D23" s="949" t="s">
        <v>109</v>
      </c>
      <c r="E23" s="763">
        <v>7203</v>
      </c>
      <c r="F23" s="796"/>
      <c r="G23" s="828"/>
      <c r="H23" s="796">
        <f t="shared" si="0"/>
        <v>0</v>
      </c>
      <c r="I23" s="828"/>
      <c r="J23" s="828"/>
      <c r="K23" s="828"/>
      <c r="L23" s="828"/>
      <c r="M23" s="965"/>
    </row>
    <row r="24" spans="1:14" s="933" customFormat="1">
      <c r="A24" s="803"/>
      <c r="B24" s="644"/>
      <c r="C24" s="803"/>
      <c r="D24" s="949"/>
      <c r="E24" s="763"/>
      <c r="F24" s="763"/>
      <c r="G24" s="763"/>
      <c r="H24" s="796">
        <f t="shared" si="0"/>
        <v>0</v>
      </c>
      <c r="I24" s="763"/>
      <c r="J24" s="763"/>
      <c r="K24" s="763"/>
      <c r="L24" s="763"/>
      <c r="M24" s="965"/>
    </row>
    <row r="25" spans="1:14" s="933" customFormat="1" ht="65">
      <c r="A25" s="803">
        <v>8</v>
      </c>
      <c r="B25" s="644" t="s">
        <v>110</v>
      </c>
      <c r="C25" s="803" t="s">
        <v>111</v>
      </c>
      <c r="D25" s="949">
        <f>'MB '!G45</f>
        <v>55.671199999999992</v>
      </c>
      <c r="E25" s="763">
        <v>1728.72</v>
      </c>
      <c r="F25" s="796">
        <f>E25*D25</f>
        <v>96239.916863999984</v>
      </c>
      <c r="G25" s="828">
        <f>'[4]C&amp;I M.B Sheet'!G22</f>
        <v>76.047300000000007</v>
      </c>
      <c r="H25" s="796">
        <f t="shared" si="0"/>
        <v>131464.48845600002</v>
      </c>
      <c r="I25" s="828">
        <f>'C&amp;I M.B Sheet'!G25</f>
        <v>55.67</v>
      </c>
      <c r="J25" s="828">
        <f t="shared" ref="J25:J29" si="1">I25*E25</f>
        <v>96237.842400000009</v>
      </c>
      <c r="K25" s="828">
        <f>'C&amp;I M.B Sheet'!G26</f>
        <v>21.77</v>
      </c>
      <c r="L25" s="828">
        <f>K25*E25</f>
        <v>37634.234400000001</v>
      </c>
      <c r="M25" s="965"/>
      <c r="N25" s="1148"/>
    </row>
    <row r="26" spans="1:14" s="933" customFormat="1">
      <c r="A26" s="803"/>
      <c r="B26" s="644"/>
      <c r="C26" s="803"/>
      <c r="D26" s="949"/>
      <c r="E26" s="763"/>
      <c r="F26" s="763"/>
      <c r="G26" s="763"/>
      <c r="H26" s="796">
        <f t="shared" si="0"/>
        <v>0</v>
      </c>
      <c r="I26" s="763"/>
      <c r="J26" s="763"/>
      <c r="K26" s="763"/>
      <c r="L26" s="763"/>
      <c r="M26" s="965"/>
    </row>
    <row r="27" spans="1:14" s="933" customFormat="1" ht="65">
      <c r="A27" s="803">
        <v>9</v>
      </c>
      <c r="B27" s="644" t="s">
        <v>112</v>
      </c>
      <c r="C27" s="803" t="s">
        <v>113</v>
      </c>
      <c r="D27" s="949">
        <f>'MB '!G51</f>
        <v>1.4</v>
      </c>
      <c r="E27" s="763">
        <v>720.3</v>
      </c>
      <c r="F27" s="796">
        <f>E27*D27</f>
        <v>1008.4199999999998</v>
      </c>
      <c r="G27" s="828">
        <f>'[4]C&amp;I M.B Sheet'!G28</f>
        <v>2.5</v>
      </c>
      <c r="H27" s="796">
        <f t="shared" si="0"/>
        <v>1800.75</v>
      </c>
      <c r="I27" s="828">
        <f>'C&amp;I M.B Sheet'!G34</f>
        <v>1.4</v>
      </c>
      <c r="J27" s="828">
        <f t="shared" si="1"/>
        <v>1008.4199999999998</v>
      </c>
      <c r="K27" s="828">
        <f>'C&amp;I M.B Sheet'!G35</f>
        <v>1.1000000000000001</v>
      </c>
      <c r="L27" s="828">
        <f>K27*E27</f>
        <v>792.33</v>
      </c>
      <c r="M27" s="965"/>
    </row>
    <row r="28" spans="1:14" s="933" customFormat="1">
      <c r="A28" s="803"/>
      <c r="B28" s="644"/>
      <c r="C28" s="803"/>
      <c r="D28" s="949"/>
      <c r="E28" s="763"/>
      <c r="F28" s="763"/>
      <c r="G28" s="763"/>
      <c r="H28" s="796">
        <f t="shared" si="0"/>
        <v>0</v>
      </c>
      <c r="I28" s="763"/>
      <c r="J28" s="763"/>
      <c r="K28" s="763"/>
      <c r="L28" s="763"/>
      <c r="M28" s="965"/>
    </row>
    <row r="29" spans="1:14" s="933" customFormat="1" ht="65">
      <c r="A29" s="803">
        <v>10</v>
      </c>
      <c r="B29" s="644" t="s">
        <v>114</v>
      </c>
      <c r="C29" s="803" t="s">
        <v>113</v>
      </c>
      <c r="D29" s="949">
        <f>'MB '!G61</f>
        <v>42.823999999999998</v>
      </c>
      <c r="E29" s="763">
        <v>672.28</v>
      </c>
      <c r="F29" s="796">
        <f>E29*D29</f>
        <v>28789.718719999997</v>
      </c>
      <c r="G29" s="828">
        <f>'[4]C&amp;I M.B Sheet'!G42</f>
        <v>38.14</v>
      </c>
      <c r="H29" s="796">
        <f t="shared" si="0"/>
        <v>25640.7592</v>
      </c>
      <c r="I29" s="828">
        <f>'C&amp;I M.B Sheet'!G50</f>
        <v>41.679999999999993</v>
      </c>
      <c r="J29" s="828">
        <f t="shared" si="1"/>
        <v>28020.630399999995</v>
      </c>
      <c r="K29" s="828">
        <v>0</v>
      </c>
      <c r="L29" s="828">
        <f>K29*E29</f>
        <v>0</v>
      </c>
      <c r="M29" s="965"/>
    </row>
    <row r="30" spans="1:14" s="933" customFormat="1">
      <c r="A30" s="803"/>
      <c r="B30" s="644"/>
      <c r="C30" s="803"/>
      <c r="D30" s="949"/>
      <c r="E30" s="763"/>
      <c r="F30" s="763"/>
      <c r="G30" s="763"/>
      <c r="H30" s="796">
        <f t="shared" si="0"/>
        <v>0</v>
      </c>
      <c r="I30" s="763"/>
      <c r="J30" s="763"/>
      <c r="K30" s="763"/>
      <c r="L30" s="763"/>
      <c r="M30" s="965"/>
    </row>
    <row r="31" spans="1:14" s="933" customFormat="1" ht="39">
      <c r="A31" s="803">
        <v>11</v>
      </c>
      <c r="B31" s="644" t="s">
        <v>115</v>
      </c>
      <c r="C31" s="803" t="s">
        <v>111</v>
      </c>
      <c r="D31" s="949">
        <f>'MB '!G67</f>
        <v>5.2065999999999999</v>
      </c>
      <c r="E31" s="763">
        <v>1152.48</v>
      </c>
      <c r="F31" s="796">
        <f>E31*D31</f>
        <v>6000.5023680000004</v>
      </c>
      <c r="G31" s="828"/>
      <c r="H31" s="796">
        <f t="shared" si="0"/>
        <v>0</v>
      </c>
      <c r="I31" s="828"/>
      <c r="J31" s="828"/>
      <c r="K31" s="828"/>
      <c r="L31" s="828"/>
      <c r="M31" s="965"/>
    </row>
    <row r="32" spans="1:14" s="933" customFormat="1">
      <c r="A32" s="803"/>
      <c r="B32" s="644"/>
      <c r="C32" s="803"/>
      <c r="D32" s="949"/>
      <c r="E32" s="763"/>
      <c r="F32" s="763"/>
      <c r="G32" s="763"/>
      <c r="H32" s="796">
        <f t="shared" si="0"/>
        <v>0</v>
      </c>
      <c r="I32" s="763"/>
      <c r="J32" s="763"/>
      <c r="K32" s="763"/>
      <c r="L32" s="763"/>
      <c r="M32" s="965"/>
    </row>
    <row r="33" spans="1:15" s="933" customFormat="1" ht="39">
      <c r="A33" s="803">
        <v>12</v>
      </c>
      <c r="B33" s="644" t="s">
        <v>116</v>
      </c>
      <c r="C33" s="803" t="s">
        <v>117</v>
      </c>
      <c r="D33" s="949">
        <f>'MB '!G78</f>
        <v>7.8667639999999999</v>
      </c>
      <c r="E33" s="763">
        <v>7683.2</v>
      </c>
      <c r="F33" s="796">
        <f>E33*D33</f>
        <v>60441.921164799998</v>
      </c>
      <c r="G33" s="828">
        <f>'[4]C&amp;I M.B Sheet'!G49</f>
        <v>8.9279944499999999</v>
      </c>
      <c r="H33" s="796">
        <f t="shared" si="0"/>
        <v>68595.566958240001</v>
      </c>
      <c r="I33" s="828">
        <f>'C&amp;I M.B Sheet'!G60</f>
        <v>5.4199599999999997</v>
      </c>
      <c r="J33" s="828">
        <f>I33*E33</f>
        <v>41642.636671999993</v>
      </c>
      <c r="K33" s="828">
        <v>0</v>
      </c>
      <c r="L33" s="828">
        <f>K33*E33</f>
        <v>0</v>
      </c>
      <c r="M33" s="965"/>
    </row>
    <row r="34" spans="1:15" s="933" customFormat="1">
      <c r="A34" s="803"/>
      <c r="B34" s="644"/>
      <c r="C34" s="803"/>
      <c r="D34" s="949"/>
      <c r="E34" s="763"/>
      <c r="F34" s="763"/>
      <c r="G34" s="763"/>
      <c r="H34" s="796">
        <f t="shared" si="0"/>
        <v>0</v>
      </c>
      <c r="I34" s="763"/>
      <c r="J34" s="763"/>
      <c r="K34" s="763"/>
      <c r="L34" s="763"/>
      <c r="M34" s="965"/>
    </row>
    <row r="35" spans="1:15" s="933" customFormat="1">
      <c r="A35" s="803">
        <v>13</v>
      </c>
      <c r="B35" s="644" t="s">
        <v>118</v>
      </c>
      <c r="C35" s="803" t="s">
        <v>111</v>
      </c>
      <c r="D35" s="949">
        <f>'MB '!G90</f>
        <v>157.33528000000001</v>
      </c>
      <c r="E35" s="763">
        <v>288.12</v>
      </c>
      <c r="F35" s="796">
        <f>E35*D35</f>
        <v>45331.440873600004</v>
      </c>
      <c r="G35" s="763">
        <f>'[4]C&amp;I M.B Sheet'!G55</f>
        <v>154.72708899999998</v>
      </c>
      <c r="H35" s="796">
        <f t="shared" si="0"/>
        <v>44579.968882679997</v>
      </c>
      <c r="I35" s="763">
        <f>'C&amp;I M.B Sheet'!G66</f>
        <v>68.91</v>
      </c>
      <c r="J35" s="828">
        <f>I35*E35</f>
        <v>19854.349200000001</v>
      </c>
      <c r="K35" s="828">
        <v>0</v>
      </c>
      <c r="L35" s="828"/>
      <c r="M35" s="965"/>
    </row>
    <row r="36" spans="1:15" s="933" customFormat="1">
      <c r="A36" s="803"/>
      <c r="B36" s="950"/>
      <c r="C36" s="803"/>
      <c r="D36" s="949"/>
      <c r="E36" s="763"/>
      <c r="F36" s="763"/>
      <c r="G36" s="936"/>
      <c r="H36" s="796">
        <f t="shared" si="0"/>
        <v>0</v>
      </c>
      <c r="I36" s="936"/>
      <c r="M36" s="965"/>
    </row>
    <row r="37" spans="1:15" s="933" customFormat="1" ht="26">
      <c r="A37" s="803">
        <v>14</v>
      </c>
      <c r="B37" s="644" t="s">
        <v>119</v>
      </c>
      <c r="C37" s="803" t="s">
        <v>111</v>
      </c>
      <c r="D37" s="949">
        <f>'MB '!G104</f>
        <v>122.10720000000001</v>
      </c>
      <c r="E37" s="654">
        <v>528.22</v>
      </c>
      <c r="F37" s="796">
        <f>E37*D37</f>
        <v>64499.465184000008</v>
      </c>
      <c r="G37" s="828">
        <f>'[4]C&amp;I M.B Sheet'!G71</f>
        <v>199.91215</v>
      </c>
      <c r="H37" s="796">
        <f t="shared" si="0"/>
        <v>105597.595873</v>
      </c>
      <c r="I37" s="828">
        <f>'C&amp;I M.B Sheet'!G83</f>
        <v>122.11</v>
      </c>
      <c r="J37" s="828">
        <f>I37*E37</f>
        <v>64500.944200000005</v>
      </c>
      <c r="K37" s="828">
        <f>'C&amp;I M.B Sheet'!G84</f>
        <v>57.708999999999989</v>
      </c>
      <c r="L37" s="828">
        <f>K37*E37</f>
        <v>30483.047979999996</v>
      </c>
      <c r="M37" s="965" t="s">
        <v>120</v>
      </c>
    </row>
    <row r="38" spans="1:15" s="933" customFormat="1">
      <c r="A38" s="803"/>
      <c r="B38" s="644"/>
      <c r="C38" s="803"/>
      <c r="D38" s="949"/>
      <c r="E38" s="763"/>
      <c r="F38" s="763"/>
      <c r="G38" s="763"/>
      <c r="H38" s="796">
        <f t="shared" si="0"/>
        <v>0</v>
      </c>
      <c r="I38" s="763"/>
      <c r="J38" s="763"/>
      <c r="K38" s="763"/>
      <c r="L38" s="763"/>
      <c r="M38" s="965"/>
    </row>
    <row r="39" spans="1:15" s="933" customFormat="1" ht="15.5">
      <c r="A39" s="951"/>
      <c r="B39" s="944" t="s">
        <v>121</v>
      </c>
      <c r="C39" s="951"/>
      <c r="D39" s="952"/>
      <c r="E39" s="953"/>
      <c r="F39" s="947">
        <f>SUM(F23:F38)</f>
        <v>302311.3851744</v>
      </c>
      <c r="G39" s="1142"/>
      <c r="H39" s="947">
        <f>SUM(H23:H38)</f>
        <v>377679.12936992</v>
      </c>
      <c r="I39" s="947"/>
      <c r="J39" s="947">
        <f>SUM(J23:J38)</f>
        <v>251264.82287199999</v>
      </c>
      <c r="K39" s="947"/>
      <c r="L39" s="947">
        <f>SUM(L23:L38)</f>
        <v>68909.612380000006</v>
      </c>
      <c r="M39" s="964"/>
    </row>
    <row r="40" spans="1:15" s="933" customFormat="1">
      <c r="A40" s="803"/>
      <c r="B40" s="756"/>
      <c r="C40" s="803"/>
      <c r="D40" s="949"/>
      <c r="E40" s="763"/>
      <c r="F40" s="828"/>
      <c r="G40" s="828"/>
      <c r="H40" s="796">
        <f t="shared" si="0"/>
        <v>0</v>
      </c>
      <c r="I40" s="828"/>
      <c r="J40" s="828"/>
      <c r="K40" s="828"/>
      <c r="L40" s="828"/>
      <c r="M40" s="961"/>
    </row>
    <row r="41" spans="1:15" s="933" customFormat="1" ht="14.5">
      <c r="A41" s="801" t="s">
        <v>14</v>
      </c>
      <c r="B41" s="756" t="s">
        <v>11</v>
      </c>
      <c r="C41" s="803"/>
      <c r="D41" s="949"/>
      <c r="E41" s="763"/>
      <c r="F41" s="828"/>
      <c r="G41" s="828"/>
      <c r="H41" s="796">
        <f t="shared" si="0"/>
        <v>0</v>
      </c>
      <c r="I41" s="828"/>
      <c r="J41" s="828"/>
      <c r="K41" s="828"/>
      <c r="L41" s="828"/>
      <c r="M41" s="961"/>
    </row>
    <row r="42" spans="1:15" s="933" customFormat="1">
      <c r="A42" s="803"/>
      <c r="B42" s="756"/>
      <c r="C42" s="803"/>
      <c r="D42" s="949"/>
      <c r="E42" s="763"/>
      <c r="F42" s="828"/>
      <c r="G42" s="828"/>
      <c r="H42" s="796">
        <f t="shared" si="0"/>
        <v>0</v>
      </c>
      <c r="I42" s="828"/>
      <c r="J42" s="828"/>
      <c r="K42" s="828"/>
      <c r="L42" s="828"/>
      <c r="M42" s="961"/>
    </row>
    <row r="43" spans="1:15" s="933" customFormat="1">
      <c r="A43" s="757" t="s">
        <v>6</v>
      </c>
      <c r="B43" s="756" t="s">
        <v>12</v>
      </c>
      <c r="C43" s="803"/>
      <c r="D43" s="949"/>
      <c r="E43" s="799"/>
      <c r="F43" s="799"/>
      <c r="G43" s="763"/>
      <c r="H43" s="796">
        <f t="shared" si="0"/>
        <v>0</v>
      </c>
      <c r="I43" s="763"/>
      <c r="J43" s="763"/>
      <c r="K43" s="763"/>
      <c r="L43" s="763"/>
      <c r="M43" s="965"/>
    </row>
    <row r="44" spans="1:15" s="933" customFormat="1">
      <c r="A44" s="757"/>
      <c r="B44" s="756"/>
      <c r="C44" s="803"/>
      <c r="D44" s="949"/>
      <c r="E44" s="799"/>
      <c r="F44" s="799"/>
      <c r="G44" s="763"/>
      <c r="H44" s="796">
        <f t="shared" si="0"/>
        <v>0</v>
      </c>
      <c r="I44" s="763"/>
      <c r="J44" s="763"/>
      <c r="K44" s="763"/>
      <c r="L44" s="763"/>
      <c r="M44" s="965"/>
    </row>
    <row r="45" spans="1:15" s="933" customFormat="1">
      <c r="A45" s="757" t="s">
        <v>4</v>
      </c>
      <c r="B45" s="756" t="s">
        <v>122</v>
      </c>
      <c r="C45" s="803"/>
      <c r="D45" s="949"/>
      <c r="E45" s="799"/>
      <c r="F45" s="799"/>
      <c r="G45" s="763"/>
      <c r="H45" s="796">
        <f t="shared" si="0"/>
        <v>0</v>
      </c>
      <c r="I45" s="763"/>
      <c r="J45" s="763"/>
      <c r="K45" s="763"/>
      <c r="L45" s="763"/>
      <c r="M45" s="965"/>
    </row>
    <row r="46" spans="1:15" s="933" customFormat="1">
      <c r="A46" s="757"/>
      <c r="B46" s="756"/>
      <c r="C46" s="803"/>
      <c r="D46" s="949"/>
      <c r="E46" s="799"/>
      <c r="F46" s="799"/>
      <c r="G46" s="763"/>
      <c r="H46" s="796">
        <f t="shared" si="0"/>
        <v>0</v>
      </c>
      <c r="I46" s="763"/>
      <c r="J46" s="763"/>
      <c r="K46" s="763"/>
      <c r="L46" s="763"/>
      <c r="M46" s="965"/>
    </row>
    <row r="47" spans="1:15" s="933" customFormat="1" ht="78">
      <c r="A47" s="803">
        <v>15</v>
      </c>
      <c r="B47" s="774" t="s">
        <v>123</v>
      </c>
      <c r="C47" s="803" t="s">
        <v>111</v>
      </c>
      <c r="D47" s="954">
        <f>'MB '!G111</f>
        <v>28.465699999999998</v>
      </c>
      <c r="E47" s="799">
        <v>1920.8</v>
      </c>
      <c r="F47" s="796">
        <f>E47*D47</f>
        <v>54676.916559999998</v>
      </c>
      <c r="G47" s="828">
        <f>'[4]C&amp;I M.B Sheet'!G77</f>
        <v>32.727800000000002</v>
      </c>
      <c r="H47" s="796">
        <f t="shared" si="0"/>
        <v>62863.558240000006</v>
      </c>
      <c r="I47" s="828">
        <f>'C&amp;I M.B Sheet'!G97</f>
        <v>27.828199999999999</v>
      </c>
      <c r="J47" s="828">
        <f>I47*E47</f>
        <v>53452.406559999996</v>
      </c>
      <c r="K47" s="828"/>
      <c r="L47" s="828">
        <f>K47*E47</f>
        <v>0</v>
      </c>
      <c r="M47" s="965">
        <f>20*16</f>
        <v>320</v>
      </c>
      <c r="O47" s="966"/>
    </row>
    <row r="48" spans="1:15" s="933" customFormat="1">
      <c r="A48" s="803"/>
      <c r="B48" s="774" t="s">
        <v>124</v>
      </c>
      <c r="C48" s="803"/>
      <c r="D48" s="949"/>
      <c r="E48" s="799"/>
      <c r="F48" s="763"/>
      <c r="G48" s="763"/>
      <c r="H48" s="796">
        <f t="shared" si="0"/>
        <v>0</v>
      </c>
      <c r="I48" s="763"/>
      <c r="J48" s="763"/>
      <c r="K48" s="763"/>
      <c r="L48" s="763"/>
      <c r="M48" s="965"/>
    </row>
    <row r="49" spans="1:15" s="933" customFormat="1">
      <c r="A49" s="803"/>
      <c r="B49" s="774"/>
      <c r="C49" s="803"/>
      <c r="D49" s="949"/>
      <c r="E49" s="799"/>
      <c r="F49" s="763"/>
      <c r="G49" s="763"/>
      <c r="H49" s="796">
        <f t="shared" si="0"/>
        <v>0</v>
      </c>
      <c r="I49" s="763"/>
      <c r="J49" s="763"/>
      <c r="K49" s="763"/>
      <c r="L49" s="763"/>
      <c r="M49" s="965"/>
    </row>
    <row r="50" spans="1:15" s="933" customFormat="1" ht="26">
      <c r="A50" s="803">
        <v>16</v>
      </c>
      <c r="B50" s="774" t="s">
        <v>125</v>
      </c>
      <c r="C50" s="803" t="s">
        <v>111</v>
      </c>
      <c r="D50" s="954" t="s">
        <v>126</v>
      </c>
      <c r="E50" s="799"/>
      <c r="F50" s="796"/>
      <c r="G50" s="828"/>
      <c r="H50" s="796">
        <f t="shared" si="0"/>
        <v>0</v>
      </c>
      <c r="I50" s="828"/>
      <c r="J50" s="828"/>
      <c r="K50" s="828"/>
      <c r="L50" s="828"/>
      <c r="M50" s="965"/>
    </row>
    <row r="51" spans="1:15" s="933" customFormat="1">
      <c r="A51" s="803"/>
      <c r="B51" s="644"/>
      <c r="C51" s="803"/>
      <c r="D51" s="954"/>
      <c r="E51" s="799"/>
      <c r="F51" s="763"/>
      <c r="G51" s="763"/>
      <c r="H51" s="796">
        <f t="shared" si="0"/>
        <v>0</v>
      </c>
      <c r="I51" s="763"/>
      <c r="J51" s="763"/>
      <c r="K51" s="763"/>
      <c r="L51" s="763"/>
      <c r="M51" s="965"/>
    </row>
    <row r="52" spans="1:15" s="933" customFormat="1" ht="26">
      <c r="A52" s="803">
        <v>17</v>
      </c>
      <c r="B52" s="774" t="s">
        <v>127</v>
      </c>
      <c r="C52" s="955" t="s">
        <v>111</v>
      </c>
      <c r="D52" s="956" t="s">
        <v>128</v>
      </c>
      <c r="E52" s="799"/>
      <c r="F52" s="796"/>
      <c r="G52" s="828"/>
      <c r="H52" s="796">
        <f t="shared" si="0"/>
        <v>0</v>
      </c>
      <c r="I52" s="828"/>
      <c r="J52" s="828"/>
      <c r="K52" s="828"/>
      <c r="L52" s="828"/>
      <c r="M52" s="965"/>
    </row>
    <row r="53" spans="1:15" s="933" customFormat="1">
      <c r="A53" s="803"/>
      <c r="B53" s="644"/>
      <c r="C53" s="803"/>
      <c r="D53" s="954"/>
      <c r="E53" s="799"/>
      <c r="F53" s="763"/>
      <c r="G53" s="763"/>
      <c r="H53" s="796">
        <f t="shared" si="0"/>
        <v>0</v>
      </c>
      <c r="I53" s="763"/>
      <c r="J53" s="763"/>
      <c r="K53" s="763"/>
      <c r="L53" s="763"/>
      <c r="M53" s="965"/>
    </row>
    <row r="54" spans="1:15" s="933" customFormat="1" ht="65">
      <c r="A54" s="803">
        <v>18</v>
      </c>
      <c r="B54" s="774" t="s">
        <v>129</v>
      </c>
      <c r="C54" s="803" t="s">
        <v>111</v>
      </c>
      <c r="D54" s="954">
        <f>'MB '!G125</f>
        <v>5.2481000000000009</v>
      </c>
      <c r="E54" s="799">
        <v>1440.6</v>
      </c>
      <c r="F54" s="796">
        <f>E54*D54</f>
        <v>7560.4128600000004</v>
      </c>
      <c r="G54" s="828">
        <f>'[4]C&amp;I M.B Sheet'!G82</f>
        <v>5.07</v>
      </c>
      <c r="H54" s="796">
        <f t="shared" si="0"/>
        <v>7303.8419999999996</v>
      </c>
      <c r="I54" s="828">
        <f>'C&amp;I M.B Sheet'!G102</f>
        <v>3.96</v>
      </c>
      <c r="J54" s="828">
        <f>I54*E54</f>
        <v>5704.7759999999998</v>
      </c>
      <c r="K54" s="828"/>
      <c r="L54" s="828">
        <f>K54*E54</f>
        <v>0</v>
      </c>
      <c r="M54" s="965"/>
    </row>
    <row r="55" spans="1:15" s="933" customFormat="1">
      <c r="A55" s="803"/>
      <c r="B55" s="644"/>
      <c r="C55" s="957"/>
      <c r="D55" s="958"/>
      <c r="E55" s="799"/>
      <c r="F55" s="763"/>
      <c r="G55" s="763"/>
      <c r="H55" s="796">
        <f t="shared" si="0"/>
        <v>0</v>
      </c>
      <c r="I55" s="763"/>
      <c r="J55" s="763"/>
      <c r="K55" s="763"/>
      <c r="L55" s="763"/>
      <c r="M55" s="965"/>
    </row>
    <row r="56" spans="1:15" s="933" customFormat="1">
      <c r="A56" s="803"/>
      <c r="B56" s="644"/>
      <c r="C56" s="957"/>
      <c r="D56" s="958"/>
      <c r="E56" s="799"/>
      <c r="F56" s="763"/>
      <c r="G56" s="763"/>
      <c r="H56" s="796">
        <f t="shared" si="0"/>
        <v>0</v>
      </c>
      <c r="I56" s="763"/>
      <c r="J56" s="763"/>
      <c r="K56" s="763"/>
      <c r="L56" s="763"/>
      <c r="M56" s="965"/>
    </row>
    <row r="57" spans="1:15" s="933" customFormat="1">
      <c r="A57" s="803" t="s">
        <v>10</v>
      </c>
      <c r="B57" s="756" t="s">
        <v>130</v>
      </c>
      <c r="C57" s="957"/>
      <c r="D57" s="958"/>
      <c r="E57" s="799"/>
      <c r="F57" s="763"/>
      <c r="G57" s="763"/>
      <c r="H57" s="796">
        <f t="shared" si="0"/>
        <v>0</v>
      </c>
      <c r="I57" s="763"/>
      <c r="J57" s="763"/>
      <c r="K57" s="763"/>
      <c r="L57" s="763"/>
      <c r="M57" s="965"/>
    </row>
    <row r="58" spans="1:15" s="933" customFormat="1">
      <c r="A58" s="803"/>
      <c r="B58" s="644"/>
      <c r="C58" s="957"/>
      <c r="D58" s="958"/>
      <c r="E58" s="799"/>
      <c r="F58" s="763"/>
      <c r="G58" s="763"/>
      <c r="H58" s="796">
        <f t="shared" si="0"/>
        <v>0</v>
      </c>
      <c r="I58" s="763"/>
      <c r="J58" s="763"/>
      <c r="K58" s="763"/>
      <c r="L58" s="763"/>
      <c r="M58" s="965"/>
    </row>
    <row r="59" spans="1:15" s="933" customFormat="1">
      <c r="A59" s="803"/>
      <c r="B59" s="959"/>
      <c r="C59" s="803"/>
      <c r="D59" s="954"/>
      <c r="E59" s="799"/>
      <c r="F59" s="763"/>
      <c r="G59" s="763"/>
      <c r="H59" s="796">
        <f t="shared" si="0"/>
        <v>0</v>
      </c>
      <c r="I59" s="763"/>
      <c r="J59" s="763"/>
      <c r="K59" s="763"/>
      <c r="L59" s="763"/>
      <c r="M59" s="965"/>
    </row>
    <row r="60" spans="1:15" s="933" customFormat="1" ht="65">
      <c r="A60" s="803">
        <v>19</v>
      </c>
      <c r="B60" s="644" t="s">
        <v>131</v>
      </c>
      <c r="C60" s="803" t="s">
        <v>111</v>
      </c>
      <c r="D60" s="958">
        <f>'MB '!G146</f>
        <v>88.311199999999999</v>
      </c>
      <c r="E60" s="799">
        <v>1776.74</v>
      </c>
      <c r="F60" s="796">
        <f>E60*D60</f>
        <v>156906.04148799999</v>
      </c>
      <c r="G60" s="828">
        <f>'[4]C&amp;I M.B Sheet'!G99</f>
        <v>89.393200000000007</v>
      </c>
      <c r="H60" s="796">
        <f t="shared" si="0"/>
        <v>158828.47416800002</v>
      </c>
      <c r="I60" s="828">
        <f>'C&amp;I M.B Sheet'!G119</f>
        <v>73.343999999999994</v>
      </c>
      <c r="J60" s="828">
        <f>I60*E60</f>
        <v>130313.21855999999</v>
      </c>
      <c r="K60" s="828"/>
      <c r="L60" s="828">
        <f>K60*E60</f>
        <v>0</v>
      </c>
      <c r="M60" s="967">
        <f>82*16</f>
        <v>1312</v>
      </c>
      <c r="O60" s="966"/>
    </row>
    <row r="61" spans="1:15" s="933" customFormat="1">
      <c r="A61" s="803"/>
      <c r="B61" s="644"/>
      <c r="C61" s="957"/>
      <c r="D61" s="954"/>
      <c r="E61" s="799"/>
      <c r="F61" s="763"/>
      <c r="G61" s="763"/>
      <c r="H61" s="796">
        <f t="shared" si="0"/>
        <v>0</v>
      </c>
      <c r="I61" s="763"/>
      <c r="J61" s="763"/>
      <c r="K61" s="763"/>
      <c r="L61" s="763"/>
      <c r="M61" s="965"/>
    </row>
    <row r="62" spans="1:15" s="933" customFormat="1" ht="78">
      <c r="A62" s="803">
        <v>20</v>
      </c>
      <c r="B62" s="644" t="s">
        <v>132</v>
      </c>
      <c r="C62" s="957" t="s">
        <v>96</v>
      </c>
      <c r="D62" s="954">
        <f>'MB '!G151</f>
        <v>11.250999999999999</v>
      </c>
      <c r="E62" s="799">
        <v>1776.74</v>
      </c>
      <c r="F62" s="796">
        <f>E62*D62</f>
        <v>19990.101739999998</v>
      </c>
      <c r="G62" s="828"/>
      <c r="H62" s="796">
        <f t="shared" si="0"/>
        <v>0</v>
      </c>
      <c r="I62" s="828"/>
      <c r="J62" s="828"/>
      <c r="K62" s="828"/>
      <c r="L62" s="828"/>
      <c r="M62" s="965"/>
    </row>
    <row r="63" spans="1:15" s="933" customFormat="1">
      <c r="A63" s="803"/>
      <c r="B63" s="644"/>
      <c r="C63" s="957"/>
      <c r="D63" s="954"/>
      <c r="E63" s="799"/>
      <c r="F63" s="763"/>
      <c r="G63" s="763"/>
      <c r="H63" s="796">
        <f t="shared" si="0"/>
        <v>0</v>
      </c>
      <c r="I63" s="763"/>
      <c r="J63" s="763"/>
      <c r="K63" s="763"/>
      <c r="L63" s="763"/>
      <c r="M63" s="965"/>
    </row>
    <row r="64" spans="1:15" s="933" customFormat="1" ht="26">
      <c r="A64" s="803">
        <v>21</v>
      </c>
      <c r="B64" s="644" t="s">
        <v>133</v>
      </c>
      <c r="C64" s="803" t="s">
        <v>96</v>
      </c>
      <c r="D64" s="960">
        <f>'MB '!G161</f>
        <v>7.6019000000000005</v>
      </c>
      <c r="E64" s="799">
        <v>3841.6</v>
      </c>
      <c r="F64" s="796">
        <f>E64*D64</f>
        <v>29203.459040000002</v>
      </c>
      <c r="G64" s="828">
        <f>'[4]C&amp;I M.B Sheet'!G106</f>
        <v>10.294790000000001</v>
      </c>
      <c r="H64" s="796">
        <f t="shared" si="0"/>
        <v>39548.465263999999</v>
      </c>
      <c r="I64" s="828">
        <f>'C&amp;I M.B Sheet'!G127</f>
        <v>7.6</v>
      </c>
      <c r="J64" s="828">
        <f>I64*E64</f>
        <v>29196.159999999996</v>
      </c>
      <c r="K64" s="828">
        <f>'C&amp;I M.B Sheet'!G128</f>
        <v>1.6817000000000011</v>
      </c>
      <c r="L64" s="828">
        <f>K64*E64</f>
        <v>6460.4187200000042</v>
      </c>
      <c r="M64" s="968" t="s">
        <v>134</v>
      </c>
    </row>
    <row r="65" spans="1:14" s="933" customFormat="1">
      <c r="A65" s="803"/>
      <c r="B65" s="644"/>
      <c r="C65" s="803"/>
      <c r="D65" s="960"/>
      <c r="E65" s="799"/>
      <c r="F65" s="799"/>
      <c r="G65" s="763"/>
      <c r="H65" s="796">
        <f t="shared" si="0"/>
        <v>0</v>
      </c>
      <c r="I65" s="763"/>
      <c r="J65" s="763"/>
      <c r="K65" s="763"/>
      <c r="L65" s="763"/>
      <c r="M65" s="965"/>
    </row>
    <row r="66" spans="1:14" s="933" customFormat="1" ht="65">
      <c r="A66" s="803">
        <v>22</v>
      </c>
      <c r="B66" s="644" t="s">
        <v>135</v>
      </c>
      <c r="C66" s="803"/>
      <c r="D66" s="960"/>
      <c r="E66" s="799"/>
      <c r="F66" s="799"/>
      <c r="G66" s="763"/>
      <c r="H66" s="796">
        <f t="shared" si="0"/>
        <v>0</v>
      </c>
      <c r="I66" s="763"/>
      <c r="J66" s="763"/>
      <c r="K66" s="763"/>
      <c r="L66" s="763"/>
      <c r="M66" s="968" t="s">
        <v>136</v>
      </c>
    </row>
    <row r="67" spans="1:14" s="933" customFormat="1">
      <c r="A67" s="803"/>
      <c r="B67" s="644" t="s">
        <v>137</v>
      </c>
      <c r="C67" s="957" t="s">
        <v>96</v>
      </c>
      <c r="D67" s="958">
        <f>'MB '!G173</f>
        <v>0.8620000000000001</v>
      </c>
      <c r="E67" s="799">
        <v>2112.88</v>
      </c>
      <c r="F67" s="796">
        <f>E67*D67</f>
        <v>1821.3025600000003</v>
      </c>
      <c r="G67" s="828"/>
      <c r="H67" s="796">
        <f t="shared" si="0"/>
        <v>0</v>
      </c>
      <c r="I67" s="828"/>
      <c r="J67" s="828"/>
      <c r="K67" s="828"/>
      <c r="L67" s="828"/>
      <c r="M67" s="965"/>
    </row>
    <row r="68" spans="1:14" s="933" customFormat="1">
      <c r="A68" s="803"/>
      <c r="B68" s="644"/>
      <c r="C68" s="957"/>
      <c r="D68" s="958"/>
      <c r="E68" s="799"/>
      <c r="F68" s="763"/>
      <c r="G68" s="763"/>
      <c r="H68" s="796">
        <f t="shared" si="0"/>
        <v>0</v>
      </c>
      <c r="I68" s="763"/>
      <c r="J68" s="763"/>
      <c r="K68" s="763"/>
      <c r="L68" s="763"/>
      <c r="M68" s="965"/>
    </row>
    <row r="69" spans="1:14" s="933" customFormat="1">
      <c r="A69" s="757" t="s">
        <v>138</v>
      </c>
      <c r="B69" s="756" t="s">
        <v>139</v>
      </c>
      <c r="C69" s="957"/>
      <c r="D69" s="958"/>
      <c r="E69" s="799"/>
      <c r="F69" s="763"/>
      <c r="G69" s="763"/>
      <c r="H69" s="796">
        <f t="shared" si="0"/>
        <v>0</v>
      </c>
      <c r="I69" s="763"/>
      <c r="J69" s="763"/>
      <c r="K69" s="763"/>
      <c r="L69" s="763"/>
      <c r="M69" s="965"/>
    </row>
    <row r="70" spans="1:14" s="933" customFormat="1">
      <c r="A70" s="803"/>
      <c r="B70" s="644"/>
      <c r="C70" s="803"/>
      <c r="D70" s="954"/>
      <c r="E70" s="799"/>
      <c r="F70" s="763"/>
      <c r="G70" s="763"/>
      <c r="H70" s="796">
        <f t="shared" si="0"/>
        <v>0</v>
      </c>
      <c r="I70" s="763"/>
      <c r="J70" s="763"/>
      <c r="K70" s="763"/>
      <c r="L70" s="763"/>
      <c r="M70" s="965"/>
    </row>
    <row r="71" spans="1:14" s="933" customFormat="1" ht="52">
      <c r="A71" s="803">
        <v>23</v>
      </c>
      <c r="B71" s="942" t="s">
        <v>140</v>
      </c>
      <c r="C71" s="803" t="s">
        <v>111</v>
      </c>
      <c r="D71" s="954">
        <f>'MB '!G192</f>
        <v>1.8845000000000001</v>
      </c>
      <c r="E71" s="799">
        <v>4321.8</v>
      </c>
      <c r="F71" s="796">
        <f>E71*D71</f>
        <v>8144.4321000000009</v>
      </c>
      <c r="G71" s="828"/>
      <c r="H71" s="796">
        <f t="shared" si="0"/>
        <v>0</v>
      </c>
      <c r="I71" s="828"/>
      <c r="J71" s="828"/>
      <c r="K71" s="828"/>
      <c r="L71" s="828"/>
      <c r="M71" s="965"/>
    </row>
    <row r="72" spans="1:14" s="933" customFormat="1">
      <c r="A72" s="803"/>
      <c r="B72" s="644"/>
      <c r="C72" s="957"/>
      <c r="D72" s="954"/>
      <c r="E72" s="799"/>
      <c r="F72" s="763"/>
      <c r="G72" s="763"/>
      <c r="H72" s="796">
        <f t="shared" ref="H72:H135" si="2">G72*E72</f>
        <v>0</v>
      </c>
      <c r="I72" s="763"/>
      <c r="J72" s="763"/>
      <c r="K72" s="763"/>
      <c r="L72" s="763"/>
      <c r="M72" s="965"/>
    </row>
    <row r="73" spans="1:14" s="933" customFormat="1">
      <c r="A73" s="803"/>
      <c r="B73" s="644"/>
      <c r="C73" s="957"/>
      <c r="D73" s="954"/>
      <c r="E73" s="799"/>
      <c r="F73" s="763"/>
      <c r="G73" s="763"/>
      <c r="H73" s="796">
        <f t="shared" si="2"/>
        <v>0</v>
      </c>
      <c r="I73" s="763"/>
      <c r="J73" s="763"/>
      <c r="K73" s="763"/>
      <c r="L73" s="763"/>
      <c r="M73" s="965"/>
    </row>
    <row r="74" spans="1:14" s="933" customFormat="1" ht="52">
      <c r="A74" s="803">
        <v>24</v>
      </c>
      <c r="B74" s="644" t="s">
        <v>141</v>
      </c>
      <c r="C74" s="803" t="s">
        <v>111</v>
      </c>
      <c r="D74" s="960">
        <f>'MB '!G206</f>
        <v>36.5505</v>
      </c>
      <c r="E74" s="799">
        <v>8163.4</v>
      </c>
      <c r="F74" s="796">
        <f>E74*D74</f>
        <v>298376.3517</v>
      </c>
      <c r="G74" s="828">
        <f>'[4]C&amp;I M.B Sheet'!G123</f>
        <v>15.763160000000003</v>
      </c>
      <c r="H74" s="796">
        <f t="shared" si="2"/>
        <v>128680.98034400001</v>
      </c>
      <c r="I74" s="828">
        <f>'C&amp;I M.B Sheet'!G144</f>
        <v>16.15316</v>
      </c>
      <c r="J74" s="828">
        <f>I74*E74</f>
        <v>131864.70634400001</v>
      </c>
      <c r="K74" s="828"/>
      <c r="L74" s="828"/>
      <c r="M74" s="965"/>
    </row>
    <row r="75" spans="1:14" s="933" customFormat="1">
      <c r="A75" s="803"/>
      <c r="B75" s="644"/>
      <c r="C75" s="803"/>
      <c r="D75" s="954"/>
      <c r="E75" s="799"/>
      <c r="F75" s="763"/>
      <c r="G75" s="763"/>
      <c r="H75" s="796">
        <f t="shared" si="2"/>
        <v>0</v>
      </c>
      <c r="I75" s="763"/>
      <c r="J75" s="763"/>
      <c r="K75" s="763"/>
      <c r="L75" s="763"/>
      <c r="M75" s="965"/>
    </row>
    <row r="76" spans="1:14" s="933" customFormat="1">
      <c r="A76" s="803"/>
      <c r="B76" s="787"/>
      <c r="C76" s="803"/>
      <c r="D76" s="954"/>
      <c r="E76" s="799"/>
      <c r="F76" s="763"/>
      <c r="G76" s="763"/>
      <c r="H76" s="796">
        <f t="shared" si="2"/>
        <v>0</v>
      </c>
      <c r="I76" s="763"/>
      <c r="J76" s="763"/>
      <c r="K76" s="763"/>
      <c r="L76" s="763"/>
      <c r="M76" s="965"/>
    </row>
    <row r="77" spans="1:14" s="933" customFormat="1" ht="65">
      <c r="A77" s="803">
        <v>25</v>
      </c>
      <c r="B77" s="644" t="s">
        <v>142</v>
      </c>
      <c r="C77" s="803" t="s">
        <v>111</v>
      </c>
      <c r="D77" s="954">
        <f>'MB '!G215</f>
        <v>1.1000000000000001</v>
      </c>
      <c r="E77" s="799">
        <v>9604</v>
      </c>
      <c r="F77" s="796">
        <f>E77*D77</f>
        <v>10564.400000000001</v>
      </c>
      <c r="G77" s="828">
        <f>'[4]C&amp;I M.B Sheet'!G111</f>
        <v>1.425</v>
      </c>
      <c r="H77" s="796">
        <f t="shared" si="2"/>
        <v>13685.7</v>
      </c>
      <c r="I77" s="828">
        <f>'C&amp;I M.B Sheet'!G134</f>
        <v>1.1232</v>
      </c>
      <c r="J77" s="828">
        <f>I77*E77</f>
        <v>10787.212799999999</v>
      </c>
      <c r="K77" s="828"/>
      <c r="L77" s="828"/>
      <c r="M77" s="965"/>
      <c r="N77" s="338"/>
    </row>
    <row r="78" spans="1:14" s="933" customFormat="1">
      <c r="A78" s="803"/>
      <c r="B78" s="787"/>
      <c r="C78" s="803"/>
      <c r="D78" s="949"/>
      <c r="E78" s="799"/>
      <c r="F78" s="763"/>
      <c r="G78" s="763"/>
      <c r="H78" s="796">
        <f t="shared" si="2"/>
        <v>0</v>
      </c>
      <c r="I78" s="763"/>
      <c r="J78" s="763"/>
      <c r="K78" s="763"/>
      <c r="L78" s="763"/>
      <c r="M78" s="965"/>
    </row>
    <row r="79" spans="1:14" s="933" customFormat="1">
      <c r="A79" s="757" t="s">
        <v>23</v>
      </c>
      <c r="B79" s="788" t="s">
        <v>143</v>
      </c>
      <c r="C79" s="803"/>
      <c r="D79" s="949"/>
      <c r="E79" s="799"/>
      <c r="F79" s="763"/>
      <c r="G79" s="763"/>
      <c r="H79" s="796">
        <f t="shared" si="2"/>
        <v>0</v>
      </c>
      <c r="I79" s="763"/>
      <c r="J79" s="763"/>
      <c r="K79" s="763"/>
      <c r="L79" s="763"/>
      <c r="M79" s="965"/>
    </row>
    <row r="80" spans="1:14" s="933" customFormat="1">
      <c r="A80" s="803"/>
      <c r="B80" s="787"/>
      <c r="C80" s="803"/>
      <c r="D80" s="949"/>
      <c r="E80" s="799"/>
      <c r="F80" s="763"/>
      <c r="G80" s="763"/>
      <c r="H80" s="796">
        <f t="shared" si="2"/>
        <v>0</v>
      </c>
      <c r="I80" s="763"/>
      <c r="J80" s="763"/>
      <c r="K80" s="763"/>
      <c r="L80" s="763"/>
      <c r="M80" s="965"/>
    </row>
    <row r="81" spans="1:13" s="933" customFormat="1" ht="52">
      <c r="A81" s="803">
        <v>26</v>
      </c>
      <c r="B81" s="787" t="s">
        <v>144</v>
      </c>
      <c r="C81" s="803" t="s">
        <v>111</v>
      </c>
      <c r="D81" s="949">
        <f>'MB '!G224</f>
        <v>90.93</v>
      </c>
      <c r="E81" s="799">
        <v>5762.4</v>
      </c>
      <c r="F81" s="796">
        <f>E81*D81</f>
        <v>523975.03200000001</v>
      </c>
      <c r="G81" s="828">
        <f>'[4]C&amp;I M.B Sheet'!G132</f>
        <v>103.20777720000001</v>
      </c>
      <c r="H81" s="796">
        <f t="shared" si="2"/>
        <v>594724.49533727998</v>
      </c>
      <c r="I81" s="828">
        <f>'C&amp;I M.B Sheet'!G149</f>
        <v>90.93</v>
      </c>
      <c r="J81" s="828">
        <f>I81*E81</f>
        <v>523975.03200000001</v>
      </c>
      <c r="K81" s="828">
        <f>'C&amp;I M.B Sheet'!G150</f>
        <v>1.5299999999999869</v>
      </c>
      <c r="L81" s="828">
        <f>K81*E81</f>
        <v>8816.4719999999234</v>
      </c>
      <c r="M81" s="965"/>
    </row>
    <row r="82" spans="1:13" s="933" customFormat="1">
      <c r="A82" s="803"/>
      <c r="B82" s="787"/>
      <c r="C82" s="803"/>
      <c r="D82" s="949"/>
      <c r="E82" s="799"/>
      <c r="F82" s="763"/>
      <c r="G82" s="763"/>
      <c r="H82" s="796">
        <f t="shared" si="2"/>
        <v>0</v>
      </c>
      <c r="I82" s="763"/>
      <c r="J82" s="763"/>
      <c r="K82" s="763"/>
      <c r="L82" s="763"/>
      <c r="M82" s="965"/>
    </row>
    <row r="83" spans="1:13" s="933" customFormat="1">
      <c r="A83" s="757" t="s">
        <v>145</v>
      </c>
      <c r="B83" s="788" t="s">
        <v>146</v>
      </c>
      <c r="C83" s="803"/>
      <c r="D83" s="949"/>
      <c r="E83" s="799"/>
      <c r="F83" s="763"/>
      <c r="G83" s="763"/>
      <c r="H83" s="796">
        <f t="shared" si="2"/>
        <v>0</v>
      </c>
      <c r="I83" s="763"/>
      <c r="J83" s="763"/>
      <c r="K83" s="763"/>
      <c r="L83" s="763"/>
      <c r="M83" s="965"/>
    </row>
    <row r="84" spans="1:13" s="933" customFormat="1">
      <c r="A84" s="803"/>
      <c r="B84" s="787"/>
      <c r="C84" s="803"/>
      <c r="D84" s="949"/>
      <c r="E84" s="799"/>
      <c r="F84" s="763"/>
      <c r="G84" s="763"/>
      <c r="H84" s="796">
        <f t="shared" si="2"/>
        <v>0</v>
      </c>
      <c r="I84" s="763"/>
      <c r="J84" s="763"/>
      <c r="K84" s="763"/>
      <c r="L84" s="763"/>
      <c r="M84" s="965"/>
    </row>
    <row r="85" spans="1:13" s="933" customFormat="1" ht="38.5" customHeight="1">
      <c r="A85" s="803">
        <v>27</v>
      </c>
      <c r="B85" s="644" t="s">
        <v>147</v>
      </c>
      <c r="C85" s="803"/>
      <c r="D85" s="949"/>
      <c r="E85" s="799"/>
      <c r="F85" s="763"/>
      <c r="G85" s="803"/>
      <c r="H85" s="796">
        <f t="shared" si="2"/>
        <v>0</v>
      </c>
      <c r="I85" s="803"/>
      <c r="J85" s="821"/>
      <c r="K85" s="821"/>
      <c r="L85" s="821"/>
      <c r="M85" s="965"/>
    </row>
    <row r="86" spans="1:13" s="933" customFormat="1" ht="36" customHeight="1">
      <c r="A86" s="803"/>
      <c r="B86" s="644" t="s">
        <v>148</v>
      </c>
      <c r="C86" s="803" t="s">
        <v>111</v>
      </c>
      <c r="D86" s="949">
        <f>'MB '!G235</f>
        <v>35</v>
      </c>
      <c r="E86" s="799">
        <v>2160.9</v>
      </c>
      <c r="F86" s="796">
        <f>E86*D86</f>
        <v>75631.5</v>
      </c>
      <c r="G86" s="828">
        <f>'[4]C&amp;I M.B Sheet'!G138</f>
        <v>40.505375999999998</v>
      </c>
      <c r="H86" s="796">
        <f t="shared" si="2"/>
        <v>87528.066998399998</v>
      </c>
      <c r="I86" s="828">
        <f>'C&amp;I M.B Sheet'!G162</f>
        <v>35</v>
      </c>
      <c r="J86" s="828">
        <f>I86*E86</f>
        <v>75631.5</v>
      </c>
      <c r="K86" s="828">
        <f>'C&amp;I M.B Sheet'!G163</f>
        <v>2.0839999999999961</v>
      </c>
      <c r="L86" s="828">
        <f>K86*E86</f>
        <v>4503.3155999999917</v>
      </c>
      <c r="M86" s="968" t="s">
        <v>149</v>
      </c>
    </row>
    <row r="87" spans="1:13" s="933" customFormat="1">
      <c r="A87" s="803"/>
      <c r="B87" s="644"/>
      <c r="C87" s="803"/>
      <c r="D87" s="949"/>
      <c r="E87" s="799"/>
      <c r="F87" s="763"/>
      <c r="G87" s="763"/>
      <c r="H87" s="796">
        <f t="shared" si="2"/>
        <v>0</v>
      </c>
      <c r="I87" s="763"/>
      <c r="J87" s="763"/>
      <c r="K87" s="763"/>
      <c r="L87" s="763"/>
      <c r="M87" s="965"/>
    </row>
    <row r="88" spans="1:13" s="933" customFormat="1" ht="39">
      <c r="A88" s="803">
        <v>28</v>
      </c>
      <c r="B88" s="787" t="s">
        <v>150</v>
      </c>
      <c r="C88" s="803" t="s">
        <v>113</v>
      </c>
      <c r="D88" s="949">
        <f>'MB '!G246</f>
        <v>30.064999999999998</v>
      </c>
      <c r="E88" s="799">
        <v>480.2</v>
      </c>
      <c r="F88" s="796">
        <f>E88*D88</f>
        <v>14437.212999999998</v>
      </c>
      <c r="G88" s="828">
        <f>'[4]C&amp;I M.B Sheet'!G142</f>
        <v>23.774000000000001</v>
      </c>
      <c r="H88" s="796">
        <f t="shared" si="2"/>
        <v>11416.274800000001</v>
      </c>
      <c r="I88" s="828">
        <f>'C&amp;I M.B Sheet'!G168</f>
        <v>0</v>
      </c>
      <c r="J88" s="828">
        <f>I88*E88</f>
        <v>0</v>
      </c>
      <c r="K88" s="828"/>
      <c r="L88" s="828"/>
      <c r="M88" s="965"/>
    </row>
    <row r="89" spans="1:13" s="933" customFormat="1">
      <c r="A89" s="803"/>
      <c r="B89" s="969"/>
      <c r="C89" s="970"/>
      <c r="D89" s="949"/>
      <c r="E89" s="799"/>
      <c r="F89" s="799"/>
      <c r="G89" s="763"/>
      <c r="H89" s="796">
        <f t="shared" si="2"/>
        <v>0</v>
      </c>
      <c r="I89" s="763"/>
      <c r="J89" s="763"/>
      <c r="K89" s="763"/>
      <c r="L89" s="763"/>
      <c r="M89" s="965"/>
    </row>
    <row r="90" spans="1:13" s="933" customFormat="1" ht="15.5">
      <c r="A90" s="433"/>
      <c r="B90" s="971" t="s">
        <v>151</v>
      </c>
      <c r="C90" s="951"/>
      <c r="D90" s="952"/>
      <c r="E90" s="953"/>
      <c r="F90" s="947">
        <f>SUM(F45:F89)</f>
        <v>1201287.1630480001</v>
      </c>
      <c r="G90" s="1142"/>
      <c r="H90" s="947">
        <f>SUM(H45:H89)</f>
        <v>1104579.8571516802</v>
      </c>
      <c r="I90" s="947"/>
      <c r="J90" s="947">
        <f>SUM(J45:J89)</f>
        <v>960925.01226400002</v>
      </c>
      <c r="K90" s="947"/>
      <c r="L90" s="947">
        <f>SUM(L45:L89)</f>
        <v>19780.206319999917</v>
      </c>
      <c r="M90" s="964"/>
    </row>
    <row r="91" spans="1:13" s="933" customFormat="1">
      <c r="A91" s="757"/>
      <c r="B91" s="820"/>
      <c r="C91" s="803"/>
      <c r="D91" s="960"/>
      <c r="E91" s="799"/>
      <c r="F91" s="799"/>
      <c r="G91" s="763"/>
      <c r="H91" s="796">
        <f t="shared" si="2"/>
        <v>0</v>
      </c>
      <c r="I91" s="763"/>
      <c r="J91" s="763"/>
      <c r="K91" s="763"/>
      <c r="L91" s="763"/>
      <c r="M91" s="965"/>
    </row>
    <row r="92" spans="1:13" s="933" customFormat="1">
      <c r="A92" s="757" t="s">
        <v>8</v>
      </c>
      <c r="B92" s="820" t="s">
        <v>152</v>
      </c>
      <c r="C92" s="803"/>
      <c r="D92" s="960"/>
      <c r="E92" s="799"/>
      <c r="F92" s="799"/>
      <c r="G92" s="763"/>
      <c r="H92" s="796">
        <f t="shared" si="2"/>
        <v>0</v>
      </c>
      <c r="I92" s="763"/>
      <c r="J92" s="763"/>
      <c r="K92" s="763"/>
      <c r="L92" s="763"/>
      <c r="M92" s="965"/>
    </row>
    <row r="93" spans="1:13" s="933" customFormat="1">
      <c r="A93" s="757"/>
      <c r="B93" s="820"/>
      <c r="C93" s="803"/>
      <c r="D93" s="960"/>
      <c r="E93" s="799"/>
      <c r="F93" s="799"/>
      <c r="G93" s="763"/>
      <c r="H93" s="796">
        <f t="shared" si="2"/>
        <v>0</v>
      </c>
      <c r="I93" s="763"/>
      <c r="J93" s="763"/>
      <c r="K93" s="763"/>
      <c r="L93" s="763"/>
      <c r="M93" s="965"/>
    </row>
    <row r="94" spans="1:13" s="933" customFormat="1" ht="65">
      <c r="A94" s="803">
        <v>29</v>
      </c>
      <c r="B94" s="644" t="s">
        <v>153</v>
      </c>
      <c r="C94" s="972" t="s">
        <v>108</v>
      </c>
      <c r="D94" s="949">
        <f>'MB '!G261</f>
        <v>4.2705E-2</v>
      </c>
      <c r="E94" s="799">
        <v>216090</v>
      </c>
      <c r="F94" s="796">
        <f>E94*D94</f>
        <v>9228.1234499999991</v>
      </c>
      <c r="G94" s="828">
        <f>'[4]C&amp;I M.B Sheet'!G151</f>
        <v>0.16425941659586521</v>
      </c>
      <c r="H94" s="796">
        <f t="shared" si="2"/>
        <v>35494.81733220051</v>
      </c>
      <c r="I94" s="828">
        <f>'C&amp;I M.B Sheet'!G176</f>
        <v>9.4999999999999998E-3</v>
      </c>
      <c r="J94" s="828">
        <f t="shared" ref="J94:J98" si="3">I94*E94</f>
        <v>2052.855</v>
      </c>
      <c r="K94" s="828"/>
      <c r="L94" s="828"/>
      <c r="M94" s="965"/>
    </row>
    <row r="95" spans="1:13" s="933" customFormat="1">
      <c r="A95" s="803"/>
      <c r="B95" s="644"/>
      <c r="C95" s="972"/>
      <c r="D95" s="960"/>
      <c r="E95" s="799"/>
      <c r="F95" s="799"/>
      <c r="G95" s="763"/>
      <c r="H95" s="796">
        <f t="shared" si="2"/>
        <v>0</v>
      </c>
      <c r="I95" s="763"/>
      <c r="J95" s="763"/>
      <c r="K95" s="763"/>
      <c r="L95" s="763"/>
      <c r="M95" s="965"/>
    </row>
    <row r="96" spans="1:13" s="933" customFormat="1" ht="156">
      <c r="A96" s="803">
        <v>30</v>
      </c>
      <c r="B96" s="787" t="s">
        <v>154</v>
      </c>
      <c r="C96" s="803" t="s">
        <v>111</v>
      </c>
      <c r="D96" s="949">
        <f>'MB '!G267</f>
        <v>4.5600000000000005</v>
      </c>
      <c r="E96" s="799">
        <v>12005</v>
      </c>
      <c r="F96" s="796">
        <f>E96*D96</f>
        <v>54742.8</v>
      </c>
      <c r="G96" s="828">
        <f>'[4]C&amp;I M.B Sheet'!G156</f>
        <v>2.88</v>
      </c>
      <c r="H96" s="796">
        <f t="shared" si="2"/>
        <v>34574.400000000001</v>
      </c>
      <c r="I96" s="828">
        <f>'C&amp;I M.B Sheet'!G181</f>
        <v>2.4824000000000002</v>
      </c>
      <c r="J96" s="828">
        <f t="shared" si="3"/>
        <v>29801.212000000003</v>
      </c>
      <c r="K96" s="828"/>
      <c r="L96" s="828"/>
      <c r="M96" s="965"/>
    </row>
    <row r="97" spans="1:13" s="933" customFormat="1">
      <c r="A97" s="803"/>
      <c r="B97" s="787"/>
      <c r="C97" s="972"/>
      <c r="D97" s="949"/>
      <c r="E97" s="799"/>
      <c r="F97" s="799"/>
      <c r="G97" s="763"/>
      <c r="H97" s="796">
        <f t="shared" si="2"/>
        <v>0</v>
      </c>
      <c r="I97" s="763"/>
      <c r="J97" s="763"/>
      <c r="K97" s="763"/>
      <c r="L97" s="763"/>
      <c r="M97" s="965"/>
    </row>
    <row r="98" spans="1:13" s="933" customFormat="1" ht="78">
      <c r="A98" s="803">
        <v>31</v>
      </c>
      <c r="B98" s="973" t="s">
        <v>155</v>
      </c>
      <c r="C98" s="803" t="s">
        <v>111</v>
      </c>
      <c r="D98" s="949">
        <f>'MB '!G274</f>
        <v>5.76</v>
      </c>
      <c r="E98" s="799">
        <v>12005</v>
      </c>
      <c r="F98" s="796">
        <f>E98*D98</f>
        <v>69148.800000000003</v>
      </c>
      <c r="G98" s="828">
        <f>'[4]C&amp;I M.B Sheet'!G162</f>
        <v>6.4080000000000004</v>
      </c>
      <c r="H98" s="796">
        <f t="shared" si="2"/>
        <v>76928.040000000008</v>
      </c>
      <c r="I98" s="828">
        <f>'C&amp;I M.B Sheet'!G186</f>
        <v>3.9108000000000001</v>
      </c>
      <c r="J98" s="828">
        <f t="shared" si="3"/>
        <v>46949.154000000002</v>
      </c>
      <c r="K98" s="828"/>
      <c r="L98" s="828"/>
      <c r="M98" s="965"/>
    </row>
    <row r="99" spans="1:13" s="933" customFormat="1">
      <c r="A99" s="803"/>
      <c r="B99" s="973"/>
      <c r="C99" s="803"/>
      <c r="D99" s="949"/>
      <c r="E99" s="799"/>
      <c r="F99" s="799"/>
      <c r="G99" s="763"/>
      <c r="H99" s="796">
        <f t="shared" si="2"/>
        <v>0</v>
      </c>
      <c r="I99" s="763"/>
      <c r="J99" s="763"/>
      <c r="K99" s="763"/>
      <c r="L99" s="763"/>
      <c r="M99" s="965"/>
    </row>
    <row r="100" spans="1:13" s="933" customFormat="1" ht="52">
      <c r="A100" s="803">
        <v>32</v>
      </c>
      <c r="B100" s="973" t="s">
        <v>156</v>
      </c>
      <c r="C100" s="803" t="s">
        <v>157</v>
      </c>
      <c r="D100" s="949">
        <f>'MB '!G278</f>
        <v>1</v>
      </c>
      <c r="E100" s="799">
        <v>480.2</v>
      </c>
      <c r="F100" s="796">
        <f>E100*D100</f>
        <v>480.2</v>
      </c>
      <c r="G100" s="828"/>
      <c r="H100" s="796">
        <f t="shared" si="2"/>
        <v>0</v>
      </c>
      <c r="I100" s="828"/>
      <c r="J100" s="828">
        <f>I100*E100</f>
        <v>0</v>
      </c>
      <c r="K100" s="828"/>
      <c r="L100" s="828"/>
      <c r="M100" s="965"/>
    </row>
    <row r="101" spans="1:13" s="933" customFormat="1">
      <c r="A101" s="803"/>
      <c r="B101" s="973"/>
      <c r="C101" s="803"/>
      <c r="D101" s="949"/>
      <c r="E101" s="799"/>
      <c r="F101" s="799"/>
      <c r="G101" s="763"/>
      <c r="H101" s="796">
        <f t="shared" si="2"/>
        <v>0</v>
      </c>
      <c r="I101" s="763"/>
      <c r="J101" s="763"/>
      <c r="K101" s="763"/>
      <c r="L101" s="763"/>
      <c r="M101" s="965"/>
    </row>
    <row r="102" spans="1:13" s="933" customFormat="1" ht="52">
      <c r="A102" s="803">
        <v>33</v>
      </c>
      <c r="B102" s="973" t="s">
        <v>158</v>
      </c>
      <c r="C102" s="803" t="s">
        <v>159</v>
      </c>
      <c r="D102" s="949">
        <f>'MB '!G282</f>
        <v>1</v>
      </c>
      <c r="E102" s="799">
        <v>9604</v>
      </c>
      <c r="F102" s="796">
        <f>E102*D102</f>
        <v>9604</v>
      </c>
      <c r="G102" s="828"/>
      <c r="H102" s="796">
        <f t="shared" si="2"/>
        <v>0</v>
      </c>
      <c r="I102" s="828"/>
      <c r="J102" s="828"/>
      <c r="K102" s="828"/>
      <c r="L102" s="828"/>
      <c r="M102" s="965"/>
    </row>
    <row r="103" spans="1:13" s="933" customFormat="1">
      <c r="A103" s="803"/>
      <c r="B103" s="973"/>
      <c r="C103" s="803"/>
      <c r="D103" s="949"/>
      <c r="E103" s="799"/>
      <c r="F103" s="799"/>
      <c r="G103" s="763"/>
      <c r="H103" s="796">
        <f t="shared" si="2"/>
        <v>0</v>
      </c>
      <c r="I103" s="763"/>
      <c r="J103" s="763"/>
      <c r="K103" s="763"/>
      <c r="L103" s="763"/>
      <c r="M103" s="965"/>
    </row>
    <row r="104" spans="1:13" s="933" customFormat="1" ht="104">
      <c r="A104" s="803" t="s">
        <v>160</v>
      </c>
      <c r="B104" s="644" t="s">
        <v>161</v>
      </c>
      <c r="C104" s="803"/>
      <c r="D104" s="949"/>
      <c r="E104" s="799"/>
      <c r="F104" s="799"/>
      <c r="G104" s="763"/>
      <c r="H104" s="796">
        <f t="shared" si="2"/>
        <v>0</v>
      </c>
      <c r="I104" s="763"/>
      <c r="J104" s="763"/>
      <c r="K104" s="763"/>
      <c r="L104" s="763"/>
      <c r="M104" s="965"/>
    </row>
    <row r="105" spans="1:13" s="933" customFormat="1">
      <c r="A105" s="803"/>
      <c r="B105" s="774" t="s">
        <v>162</v>
      </c>
      <c r="C105" s="974"/>
      <c r="D105" s="975"/>
      <c r="E105" s="799"/>
      <c r="F105" s="799"/>
      <c r="G105" s="763"/>
      <c r="H105" s="796">
        <f t="shared" si="2"/>
        <v>0</v>
      </c>
      <c r="I105" s="763"/>
      <c r="J105" s="763"/>
      <c r="K105" s="763"/>
      <c r="L105" s="763"/>
      <c r="M105" s="965"/>
    </row>
    <row r="106" spans="1:13" s="933" customFormat="1">
      <c r="A106" s="803"/>
      <c r="B106" s="644" t="s">
        <v>163</v>
      </c>
      <c r="C106" s="974"/>
      <c r="D106" s="975"/>
      <c r="E106" s="799"/>
      <c r="F106" s="799"/>
      <c r="G106" s="763"/>
      <c r="H106" s="796">
        <f t="shared" si="2"/>
        <v>0</v>
      </c>
      <c r="I106" s="763"/>
      <c r="J106" s="763"/>
      <c r="K106" s="763"/>
      <c r="L106" s="763"/>
      <c r="M106" s="965"/>
    </row>
    <row r="107" spans="1:13" s="933" customFormat="1">
      <c r="A107" s="803"/>
      <c r="B107" s="644" t="s">
        <v>164</v>
      </c>
      <c r="C107" s="974"/>
      <c r="D107" s="975"/>
      <c r="E107" s="799"/>
      <c r="F107" s="799"/>
      <c r="G107" s="763"/>
      <c r="H107" s="796">
        <f t="shared" si="2"/>
        <v>0</v>
      </c>
      <c r="I107" s="763"/>
      <c r="J107" s="763"/>
      <c r="K107" s="763"/>
      <c r="L107" s="763"/>
      <c r="M107" s="965"/>
    </row>
    <row r="108" spans="1:13" s="933" customFormat="1" ht="26">
      <c r="A108" s="803"/>
      <c r="B108" s="787" t="s">
        <v>165</v>
      </c>
      <c r="C108" s="803" t="s">
        <v>96</v>
      </c>
      <c r="D108" s="949">
        <f>'MB '!G302</f>
        <v>30.004999999999995</v>
      </c>
      <c r="E108" s="799">
        <v>8163.4</v>
      </c>
      <c r="F108" s="796">
        <f>E108*D108</f>
        <v>244942.81699999995</v>
      </c>
      <c r="G108" s="828"/>
      <c r="H108" s="796">
        <f t="shared" si="2"/>
        <v>0</v>
      </c>
      <c r="I108" s="828"/>
      <c r="J108" s="828">
        <f>I108*E108</f>
        <v>0</v>
      </c>
      <c r="K108" s="828"/>
      <c r="L108" s="828"/>
      <c r="M108" s="965"/>
    </row>
    <row r="109" spans="1:13" s="933" customFormat="1" ht="39">
      <c r="A109" s="803" t="s">
        <v>166</v>
      </c>
      <c r="B109" s="787" t="s">
        <v>167</v>
      </c>
      <c r="C109" s="803" t="s">
        <v>96</v>
      </c>
      <c r="D109" s="949">
        <v>21.56</v>
      </c>
      <c r="E109" s="799">
        <v>14406</v>
      </c>
      <c r="F109" s="796">
        <f>E109*D109</f>
        <v>310593.36</v>
      </c>
      <c r="G109" s="828">
        <f>'[4]C&amp;I M.B Sheet'!G172</f>
        <v>36.224299999999999</v>
      </c>
      <c r="H109" s="796">
        <f t="shared" si="2"/>
        <v>521847.26579999999</v>
      </c>
      <c r="I109" s="828">
        <f>'C&amp;I M.B Sheet'!G193</f>
        <v>21.56</v>
      </c>
      <c r="J109" s="828">
        <f>I109*E109</f>
        <v>310593.36</v>
      </c>
      <c r="K109" s="828">
        <f>'C&amp;I M.B Sheet'!G194</f>
        <v>14.664300000000001</v>
      </c>
      <c r="L109" s="828">
        <f>K109*E109</f>
        <v>211253.90580000001</v>
      </c>
      <c r="M109" s="965"/>
    </row>
    <row r="110" spans="1:13" s="933" customFormat="1">
      <c r="A110" s="803"/>
      <c r="B110" s="976"/>
      <c r="C110" s="974"/>
      <c r="D110" s="975"/>
      <c r="E110" s="799"/>
      <c r="F110" s="799"/>
      <c r="G110" s="763"/>
      <c r="H110" s="796">
        <f t="shared" si="2"/>
        <v>0</v>
      </c>
      <c r="I110" s="763"/>
      <c r="J110" s="763"/>
      <c r="K110" s="763"/>
      <c r="L110" s="763"/>
      <c r="M110" s="965"/>
    </row>
    <row r="111" spans="1:13" s="933" customFormat="1" ht="26">
      <c r="A111" s="803">
        <v>35</v>
      </c>
      <c r="B111" s="977" t="s">
        <v>168</v>
      </c>
      <c r="C111" s="803" t="s">
        <v>169</v>
      </c>
      <c r="D111" s="949">
        <f>'MB '!G311</f>
        <v>3</v>
      </c>
      <c r="E111" s="799">
        <v>3841.6</v>
      </c>
      <c r="F111" s="796">
        <f>E111*D111</f>
        <v>11524.8</v>
      </c>
      <c r="G111" s="828">
        <f>'[4]C&amp;I M.B Sheet'!G178</f>
        <v>3</v>
      </c>
      <c r="H111" s="796">
        <f t="shared" si="2"/>
        <v>11524.8</v>
      </c>
      <c r="I111" s="828">
        <f>'C&amp;I M.B Sheet'!G201</f>
        <v>3</v>
      </c>
      <c r="J111" s="828">
        <f t="shared" ref="J111:J115" si="4">I111*E111</f>
        <v>11524.8</v>
      </c>
      <c r="K111" s="828"/>
      <c r="L111" s="828"/>
      <c r="M111" s="965"/>
    </row>
    <row r="112" spans="1:13" s="933" customFormat="1">
      <c r="A112" s="803"/>
      <c r="B112" s="644"/>
      <c r="C112" s="955"/>
      <c r="D112" s="960"/>
      <c r="E112" s="799"/>
      <c r="F112" s="799"/>
      <c r="G112" s="763"/>
      <c r="H112" s="796">
        <f t="shared" si="2"/>
        <v>0</v>
      </c>
      <c r="I112" s="763"/>
      <c r="J112" s="763"/>
      <c r="K112" s="763"/>
      <c r="L112" s="763"/>
      <c r="M112" s="965"/>
    </row>
    <row r="113" spans="1:14" s="933" customFormat="1" ht="26">
      <c r="A113" s="803">
        <v>36</v>
      </c>
      <c r="B113" s="644" t="s">
        <v>170</v>
      </c>
      <c r="C113" s="955" t="s">
        <v>169</v>
      </c>
      <c r="D113" s="949">
        <f>'MB '!G319</f>
        <v>3</v>
      </c>
      <c r="E113" s="978">
        <v>4321.8</v>
      </c>
      <c r="F113" s="796">
        <f>E113*D113</f>
        <v>12965.400000000001</v>
      </c>
      <c r="G113" s="828">
        <f>'[4]C&amp;I M.B Sheet'!G184</f>
        <v>3</v>
      </c>
      <c r="H113" s="796">
        <f t="shared" si="2"/>
        <v>12965.400000000001</v>
      </c>
      <c r="I113" s="828">
        <f>'C&amp;I M.B Sheet'!G207</f>
        <v>3</v>
      </c>
      <c r="J113" s="828">
        <f t="shared" si="4"/>
        <v>12965.400000000001</v>
      </c>
      <c r="K113" s="828"/>
      <c r="L113" s="828"/>
      <c r="M113" s="965"/>
      <c r="N113" s="982"/>
    </row>
    <row r="114" spans="1:14" s="933" customFormat="1" ht="15.5">
      <c r="A114" s="803"/>
      <c r="B114" s="644"/>
      <c r="C114" s="955"/>
      <c r="D114" s="949"/>
      <c r="E114" s="978"/>
      <c r="F114" s="799"/>
      <c r="G114" s="763"/>
      <c r="H114" s="796">
        <f t="shared" si="2"/>
        <v>0</v>
      </c>
      <c r="I114" s="763"/>
      <c r="J114" s="763"/>
      <c r="K114" s="763"/>
      <c r="L114" s="763"/>
      <c r="M114" s="965"/>
      <c r="N114" s="982"/>
    </row>
    <row r="115" spans="1:14" s="933" customFormat="1" ht="26">
      <c r="A115" s="803">
        <v>37</v>
      </c>
      <c r="B115" s="644" t="s">
        <v>171</v>
      </c>
      <c r="C115" s="955" t="s">
        <v>169</v>
      </c>
      <c r="D115" s="949">
        <f>'MB '!G325</f>
        <v>2</v>
      </c>
      <c r="E115" s="978">
        <v>4321.8</v>
      </c>
      <c r="F115" s="796">
        <f>E115*D115</f>
        <v>8643.6</v>
      </c>
      <c r="G115" s="828"/>
      <c r="H115" s="796">
        <f t="shared" si="2"/>
        <v>0</v>
      </c>
      <c r="I115" s="828"/>
      <c r="J115" s="828">
        <f t="shared" si="4"/>
        <v>0</v>
      </c>
      <c r="K115" s="828"/>
      <c r="L115" s="828"/>
      <c r="M115" s="965"/>
      <c r="N115" s="982"/>
    </row>
    <row r="116" spans="1:14" s="933" customFormat="1" ht="15.5">
      <c r="A116" s="803"/>
      <c r="B116" s="644"/>
      <c r="C116" s="955"/>
      <c r="D116" s="949"/>
      <c r="E116" s="978"/>
      <c r="F116" s="799"/>
      <c r="G116" s="763"/>
      <c r="H116" s="796">
        <f t="shared" si="2"/>
        <v>0</v>
      </c>
      <c r="I116" s="763"/>
      <c r="J116" s="763"/>
      <c r="K116" s="763"/>
      <c r="L116" s="763"/>
      <c r="M116" s="965"/>
      <c r="N116" s="982"/>
    </row>
    <row r="117" spans="1:14" s="933" customFormat="1" ht="26">
      <c r="A117" s="803">
        <v>38</v>
      </c>
      <c r="B117" s="977" t="s">
        <v>172</v>
      </c>
      <c r="C117" s="955" t="s">
        <v>173</v>
      </c>
      <c r="D117" s="949">
        <v>3</v>
      </c>
      <c r="E117" s="978">
        <v>4802</v>
      </c>
      <c r="F117" s="796">
        <f>E117*D117</f>
        <v>14406</v>
      </c>
      <c r="G117" s="828">
        <f>'[4]C&amp;I M.B Sheet'!G190</f>
        <v>2</v>
      </c>
      <c r="H117" s="796">
        <f t="shared" si="2"/>
        <v>9604</v>
      </c>
      <c r="I117" s="828">
        <f>'C&amp;I M.B Sheet'!G213</f>
        <v>2</v>
      </c>
      <c r="J117" s="828">
        <f>I117*E117</f>
        <v>9604</v>
      </c>
      <c r="K117" s="828"/>
      <c r="L117" s="828"/>
      <c r="M117" s="965"/>
      <c r="N117" s="982"/>
    </row>
    <row r="118" spans="1:14" s="933" customFormat="1">
      <c r="A118" s="803"/>
      <c r="B118" s="644"/>
      <c r="C118" s="955"/>
      <c r="D118" s="949"/>
      <c r="E118" s="799"/>
      <c r="F118" s="799"/>
      <c r="G118" s="763"/>
      <c r="H118" s="796">
        <f t="shared" si="2"/>
        <v>0</v>
      </c>
      <c r="I118" s="763"/>
      <c r="J118" s="763"/>
      <c r="K118" s="763"/>
      <c r="L118" s="763"/>
      <c r="M118" s="965"/>
    </row>
    <row r="119" spans="1:14" s="933" customFormat="1" ht="15.5">
      <c r="A119" s="979"/>
      <c r="B119" s="980" t="s">
        <v>174</v>
      </c>
      <c r="C119" s="951"/>
      <c r="D119" s="952"/>
      <c r="E119" s="953"/>
      <c r="F119" s="947">
        <f>SUM(F94:F118)</f>
        <v>746279.90044999996</v>
      </c>
      <c r="G119" s="1142"/>
      <c r="H119" s="947">
        <f>SUM(H94:H118)</f>
        <v>702938.72313220066</v>
      </c>
      <c r="I119" s="947"/>
      <c r="J119" s="947">
        <f>SUM(J94:J118)</f>
        <v>423490.78100000002</v>
      </c>
      <c r="K119" s="947"/>
      <c r="L119" s="947">
        <f>SUM(L94:L118)</f>
        <v>211253.90580000001</v>
      </c>
      <c r="M119" s="964"/>
    </row>
    <row r="120" spans="1:14" s="933" customFormat="1">
      <c r="A120" s="981"/>
      <c r="B120" s="821"/>
      <c r="C120" s="803"/>
      <c r="D120" s="960"/>
      <c r="E120" s="799"/>
      <c r="F120" s="799"/>
      <c r="G120" s="763"/>
      <c r="H120" s="796">
        <f t="shared" si="2"/>
        <v>0</v>
      </c>
      <c r="I120" s="763"/>
      <c r="J120" s="763"/>
      <c r="K120" s="763"/>
      <c r="L120" s="763"/>
      <c r="M120" s="965"/>
    </row>
    <row r="121" spans="1:14" s="933" customFormat="1">
      <c r="A121" s="757" t="s">
        <v>14</v>
      </c>
      <c r="B121" s="788" t="s">
        <v>15</v>
      </c>
      <c r="C121" s="803"/>
      <c r="D121" s="960"/>
      <c r="E121" s="799"/>
      <c r="F121" s="799"/>
      <c r="G121" s="763"/>
      <c r="H121" s="796">
        <f t="shared" si="2"/>
        <v>0</v>
      </c>
      <c r="I121" s="763"/>
      <c r="J121" s="763"/>
      <c r="K121" s="763"/>
      <c r="L121" s="763"/>
      <c r="M121" s="965"/>
    </row>
    <row r="122" spans="1:14" s="933" customFormat="1" ht="78">
      <c r="A122" s="757">
        <v>39</v>
      </c>
      <c r="B122" s="644" t="s">
        <v>175</v>
      </c>
      <c r="C122" s="803" t="s">
        <v>176</v>
      </c>
      <c r="D122" s="949">
        <v>1351.44</v>
      </c>
      <c r="E122" s="763">
        <v>192.08</v>
      </c>
      <c r="F122" s="796">
        <f>E122*D122</f>
        <v>259584.59520000004</v>
      </c>
      <c r="G122" s="828">
        <f>'[4]C&amp;I M.B Sheet'!G213</f>
        <v>2189.2506000000003</v>
      </c>
      <c r="H122" s="796">
        <f t="shared" si="2"/>
        <v>420511.25524800009</v>
      </c>
      <c r="I122" s="828">
        <f>'C&amp;I M.B Sheet'!G249</f>
        <v>1351.44</v>
      </c>
      <c r="J122" s="828">
        <f t="shared" ref="J122:J126" si="5">I122*E122</f>
        <v>259584.59520000004</v>
      </c>
      <c r="K122" s="828">
        <f>'C&amp;I M.B Sheet'!G250</f>
        <v>798.57600000000002</v>
      </c>
      <c r="L122" s="828">
        <f>K122*E122</f>
        <v>153390.47808</v>
      </c>
      <c r="M122" s="965"/>
    </row>
    <row r="123" spans="1:14" s="933" customFormat="1">
      <c r="A123" s="757"/>
      <c r="B123" s="644"/>
      <c r="C123" s="803"/>
      <c r="D123" s="960"/>
      <c r="E123" s="799"/>
      <c r="F123" s="799"/>
      <c r="G123" s="763"/>
      <c r="H123" s="796">
        <f t="shared" si="2"/>
        <v>0</v>
      </c>
      <c r="I123" s="763"/>
      <c r="J123" s="763"/>
      <c r="K123" s="763"/>
      <c r="L123" s="763"/>
      <c r="M123" s="965"/>
    </row>
    <row r="124" spans="1:14" s="933" customFormat="1" ht="39">
      <c r="A124" s="803">
        <v>40</v>
      </c>
      <c r="B124" s="644" t="s">
        <v>177</v>
      </c>
      <c r="C124" s="803" t="s">
        <v>111</v>
      </c>
      <c r="D124" s="960">
        <f>'MB '!G432</f>
        <v>178.68720000000002</v>
      </c>
      <c r="E124" s="799">
        <v>2641.1</v>
      </c>
      <c r="F124" s="796">
        <f>E124*D124</f>
        <v>471930.76392000006</v>
      </c>
      <c r="G124" s="828">
        <f>'[4]C&amp;I M.B Sheet'!G231</f>
        <v>217.55</v>
      </c>
      <c r="H124" s="796">
        <f t="shared" si="2"/>
        <v>574571.30500000005</v>
      </c>
      <c r="I124" s="828">
        <f>'C&amp;I M.B Sheet'!G280</f>
        <v>148.59299999999993</v>
      </c>
      <c r="J124" s="828">
        <f t="shared" si="5"/>
        <v>392448.97229999979</v>
      </c>
      <c r="K124" s="828"/>
      <c r="L124" s="828"/>
      <c r="M124" s="965"/>
    </row>
    <row r="125" spans="1:14" s="933" customFormat="1">
      <c r="A125" s="803"/>
      <c r="B125" s="644"/>
      <c r="C125" s="803"/>
      <c r="D125" s="960"/>
      <c r="E125" s="799"/>
      <c r="F125" s="799"/>
      <c r="G125" s="763"/>
      <c r="H125" s="796">
        <f t="shared" si="2"/>
        <v>0</v>
      </c>
      <c r="I125" s="763"/>
      <c r="J125" s="763"/>
      <c r="K125" s="763"/>
      <c r="L125" s="763"/>
      <c r="M125" s="965"/>
    </row>
    <row r="126" spans="1:14" s="933" customFormat="1" ht="39">
      <c r="A126" s="803">
        <v>41</v>
      </c>
      <c r="B126" s="644" t="s">
        <v>178</v>
      </c>
      <c r="C126" s="803" t="s">
        <v>111</v>
      </c>
      <c r="D126" s="949">
        <f>'MB '!G441</f>
        <v>21.482399999999998</v>
      </c>
      <c r="E126" s="799">
        <v>3361.4</v>
      </c>
      <c r="F126" s="796">
        <f>E126*D126</f>
        <v>72210.939359999989</v>
      </c>
      <c r="G126" s="828">
        <f>'[4]C&amp;I M.B Sheet'!G237</f>
        <v>16.075005000000001</v>
      </c>
      <c r="H126" s="796">
        <f t="shared" si="2"/>
        <v>54034.521807000005</v>
      </c>
      <c r="I126" s="828">
        <f>'C&amp;I M.B Sheet'!G289</f>
        <v>21.48</v>
      </c>
      <c r="J126" s="828">
        <f t="shared" si="5"/>
        <v>72202.872000000003</v>
      </c>
      <c r="K126" s="828">
        <f>'C&amp;I M.B Sheet'!G290</f>
        <v>13.910500000000003</v>
      </c>
      <c r="L126" s="828">
        <f>K126*E126</f>
        <v>46758.754700000012</v>
      </c>
      <c r="M126" s="965"/>
    </row>
    <row r="127" spans="1:14" s="933" customFormat="1">
      <c r="A127" s="803"/>
      <c r="B127" s="644"/>
      <c r="C127" s="803"/>
      <c r="D127" s="960"/>
      <c r="E127" s="799"/>
      <c r="F127" s="799"/>
      <c r="G127" s="763"/>
      <c r="H127" s="796">
        <f t="shared" si="2"/>
        <v>0</v>
      </c>
      <c r="I127" s="763"/>
      <c r="J127" s="763"/>
      <c r="K127" s="763"/>
      <c r="L127" s="763"/>
      <c r="M127" s="965"/>
    </row>
    <row r="128" spans="1:14" s="933" customFormat="1" ht="39">
      <c r="A128" s="803">
        <v>42</v>
      </c>
      <c r="B128" s="787" t="s">
        <v>179</v>
      </c>
      <c r="C128" s="803" t="s">
        <v>111</v>
      </c>
      <c r="D128" s="960" t="s">
        <v>180</v>
      </c>
      <c r="E128" s="799">
        <v>3601.5</v>
      </c>
      <c r="F128" s="796"/>
      <c r="G128" s="828"/>
      <c r="H128" s="796">
        <f t="shared" si="2"/>
        <v>0</v>
      </c>
      <c r="I128" s="828"/>
      <c r="J128" s="828"/>
      <c r="K128" s="828"/>
      <c r="L128" s="828"/>
      <c r="M128" s="965"/>
    </row>
    <row r="129" spans="1:13" s="933" customFormat="1">
      <c r="A129" s="803"/>
      <c r="B129" s="644"/>
      <c r="C129" s="803"/>
      <c r="D129" s="960"/>
      <c r="E129" s="799"/>
      <c r="F129" s="799"/>
      <c r="G129" s="763"/>
      <c r="H129" s="796">
        <f t="shared" si="2"/>
        <v>0</v>
      </c>
      <c r="I129" s="763"/>
      <c r="J129" s="763"/>
      <c r="K129" s="763"/>
      <c r="L129" s="763"/>
      <c r="M129" s="965"/>
    </row>
    <row r="130" spans="1:13" s="934" customFormat="1" ht="39">
      <c r="A130" s="803">
        <v>43</v>
      </c>
      <c r="B130" s="983" t="s">
        <v>181</v>
      </c>
      <c r="C130" s="803" t="s">
        <v>111</v>
      </c>
      <c r="D130" s="949">
        <f>'MB '!G471</f>
        <v>90.533000000000015</v>
      </c>
      <c r="E130" s="799">
        <v>1440.6</v>
      </c>
      <c r="F130" s="796">
        <f>E130*D130</f>
        <v>130421.83980000002</v>
      </c>
      <c r="G130" s="828">
        <f>'[4]C&amp;I M.B Sheet'!G256</f>
        <v>173.79587000000001</v>
      </c>
      <c r="H130" s="796">
        <f t="shared" si="2"/>
        <v>250370.33032199999</v>
      </c>
      <c r="I130" s="828">
        <f>'C&amp;I M.B Sheet'!G324</f>
        <v>90.53</v>
      </c>
      <c r="J130" s="828">
        <f>I130*E130</f>
        <v>130417.518</v>
      </c>
      <c r="K130" s="828">
        <f>'C&amp;I M.B Sheet'!G325</f>
        <v>13.594449999999981</v>
      </c>
      <c r="L130" s="828">
        <f>K130*E130</f>
        <v>19584.164669999969</v>
      </c>
      <c r="M130" s="967"/>
    </row>
    <row r="131" spans="1:13" s="933" customFormat="1">
      <c r="A131" s="803"/>
      <c r="B131" s="787"/>
      <c r="C131" s="803"/>
      <c r="D131" s="960"/>
      <c r="E131" s="799"/>
      <c r="F131" s="799"/>
      <c r="G131" s="763"/>
      <c r="H131" s="796">
        <f t="shared" si="2"/>
        <v>0</v>
      </c>
      <c r="I131" s="763"/>
      <c r="J131" s="763"/>
      <c r="K131" s="763"/>
      <c r="L131" s="763"/>
      <c r="M131" s="965"/>
    </row>
    <row r="132" spans="1:13" s="934" customFormat="1" ht="65">
      <c r="A132" s="803">
        <v>44</v>
      </c>
      <c r="B132" s="983" t="s">
        <v>182</v>
      </c>
      <c r="C132" s="803" t="s">
        <v>111</v>
      </c>
      <c r="D132" s="949">
        <f>'MB '!G495</f>
        <v>22.423000000000002</v>
      </c>
      <c r="E132" s="799">
        <v>1920.8</v>
      </c>
      <c r="F132" s="796">
        <f>E132*D132</f>
        <v>43070.098400000003</v>
      </c>
      <c r="G132" s="828">
        <f>'[4]C&amp;I M.B Sheet'!G267</f>
        <v>63.654269999999997</v>
      </c>
      <c r="H132" s="796">
        <f t="shared" si="2"/>
        <v>122267.12181599998</v>
      </c>
      <c r="I132" s="828">
        <f>'C&amp;I M.B Sheet'!G335</f>
        <v>22.42</v>
      </c>
      <c r="J132" s="828">
        <f>I132*E132</f>
        <v>43064.336000000003</v>
      </c>
      <c r="K132" s="828">
        <f>'C&amp;I M.B Sheet'!G336</f>
        <v>25.599905</v>
      </c>
      <c r="L132" s="828">
        <f>K132*E132</f>
        <v>49172.297524000001</v>
      </c>
      <c r="M132" s="967"/>
    </row>
    <row r="133" spans="1:13" s="933" customFormat="1">
      <c r="A133" s="803"/>
      <c r="B133" s="787"/>
      <c r="C133" s="803"/>
      <c r="D133" s="960"/>
      <c r="E133" s="799"/>
      <c r="F133" s="799"/>
      <c r="G133" s="763"/>
      <c r="H133" s="796">
        <f t="shared" si="2"/>
        <v>0</v>
      </c>
      <c r="I133" s="763"/>
      <c r="J133" s="763"/>
      <c r="K133" s="763"/>
      <c r="L133" s="763"/>
      <c r="M133" s="965"/>
    </row>
    <row r="134" spans="1:13" s="933" customFormat="1" ht="39">
      <c r="A134" s="803">
        <v>45</v>
      </c>
      <c r="B134" s="644" t="s">
        <v>183</v>
      </c>
      <c r="C134" s="803" t="s">
        <v>113</v>
      </c>
      <c r="D134" s="949">
        <f>'MB '!G530</f>
        <v>67.021000000000001</v>
      </c>
      <c r="E134" s="799">
        <v>624.26</v>
      </c>
      <c r="F134" s="796">
        <f>E134*D134</f>
        <v>41838.529459999998</v>
      </c>
      <c r="G134" s="828">
        <f>'[4]C&amp;I M.B Sheet'!G287</f>
        <v>82.771000000000001</v>
      </c>
      <c r="H134" s="796">
        <f t="shared" si="2"/>
        <v>51670.624459999999</v>
      </c>
      <c r="I134" s="828">
        <f>'C&amp;I M.B Sheet'!G362</f>
        <v>67.02</v>
      </c>
      <c r="J134" s="828">
        <f>I134*E134</f>
        <v>41837.905199999994</v>
      </c>
      <c r="K134" s="828">
        <f>'C&amp;I M.B Sheet'!G363</f>
        <v>16.689999999999998</v>
      </c>
      <c r="L134" s="828">
        <f>K134*E134</f>
        <v>10418.899399999998</v>
      </c>
      <c r="M134" s="965"/>
    </row>
    <row r="135" spans="1:13" s="933" customFormat="1">
      <c r="A135" s="803"/>
      <c r="B135" s="644"/>
      <c r="C135" s="803"/>
      <c r="D135" s="960"/>
      <c r="E135" s="799"/>
      <c r="F135" s="799"/>
      <c r="G135" s="936"/>
      <c r="H135" s="796">
        <f t="shared" si="2"/>
        <v>0</v>
      </c>
      <c r="I135" s="936"/>
      <c r="J135" s="828">
        <f>I134*E135</f>
        <v>0</v>
      </c>
      <c r="K135" s="828"/>
      <c r="L135" s="828"/>
      <c r="M135" s="965"/>
    </row>
    <row r="136" spans="1:13" s="933" customFormat="1" ht="78">
      <c r="A136" s="803">
        <v>46</v>
      </c>
      <c r="B136" s="644" t="s">
        <v>184</v>
      </c>
      <c r="C136" s="803"/>
      <c r="D136" s="960"/>
      <c r="E136" s="799"/>
      <c r="F136" s="799"/>
      <c r="G136" s="763"/>
      <c r="H136" s="796">
        <f t="shared" ref="H136:H199" si="6">G136*E136</f>
        <v>0</v>
      </c>
      <c r="I136" s="763"/>
      <c r="J136" s="763"/>
      <c r="K136" s="763"/>
      <c r="L136" s="763"/>
      <c r="M136" s="965"/>
    </row>
    <row r="137" spans="1:13" s="933" customFormat="1">
      <c r="A137" s="803"/>
      <c r="B137" s="969"/>
      <c r="C137" s="803"/>
      <c r="D137" s="949"/>
      <c r="E137" s="799"/>
      <c r="F137" s="799"/>
      <c r="G137" s="763"/>
      <c r="H137" s="796">
        <f t="shared" si="6"/>
        <v>0</v>
      </c>
      <c r="I137" s="763"/>
      <c r="J137" s="763"/>
      <c r="K137" s="763"/>
      <c r="L137" s="763"/>
      <c r="M137" s="965"/>
    </row>
    <row r="138" spans="1:13" s="933" customFormat="1">
      <c r="A138" s="803" t="s">
        <v>185</v>
      </c>
      <c r="B138" s="984" t="s">
        <v>186</v>
      </c>
      <c r="C138" s="803" t="s">
        <v>111</v>
      </c>
      <c r="D138" s="949">
        <f>'MB '!G542</f>
        <v>13.268250000000002</v>
      </c>
      <c r="E138" s="799">
        <v>15366.4</v>
      </c>
      <c r="F138" s="796">
        <f>E138*D138</f>
        <v>203885.23680000001</v>
      </c>
      <c r="G138" s="828">
        <f>'[4]C&amp;I M.B Sheet'!G292</f>
        <v>2.1222000000000003</v>
      </c>
      <c r="H138" s="796">
        <f t="shared" si="6"/>
        <v>32610.574080000006</v>
      </c>
      <c r="I138" s="828">
        <f>'C&amp;I M.B Sheet'!G369</f>
        <v>2.3580000000000001</v>
      </c>
      <c r="J138" s="828">
        <f>I138*E138</f>
        <v>36233.9712</v>
      </c>
      <c r="K138" s="828"/>
      <c r="L138" s="828"/>
      <c r="M138" s="965"/>
    </row>
    <row r="139" spans="1:13" s="933" customFormat="1">
      <c r="A139" s="803"/>
      <c r="B139" s="984"/>
      <c r="C139" s="803"/>
      <c r="D139" s="949"/>
      <c r="E139" s="799"/>
      <c r="F139" s="799"/>
      <c r="G139" s="763"/>
      <c r="H139" s="796">
        <f t="shared" si="6"/>
        <v>0</v>
      </c>
      <c r="I139" s="763"/>
      <c r="J139" s="763"/>
      <c r="K139" s="763"/>
      <c r="L139" s="763"/>
      <c r="M139" s="965"/>
    </row>
    <row r="140" spans="1:13" s="933" customFormat="1" ht="91">
      <c r="A140" s="803">
        <v>47</v>
      </c>
      <c r="B140" s="644" t="s">
        <v>187</v>
      </c>
      <c r="C140" s="803"/>
      <c r="D140" s="949"/>
      <c r="E140" s="799"/>
      <c r="F140" s="799"/>
      <c r="G140" s="763"/>
      <c r="H140" s="796">
        <f t="shared" si="6"/>
        <v>0</v>
      </c>
      <c r="I140" s="763"/>
      <c r="J140" s="763"/>
      <c r="K140" s="763"/>
      <c r="L140" s="763"/>
      <c r="M140" s="965"/>
    </row>
    <row r="141" spans="1:13" s="933" customFormat="1">
      <c r="A141" s="803"/>
      <c r="B141" s="984"/>
      <c r="C141" s="803"/>
      <c r="D141" s="949"/>
      <c r="E141" s="799"/>
      <c r="F141" s="799"/>
      <c r="G141" s="763"/>
      <c r="H141" s="796">
        <f t="shared" si="6"/>
        <v>0</v>
      </c>
      <c r="I141" s="763"/>
      <c r="J141" s="763"/>
      <c r="K141" s="763"/>
      <c r="L141" s="763"/>
      <c r="M141" s="965"/>
    </row>
    <row r="142" spans="1:13" s="933" customFormat="1">
      <c r="A142" s="803" t="s">
        <v>185</v>
      </c>
      <c r="B142" s="984" t="s">
        <v>188</v>
      </c>
      <c r="C142" s="803" t="s">
        <v>111</v>
      </c>
      <c r="D142" s="949">
        <f>'MB '!G554</f>
        <v>13.0212</v>
      </c>
      <c r="E142" s="799">
        <v>16807</v>
      </c>
      <c r="F142" s="796">
        <f>E142*D142</f>
        <v>218847.30840000001</v>
      </c>
      <c r="G142" s="828"/>
      <c r="H142" s="796">
        <f t="shared" si="6"/>
        <v>0</v>
      </c>
      <c r="I142" s="828"/>
      <c r="J142" s="828">
        <f>I142*E142</f>
        <v>0</v>
      </c>
      <c r="K142" s="828"/>
      <c r="L142" s="828"/>
      <c r="M142" s="965"/>
    </row>
    <row r="143" spans="1:13" s="933" customFormat="1">
      <c r="A143" s="803"/>
      <c r="B143" s="644"/>
      <c r="C143" s="803"/>
      <c r="D143" s="949"/>
      <c r="E143" s="799"/>
      <c r="F143" s="799"/>
      <c r="G143" s="763"/>
      <c r="H143" s="796">
        <f t="shared" si="6"/>
        <v>0</v>
      </c>
      <c r="I143" s="763"/>
      <c r="J143" s="763"/>
      <c r="K143" s="763"/>
      <c r="L143" s="763"/>
      <c r="M143" s="965"/>
    </row>
    <row r="144" spans="1:13" s="933" customFormat="1" ht="130">
      <c r="A144" s="803">
        <v>48</v>
      </c>
      <c r="B144" s="644" t="s">
        <v>189</v>
      </c>
      <c r="C144" s="803"/>
      <c r="D144" s="960"/>
      <c r="E144" s="799"/>
      <c r="F144" s="799"/>
      <c r="G144" s="763"/>
      <c r="H144" s="796">
        <f t="shared" si="6"/>
        <v>0</v>
      </c>
      <c r="I144" s="763"/>
      <c r="J144" s="763"/>
      <c r="K144" s="763"/>
      <c r="L144" s="763"/>
      <c r="M144" s="965"/>
    </row>
    <row r="145" spans="1:13" s="933" customFormat="1">
      <c r="A145" s="803"/>
      <c r="B145" s="969"/>
      <c r="C145" s="803"/>
      <c r="D145" s="949"/>
      <c r="E145" s="799"/>
      <c r="F145" s="799"/>
      <c r="G145" s="763"/>
      <c r="H145" s="796">
        <f t="shared" si="6"/>
        <v>0</v>
      </c>
      <c r="I145" s="763"/>
      <c r="J145" s="763"/>
      <c r="K145" s="763"/>
      <c r="L145" s="763"/>
      <c r="M145" s="965"/>
    </row>
    <row r="146" spans="1:13" s="933" customFormat="1">
      <c r="A146" s="803" t="s">
        <v>185</v>
      </c>
      <c r="B146" s="984" t="s">
        <v>190</v>
      </c>
      <c r="C146" s="803" t="s">
        <v>111</v>
      </c>
      <c r="D146" s="949">
        <f>'MB '!G562</f>
        <v>8.16</v>
      </c>
      <c r="E146" s="799">
        <v>19208</v>
      </c>
      <c r="F146" s="796">
        <f>E146*D146</f>
        <v>156737.28</v>
      </c>
      <c r="G146" s="828">
        <f>'[4]C&amp;I M.B Sheet'!G298</f>
        <v>8.6140000000000008</v>
      </c>
      <c r="H146" s="796">
        <f t="shared" si="6"/>
        <v>165457.71200000003</v>
      </c>
      <c r="I146" s="828">
        <f>'C&amp;I M.B Sheet'!G374</f>
        <v>6.2474100000000004</v>
      </c>
      <c r="J146" s="828">
        <f>I146*E146</f>
        <v>120000.25128000001</v>
      </c>
      <c r="K146" s="828"/>
      <c r="L146" s="828"/>
      <c r="M146" s="965"/>
    </row>
    <row r="147" spans="1:13" s="933" customFormat="1">
      <c r="A147" s="803"/>
      <c r="B147" s="644"/>
      <c r="C147" s="803"/>
      <c r="D147" s="960"/>
      <c r="E147" s="799"/>
      <c r="F147" s="799"/>
      <c r="G147" s="763"/>
      <c r="H147" s="796">
        <f t="shared" si="6"/>
        <v>0</v>
      </c>
      <c r="I147" s="763"/>
      <c r="J147" s="763"/>
      <c r="K147" s="763"/>
      <c r="L147" s="763"/>
      <c r="M147" s="965"/>
    </row>
    <row r="148" spans="1:13" s="933" customFormat="1" ht="130">
      <c r="A148" s="803">
        <v>49</v>
      </c>
      <c r="B148" s="644" t="s">
        <v>191</v>
      </c>
      <c r="C148" s="803" t="s">
        <v>169</v>
      </c>
      <c r="D148" s="960">
        <f>'MB '!G566</f>
        <v>1</v>
      </c>
      <c r="E148" s="799">
        <v>144060</v>
      </c>
      <c r="F148" s="796">
        <f>E148*D148</f>
        <v>144060</v>
      </c>
      <c r="G148" s="828">
        <f>'[4]C&amp;I M.B Sheet'!G302</f>
        <v>1</v>
      </c>
      <c r="H148" s="796">
        <f t="shared" si="6"/>
        <v>144060</v>
      </c>
      <c r="I148" s="828">
        <f>'C&amp;I M.B Sheet'!G379</f>
        <v>1</v>
      </c>
      <c r="J148" s="828">
        <f>I148*E148</f>
        <v>144060</v>
      </c>
      <c r="K148" s="828"/>
      <c r="L148" s="828"/>
      <c r="M148" s="965"/>
    </row>
    <row r="149" spans="1:13" s="933" customFormat="1">
      <c r="A149" s="981"/>
      <c r="B149" s="821"/>
      <c r="C149" s="803"/>
      <c r="D149" s="960"/>
      <c r="E149" s="799"/>
      <c r="F149" s="799"/>
      <c r="G149" s="763"/>
      <c r="H149" s="796">
        <f t="shared" si="6"/>
        <v>0</v>
      </c>
      <c r="I149" s="763"/>
      <c r="J149" s="763"/>
      <c r="K149" s="763"/>
      <c r="L149" s="763"/>
      <c r="M149" s="965"/>
    </row>
    <row r="150" spans="1:13" s="933" customFormat="1" ht="52">
      <c r="A150" s="803">
        <v>50</v>
      </c>
      <c r="B150" s="644" t="s">
        <v>192</v>
      </c>
      <c r="C150" s="803" t="s">
        <v>169</v>
      </c>
      <c r="D150" s="960">
        <f>'MB '!G570</f>
        <v>1</v>
      </c>
      <c r="E150" s="799">
        <v>72030</v>
      </c>
      <c r="F150" s="796">
        <f>E150*D150</f>
        <v>72030</v>
      </c>
      <c r="G150" s="828">
        <f>'[4]C&amp;I M.B Sheet'!G306</f>
        <v>1</v>
      </c>
      <c r="H150" s="796">
        <f t="shared" si="6"/>
        <v>72030</v>
      </c>
      <c r="I150" s="828">
        <f>'C&amp;I M.B Sheet'!G383</f>
        <v>1</v>
      </c>
      <c r="J150" s="828">
        <f>I150*E150</f>
        <v>72030</v>
      </c>
      <c r="K150" s="828"/>
      <c r="L150" s="828"/>
      <c r="M150" s="965"/>
    </row>
    <row r="151" spans="1:13" s="933" customFormat="1">
      <c r="A151" s="803"/>
      <c r="B151" s="644"/>
      <c r="C151" s="803"/>
      <c r="D151" s="960"/>
      <c r="E151" s="799"/>
      <c r="F151" s="799"/>
      <c r="G151" s="763"/>
      <c r="H151" s="796">
        <f t="shared" si="6"/>
        <v>0</v>
      </c>
      <c r="I151" s="763"/>
      <c r="J151" s="763"/>
      <c r="K151" s="763"/>
      <c r="L151" s="763"/>
      <c r="M151" s="965"/>
    </row>
    <row r="152" spans="1:13" s="933" customFormat="1" ht="273" customHeight="1">
      <c r="A152" s="803">
        <v>51</v>
      </c>
      <c r="B152" s="644" t="s">
        <v>193</v>
      </c>
      <c r="C152" s="803"/>
      <c r="D152" s="960"/>
      <c r="E152" s="799"/>
      <c r="F152" s="799"/>
      <c r="G152" s="763"/>
      <c r="H152" s="796">
        <f t="shared" si="6"/>
        <v>0</v>
      </c>
      <c r="I152" s="763"/>
      <c r="J152" s="763"/>
      <c r="K152" s="763"/>
      <c r="L152" s="763"/>
      <c r="M152" s="965"/>
    </row>
    <row r="153" spans="1:13" s="933" customFormat="1" ht="30.5" customHeight="1">
      <c r="A153" s="803"/>
      <c r="B153" s="644" t="s">
        <v>194</v>
      </c>
      <c r="C153" s="803"/>
      <c r="D153" s="960"/>
      <c r="E153" s="799"/>
      <c r="F153" s="799"/>
      <c r="G153" s="763"/>
      <c r="H153" s="796">
        <f t="shared" si="6"/>
        <v>0</v>
      </c>
      <c r="I153" s="763"/>
      <c r="J153" s="763"/>
      <c r="K153" s="763"/>
      <c r="L153" s="763"/>
      <c r="M153" s="965"/>
    </row>
    <row r="154" spans="1:13" s="933" customFormat="1">
      <c r="A154" s="803"/>
      <c r="B154" s="644"/>
      <c r="C154" s="803"/>
      <c r="D154" s="960"/>
      <c r="E154" s="799"/>
      <c r="F154" s="799"/>
      <c r="G154" s="763"/>
      <c r="H154" s="796">
        <f t="shared" si="6"/>
        <v>0</v>
      </c>
      <c r="I154" s="763"/>
      <c r="J154" s="763"/>
      <c r="K154" s="763"/>
      <c r="L154" s="763"/>
      <c r="M154" s="965"/>
    </row>
    <row r="155" spans="1:13" s="933" customFormat="1" ht="39">
      <c r="A155" s="803" t="s">
        <v>195</v>
      </c>
      <c r="B155" s="644" t="s">
        <v>196</v>
      </c>
      <c r="C155" s="803" t="s">
        <v>173</v>
      </c>
      <c r="D155" s="960">
        <f>'MB '!G577</f>
        <v>3</v>
      </c>
      <c r="E155" s="799">
        <v>120050</v>
      </c>
      <c r="F155" s="796">
        <f>E155*D155</f>
        <v>360150</v>
      </c>
      <c r="G155" s="828">
        <f>'[4]C&amp;I M.B Sheet'!G310</f>
        <v>3</v>
      </c>
      <c r="H155" s="796">
        <f t="shared" si="6"/>
        <v>360150</v>
      </c>
      <c r="I155" s="828">
        <f>'C&amp;I M.B Sheet'!G387</f>
        <v>3</v>
      </c>
      <c r="J155" s="828">
        <f>I155*E155</f>
        <v>360150</v>
      </c>
      <c r="K155" s="828"/>
      <c r="L155" s="828"/>
      <c r="M155" s="965"/>
    </row>
    <row r="156" spans="1:13" s="933" customFormat="1">
      <c r="A156" s="803"/>
      <c r="B156" s="644"/>
      <c r="C156" s="803"/>
      <c r="D156" s="960"/>
      <c r="E156" s="799"/>
      <c r="F156" s="799"/>
      <c r="G156" s="763"/>
      <c r="H156" s="796">
        <f t="shared" si="6"/>
        <v>0</v>
      </c>
      <c r="I156" s="763"/>
      <c r="J156" s="763"/>
      <c r="K156" s="763"/>
      <c r="L156" s="763"/>
      <c r="M156" s="965"/>
    </row>
    <row r="157" spans="1:13" s="933" customFormat="1" ht="65">
      <c r="A157" s="803">
        <v>52</v>
      </c>
      <c r="B157" s="644" t="s">
        <v>197</v>
      </c>
      <c r="C157" s="803" t="s">
        <v>198</v>
      </c>
      <c r="D157" s="960">
        <f>'MB '!G583</f>
        <v>1.5000000000000002</v>
      </c>
      <c r="E157" s="799">
        <v>9604</v>
      </c>
      <c r="F157" s="796">
        <f>E157*D157</f>
        <v>14406.000000000002</v>
      </c>
      <c r="G157" s="828"/>
      <c r="H157" s="796">
        <f t="shared" si="6"/>
        <v>0</v>
      </c>
      <c r="I157" s="828"/>
      <c r="J157" s="828"/>
      <c r="K157" s="828"/>
      <c r="L157" s="828"/>
      <c r="M157" s="965"/>
    </row>
    <row r="158" spans="1:13" s="933" customFormat="1">
      <c r="A158" s="981"/>
      <c r="B158" s="821"/>
      <c r="C158" s="803"/>
      <c r="D158" s="960"/>
      <c r="E158" s="799"/>
      <c r="F158" s="799"/>
      <c r="G158" s="763"/>
      <c r="H158" s="796">
        <f t="shared" si="6"/>
        <v>0</v>
      </c>
      <c r="I158" s="763"/>
      <c r="J158" s="763"/>
      <c r="K158" s="763"/>
      <c r="L158" s="763"/>
      <c r="M158" s="965"/>
    </row>
    <row r="159" spans="1:13" s="933" customFormat="1" ht="15.5">
      <c r="A159" s="979"/>
      <c r="B159" s="985" t="s">
        <v>199</v>
      </c>
      <c r="C159" s="951"/>
      <c r="D159" s="952"/>
      <c r="E159" s="953"/>
      <c r="F159" s="947">
        <f>SUM(F122:F158)</f>
        <v>2189172.5913399998</v>
      </c>
      <c r="G159" s="1142"/>
      <c r="H159" s="947">
        <f>SUM(H122:H158)</f>
        <v>2247733.4447330004</v>
      </c>
      <c r="I159" s="947"/>
      <c r="J159" s="947">
        <f>SUM(J122:J158)</f>
        <v>1672030.4211800001</v>
      </c>
      <c r="K159" s="947"/>
      <c r="L159" s="947">
        <f>SUM(L122:L158)</f>
        <v>279324.59437399998</v>
      </c>
      <c r="M159" s="964"/>
    </row>
    <row r="160" spans="1:13" s="933" customFormat="1">
      <c r="A160" s="803"/>
      <c r="B160" s="820"/>
      <c r="C160" s="803"/>
      <c r="D160" s="960"/>
      <c r="E160" s="799"/>
      <c r="F160" s="796"/>
      <c r="G160" s="828"/>
      <c r="H160" s="796">
        <f t="shared" si="6"/>
        <v>0</v>
      </c>
      <c r="I160" s="828"/>
      <c r="J160" s="828"/>
      <c r="K160" s="828"/>
      <c r="L160" s="828"/>
      <c r="M160" s="961"/>
    </row>
    <row r="161" spans="1:13" s="933" customFormat="1">
      <c r="A161" s="757" t="s">
        <v>16</v>
      </c>
      <c r="B161" s="820" t="s">
        <v>200</v>
      </c>
      <c r="C161" s="803"/>
      <c r="D161" s="960"/>
      <c r="E161" s="799"/>
      <c r="F161" s="796"/>
      <c r="G161" s="828"/>
      <c r="H161" s="796">
        <f t="shared" si="6"/>
        <v>0</v>
      </c>
      <c r="I161" s="828"/>
      <c r="J161" s="828"/>
      <c r="K161" s="828"/>
      <c r="L161" s="828"/>
      <c r="M161" s="961"/>
    </row>
    <row r="162" spans="1:13" s="933" customFormat="1">
      <c r="A162" s="757"/>
      <c r="B162" s="820"/>
      <c r="C162" s="803"/>
      <c r="D162" s="960"/>
      <c r="E162" s="799"/>
      <c r="F162" s="796"/>
      <c r="G162" s="828"/>
      <c r="H162" s="796">
        <f t="shared" si="6"/>
        <v>0</v>
      </c>
      <c r="I162" s="828"/>
      <c r="J162" s="828"/>
      <c r="K162" s="828"/>
      <c r="L162" s="828"/>
      <c r="M162" s="961"/>
    </row>
    <row r="163" spans="1:13" s="933" customFormat="1" ht="130">
      <c r="A163" s="803">
        <v>53</v>
      </c>
      <c r="B163" s="644" t="s">
        <v>201</v>
      </c>
      <c r="C163" s="803" t="s">
        <v>111</v>
      </c>
      <c r="D163" s="949">
        <f>'MB '!G587</f>
        <v>34</v>
      </c>
      <c r="E163" s="799">
        <v>1920.8</v>
      </c>
      <c r="F163" s="796">
        <f>E163*D163</f>
        <v>65307.199999999997</v>
      </c>
      <c r="G163" s="986">
        <f>'[4]C&amp;I M.B Sheet'!G317</f>
        <v>19.802900000000001</v>
      </c>
      <c r="H163" s="796">
        <f t="shared" si="6"/>
        <v>38037.410320000003</v>
      </c>
      <c r="I163" s="986">
        <f>'C&amp;I M.B Sheet'!G394</f>
        <v>18.291</v>
      </c>
      <c r="J163" s="828">
        <f t="shared" ref="J163:J167" si="7">I163*E163</f>
        <v>35133.352800000001</v>
      </c>
      <c r="K163" s="828"/>
      <c r="L163" s="828"/>
      <c r="M163" s="965"/>
    </row>
    <row r="164" spans="1:13" s="933" customFormat="1" ht="130">
      <c r="A164" s="803">
        <v>54</v>
      </c>
      <c r="B164" s="644" t="s">
        <v>202</v>
      </c>
      <c r="C164" s="803" t="s">
        <v>198</v>
      </c>
      <c r="D164" s="949">
        <f>'MB '!G591</f>
        <v>140</v>
      </c>
      <c r="E164" s="799">
        <v>2112.88</v>
      </c>
      <c r="F164" s="796">
        <f>E164*D164</f>
        <v>295803.2</v>
      </c>
      <c r="G164" s="828">
        <f>'[4]C&amp;I M.B Sheet'!G322</f>
        <v>161.73839099999998</v>
      </c>
      <c r="H164" s="796">
        <f t="shared" si="6"/>
        <v>341733.81157607998</v>
      </c>
      <c r="I164" s="828">
        <f>'C&amp;I M.B Sheet'!G403</f>
        <v>140</v>
      </c>
      <c r="J164" s="828">
        <f t="shared" si="7"/>
        <v>295803.2</v>
      </c>
      <c r="K164" s="828">
        <f>'C&amp;I M.B Sheet'!G404</f>
        <v>19.950000000000017</v>
      </c>
      <c r="L164" s="828">
        <f>K164*E164</f>
        <v>42151.956000000035</v>
      </c>
      <c r="M164" s="965"/>
    </row>
    <row r="165" spans="1:13" s="933" customFormat="1">
      <c r="A165" s="803"/>
      <c r="B165" s="644"/>
      <c r="C165" s="803"/>
      <c r="D165" s="949"/>
      <c r="E165" s="799"/>
      <c r="F165" s="799"/>
      <c r="G165" s="763"/>
      <c r="H165" s="796">
        <f t="shared" si="6"/>
        <v>0</v>
      </c>
      <c r="I165" s="763"/>
      <c r="J165" s="763"/>
      <c r="K165" s="763"/>
      <c r="L165" s="763"/>
      <c r="M165" s="965"/>
    </row>
    <row r="166" spans="1:13" s="933" customFormat="1" ht="130">
      <c r="A166" s="803">
        <v>55</v>
      </c>
      <c r="B166" s="644" t="s">
        <v>203</v>
      </c>
      <c r="C166" s="803"/>
      <c r="D166" s="960"/>
      <c r="E166" s="799"/>
      <c r="F166" s="799"/>
      <c r="G166" s="763"/>
      <c r="H166" s="796">
        <f t="shared" si="6"/>
        <v>0</v>
      </c>
      <c r="I166" s="763"/>
      <c r="J166" s="763"/>
      <c r="K166" s="763"/>
      <c r="L166" s="763"/>
      <c r="M166" s="965"/>
    </row>
    <row r="167" spans="1:13" s="933" customFormat="1" ht="52">
      <c r="A167" s="803"/>
      <c r="B167" s="644" t="s">
        <v>204</v>
      </c>
      <c r="C167" s="803" t="s">
        <v>111</v>
      </c>
      <c r="D167" s="960">
        <f>'MB '!G600</f>
        <v>21.5</v>
      </c>
      <c r="E167" s="799">
        <v>2401</v>
      </c>
      <c r="F167" s="796">
        <f>E167*D167</f>
        <v>51621.5</v>
      </c>
      <c r="G167" s="828">
        <f>'[4]C&amp;I M.B Sheet'!G326</f>
        <v>24.955029999999997</v>
      </c>
      <c r="H167" s="796">
        <f t="shared" si="6"/>
        <v>59917.02702999999</v>
      </c>
      <c r="I167" s="828">
        <f>'C&amp;I M.B Sheet'!G418</f>
        <v>27.848199999999999</v>
      </c>
      <c r="J167" s="828">
        <f t="shared" si="7"/>
        <v>66863.528200000001</v>
      </c>
      <c r="K167" s="828"/>
      <c r="L167" s="828"/>
      <c r="M167" s="965"/>
    </row>
    <row r="168" spans="1:13" s="933" customFormat="1">
      <c r="A168" s="803"/>
      <c r="B168" s="644"/>
      <c r="C168" s="803"/>
      <c r="D168" s="960"/>
      <c r="E168" s="799"/>
      <c r="F168" s="799"/>
      <c r="G168" s="763"/>
      <c r="H168" s="796">
        <f t="shared" si="6"/>
        <v>0</v>
      </c>
      <c r="I168" s="763"/>
      <c r="J168" s="763"/>
      <c r="K168" s="763"/>
      <c r="L168" s="763"/>
      <c r="M168" s="965"/>
    </row>
    <row r="169" spans="1:13" s="933" customFormat="1" ht="15.5">
      <c r="A169" s="951"/>
      <c r="B169" s="980" t="s">
        <v>205</v>
      </c>
      <c r="C169" s="951"/>
      <c r="D169" s="952"/>
      <c r="E169" s="953"/>
      <c r="F169" s="947">
        <f>SUM(F163:F168)</f>
        <v>412731.9</v>
      </c>
      <c r="G169" s="1142"/>
      <c r="H169" s="947">
        <f>SUM(H163:H168)</f>
        <v>439688.24892608001</v>
      </c>
      <c r="I169" s="947"/>
      <c r="J169" s="947">
        <f>SUM(J163:J168)</f>
        <v>397800.08100000001</v>
      </c>
      <c r="K169" s="947"/>
      <c r="L169" s="947">
        <f>SUM(L163:L168)</f>
        <v>42151.956000000035</v>
      </c>
      <c r="M169" s="964"/>
    </row>
    <row r="170" spans="1:13" s="933" customFormat="1">
      <c r="A170" s="803"/>
      <c r="B170" s="820"/>
      <c r="C170" s="803"/>
      <c r="D170" s="960"/>
      <c r="E170" s="799"/>
      <c r="F170" s="796"/>
      <c r="G170" s="828"/>
      <c r="H170" s="796">
        <f t="shared" si="6"/>
        <v>0</v>
      </c>
      <c r="I170" s="828"/>
      <c r="J170" s="828"/>
      <c r="K170" s="828"/>
      <c r="L170" s="828"/>
      <c r="M170" s="961"/>
    </row>
    <row r="171" spans="1:13" s="933" customFormat="1">
      <c r="A171" s="757" t="s">
        <v>18</v>
      </c>
      <c r="B171" s="987" t="s">
        <v>206</v>
      </c>
      <c r="C171" s="803"/>
      <c r="D171" s="949"/>
      <c r="E171" s="799"/>
      <c r="F171" s="796"/>
      <c r="G171" s="828"/>
      <c r="H171" s="796">
        <f t="shared" si="6"/>
        <v>0</v>
      </c>
      <c r="I171" s="828"/>
      <c r="J171" s="828"/>
      <c r="K171" s="828"/>
      <c r="L171" s="828"/>
      <c r="M171" s="961"/>
    </row>
    <row r="172" spans="1:13" s="933" customFormat="1">
      <c r="A172" s="803"/>
      <c r="B172" s="644"/>
      <c r="C172" s="972"/>
      <c r="D172" s="949"/>
      <c r="E172" s="763"/>
      <c r="F172" s="799"/>
      <c r="G172" s="763"/>
      <c r="H172" s="796">
        <f t="shared" si="6"/>
        <v>0</v>
      </c>
      <c r="I172" s="763"/>
      <c r="J172" s="763"/>
      <c r="K172" s="763"/>
      <c r="L172" s="763"/>
      <c r="M172" s="965"/>
    </row>
    <row r="173" spans="1:13" s="933" customFormat="1" ht="26">
      <c r="A173" s="803">
        <v>56</v>
      </c>
      <c r="B173" s="644" t="s">
        <v>207</v>
      </c>
      <c r="C173" s="972" t="s">
        <v>111</v>
      </c>
      <c r="D173" s="949" t="s">
        <v>126</v>
      </c>
      <c r="E173" s="763">
        <v>336.14</v>
      </c>
      <c r="F173" s="796"/>
      <c r="G173" s="828">
        <f>'[4]C&amp;I M.B Sheet'!G335</f>
        <v>47.176969999999997</v>
      </c>
      <c r="H173" s="796">
        <f t="shared" si="6"/>
        <v>15858.066695799998</v>
      </c>
      <c r="I173" s="828"/>
      <c r="J173" s="828">
        <f>I173*E173</f>
        <v>0</v>
      </c>
      <c r="K173" s="828">
        <f>'C&amp;I M.B Sheet'!G427</f>
        <v>40.511499999999998</v>
      </c>
      <c r="L173" s="828">
        <f>K173*E173</f>
        <v>13617.535609999999</v>
      </c>
      <c r="M173" s="965"/>
    </row>
    <row r="174" spans="1:13" s="933" customFormat="1">
      <c r="A174" s="803"/>
      <c r="B174" s="644"/>
      <c r="C174" s="972"/>
      <c r="D174" s="949"/>
      <c r="E174" s="763"/>
      <c r="F174" s="799"/>
      <c r="G174" s="763"/>
      <c r="H174" s="796">
        <f t="shared" si="6"/>
        <v>0</v>
      </c>
      <c r="I174" s="763"/>
      <c r="J174" s="763"/>
      <c r="K174" s="763"/>
      <c r="L174" s="763"/>
      <c r="M174" s="965"/>
    </row>
    <row r="175" spans="1:13" s="933" customFormat="1" ht="26">
      <c r="A175" s="803">
        <v>57</v>
      </c>
      <c r="B175" s="644" t="s">
        <v>208</v>
      </c>
      <c r="C175" s="803" t="s">
        <v>111</v>
      </c>
      <c r="D175" s="949">
        <f>'MB '!G618</f>
        <v>50.580200000000005</v>
      </c>
      <c r="E175" s="763">
        <v>336.14</v>
      </c>
      <c r="F175" s="796">
        <f>E175*D175</f>
        <v>17002.028428000001</v>
      </c>
      <c r="G175" s="828">
        <f>'[4]C&amp;I M.B Sheet'!G343</f>
        <v>225.476541</v>
      </c>
      <c r="H175" s="796">
        <f t="shared" si="6"/>
        <v>75791.684491740001</v>
      </c>
      <c r="I175" s="828">
        <f>'C&amp;I M.B Sheet'!G456</f>
        <v>0</v>
      </c>
      <c r="J175" s="828">
        <f>I175*E175</f>
        <v>0</v>
      </c>
      <c r="K175" s="828"/>
      <c r="L175" s="828"/>
      <c r="M175" s="965"/>
    </row>
    <row r="176" spans="1:13" s="933" customFormat="1">
      <c r="A176" s="981"/>
      <c r="B176" s="988"/>
      <c r="C176" s="972"/>
      <c r="D176" s="989"/>
      <c r="E176" s="990"/>
      <c r="F176" s="990"/>
      <c r="G176" s="990"/>
      <c r="H176" s="796">
        <f t="shared" si="6"/>
        <v>0</v>
      </c>
      <c r="I176" s="990"/>
      <c r="J176" s="990"/>
      <c r="K176" s="990"/>
      <c r="L176" s="990"/>
      <c r="M176" s="991"/>
    </row>
    <row r="177" spans="1:13" s="933" customFormat="1" ht="39">
      <c r="A177" s="803">
        <v>58</v>
      </c>
      <c r="B177" s="644" t="s">
        <v>209</v>
      </c>
      <c r="C177" s="972" t="s">
        <v>111</v>
      </c>
      <c r="D177" s="989">
        <f>'MB '!G637</f>
        <v>90.386799999999994</v>
      </c>
      <c r="E177" s="990">
        <v>4802</v>
      </c>
      <c r="F177" s="796">
        <f>E177*D177</f>
        <v>434037.41359999997</v>
      </c>
      <c r="G177" s="828">
        <f>'[4]C&amp;I M.B Sheet'!G351</f>
        <v>78.524529999999999</v>
      </c>
      <c r="H177" s="796">
        <f t="shared" si="6"/>
        <v>377074.79306</v>
      </c>
      <c r="I177" s="828">
        <f>'C&amp;I M.B Sheet'!G476</f>
        <v>79.833960000000005</v>
      </c>
      <c r="J177" s="828">
        <f>I177*E177</f>
        <v>383362.67592000001</v>
      </c>
      <c r="K177" s="828"/>
      <c r="L177" s="828"/>
      <c r="M177" s="991"/>
    </row>
    <row r="178" spans="1:13" s="933" customFormat="1">
      <c r="A178" s="981"/>
      <c r="B178" s="988"/>
      <c r="C178" s="972"/>
      <c r="D178" s="989"/>
      <c r="E178" s="990"/>
      <c r="F178" s="990"/>
      <c r="G178" s="990"/>
      <c r="H178" s="796">
        <f t="shared" si="6"/>
        <v>0</v>
      </c>
      <c r="I178" s="990"/>
      <c r="J178" s="990"/>
      <c r="K178" s="990"/>
      <c r="L178" s="990"/>
      <c r="M178" s="991"/>
    </row>
    <row r="179" spans="1:13" s="933" customFormat="1" ht="15.5">
      <c r="A179" s="979"/>
      <c r="B179" s="980" t="s">
        <v>210</v>
      </c>
      <c r="C179" s="951"/>
      <c r="D179" s="952"/>
      <c r="E179" s="953"/>
      <c r="F179" s="947">
        <f>SUM(F175:F178)</f>
        <v>451039.44202799996</v>
      </c>
      <c r="G179" s="1142"/>
      <c r="H179" s="947">
        <f>SUM(H173:H178)</f>
        <v>468724.54424754001</v>
      </c>
      <c r="I179" s="947"/>
      <c r="J179" s="947">
        <f>SUM(J173:J178)</f>
        <v>383362.67592000001</v>
      </c>
      <c r="K179" s="947"/>
      <c r="L179" s="947">
        <f>SUM(L173:L178)</f>
        <v>13617.535609999999</v>
      </c>
      <c r="M179" s="964"/>
    </row>
    <row r="180" spans="1:13">
      <c r="A180" s="803"/>
      <c r="B180" s="821"/>
      <c r="C180" s="803"/>
      <c r="D180" s="960"/>
      <c r="E180" s="799"/>
      <c r="F180" s="799"/>
      <c r="G180" s="763"/>
      <c r="H180" s="796">
        <f t="shared" si="6"/>
        <v>0</v>
      </c>
      <c r="I180" s="763"/>
      <c r="J180" s="763"/>
      <c r="K180" s="763"/>
      <c r="L180" s="763"/>
      <c r="M180" s="965"/>
    </row>
    <row r="181" spans="1:13">
      <c r="A181" s="757" t="s">
        <v>20</v>
      </c>
      <c r="B181" s="756" t="s">
        <v>211</v>
      </c>
      <c r="C181" s="803"/>
      <c r="D181" s="949"/>
      <c r="E181" s="799"/>
      <c r="F181" s="799"/>
      <c r="G181" s="763"/>
      <c r="H181" s="796">
        <f t="shared" si="6"/>
        <v>0</v>
      </c>
      <c r="I181" s="763"/>
      <c r="J181" s="763"/>
      <c r="K181" s="763"/>
      <c r="L181" s="763"/>
      <c r="M181" s="965"/>
    </row>
    <row r="182" spans="1:13">
      <c r="A182" s="803"/>
      <c r="B182" s="644"/>
      <c r="C182" s="803"/>
      <c r="D182" s="949"/>
      <c r="E182" s="763"/>
      <c r="F182" s="763"/>
      <c r="G182" s="763"/>
      <c r="H182" s="796">
        <f t="shared" si="6"/>
        <v>0</v>
      </c>
      <c r="I182" s="763"/>
      <c r="J182" s="763"/>
      <c r="K182" s="763"/>
      <c r="L182" s="763"/>
      <c r="M182" s="965"/>
    </row>
    <row r="183" spans="1:13" ht="26">
      <c r="A183" s="803">
        <v>59</v>
      </c>
      <c r="B183" s="644" t="s">
        <v>212</v>
      </c>
      <c r="C183" s="803" t="s">
        <v>111</v>
      </c>
      <c r="D183" s="949">
        <f>'MB '!G668</f>
        <v>130.4691</v>
      </c>
      <c r="E183" s="799">
        <v>720.3</v>
      </c>
      <c r="F183" s="796">
        <f>E183*D183</f>
        <v>93976.892729999992</v>
      </c>
      <c r="G183" s="828">
        <f>'[4]C&amp;I M.B Sheet'!G364</f>
        <v>112.96560000000001</v>
      </c>
      <c r="H183" s="796">
        <f t="shared" si="6"/>
        <v>81369.121679999997</v>
      </c>
      <c r="I183" s="828">
        <f>'C&amp;I M.B Sheet'!G494</f>
        <v>0</v>
      </c>
      <c r="J183" s="828">
        <f t="shared" ref="J183:J187" si="8">I183*E183</f>
        <v>0</v>
      </c>
      <c r="K183" s="828"/>
      <c r="L183" s="828"/>
      <c r="M183" s="965"/>
    </row>
    <row r="184" spans="1:13">
      <c r="A184" s="803"/>
      <c r="B184" s="644"/>
      <c r="C184" s="803"/>
      <c r="D184" s="949"/>
      <c r="E184" s="799"/>
      <c r="F184" s="763"/>
      <c r="G184" s="763"/>
      <c r="H184" s="796">
        <f t="shared" si="6"/>
        <v>0</v>
      </c>
      <c r="I184" s="763"/>
      <c r="J184" s="763"/>
      <c r="K184" s="763"/>
      <c r="L184" s="763"/>
      <c r="M184" s="965"/>
    </row>
    <row r="185" spans="1:13" ht="39">
      <c r="A185" s="803">
        <v>60</v>
      </c>
      <c r="B185" s="644" t="s">
        <v>213</v>
      </c>
      <c r="C185" s="803" t="s">
        <v>113</v>
      </c>
      <c r="D185" s="960">
        <f>'MB '!G680</f>
        <v>30.064999999999998</v>
      </c>
      <c r="E185" s="799">
        <v>480.2</v>
      </c>
      <c r="F185" s="796">
        <f>E185*D185</f>
        <v>14437.212999999998</v>
      </c>
      <c r="G185" s="828">
        <f>'[4]C&amp;I M.B Sheet'!G368</f>
        <v>10.726000000000001</v>
      </c>
      <c r="H185" s="796">
        <f t="shared" si="6"/>
        <v>5150.6252000000004</v>
      </c>
      <c r="I185" s="828">
        <f>'C&amp;I M.B Sheet'!G497</f>
        <v>13.7</v>
      </c>
      <c r="J185" s="828">
        <f t="shared" si="8"/>
        <v>6578.74</v>
      </c>
      <c r="K185" s="828"/>
      <c r="L185" s="828"/>
      <c r="M185" s="965"/>
    </row>
    <row r="186" spans="1:13">
      <c r="A186" s="803"/>
      <c r="B186" s="644"/>
      <c r="C186" s="803"/>
      <c r="D186" s="960"/>
      <c r="E186" s="799"/>
      <c r="F186" s="799"/>
      <c r="G186" s="763"/>
      <c r="H186" s="796">
        <f t="shared" si="6"/>
        <v>0</v>
      </c>
      <c r="I186" s="763"/>
      <c r="J186" s="763"/>
      <c r="K186" s="763"/>
      <c r="L186" s="763"/>
      <c r="M186" s="965"/>
    </row>
    <row r="187" spans="1:13" ht="39">
      <c r="A187" s="803">
        <v>61</v>
      </c>
      <c r="B187" s="644" t="s">
        <v>214</v>
      </c>
      <c r="C187" s="803" t="s">
        <v>215</v>
      </c>
      <c r="D187" s="949">
        <f>'MB '!G688</f>
        <v>24.6</v>
      </c>
      <c r="E187" s="799">
        <v>480.2</v>
      </c>
      <c r="F187" s="796">
        <f>E187*D187</f>
        <v>11812.92</v>
      </c>
      <c r="G187" s="828">
        <f>'[4]C&amp;I M.B Sheet'!G382</f>
        <v>61.019000000000005</v>
      </c>
      <c r="H187" s="796">
        <f t="shared" si="6"/>
        <v>29301.323800000002</v>
      </c>
      <c r="I187" s="828">
        <f>'C&amp;I M.B Sheet'!G513</f>
        <v>24.6</v>
      </c>
      <c r="J187" s="828">
        <f t="shared" si="8"/>
        <v>11812.92</v>
      </c>
      <c r="K187" s="828">
        <f>'C&amp;I M.B Sheet'!G514</f>
        <v>38.519000000000005</v>
      </c>
      <c r="L187" s="828">
        <f>K187*E187</f>
        <v>18496.823800000002</v>
      </c>
      <c r="M187" s="965"/>
    </row>
    <row r="188" spans="1:13">
      <c r="A188" s="803"/>
      <c r="B188" s="644"/>
      <c r="C188" s="803"/>
      <c r="D188" s="949"/>
      <c r="E188" s="799"/>
      <c r="F188" s="799"/>
      <c r="G188" s="763"/>
      <c r="H188" s="796">
        <f t="shared" si="6"/>
        <v>0</v>
      </c>
      <c r="I188" s="763"/>
      <c r="J188" s="763"/>
      <c r="K188" s="763"/>
      <c r="L188" s="763"/>
      <c r="M188" s="965"/>
    </row>
    <row r="189" spans="1:13" ht="26">
      <c r="A189" s="803">
        <v>62</v>
      </c>
      <c r="B189" s="644" t="s">
        <v>216</v>
      </c>
      <c r="C189" s="803" t="s">
        <v>111</v>
      </c>
      <c r="D189" s="949">
        <f>'MB '!G699</f>
        <v>12.645</v>
      </c>
      <c r="E189" s="763">
        <v>12005</v>
      </c>
      <c r="F189" s="828">
        <f>E189*D189</f>
        <v>151803.22500000001</v>
      </c>
      <c r="G189" s="828">
        <f>'[4]C&amp;I M.B Sheet'!G392</f>
        <v>16.116225</v>
      </c>
      <c r="H189" s="796">
        <f t="shared" si="6"/>
        <v>193475.28112500001</v>
      </c>
      <c r="I189" s="828">
        <f>'C&amp;I M.B Sheet'!G525</f>
        <v>12.506360000000001</v>
      </c>
      <c r="J189" s="828">
        <f t="shared" ref="J189:J194" si="9">I189*E189</f>
        <v>150138.8518</v>
      </c>
      <c r="K189" s="828"/>
      <c r="L189" s="828"/>
      <c r="M189" s="992"/>
    </row>
    <row r="190" spans="1:13">
      <c r="A190" s="803"/>
      <c r="B190" s="644"/>
      <c r="C190" s="803"/>
      <c r="D190" s="949"/>
      <c r="E190" s="799"/>
      <c r="F190" s="799"/>
      <c r="G190" s="763"/>
      <c r="H190" s="796">
        <f t="shared" si="6"/>
        <v>0</v>
      </c>
      <c r="I190" s="763"/>
      <c r="J190" s="763"/>
      <c r="K190" s="763"/>
      <c r="L190" s="763"/>
      <c r="M190" s="965"/>
    </row>
    <row r="191" spans="1:13" ht="169">
      <c r="A191" s="803">
        <v>63</v>
      </c>
      <c r="B191" s="774" t="s">
        <v>217</v>
      </c>
      <c r="C191" s="803"/>
      <c r="D191" s="949"/>
      <c r="E191" s="799"/>
      <c r="F191" s="799"/>
      <c r="G191" s="763"/>
      <c r="H191" s="796">
        <f t="shared" si="6"/>
        <v>0</v>
      </c>
      <c r="I191" s="763"/>
      <c r="J191" s="763"/>
      <c r="K191" s="763"/>
      <c r="L191" s="763"/>
      <c r="M191" s="965"/>
    </row>
    <row r="192" spans="1:13">
      <c r="A192" s="803"/>
      <c r="B192" s="774" t="s">
        <v>218</v>
      </c>
      <c r="C192" s="803" t="s">
        <v>96</v>
      </c>
      <c r="D192" s="949">
        <f>'MB '!G709</f>
        <v>19.6633</v>
      </c>
      <c r="E192" s="799">
        <v>1920.8</v>
      </c>
      <c r="F192" s="796">
        <f>E192*D192</f>
        <v>37769.266640000002</v>
      </c>
      <c r="G192" s="828">
        <f>'[4]C&amp;I M.B Sheet'!G411</f>
        <v>42.017600000000009</v>
      </c>
      <c r="H192" s="796">
        <f t="shared" si="6"/>
        <v>80707.406080000015</v>
      </c>
      <c r="I192" s="828">
        <f>'C&amp;I M.B Sheet'!G550</f>
        <v>19.66</v>
      </c>
      <c r="J192" s="828">
        <f t="shared" si="9"/>
        <v>37762.928</v>
      </c>
      <c r="K192" s="828">
        <f>'C&amp;I M.B Sheet'!G551</f>
        <v>18.409200000000002</v>
      </c>
      <c r="L192" s="828">
        <f>K192*E192</f>
        <v>35360.391360000001</v>
      </c>
      <c r="M192" s="965"/>
    </row>
    <row r="193" spans="1:13">
      <c r="A193" s="803"/>
      <c r="B193" s="774"/>
      <c r="C193" s="803"/>
      <c r="D193" s="949"/>
      <c r="E193" s="799"/>
      <c r="F193" s="799"/>
      <c r="G193" s="763"/>
      <c r="H193" s="796">
        <f t="shared" si="6"/>
        <v>0</v>
      </c>
      <c r="I193" s="763"/>
      <c r="J193" s="763"/>
      <c r="K193" s="763"/>
      <c r="L193" s="763"/>
      <c r="M193" s="965"/>
    </row>
    <row r="194" spans="1:13">
      <c r="A194" s="803">
        <v>64</v>
      </c>
      <c r="B194" s="774" t="s">
        <v>219</v>
      </c>
      <c r="C194" s="803" t="s">
        <v>117</v>
      </c>
      <c r="D194" s="949">
        <f>'MB '!G713</f>
        <v>1</v>
      </c>
      <c r="E194" s="799">
        <v>6242.6</v>
      </c>
      <c r="F194" s="796">
        <f>E194*D194</f>
        <v>6242.6</v>
      </c>
      <c r="G194" s="828">
        <f>'[4]C&amp;I M.B Sheet'!G415</f>
        <v>5.7198719999999996</v>
      </c>
      <c r="H194" s="796">
        <f t="shared" si="6"/>
        <v>35706.872947199998</v>
      </c>
      <c r="I194" s="828">
        <f>'C&amp;I M.B Sheet'!G565</f>
        <v>1</v>
      </c>
      <c r="J194" s="828">
        <f t="shared" si="9"/>
        <v>6242.6</v>
      </c>
      <c r="K194" s="828">
        <f>'C&amp;I M.B Sheet'!G566</f>
        <v>4.9506399999999999</v>
      </c>
      <c r="L194" s="828">
        <f>K194*E194</f>
        <v>30904.865264</v>
      </c>
      <c r="M194" s="965"/>
    </row>
    <row r="195" spans="1:13">
      <c r="A195" s="803"/>
      <c r="B195" s="644"/>
      <c r="C195" s="803"/>
      <c r="D195" s="949"/>
      <c r="E195" s="799"/>
      <c r="F195" s="799"/>
      <c r="G195" s="763"/>
      <c r="H195" s="796">
        <f t="shared" si="6"/>
        <v>0</v>
      </c>
      <c r="I195" s="763"/>
      <c r="J195" s="763"/>
      <c r="K195" s="763"/>
      <c r="L195" s="763"/>
      <c r="M195" s="965"/>
    </row>
    <row r="196" spans="1:13" ht="39">
      <c r="A196" s="803">
        <v>65</v>
      </c>
      <c r="B196" s="644" t="s">
        <v>220</v>
      </c>
      <c r="C196" s="803" t="s">
        <v>96</v>
      </c>
      <c r="D196" s="949">
        <f>'MB '!G729</f>
        <v>13.650000000000002</v>
      </c>
      <c r="E196" s="799">
        <v>15366.4</v>
      </c>
      <c r="F196" s="796">
        <f>E196*D196</f>
        <v>209751.36000000002</v>
      </c>
      <c r="G196" s="828">
        <f>'[4]C&amp;I M.B Sheet'!G431</f>
        <v>29.289799999999993</v>
      </c>
      <c r="H196" s="796">
        <f t="shared" si="6"/>
        <v>450078.7827199999</v>
      </c>
      <c r="I196" s="828">
        <f>'C&amp;I M.B Sheet'!G586</f>
        <v>13.65</v>
      </c>
      <c r="J196" s="828">
        <f>I196*E196</f>
        <v>209751.36</v>
      </c>
      <c r="K196" s="828">
        <f>'C&amp;I M.B Sheet'!G587</f>
        <v>5.7091500000000028</v>
      </c>
      <c r="L196" s="828">
        <f>K196*E196</f>
        <v>87729.082560000039</v>
      </c>
      <c r="M196" s="1008" t="s">
        <v>221</v>
      </c>
    </row>
    <row r="197" spans="1:13">
      <c r="A197" s="803"/>
      <c r="B197" s="644"/>
      <c r="C197" s="803"/>
      <c r="D197" s="949"/>
      <c r="E197" s="763"/>
      <c r="F197" s="799"/>
      <c r="G197" s="763"/>
      <c r="H197" s="796">
        <f t="shared" si="6"/>
        <v>0</v>
      </c>
      <c r="I197" s="763"/>
      <c r="J197" s="763"/>
      <c r="K197" s="763"/>
      <c r="L197" s="763"/>
      <c r="M197" s="965"/>
    </row>
    <row r="198" spans="1:13">
      <c r="A198" s="803"/>
      <c r="B198" s="644"/>
      <c r="C198" s="803"/>
      <c r="D198" s="949"/>
      <c r="E198" s="763"/>
      <c r="F198" s="799"/>
      <c r="G198" s="763"/>
      <c r="H198" s="796">
        <f t="shared" si="6"/>
        <v>0</v>
      </c>
      <c r="I198" s="763"/>
      <c r="J198" s="763"/>
      <c r="K198" s="763"/>
      <c r="L198" s="763"/>
      <c r="M198" s="965"/>
    </row>
    <row r="199" spans="1:13">
      <c r="A199" s="803"/>
      <c r="B199" s="644"/>
      <c r="C199" s="803"/>
      <c r="D199" s="949"/>
      <c r="E199" s="763"/>
      <c r="F199" s="763"/>
      <c r="G199" s="763"/>
      <c r="H199" s="796">
        <f t="shared" si="6"/>
        <v>0</v>
      </c>
      <c r="I199" s="763"/>
      <c r="J199" s="763"/>
      <c r="K199" s="763"/>
      <c r="L199" s="763"/>
      <c r="M199" s="965"/>
    </row>
    <row r="200" spans="1:13" ht="15.5">
      <c r="A200" s="951"/>
      <c r="B200" s="944" t="s">
        <v>222</v>
      </c>
      <c r="C200" s="951"/>
      <c r="D200" s="952"/>
      <c r="E200" s="953"/>
      <c r="F200" s="947">
        <f>SUM(F183:F199)</f>
        <v>525793.47736999998</v>
      </c>
      <c r="G200" s="1142"/>
      <c r="H200" s="947">
        <f>SUM(H183:H199)</f>
        <v>875789.41355219984</v>
      </c>
      <c r="I200" s="947"/>
      <c r="J200" s="947">
        <f>SUM(J183:J199)</f>
        <v>422287.39980000001</v>
      </c>
      <c r="K200" s="947"/>
      <c r="L200" s="947">
        <f>SUM(L183:L199)</f>
        <v>172491.16298400005</v>
      </c>
      <c r="M200" s="964"/>
    </row>
    <row r="201" spans="1:13">
      <c r="A201" s="803"/>
      <c r="B201" s="644"/>
      <c r="C201" s="803"/>
      <c r="D201" s="949"/>
      <c r="E201" s="799"/>
      <c r="F201" s="799"/>
      <c r="G201" s="763"/>
      <c r="H201" s="796">
        <f t="shared" ref="H201:H237" si="10">G201*E201</f>
        <v>0</v>
      </c>
      <c r="I201" s="763"/>
      <c r="J201" s="763"/>
      <c r="K201" s="763"/>
      <c r="L201" s="763"/>
      <c r="M201" s="965"/>
    </row>
    <row r="202" spans="1:13">
      <c r="A202" s="757" t="s">
        <v>23</v>
      </c>
      <c r="B202" s="788" t="s">
        <v>223</v>
      </c>
      <c r="C202" s="803"/>
      <c r="D202" s="949"/>
      <c r="E202" s="799"/>
      <c r="F202" s="763"/>
      <c r="G202" s="763"/>
      <c r="H202" s="796">
        <f t="shared" si="10"/>
        <v>0</v>
      </c>
      <c r="I202" s="763"/>
      <c r="J202" s="763"/>
      <c r="K202" s="763"/>
      <c r="L202" s="763"/>
      <c r="M202" s="965"/>
    </row>
    <row r="203" spans="1:13">
      <c r="A203" s="803"/>
      <c r="B203" s="787"/>
      <c r="C203" s="803"/>
      <c r="D203" s="949"/>
      <c r="E203" s="763"/>
      <c r="F203" s="763"/>
      <c r="G203" s="763"/>
      <c r="H203" s="796">
        <f t="shared" si="10"/>
        <v>0</v>
      </c>
      <c r="I203" s="763"/>
      <c r="J203" s="763"/>
      <c r="K203" s="763"/>
      <c r="L203" s="763"/>
      <c r="M203" s="965"/>
    </row>
    <row r="204" spans="1:13" ht="26">
      <c r="A204" s="803">
        <v>66</v>
      </c>
      <c r="B204" s="774" t="s">
        <v>224</v>
      </c>
      <c r="C204" s="803" t="s">
        <v>169</v>
      </c>
      <c r="D204" s="949">
        <v>4</v>
      </c>
      <c r="E204" s="799">
        <v>1920.8</v>
      </c>
      <c r="F204" s="796">
        <f>E204*D204</f>
        <v>7683.2</v>
      </c>
      <c r="G204" s="828">
        <f>'[4]C&amp;I M.B Sheet'!G436</f>
        <v>8</v>
      </c>
      <c r="H204" s="796">
        <f t="shared" si="10"/>
        <v>15366.4</v>
      </c>
      <c r="I204" s="828">
        <f>'C&amp;I M.B Sheet'!G594</f>
        <v>4</v>
      </c>
      <c r="J204" s="828">
        <f t="shared" ref="J204:J209" si="11">I204*E204</f>
        <v>7683.2</v>
      </c>
      <c r="K204" s="828">
        <f>'C&amp;I M.B Sheet'!G595</f>
        <v>5</v>
      </c>
      <c r="L204" s="828">
        <f>K204*E204</f>
        <v>9604</v>
      </c>
      <c r="M204" s="965"/>
    </row>
    <row r="205" spans="1:13">
      <c r="A205" s="803"/>
      <c r="B205" s="644"/>
      <c r="C205" s="803"/>
      <c r="D205" s="949"/>
      <c r="E205" s="799"/>
      <c r="F205" s="763"/>
      <c r="G205" s="763"/>
      <c r="H205" s="796">
        <f t="shared" si="10"/>
        <v>0</v>
      </c>
      <c r="I205" s="763"/>
      <c r="J205" s="763"/>
      <c r="K205" s="763"/>
      <c r="L205" s="763"/>
      <c r="M205" s="965"/>
    </row>
    <row r="206" spans="1:13">
      <c r="A206" s="803"/>
      <c r="B206" s="644"/>
      <c r="C206" s="803"/>
      <c r="D206" s="949"/>
      <c r="E206" s="799"/>
      <c r="F206" s="763"/>
      <c r="G206" s="763"/>
      <c r="H206" s="796">
        <f t="shared" si="10"/>
        <v>0</v>
      </c>
      <c r="I206" s="763"/>
      <c r="J206" s="763"/>
      <c r="K206" s="763"/>
      <c r="L206" s="763"/>
      <c r="M206" s="965"/>
    </row>
    <row r="207" spans="1:13" ht="26">
      <c r="A207" s="803">
        <v>67</v>
      </c>
      <c r="B207" s="774" t="s">
        <v>225</v>
      </c>
      <c r="C207" s="803" t="s">
        <v>169</v>
      </c>
      <c r="D207" s="949">
        <v>8</v>
      </c>
      <c r="E207" s="799">
        <v>2881.2</v>
      </c>
      <c r="F207" s="796">
        <f>E207*D207</f>
        <v>23049.599999999999</v>
      </c>
      <c r="G207" s="828">
        <f>'[4]C&amp;I M.B Sheet'!G439</f>
        <v>8</v>
      </c>
      <c r="H207" s="796">
        <f t="shared" si="10"/>
        <v>23049.599999999999</v>
      </c>
      <c r="I207" s="828">
        <f>'C&amp;I M.B Sheet'!G599</f>
        <v>0</v>
      </c>
      <c r="J207" s="828">
        <f t="shared" si="11"/>
        <v>0</v>
      </c>
      <c r="K207" s="828"/>
      <c r="L207" s="828"/>
      <c r="M207" s="965"/>
    </row>
    <row r="208" spans="1:13">
      <c r="A208" s="803"/>
      <c r="B208" s="644"/>
      <c r="C208" s="803"/>
      <c r="D208" s="949"/>
      <c r="E208" s="799"/>
      <c r="F208" s="763"/>
      <c r="G208" s="763"/>
      <c r="H208" s="796">
        <f t="shared" si="10"/>
        <v>0</v>
      </c>
      <c r="I208" s="763"/>
      <c r="J208" s="763"/>
      <c r="K208" s="763"/>
      <c r="L208" s="763"/>
      <c r="M208" s="965"/>
    </row>
    <row r="209" spans="1:13">
      <c r="A209" s="803">
        <v>68</v>
      </c>
      <c r="B209" s="774" t="s">
        <v>226</v>
      </c>
      <c r="C209" s="803" t="s">
        <v>169</v>
      </c>
      <c r="D209" s="949">
        <v>4</v>
      </c>
      <c r="E209" s="799">
        <v>7203</v>
      </c>
      <c r="F209" s="796">
        <f>E209*D209</f>
        <v>28812</v>
      </c>
      <c r="G209" s="828">
        <f>'[4]C&amp;I M.B Sheet'!G442</f>
        <v>4</v>
      </c>
      <c r="H209" s="796">
        <f t="shared" si="10"/>
        <v>28812</v>
      </c>
      <c r="I209" s="828">
        <f>'C&amp;I M.B Sheet'!G602</f>
        <v>0</v>
      </c>
      <c r="J209" s="828">
        <f t="shared" si="11"/>
        <v>0</v>
      </c>
      <c r="K209" s="828"/>
      <c r="L209" s="828"/>
      <c r="M209" s="965"/>
    </row>
    <row r="210" spans="1:13">
      <c r="A210" s="803"/>
      <c r="B210" s="644"/>
      <c r="C210" s="803"/>
      <c r="D210" s="949"/>
      <c r="E210" s="799"/>
      <c r="F210" s="763"/>
      <c r="G210" s="763"/>
      <c r="H210" s="796">
        <f t="shared" si="10"/>
        <v>0</v>
      </c>
      <c r="I210" s="763"/>
      <c r="J210" s="763"/>
      <c r="K210" s="763"/>
      <c r="L210" s="763"/>
      <c r="M210" s="965"/>
    </row>
    <row r="211" spans="1:13" ht="39">
      <c r="A211" s="803">
        <v>69</v>
      </c>
      <c r="B211" s="644" t="s">
        <v>227</v>
      </c>
      <c r="C211" s="803" t="s">
        <v>169</v>
      </c>
      <c r="D211" s="949">
        <v>8</v>
      </c>
      <c r="E211" s="799">
        <v>3841.6</v>
      </c>
      <c r="F211" s="796">
        <f>E211*D211</f>
        <v>30732.799999999999</v>
      </c>
      <c r="G211" s="828">
        <f>'[4]C&amp;I M.B Sheet'!G445</f>
        <v>8</v>
      </c>
      <c r="H211" s="796">
        <f t="shared" si="10"/>
        <v>30732.799999999999</v>
      </c>
      <c r="I211" s="828">
        <f>'C&amp;I M.B Sheet'!G605</f>
        <v>0</v>
      </c>
      <c r="J211" s="828">
        <f t="shared" ref="J211:J216" si="12">I211*E211</f>
        <v>0</v>
      </c>
      <c r="K211" s="828"/>
      <c r="L211" s="828"/>
      <c r="M211" s="965"/>
    </row>
    <row r="212" spans="1:13">
      <c r="A212" s="803"/>
      <c r="B212" s="644"/>
      <c r="C212" s="803"/>
      <c r="D212" s="949"/>
      <c r="E212" s="799"/>
      <c r="F212" s="763"/>
      <c r="G212" s="763"/>
      <c r="H212" s="796">
        <f t="shared" si="10"/>
        <v>0</v>
      </c>
      <c r="I212" s="763"/>
      <c r="J212" s="763"/>
      <c r="K212" s="763"/>
      <c r="L212" s="763"/>
      <c r="M212" s="965"/>
    </row>
    <row r="213" spans="1:13">
      <c r="A213" s="803"/>
      <c r="B213" s="644"/>
      <c r="C213" s="803"/>
      <c r="D213" s="949"/>
      <c r="E213" s="799"/>
      <c r="F213" s="763"/>
      <c r="G213" s="763"/>
      <c r="H213" s="796">
        <f t="shared" si="10"/>
        <v>0</v>
      </c>
      <c r="I213" s="763"/>
      <c r="J213" s="763"/>
      <c r="K213" s="763"/>
      <c r="L213" s="763"/>
      <c r="M213" s="965"/>
    </row>
    <row r="214" spans="1:13" ht="26">
      <c r="A214" s="803">
        <v>70</v>
      </c>
      <c r="B214" s="774" t="s">
        <v>228</v>
      </c>
      <c r="C214" s="803" t="s">
        <v>169</v>
      </c>
      <c r="D214" s="949">
        <v>1</v>
      </c>
      <c r="E214" s="799">
        <v>6242.6</v>
      </c>
      <c r="F214" s="796">
        <f>E214*D214</f>
        <v>6242.6</v>
      </c>
      <c r="G214" s="828">
        <f>'[4]C&amp;I M.B Sheet'!G448</f>
        <v>2</v>
      </c>
      <c r="H214" s="796">
        <f t="shared" si="10"/>
        <v>12485.2</v>
      </c>
      <c r="I214" s="828">
        <f>'C&amp;I M.B Sheet'!G609</f>
        <v>1</v>
      </c>
      <c r="J214" s="828">
        <f t="shared" si="12"/>
        <v>6242.6</v>
      </c>
      <c r="K214" s="828">
        <f>'C&amp;I M.B Sheet'!G610</f>
        <v>1</v>
      </c>
      <c r="L214" s="828">
        <f>K214*E214</f>
        <v>6242.6</v>
      </c>
      <c r="M214" s="965"/>
    </row>
    <row r="215" spans="1:13">
      <c r="A215" s="803"/>
      <c r="B215" s="644"/>
      <c r="C215" s="803"/>
      <c r="D215" s="949"/>
      <c r="E215" s="799"/>
      <c r="F215" s="763"/>
      <c r="G215" s="763"/>
      <c r="H215" s="796">
        <f t="shared" si="10"/>
        <v>0</v>
      </c>
      <c r="I215" s="763"/>
      <c r="J215" s="763"/>
      <c r="K215" s="763"/>
      <c r="L215" s="763"/>
      <c r="M215" s="965"/>
    </row>
    <row r="216" spans="1:13" ht="39">
      <c r="A216" s="803">
        <v>71</v>
      </c>
      <c r="B216" s="774" t="s">
        <v>229</v>
      </c>
      <c r="C216" s="803" t="s">
        <v>169</v>
      </c>
      <c r="D216" s="949">
        <v>1</v>
      </c>
      <c r="E216" s="799">
        <v>8163.4</v>
      </c>
      <c r="F216" s="796">
        <f>E216*D216</f>
        <v>8163.4</v>
      </c>
      <c r="G216" s="828">
        <f>'[4]C&amp;I M.B Sheet'!G448</f>
        <v>2</v>
      </c>
      <c r="H216" s="796">
        <f t="shared" si="10"/>
        <v>16326.8</v>
      </c>
      <c r="I216" s="828"/>
      <c r="J216" s="828">
        <f t="shared" si="12"/>
        <v>0</v>
      </c>
      <c r="K216" s="828"/>
      <c r="L216" s="828"/>
      <c r="M216" s="965"/>
    </row>
    <row r="217" spans="1:13">
      <c r="A217" s="803"/>
      <c r="B217" s="644"/>
      <c r="C217" s="803"/>
      <c r="D217" s="949"/>
      <c r="E217" s="799"/>
      <c r="F217" s="763"/>
      <c r="G217" s="763"/>
      <c r="H217" s="796">
        <f t="shared" si="10"/>
        <v>0</v>
      </c>
      <c r="I217" s="763"/>
      <c r="J217" s="763"/>
      <c r="K217" s="763"/>
      <c r="L217" s="763"/>
      <c r="M217" s="965"/>
    </row>
    <row r="218" spans="1:13" ht="65">
      <c r="A218" s="803">
        <v>72</v>
      </c>
      <c r="B218" s="644" t="s">
        <v>230</v>
      </c>
      <c r="C218" s="803" t="s">
        <v>169</v>
      </c>
      <c r="D218" s="949">
        <v>1</v>
      </c>
      <c r="E218" s="799">
        <v>9604</v>
      </c>
      <c r="F218" s="796">
        <f>E218*D218</f>
        <v>9604</v>
      </c>
      <c r="G218" s="828">
        <f>'[4]C&amp;I M.B Sheet'!G454</f>
        <v>2</v>
      </c>
      <c r="H218" s="796">
        <f t="shared" si="10"/>
        <v>19208</v>
      </c>
      <c r="I218" s="828">
        <f>'C&amp;I M.B Sheet'!G617</f>
        <v>0</v>
      </c>
      <c r="J218" s="828">
        <f>I218*E218</f>
        <v>0</v>
      </c>
      <c r="K218" s="828"/>
      <c r="L218" s="828"/>
      <c r="M218" s="965"/>
    </row>
    <row r="219" spans="1:13">
      <c r="A219" s="803"/>
      <c r="B219" s="644"/>
      <c r="C219" s="803"/>
      <c r="D219" s="949"/>
      <c r="E219" s="799"/>
      <c r="F219" s="763"/>
      <c r="G219" s="763"/>
      <c r="H219" s="796">
        <f t="shared" si="10"/>
        <v>0</v>
      </c>
      <c r="I219" s="763"/>
      <c r="J219" s="763"/>
      <c r="K219" s="763"/>
      <c r="L219" s="763"/>
      <c r="M219" s="965"/>
    </row>
    <row r="220" spans="1:13" ht="26">
      <c r="A220" s="803">
        <v>73</v>
      </c>
      <c r="B220" s="644" t="s">
        <v>231</v>
      </c>
      <c r="C220" s="803" t="s">
        <v>169</v>
      </c>
      <c r="D220" s="949">
        <v>1</v>
      </c>
      <c r="E220" s="799">
        <v>6722.8</v>
      </c>
      <c r="F220" s="796">
        <f>E220*D220</f>
        <v>6722.8</v>
      </c>
      <c r="G220" s="828">
        <f>'[4]C&amp;I M.B Sheet'!G457</f>
        <v>2</v>
      </c>
      <c r="H220" s="796">
        <f t="shared" si="10"/>
        <v>13445.6</v>
      </c>
      <c r="I220" s="828">
        <f>'C&amp;I M.B Sheet'!G620</f>
        <v>0</v>
      </c>
      <c r="J220" s="828">
        <f>I220*E220</f>
        <v>0</v>
      </c>
      <c r="K220" s="828"/>
      <c r="L220" s="828"/>
      <c r="M220" s="965"/>
    </row>
    <row r="221" spans="1:13">
      <c r="A221" s="803"/>
      <c r="B221" s="644"/>
      <c r="C221" s="803"/>
      <c r="D221" s="949"/>
      <c r="E221" s="799"/>
      <c r="F221" s="763"/>
      <c r="G221" s="763"/>
      <c r="H221" s="796">
        <f t="shared" si="10"/>
        <v>0</v>
      </c>
      <c r="I221" s="763"/>
      <c r="J221" s="763"/>
      <c r="K221" s="763"/>
      <c r="L221" s="763"/>
      <c r="M221" s="965"/>
    </row>
    <row r="222" spans="1:13">
      <c r="A222" s="803"/>
      <c r="B222" s="644"/>
      <c r="C222" s="803"/>
      <c r="D222" s="949"/>
      <c r="E222" s="799"/>
      <c r="F222" s="799"/>
      <c r="G222" s="763"/>
      <c r="H222" s="796">
        <f t="shared" si="10"/>
        <v>0</v>
      </c>
      <c r="I222" s="763"/>
      <c r="J222" s="763"/>
      <c r="K222" s="763"/>
      <c r="L222" s="763"/>
      <c r="M222" s="965"/>
    </row>
    <row r="223" spans="1:13" ht="26">
      <c r="A223" s="803">
        <v>74</v>
      </c>
      <c r="B223" s="644" t="s">
        <v>232</v>
      </c>
      <c r="C223" s="803" t="s">
        <v>111</v>
      </c>
      <c r="D223" s="960" t="s">
        <v>180</v>
      </c>
      <c r="E223" s="799">
        <v>1920.8</v>
      </c>
      <c r="F223" s="796"/>
      <c r="G223" s="828"/>
      <c r="H223" s="796">
        <f t="shared" si="10"/>
        <v>0</v>
      </c>
      <c r="I223" s="828"/>
      <c r="J223" s="828"/>
      <c r="K223" s="828"/>
      <c r="L223" s="828"/>
      <c r="M223" s="965"/>
    </row>
    <row r="224" spans="1:13">
      <c r="A224" s="803"/>
      <c r="B224" s="644"/>
      <c r="C224" s="803"/>
      <c r="D224" s="960"/>
      <c r="E224" s="799"/>
      <c r="F224" s="799"/>
      <c r="G224" s="763"/>
      <c r="H224" s="796">
        <f t="shared" si="10"/>
        <v>0</v>
      </c>
      <c r="I224" s="763"/>
      <c r="J224" s="763"/>
      <c r="K224" s="763"/>
      <c r="L224" s="763"/>
      <c r="M224" s="965"/>
    </row>
    <row r="225" spans="1:13" ht="26">
      <c r="A225" s="803">
        <v>75</v>
      </c>
      <c r="B225" s="644" t="s">
        <v>233</v>
      </c>
      <c r="C225" s="803" t="s">
        <v>111</v>
      </c>
      <c r="D225" s="960" t="s">
        <v>180</v>
      </c>
      <c r="E225" s="799">
        <v>768.32</v>
      </c>
      <c r="F225" s="796"/>
      <c r="G225" s="828">
        <f>'[4]C&amp;I M.B Sheet'!G467</f>
        <v>70</v>
      </c>
      <c r="H225" s="796">
        <f t="shared" si="10"/>
        <v>53782.400000000001</v>
      </c>
      <c r="I225" s="828"/>
      <c r="J225" s="828">
        <f>I225*E225</f>
        <v>0</v>
      </c>
      <c r="K225" s="828">
        <f>'C&amp;I M.B Sheet'!G632</f>
        <v>25.553100000000001</v>
      </c>
      <c r="L225" s="828">
        <f>K225*E225</f>
        <v>19632.957792000001</v>
      </c>
      <c r="M225" s="965"/>
    </row>
    <row r="226" spans="1:13">
      <c r="A226" s="803"/>
      <c r="B226" s="644"/>
      <c r="C226" s="803"/>
      <c r="D226" s="949"/>
      <c r="E226" s="799"/>
      <c r="F226" s="799"/>
      <c r="G226" s="763"/>
      <c r="H226" s="796">
        <f t="shared" si="10"/>
        <v>0</v>
      </c>
      <c r="I226" s="763"/>
      <c r="J226" s="763"/>
      <c r="K226" s="763"/>
      <c r="L226" s="763"/>
      <c r="M226" s="965"/>
    </row>
    <row r="227" spans="1:13" ht="39">
      <c r="A227" s="803">
        <v>76</v>
      </c>
      <c r="B227" s="644" t="s">
        <v>234</v>
      </c>
      <c r="C227" s="803" t="s">
        <v>111</v>
      </c>
      <c r="D227" s="960" t="s">
        <v>180</v>
      </c>
      <c r="E227" s="799">
        <v>1200.5</v>
      </c>
      <c r="F227" s="796"/>
      <c r="G227" s="828"/>
      <c r="H227" s="796">
        <f t="shared" si="10"/>
        <v>0</v>
      </c>
      <c r="I227" s="828"/>
      <c r="J227" s="828"/>
      <c r="K227" s="828"/>
      <c r="L227" s="828"/>
      <c r="M227" s="965"/>
    </row>
    <row r="228" spans="1:13">
      <c r="A228" s="803"/>
      <c r="B228" s="644"/>
      <c r="C228" s="803"/>
      <c r="D228" s="960"/>
      <c r="E228" s="799"/>
      <c r="F228" s="799"/>
      <c r="G228" s="763"/>
      <c r="H228" s="796">
        <f t="shared" si="10"/>
        <v>0</v>
      </c>
      <c r="I228" s="763"/>
      <c r="J228" s="763"/>
      <c r="K228" s="763"/>
      <c r="L228" s="763"/>
      <c r="M228" s="965"/>
    </row>
    <row r="229" spans="1:13" ht="15.5">
      <c r="A229" s="433"/>
      <c r="B229" s="944" t="s">
        <v>105</v>
      </c>
      <c r="C229" s="433"/>
      <c r="D229" s="945"/>
      <c r="E229" s="947"/>
      <c r="F229" s="947">
        <f>SUM(F204:F228)</f>
        <v>121010.40000000001</v>
      </c>
      <c r="G229" s="1142"/>
      <c r="H229" s="947">
        <f>SUM(H204:H228)</f>
        <v>213208.8</v>
      </c>
      <c r="I229" s="947"/>
      <c r="J229" s="947">
        <f>SUM(J204:J228)</f>
        <v>13925.8</v>
      </c>
      <c r="K229" s="947"/>
      <c r="L229" s="947">
        <f>SUM(L204:L228)</f>
        <v>35479.557792</v>
      </c>
      <c r="M229" s="964"/>
    </row>
    <row r="230" spans="1:13">
      <c r="A230" s="803"/>
      <c r="B230" s="756"/>
      <c r="C230" s="803"/>
      <c r="D230" s="949"/>
      <c r="E230" s="763"/>
      <c r="F230" s="828"/>
      <c r="G230" s="828"/>
      <c r="H230" s="796">
        <f t="shared" si="10"/>
        <v>0</v>
      </c>
      <c r="I230" s="828"/>
      <c r="J230" s="828"/>
      <c r="K230" s="828"/>
      <c r="L230" s="828"/>
      <c r="M230" s="1009"/>
    </row>
    <row r="231" spans="1:13">
      <c r="A231" s="803"/>
      <c r="B231" s="644"/>
      <c r="C231" s="803"/>
      <c r="D231" s="949"/>
      <c r="E231" s="799"/>
      <c r="F231" s="799"/>
      <c r="G231" s="763"/>
      <c r="H231" s="796">
        <f t="shared" si="10"/>
        <v>0</v>
      </c>
      <c r="I231" s="763"/>
      <c r="J231" s="763"/>
      <c r="K231" s="763"/>
      <c r="L231" s="763"/>
      <c r="M231" s="992"/>
    </row>
    <row r="232" spans="1:13" s="935" customFormat="1" ht="24" customHeight="1">
      <c r="A232" s="993"/>
      <c r="B232" s="994" t="s">
        <v>235</v>
      </c>
      <c r="C232" s="995"/>
      <c r="D232" s="996"/>
      <c r="E232" s="997" t="s">
        <v>1875</v>
      </c>
      <c r="F232" s="997"/>
      <c r="G232" s="1143"/>
      <c r="H232" s="1143"/>
      <c r="I232" s="997"/>
      <c r="J232" s="997"/>
      <c r="K232" s="997"/>
      <c r="L232" s="997"/>
      <c r="M232" s="1010"/>
    </row>
    <row r="233" spans="1:13" s="933" customFormat="1" ht="26">
      <c r="A233" s="773">
        <v>1</v>
      </c>
      <c r="B233" s="644" t="s">
        <v>236</v>
      </c>
      <c r="C233" s="803" t="s">
        <v>111</v>
      </c>
      <c r="D233" s="949"/>
      <c r="E233" s="763">
        <v>8850</v>
      </c>
      <c r="F233" s="799">
        <f>E233*D233</f>
        <v>0</v>
      </c>
      <c r="G233" s="763">
        <v>11.0016</v>
      </c>
      <c r="H233" s="796">
        <f t="shared" si="10"/>
        <v>97364.160000000003</v>
      </c>
      <c r="I233" s="763"/>
      <c r="J233" s="1011">
        <f>I233*E233</f>
        <v>0</v>
      </c>
      <c r="K233" s="1171">
        <f>'C&amp;I M.B Sheet'!G641</f>
        <v>10.44</v>
      </c>
      <c r="L233" s="1165">
        <f>K233*E233</f>
        <v>92394</v>
      </c>
      <c r="M233" s="1012"/>
    </row>
    <row r="234" spans="1:13" s="934" customFormat="1" ht="16" customHeight="1">
      <c r="A234" s="803">
        <v>2</v>
      </c>
      <c r="B234" s="998" t="s">
        <v>237</v>
      </c>
      <c r="C234" s="803" t="s">
        <v>111</v>
      </c>
      <c r="D234" s="949"/>
      <c r="E234" s="763">
        <v>4350</v>
      </c>
      <c r="F234" s="799">
        <f>E234*D234</f>
        <v>0</v>
      </c>
      <c r="G234" s="763">
        <v>22</v>
      </c>
      <c r="H234" s="796">
        <f t="shared" si="10"/>
        <v>95700</v>
      </c>
      <c r="I234" s="763"/>
      <c r="J234" s="1011">
        <f t="shared" ref="J234:J237" si="13">I234*E234</f>
        <v>0</v>
      </c>
      <c r="K234" s="1165"/>
      <c r="L234" s="1165"/>
      <c r="M234" s="1013"/>
    </row>
    <row r="235" spans="1:13" s="934" customFormat="1" ht="17" customHeight="1">
      <c r="A235" s="803">
        <v>3</v>
      </c>
      <c r="B235" s="998" t="s">
        <v>1896</v>
      </c>
      <c r="C235" s="803" t="s">
        <v>157</v>
      </c>
      <c r="D235" s="949"/>
      <c r="E235" s="763">
        <v>3150</v>
      </c>
      <c r="F235" s="799">
        <f>E235*D235</f>
        <v>0</v>
      </c>
      <c r="G235" s="763">
        <v>8</v>
      </c>
      <c r="H235" s="796">
        <f t="shared" si="10"/>
        <v>25200</v>
      </c>
      <c r="I235" s="763"/>
      <c r="J235" s="1011">
        <f t="shared" si="13"/>
        <v>0</v>
      </c>
      <c r="K235" s="1165"/>
      <c r="L235" s="1165"/>
      <c r="M235" s="1013"/>
    </row>
    <row r="236" spans="1:13" ht="26">
      <c r="A236" s="803">
        <v>4</v>
      </c>
      <c r="B236" s="644" t="s">
        <v>238</v>
      </c>
      <c r="C236" s="803" t="s">
        <v>157</v>
      </c>
      <c r="D236" s="949"/>
      <c r="E236" s="763">
        <v>2150</v>
      </c>
      <c r="F236" s="763"/>
      <c r="G236" s="763">
        <v>67.599999999999994</v>
      </c>
      <c r="H236" s="796">
        <f t="shared" si="10"/>
        <v>145340</v>
      </c>
      <c r="I236" s="763"/>
      <c r="J236" s="1011">
        <f t="shared" si="13"/>
        <v>0</v>
      </c>
      <c r="K236" s="1171">
        <f>'C&amp;I M.B Sheet'!G650</f>
        <v>67.600000000000009</v>
      </c>
      <c r="L236" s="1165">
        <f>K236*E236</f>
        <v>145340.00000000003</v>
      </c>
      <c r="M236" s="1014"/>
    </row>
    <row r="237" spans="1:13" ht="26">
      <c r="A237" s="803">
        <v>4</v>
      </c>
      <c r="B237" s="644" t="s">
        <v>239</v>
      </c>
      <c r="C237" s="803" t="s">
        <v>157</v>
      </c>
      <c r="D237" s="949"/>
      <c r="E237" s="763">
        <v>4350</v>
      </c>
      <c r="F237" s="763"/>
      <c r="G237" s="763">
        <f>'[4]C&amp;I M.B Sheet'!G491</f>
        <v>20.877000000000002</v>
      </c>
      <c r="H237" s="796">
        <f t="shared" si="10"/>
        <v>90814.950000000012</v>
      </c>
      <c r="I237" s="763">
        <f>'C&amp;I M.B Sheet'!G656</f>
        <v>0</v>
      </c>
      <c r="J237" s="1011">
        <f t="shared" si="13"/>
        <v>0</v>
      </c>
      <c r="K237" s="1165"/>
      <c r="L237" s="1165"/>
      <c r="M237" s="1014"/>
    </row>
    <row r="238" spans="1:13">
      <c r="A238" s="999"/>
      <c r="B238" s="1000"/>
      <c r="C238" s="999"/>
      <c r="D238" s="1001"/>
      <c r="E238" s="1002"/>
      <c r="F238" s="1002"/>
      <c r="G238" s="1002"/>
      <c r="H238" s="1002"/>
      <c r="I238" s="1002"/>
      <c r="J238" s="1015"/>
      <c r="K238" s="1166"/>
      <c r="L238" s="1166"/>
      <c r="M238" s="1016"/>
    </row>
    <row r="239" spans="1:13" ht="21">
      <c r="A239" s="1003"/>
      <c r="B239" s="1004" t="s">
        <v>240</v>
      </c>
      <c r="C239" s="1003"/>
      <c r="D239" s="1005"/>
      <c r="E239" s="1006"/>
      <c r="F239" s="1006"/>
      <c r="G239" s="1144"/>
      <c r="H239" s="1006">
        <f>SUM(H233:H238)</f>
        <v>454419.11000000004</v>
      </c>
      <c r="I239" s="1006"/>
      <c r="J239" s="1017"/>
      <c r="K239" s="1017"/>
      <c r="L239" s="1006">
        <f>SUM(L233:L238)</f>
        <v>237734.00000000003</v>
      </c>
      <c r="M239" s="1018"/>
    </row>
  </sheetData>
  <mergeCells count="1">
    <mergeCell ref="A1:M2"/>
  </mergeCells>
  <conditionalFormatting sqref="B33:B36 B202">
    <cfRule type="cellIs" dxfId="23" priority="1" stopIfTrue="1" operator="equal">
      <formula>0</formula>
    </cfRule>
  </conditionalFormatting>
  <printOptions gridLines="1"/>
  <pageMargins left="0.70866141732283505" right="0.70866141732283505" top="0.74803149606299202" bottom="0.74803149606299202" header="0.31496062992126" footer="0.31496062992126"/>
  <pageSetup paperSize="9" scale="37" pageOrder="overThenDown" orientation="portrait" r:id="rId1"/>
  <headerFooter>
    <oddFooter>&amp;C&amp;P</oddFooter>
  </headerFooter>
  <rowBreaks count="1" manualBreakCount="1">
    <brk id="16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7" workbookViewId="0">
      <selection activeCell="N26" sqref="N26"/>
    </sheetView>
  </sheetViews>
  <sheetFormatPr defaultColWidth="9" defaultRowHeight="1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2"/>
  <sheetViews>
    <sheetView workbookViewId="0">
      <pane xSplit="2" ySplit="1" topLeftCell="C24" activePane="bottomRight" state="frozen"/>
      <selection pane="topRight"/>
      <selection pane="bottomLeft"/>
      <selection pane="bottomRight" activeCell="B5" sqref="B5"/>
    </sheetView>
  </sheetViews>
  <sheetFormatPr defaultColWidth="9.08984375" defaultRowHeight="12.5"/>
  <cols>
    <col min="1" max="1" width="4.6328125" style="845" customWidth="1"/>
    <col min="2" max="2" width="38.08984375" style="846" customWidth="1"/>
    <col min="3" max="3" width="8.54296875" style="847" customWidth="1"/>
    <col min="4" max="4" width="9" style="848" customWidth="1"/>
    <col min="5" max="6" width="9.08984375" style="847" customWidth="1"/>
    <col min="7" max="7" width="13" style="849" customWidth="1"/>
    <col min="8" max="16384" width="9.08984375" style="850"/>
  </cols>
  <sheetData>
    <row r="1" spans="1:7" s="843" customFormat="1" ht="13">
      <c r="A1" s="851" t="s">
        <v>86</v>
      </c>
      <c r="B1" s="852" t="s">
        <v>87</v>
      </c>
      <c r="C1" s="853" t="s">
        <v>169</v>
      </c>
      <c r="D1" s="854" t="s">
        <v>241</v>
      </c>
      <c r="E1" s="853" t="s">
        <v>10</v>
      </c>
      <c r="F1" s="853" t="s">
        <v>242</v>
      </c>
      <c r="G1" s="855" t="s">
        <v>243</v>
      </c>
    </row>
    <row r="2" spans="1:7" s="844" customFormat="1" ht="13">
      <c r="A2" s="856"/>
      <c r="B2" s="852"/>
      <c r="C2" s="857"/>
      <c r="D2" s="858"/>
      <c r="E2" s="859"/>
      <c r="F2" s="859"/>
      <c r="G2" s="860"/>
    </row>
    <row r="3" spans="1:7" s="844" customFormat="1" ht="13">
      <c r="A3" s="856"/>
      <c r="B3" s="852" t="s">
        <v>244</v>
      </c>
      <c r="C3" s="857">
        <v>1</v>
      </c>
      <c r="D3" s="858"/>
      <c r="E3" s="859"/>
      <c r="F3" s="859"/>
      <c r="G3" s="861">
        <f>D3*C3</f>
        <v>0</v>
      </c>
    </row>
    <row r="4" spans="1:7" s="844" customFormat="1" ht="13">
      <c r="A4" s="856"/>
      <c r="B4" s="852" t="s">
        <v>245</v>
      </c>
      <c r="C4" s="857"/>
      <c r="D4" s="858"/>
      <c r="E4" s="859"/>
      <c r="F4" s="859"/>
      <c r="G4" s="860"/>
    </row>
    <row r="5" spans="1:7" s="844" customFormat="1" ht="13">
      <c r="A5" s="851" t="s">
        <v>6</v>
      </c>
      <c r="B5" s="852" t="s">
        <v>93</v>
      </c>
      <c r="C5" s="857"/>
      <c r="D5" s="858"/>
      <c r="E5" s="859"/>
      <c r="F5" s="859"/>
      <c r="G5" s="860"/>
    </row>
    <row r="6" spans="1:7" s="844" customFormat="1" ht="13">
      <c r="A6" s="856"/>
      <c r="B6" s="852"/>
      <c r="C6" s="857"/>
      <c r="D6" s="858"/>
      <c r="E6" s="859"/>
      <c r="F6" s="859"/>
      <c r="G6" s="860"/>
    </row>
    <row r="7" spans="1:7" s="844" customFormat="1" ht="125">
      <c r="A7" s="67" t="s">
        <v>94</v>
      </c>
      <c r="B7" s="862" t="s">
        <v>246</v>
      </c>
      <c r="C7" s="863">
        <v>1</v>
      </c>
      <c r="D7" s="864">
        <v>3.0649999999999999</v>
      </c>
      <c r="E7" s="865"/>
      <c r="F7" s="865">
        <v>3.2</v>
      </c>
      <c r="G7" s="866">
        <f>F7*D7</f>
        <v>9.8079999999999998</v>
      </c>
    </row>
    <row r="8" spans="1:7" s="844" customFormat="1" ht="13">
      <c r="A8" s="67"/>
      <c r="B8" s="50"/>
      <c r="C8" s="863"/>
      <c r="D8" s="864"/>
      <c r="E8" s="865"/>
      <c r="F8" s="865"/>
      <c r="G8" s="866"/>
    </row>
    <row r="9" spans="1:7" s="844" customFormat="1" ht="13">
      <c r="A9" s="67"/>
      <c r="B9" s="50"/>
      <c r="C9" s="863"/>
      <c r="D9" s="864"/>
      <c r="E9" s="865"/>
      <c r="F9" s="865" t="s">
        <v>96</v>
      </c>
      <c r="G9" s="866">
        <f>SUM(G7:G8)</f>
        <v>9.8079999999999998</v>
      </c>
    </row>
    <row r="10" spans="1:7" s="844" customFormat="1" ht="91">
      <c r="A10" s="67">
        <v>2</v>
      </c>
      <c r="B10" s="50" t="s">
        <v>97</v>
      </c>
      <c r="C10" s="867" t="s">
        <v>98</v>
      </c>
      <c r="D10" s="868" t="s">
        <v>99</v>
      </c>
      <c r="E10" s="859"/>
      <c r="F10" s="859"/>
      <c r="G10" s="860"/>
    </row>
    <row r="11" spans="1:7" s="844" customFormat="1" ht="13">
      <c r="A11" s="67"/>
      <c r="B11" s="50"/>
      <c r="C11" s="867"/>
      <c r="D11" s="868"/>
      <c r="E11" s="859"/>
      <c r="F11" s="859"/>
      <c r="G11" s="860"/>
    </row>
    <row r="12" spans="1:7" s="844" customFormat="1" ht="65">
      <c r="A12" s="67">
        <v>3</v>
      </c>
      <c r="B12" s="50" t="s">
        <v>100</v>
      </c>
      <c r="C12" s="867" t="s">
        <v>101</v>
      </c>
      <c r="D12" s="868" t="s">
        <v>99</v>
      </c>
      <c r="E12" s="859"/>
      <c r="F12" s="859"/>
      <c r="G12" s="860"/>
    </row>
    <row r="13" spans="1:7" s="844" customFormat="1" ht="13">
      <c r="A13" s="67"/>
      <c r="B13" s="50"/>
      <c r="C13" s="867"/>
      <c r="D13" s="868"/>
      <c r="E13" s="859"/>
      <c r="F13" s="859"/>
      <c r="G13" s="860"/>
    </row>
    <row r="14" spans="1:7" s="844" customFormat="1" ht="78">
      <c r="A14" s="67">
        <v>4</v>
      </c>
      <c r="B14" s="50" t="s">
        <v>102</v>
      </c>
      <c r="C14" s="867" t="s">
        <v>101</v>
      </c>
      <c r="D14" s="868" t="s">
        <v>99</v>
      </c>
      <c r="E14" s="859"/>
      <c r="F14" s="859"/>
      <c r="G14" s="860"/>
    </row>
    <row r="15" spans="1:7" s="844" customFormat="1" ht="13">
      <c r="A15" s="67"/>
      <c r="B15" s="50"/>
      <c r="C15" s="867"/>
      <c r="D15" s="868"/>
      <c r="E15" s="859"/>
      <c r="F15" s="859"/>
      <c r="G15" s="860"/>
    </row>
    <row r="16" spans="1:7" s="844" customFormat="1" ht="78">
      <c r="A16" s="67">
        <v>5</v>
      </c>
      <c r="B16" s="50" t="s">
        <v>247</v>
      </c>
      <c r="C16" s="867" t="s">
        <v>98</v>
      </c>
      <c r="D16" s="868" t="s">
        <v>99</v>
      </c>
      <c r="E16" s="859"/>
      <c r="F16" s="859"/>
      <c r="G16" s="860"/>
    </row>
    <row r="17" spans="1:7" s="844" customFormat="1" ht="13">
      <c r="A17" s="67"/>
      <c r="B17" s="50"/>
      <c r="C17" s="867"/>
      <c r="D17" s="868"/>
      <c r="E17" s="859"/>
      <c r="F17" s="859"/>
      <c r="G17" s="860"/>
    </row>
    <row r="18" spans="1:7" s="844" customFormat="1" ht="91">
      <c r="A18" s="67">
        <v>6</v>
      </c>
      <c r="B18" s="50" t="s">
        <v>248</v>
      </c>
      <c r="C18" s="867" t="s">
        <v>101</v>
      </c>
      <c r="D18" s="868" t="s">
        <v>99</v>
      </c>
      <c r="E18" s="859"/>
      <c r="F18" s="859"/>
      <c r="G18" s="860"/>
    </row>
    <row r="19" spans="1:7" s="844" customFormat="1" ht="13">
      <c r="A19" s="856"/>
      <c r="B19" s="852"/>
      <c r="C19" s="857"/>
      <c r="D19" s="858"/>
      <c r="E19" s="859"/>
      <c r="F19" s="859"/>
      <c r="G19" s="860"/>
    </row>
    <row r="20" spans="1:7" s="844" customFormat="1" ht="13">
      <c r="A20" s="856"/>
      <c r="B20" s="852"/>
      <c r="C20" s="857"/>
      <c r="D20" s="858"/>
      <c r="E20" s="859"/>
      <c r="F20" s="859"/>
      <c r="G20" s="860"/>
    </row>
    <row r="21" spans="1:7" s="844" customFormat="1" ht="13">
      <c r="A21" s="856"/>
      <c r="B21" s="852"/>
      <c r="C21" s="857"/>
      <c r="D21" s="858"/>
      <c r="E21" s="859"/>
      <c r="F21" s="859"/>
      <c r="G21" s="860"/>
    </row>
    <row r="22" spans="1:7" s="844" customFormat="1" ht="13">
      <c r="A22" s="851" t="s">
        <v>8</v>
      </c>
      <c r="B22" s="852" t="s">
        <v>106</v>
      </c>
      <c r="C22" s="857"/>
      <c r="D22" s="858"/>
      <c r="E22" s="869"/>
      <c r="F22" s="869"/>
      <c r="G22" s="870"/>
    </row>
    <row r="23" spans="1:7" s="844" customFormat="1" ht="13">
      <c r="A23" s="851"/>
      <c r="B23" s="852"/>
      <c r="C23" s="857"/>
      <c r="D23" s="858"/>
      <c r="E23" s="869"/>
      <c r="F23" s="869"/>
      <c r="G23" s="870"/>
    </row>
    <row r="24" spans="1:7" s="844" customFormat="1" ht="187.5">
      <c r="A24" s="41">
        <v>7</v>
      </c>
      <c r="B24" s="42" t="s">
        <v>107</v>
      </c>
      <c r="C24" s="1" t="s">
        <v>108</v>
      </c>
      <c r="D24" s="871" t="s">
        <v>109</v>
      </c>
      <c r="E24" s="872"/>
      <c r="F24" s="872"/>
      <c r="G24" s="873"/>
    </row>
    <row r="25" spans="1:7" s="844" customFormat="1">
      <c r="A25" s="41"/>
      <c r="B25" s="42"/>
      <c r="C25" s="1"/>
      <c r="D25" s="871"/>
      <c r="E25" s="872"/>
      <c r="F25" s="872"/>
      <c r="G25" s="873"/>
    </row>
    <row r="26" spans="1:7" s="844" customFormat="1" ht="40.5" customHeight="1">
      <c r="A26" s="856">
        <v>8</v>
      </c>
      <c r="B26" s="852" t="s">
        <v>249</v>
      </c>
      <c r="C26" s="874" t="s">
        <v>250</v>
      </c>
      <c r="D26" s="875"/>
      <c r="E26" s="872"/>
      <c r="F26" s="872"/>
      <c r="G26" s="873"/>
    </row>
    <row r="27" spans="1:7" s="844" customFormat="1">
      <c r="A27" s="856"/>
      <c r="B27" s="876"/>
      <c r="C27" s="874"/>
      <c r="D27" s="877"/>
      <c r="E27" s="874"/>
      <c r="F27" s="874"/>
      <c r="G27" s="878"/>
    </row>
    <row r="28" spans="1:7" s="844" customFormat="1">
      <c r="A28" s="856"/>
      <c r="B28" s="862"/>
      <c r="C28" s="874"/>
      <c r="D28" s="875"/>
      <c r="E28" s="872"/>
      <c r="F28" s="872"/>
      <c r="G28" s="879"/>
    </row>
    <row r="29" spans="1:7" s="844" customFormat="1" ht="25">
      <c r="A29" s="856"/>
      <c r="B29" s="862" t="s">
        <v>251</v>
      </c>
      <c r="C29" s="874">
        <v>1</v>
      </c>
      <c r="D29" s="875">
        <v>3.0649999999999999</v>
      </c>
      <c r="E29" s="872"/>
      <c r="F29" s="872">
        <v>3.4</v>
      </c>
      <c r="G29" s="879">
        <f>F29*D29*C29</f>
        <v>10.420999999999999</v>
      </c>
    </row>
    <row r="30" spans="1:7" s="844" customFormat="1">
      <c r="A30" s="856"/>
      <c r="B30" s="862" t="s">
        <v>252</v>
      </c>
      <c r="C30" s="874">
        <v>1</v>
      </c>
      <c r="D30" s="875">
        <v>1.95</v>
      </c>
      <c r="E30" s="872"/>
      <c r="F30" s="872">
        <v>3.4</v>
      </c>
      <c r="G30" s="879">
        <f t="shared" ref="G30:G36" si="0">F30*D30*C30</f>
        <v>6.63</v>
      </c>
    </row>
    <row r="31" spans="1:7" s="844" customFormat="1">
      <c r="A31" s="856"/>
      <c r="B31" s="862" t="s">
        <v>253</v>
      </c>
      <c r="C31" s="874">
        <v>1</v>
      </c>
      <c r="D31" s="875">
        <v>2.4350000000000001</v>
      </c>
      <c r="E31" s="872"/>
      <c r="F31" s="872">
        <v>4.2</v>
      </c>
      <c r="G31" s="879">
        <f t="shared" si="0"/>
        <v>10.227</v>
      </c>
    </row>
    <row r="32" spans="1:7" s="844" customFormat="1">
      <c r="A32" s="856"/>
      <c r="B32" s="862" t="s">
        <v>254</v>
      </c>
      <c r="C32" s="874">
        <v>1</v>
      </c>
      <c r="D32" s="875">
        <v>2.06</v>
      </c>
      <c r="E32" s="872"/>
      <c r="F32" s="872">
        <v>4.2</v>
      </c>
      <c r="G32" s="879">
        <f t="shared" si="0"/>
        <v>8.652000000000001</v>
      </c>
    </row>
    <row r="33" spans="1:7" s="844" customFormat="1">
      <c r="A33" s="856"/>
      <c r="B33" s="862"/>
      <c r="C33" s="874">
        <v>1</v>
      </c>
      <c r="D33" s="875">
        <v>2.8780000000000001</v>
      </c>
      <c r="E33" s="872"/>
      <c r="F33" s="872">
        <v>4.2</v>
      </c>
      <c r="G33" s="879">
        <f t="shared" si="0"/>
        <v>12.0876</v>
      </c>
    </row>
    <row r="34" spans="1:7" s="844" customFormat="1" ht="18.75" customHeight="1">
      <c r="A34" s="856"/>
      <c r="B34" s="862" t="s">
        <v>255</v>
      </c>
      <c r="C34" s="874">
        <v>1</v>
      </c>
      <c r="D34" s="875">
        <v>2.42</v>
      </c>
      <c r="E34" s="872"/>
      <c r="F34" s="872">
        <v>4.2</v>
      </c>
      <c r="G34" s="879">
        <f t="shared" si="0"/>
        <v>10.164</v>
      </c>
    </row>
    <row r="35" spans="1:7" s="844" customFormat="1">
      <c r="A35" s="856"/>
      <c r="B35" s="862" t="s">
        <v>256</v>
      </c>
      <c r="C35" s="874">
        <v>-1</v>
      </c>
      <c r="D35" s="875">
        <v>0.8</v>
      </c>
      <c r="E35" s="872"/>
      <c r="F35" s="872">
        <v>2.4</v>
      </c>
      <c r="G35" s="879">
        <f t="shared" si="0"/>
        <v>-1.92</v>
      </c>
    </row>
    <row r="36" spans="1:7" s="844" customFormat="1">
      <c r="A36" s="856"/>
      <c r="B36" s="862" t="s">
        <v>257</v>
      </c>
      <c r="C36" s="874">
        <v>-1</v>
      </c>
      <c r="D36" s="875">
        <v>0.25</v>
      </c>
      <c r="E36" s="872"/>
      <c r="F36" s="872">
        <v>0.8</v>
      </c>
      <c r="G36" s="879">
        <f t="shared" si="0"/>
        <v>-0.2</v>
      </c>
    </row>
    <row r="37" spans="1:7" s="844" customFormat="1">
      <c r="A37" s="856"/>
      <c r="B37" s="862" t="s">
        <v>258</v>
      </c>
      <c r="C37" s="874">
        <v>1</v>
      </c>
      <c r="D37" s="875">
        <v>0.96</v>
      </c>
      <c r="E37" s="872"/>
      <c r="F37" s="872">
        <v>4.2</v>
      </c>
      <c r="G37" s="879">
        <f t="shared" ref="G37:G43" si="1">F37*D37*C37</f>
        <v>4.032</v>
      </c>
    </row>
    <row r="38" spans="1:7" s="844" customFormat="1">
      <c r="A38" s="856"/>
      <c r="B38" s="862" t="s">
        <v>259</v>
      </c>
      <c r="C38" s="874">
        <v>-1</v>
      </c>
      <c r="D38" s="875">
        <v>1.4</v>
      </c>
      <c r="E38" s="872"/>
      <c r="F38" s="872">
        <v>0.1</v>
      </c>
      <c r="G38" s="879">
        <f t="shared" si="1"/>
        <v>-0.13999999999999999</v>
      </c>
    </row>
    <row r="39" spans="1:7" s="844" customFormat="1">
      <c r="A39" s="856"/>
      <c r="B39" s="862" t="s">
        <v>260</v>
      </c>
      <c r="C39" s="874">
        <v>-3</v>
      </c>
      <c r="D39" s="875">
        <v>7.3730000000000002</v>
      </c>
      <c r="E39" s="872"/>
      <c r="F39" s="872">
        <v>0.1</v>
      </c>
      <c r="G39" s="880">
        <f t="shared" si="1"/>
        <v>-2.2119</v>
      </c>
    </row>
    <row r="40" spans="1:7" s="844" customFormat="1">
      <c r="A40" s="856"/>
      <c r="B40" s="862" t="s">
        <v>261</v>
      </c>
      <c r="C40" s="874">
        <v>-3</v>
      </c>
      <c r="D40" s="875">
        <v>1.95</v>
      </c>
      <c r="E40" s="872"/>
      <c r="F40" s="872">
        <v>0.1</v>
      </c>
      <c r="G40" s="880">
        <f t="shared" si="1"/>
        <v>-0.58499999999999996</v>
      </c>
    </row>
    <row r="41" spans="1:7" s="844" customFormat="1">
      <c r="A41" s="856"/>
      <c r="B41" s="862" t="s">
        <v>262</v>
      </c>
      <c r="C41" s="874">
        <v>-3</v>
      </c>
      <c r="D41" s="875">
        <v>2.42</v>
      </c>
      <c r="E41" s="872"/>
      <c r="F41" s="872">
        <v>0.1</v>
      </c>
      <c r="G41" s="880">
        <f t="shared" si="1"/>
        <v>-0.72599999999999998</v>
      </c>
    </row>
    <row r="42" spans="1:7" s="844" customFormat="1">
      <c r="A42" s="856"/>
      <c r="B42" s="862" t="s">
        <v>256</v>
      </c>
      <c r="C42" s="874">
        <v>2</v>
      </c>
      <c r="D42" s="875">
        <v>0.8</v>
      </c>
      <c r="E42" s="872"/>
      <c r="F42" s="872">
        <v>0.1</v>
      </c>
      <c r="G42" s="880">
        <f t="shared" si="1"/>
        <v>0.16000000000000003</v>
      </c>
    </row>
    <row r="43" spans="1:7" s="844" customFormat="1">
      <c r="A43" s="856"/>
      <c r="B43" s="862" t="s">
        <v>263</v>
      </c>
      <c r="C43" s="874">
        <v>-3</v>
      </c>
      <c r="D43" s="875">
        <v>3.0649999999999999</v>
      </c>
      <c r="E43" s="872"/>
      <c r="F43" s="872">
        <v>0.1</v>
      </c>
      <c r="G43" s="880">
        <f t="shared" si="1"/>
        <v>-0.91949999999999998</v>
      </c>
    </row>
    <row r="44" spans="1:7" s="844" customFormat="1">
      <c r="A44" s="856"/>
      <c r="B44" s="862"/>
      <c r="C44" s="874"/>
      <c r="D44" s="875"/>
      <c r="E44" s="872"/>
      <c r="F44" s="872"/>
      <c r="G44" s="879"/>
    </row>
    <row r="45" spans="1:7" s="844" customFormat="1" ht="13">
      <c r="A45" s="856"/>
      <c r="B45" s="862"/>
      <c r="C45" s="874"/>
      <c r="D45" s="875"/>
      <c r="E45" s="872"/>
      <c r="F45" s="872"/>
      <c r="G45" s="866">
        <f>SUM(G29:G44)</f>
        <v>55.671199999999992</v>
      </c>
    </row>
    <row r="46" spans="1:7" s="844" customFormat="1" ht="13">
      <c r="A46" s="856"/>
      <c r="B46" s="852"/>
      <c r="C46" s="874"/>
      <c r="D46" s="875"/>
      <c r="E46" s="872"/>
      <c r="F46" s="872"/>
      <c r="G46" s="873"/>
    </row>
    <row r="47" spans="1:7" s="844" customFormat="1" ht="78">
      <c r="A47" s="856">
        <v>9</v>
      </c>
      <c r="B47" s="852" t="s">
        <v>264</v>
      </c>
      <c r="C47" s="874"/>
      <c r="D47" s="875"/>
      <c r="E47" s="872"/>
      <c r="F47" s="872"/>
      <c r="G47" s="873">
        <f>E47*D47</f>
        <v>0</v>
      </c>
    </row>
    <row r="48" spans="1:7" s="844" customFormat="1">
      <c r="A48" s="856"/>
      <c r="B48" s="862" t="s">
        <v>265</v>
      </c>
      <c r="C48" s="874"/>
      <c r="D48" s="875"/>
      <c r="E48" s="872"/>
      <c r="F48" s="872"/>
      <c r="G48" s="873"/>
    </row>
    <row r="49" spans="1:7" s="844" customFormat="1" ht="25">
      <c r="A49" s="856"/>
      <c r="B49" s="862" t="s">
        <v>266</v>
      </c>
      <c r="C49" s="874">
        <v>1</v>
      </c>
      <c r="D49" s="875">
        <v>1.4</v>
      </c>
      <c r="E49" s="872"/>
      <c r="F49" s="872"/>
      <c r="G49" s="881">
        <f>D49*C49</f>
        <v>1.4</v>
      </c>
    </row>
    <row r="50" spans="1:7" s="844" customFormat="1">
      <c r="A50" s="856"/>
      <c r="B50" s="862"/>
      <c r="C50" s="874"/>
      <c r="D50" s="875"/>
      <c r="E50" s="872"/>
      <c r="F50" s="872"/>
      <c r="G50" s="879"/>
    </row>
    <row r="51" spans="1:7" s="844" customFormat="1" ht="13">
      <c r="A51" s="856"/>
      <c r="B51" s="862"/>
      <c r="C51" s="874"/>
      <c r="D51" s="875"/>
      <c r="E51" s="872"/>
      <c r="F51" s="872"/>
      <c r="G51" s="866">
        <f>SUM(G49:G50)</f>
        <v>1.4</v>
      </c>
    </row>
    <row r="52" spans="1:7" s="844" customFormat="1">
      <c r="A52" s="856"/>
      <c r="B52" s="862"/>
      <c r="C52" s="874"/>
      <c r="D52" s="875"/>
      <c r="E52" s="872"/>
      <c r="F52" s="872"/>
      <c r="G52" s="873"/>
    </row>
    <row r="53" spans="1:7" s="844" customFormat="1" ht="26">
      <c r="A53" s="856">
        <v>10</v>
      </c>
      <c r="B53" s="852" t="s">
        <v>267</v>
      </c>
      <c r="C53" s="874"/>
      <c r="D53" s="875"/>
      <c r="E53" s="872"/>
      <c r="F53" s="872"/>
      <c r="G53" s="873"/>
    </row>
    <row r="54" spans="1:7" s="844" customFormat="1">
      <c r="A54" s="856"/>
      <c r="B54" s="862"/>
      <c r="C54" s="874"/>
      <c r="D54" s="875"/>
      <c r="E54" s="872"/>
      <c r="F54" s="872"/>
      <c r="G54" s="873"/>
    </row>
    <row r="55" spans="1:7" s="844" customFormat="1">
      <c r="A55" s="856"/>
      <c r="B55" s="862" t="s">
        <v>260</v>
      </c>
      <c r="C55" s="874">
        <v>3</v>
      </c>
      <c r="D55" s="875">
        <v>7.3730000000000002</v>
      </c>
      <c r="E55" s="872"/>
      <c r="F55" s="872"/>
      <c r="G55" s="880">
        <f>D55*C55</f>
        <v>22.119</v>
      </c>
    </row>
    <row r="56" spans="1:7" s="844" customFormat="1">
      <c r="A56" s="856"/>
      <c r="B56" s="862" t="s">
        <v>261</v>
      </c>
      <c r="C56" s="874">
        <v>3</v>
      </c>
      <c r="D56" s="875">
        <v>1.95</v>
      </c>
      <c r="E56" s="872"/>
      <c r="F56" s="872"/>
      <c r="G56" s="880">
        <f>D56*C56</f>
        <v>5.85</v>
      </c>
    </row>
    <row r="57" spans="1:7" s="844" customFormat="1">
      <c r="A57" s="856"/>
      <c r="B57" s="862" t="s">
        <v>262</v>
      </c>
      <c r="C57" s="874">
        <v>3</v>
      </c>
      <c r="D57" s="875">
        <v>2.42</v>
      </c>
      <c r="E57" s="872"/>
      <c r="F57" s="872"/>
      <c r="G57" s="880">
        <f>D57*C57</f>
        <v>7.26</v>
      </c>
    </row>
    <row r="58" spans="1:7" s="844" customFormat="1">
      <c r="A58" s="856"/>
      <c r="B58" s="862" t="s">
        <v>256</v>
      </c>
      <c r="C58" s="874">
        <v>-2</v>
      </c>
      <c r="D58" s="875">
        <v>0.8</v>
      </c>
      <c r="E58" s="872"/>
      <c r="F58" s="872"/>
      <c r="G58" s="880">
        <f>D58*C58</f>
        <v>-1.6</v>
      </c>
    </row>
    <row r="59" spans="1:7" s="844" customFormat="1">
      <c r="A59" s="856"/>
      <c r="B59" s="862" t="s">
        <v>263</v>
      </c>
      <c r="C59" s="874">
        <v>3</v>
      </c>
      <c r="D59" s="875">
        <v>3.0649999999999999</v>
      </c>
      <c r="E59" s="872"/>
      <c r="F59" s="872"/>
      <c r="G59" s="880">
        <f>D59*C59</f>
        <v>9.1950000000000003</v>
      </c>
    </row>
    <row r="60" spans="1:7" s="844" customFormat="1">
      <c r="A60" s="856"/>
      <c r="B60" s="862"/>
      <c r="C60" s="874"/>
      <c r="D60" s="875"/>
      <c r="E60" s="872"/>
      <c r="F60" s="872"/>
      <c r="G60" s="880"/>
    </row>
    <row r="61" spans="1:7" s="844" customFormat="1" ht="104">
      <c r="A61" s="856">
        <v>11</v>
      </c>
      <c r="B61" s="50" t="s">
        <v>115</v>
      </c>
      <c r="C61" s="874"/>
      <c r="D61" s="875"/>
      <c r="E61" s="872"/>
      <c r="F61" s="882"/>
      <c r="G61" s="883">
        <f>SUM(G55:G60)</f>
        <v>42.823999999999998</v>
      </c>
    </row>
    <row r="62" spans="1:7" s="844" customFormat="1">
      <c r="A62" s="856"/>
      <c r="B62" s="862" t="s">
        <v>268</v>
      </c>
      <c r="C62" s="874"/>
      <c r="D62" s="875"/>
      <c r="E62" s="872"/>
      <c r="F62" s="872"/>
      <c r="G62" s="880"/>
    </row>
    <row r="63" spans="1:7" s="844" customFormat="1">
      <c r="A63" s="856"/>
      <c r="B63" s="862" t="s">
        <v>269</v>
      </c>
      <c r="C63" s="874">
        <v>1</v>
      </c>
      <c r="D63" s="875">
        <v>5.1379999999999999</v>
      </c>
      <c r="E63" s="872"/>
      <c r="F63" s="872">
        <v>0.7</v>
      </c>
      <c r="G63" s="880">
        <f>F63*D63*C63</f>
        <v>3.5965999999999996</v>
      </c>
    </row>
    <row r="64" spans="1:7" s="844" customFormat="1">
      <c r="A64" s="856"/>
      <c r="B64" s="862" t="s">
        <v>270</v>
      </c>
      <c r="C64" s="874">
        <v>1</v>
      </c>
      <c r="D64" s="875">
        <v>2.2999999999999998</v>
      </c>
      <c r="E64" s="872"/>
      <c r="F64" s="872">
        <v>0.7</v>
      </c>
      <c r="G64" s="880">
        <f>F64*D64*C64</f>
        <v>1.6099999999999999</v>
      </c>
    </row>
    <row r="65" spans="1:7" s="844" customFormat="1">
      <c r="A65" s="856"/>
      <c r="B65" s="876"/>
      <c r="C65" s="874"/>
      <c r="D65" s="877"/>
      <c r="E65" s="874"/>
      <c r="F65" s="874"/>
      <c r="G65" s="878"/>
    </row>
    <row r="66" spans="1:7" s="844" customFormat="1">
      <c r="A66" s="856"/>
      <c r="B66" s="862"/>
      <c r="C66" s="874"/>
      <c r="D66" s="875"/>
      <c r="E66" s="872"/>
      <c r="F66" s="872"/>
      <c r="G66" s="880"/>
    </row>
    <row r="67" spans="1:7" s="844" customFormat="1" ht="13">
      <c r="A67" s="856"/>
      <c r="B67" s="862"/>
      <c r="C67" s="874"/>
      <c r="D67" s="875"/>
      <c r="E67" s="872"/>
      <c r="F67" s="872"/>
      <c r="G67" s="883">
        <f>SUM(G63:G66)</f>
        <v>5.2065999999999999</v>
      </c>
    </row>
    <row r="68" spans="1:7" s="844" customFormat="1" ht="13">
      <c r="A68" s="856"/>
      <c r="B68" s="862"/>
      <c r="C68" s="874"/>
      <c r="D68" s="875"/>
      <c r="E68" s="872"/>
      <c r="F68" s="872"/>
      <c r="G68" s="883"/>
    </row>
    <row r="69" spans="1:7" s="844" customFormat="1" ht="39">
      <c r="A69" s="856">
        <v>12</v>
      </c>
      <c r="B69" s="852" t="s">
        <v>271</v>
      </c>
      <c r="C69" s="874"/>
      <c r="D69" s="875"/>
      <c r="E69" s="872"/>
      <c r="F69" s="872"/>
      <c r="G69" s="873">
        <f>E69*D69</f>
        <v>0</v>
      </c>
    </row>
    <row r="70" spans="1:7" s="844" customFormat="1">
      <c r="A70" s="856"/>
      <c r="B70" s="862"/>
      <c r="C70" s="874"/>
      <c r="D70" s="875"/>
      <c r="E70" s="872"/>
      <c r="F70" s="872"/>
      <c r="G70" s="873"/>
    </row>
    <row r="71" spans="1:7" s="844" customFormat="1">
      <c r="A71" s="856"/>
      <c r="B71" s="862" t="s">
        <v>272</v>
      </c>
      <c r="C71" s="857">
        <v>1</v>
      </c>
      <c r="D71" s="858">
        <v>2.42</v>
      </c>
      <c r="E71" s="859">
        <v>2.335</v>
      </c>
      <c r="F71" s="859">
        <v>0.05</v>
      </c>
      <c r="G71" s="884">
        <f>F71*E71*D71*C71</f>
        <v>0.28253499999999998</v>
      </c>
    </row>
    <row r="72" spans="1:7" s="844" customFormat="1">
      <c r="A72" s="856"/>
      <c r="B72" s="862" t="s">
        <v>273</v>
      </c>
      <c r="C72" s="857">
        <v>1</v>
      </c>
      <c r="D72" s="858">
        <v>2.42</v>
      </c>
      <c r="E72" s="859">
        <v>2.06</v>
      </c>
      <c r="F72" s="859">
        <v>0.05</v>
      </c>
      <c r="G72" s="885">
        <f>F72*E72*D72*C72</f>
        <v>0.24926000000000001</v>
      </c>
    </row>
    <row r="73" spans="1:7" s="844" customFormat="1">
      <c r="A73" s="856"/>
      <c r="B73" s="862"/>
      <c r="C73" s="874">
        <v>1</v>
      </c>
      <c r="D73" s="875">
        <v>2.8780000000000001</v>
      </c>
      <c r="E73" s="872">
        <f>(2.42+3)/2</f>
        <v>2.71</v>
      </c>
      <c r="F73" s="872">
        <v>0.05</v>
      </c>
      <c r="G73" s="880">
        <f>F73*E73*D73*C73</f>
        <v>0.38996900000000007</v>
      </c>
    </row>
    <row r="74" spans="1:7" s="844" customFormat="1">
      <c r="A74" s="856"/>
      <c r="B74" s="862" t="s">
        <v>274</v>
      </c>
      <c r="C74" s="874">
        <v>1</v>
      </c>
      <c r="D74" s="875">
        <v>95</v>
      </c>
      <c r="E74" s="872"/>
      <c r="F74" s="872">
        <v>0.05</v>
      </c>
      <c r="G74" s="880">
        <f>F74*D74*C74</f>
        <v>4.75</v>
      </c>
    </row>
    <row r="75" spans="1:7" s="844" customFormat="1">
      <c r="A75" s="856"/>
      <c r="B75" s="862" t="s">
        <v>275</v>
      </c>
      <c r="C75" s="874">
        <v>1</v>
      </c>
      <c r="D75" s="875">
        <v>35</v>
      </c>
      <c r="E75" s="872"/>
      <c r="F75" s="872">
        <v>0.05</v>
      </c>
      <c r="G75" s="880">
        <f>F75*D75*C75</f>
        <v>1.75</v>
      </c>
    </row>
    <row r="76" spans="1:7" s="844" customFormat="1">
      <c r="A76" s="856"/>
      <c r="B76" s="862" t="s">
        <v>276</v>
      </c>
      <c r="C76" s="874">
        <v>1</v>
      </c>
      <c r="D76" s="875">
        <v>8.9</v>
      </c>
      <c r="E76" s="872"/>
      <c r="F76" s="872">
        <v>0.05</v>
      </c>
      <c r="G76" s="880">
        <f>F76*D76*C76</f>
        <v>0.44500000000000006</v>
      </c>
    </row>
    <row r="77" spans="1:7" s="844" customFormat="1">
      <c r="A77" s="856"/>
      <c r="B77" s="862"/>
      <c r="C77" s="874"/>
      <c r="D77" s="875"/>
      <c r="E77" s="872"/>
      <c r="F77" s="872"/>
      <c r="G77" s="880"/>
    </row>
    <row r="78" spans="1:7" s="844" customFormat="1" ht="13">
      <c r="A78" s="856"/>
      <c r="B78" s="862"/>
      <c r="C78" s="874"/>
      <c r="D78" s="875"/>
      <c r="E78" s="872"/>
      <c r="F78" s="872"/>
      <c r="G78" s="883">
        <f>SUM(G71:G77)</f>
        <v>7.8667639999999999</v>
      </c>
    </row>
    <row r="79" spans="1:7" s="844" customFormat="1" ht="13">
      <c r="A79" s="856"/>
      <c r="B79" s="862"/>
      <c r="C79" s="874"/>
      <c r="D79" s="875"/>
      <c r="E79" s="872"/>
      <c r="F79" s="872"/>
      <c r="G79" s="883"/>
    </row>
    <row r="80" spans="1:7" s="844" customFormat="1" ht="13">
      <c r="A80" s="856">
        <v>13</v>
      </c>
      <c r="B80" s="852" t="s">
        <v>277</v>
      </c>
      <c r="C80" s="874"/>
      <c r="D80" s="875"/>
      <c r="E80" s="872"/>
      <c r="F80" s="872"/>
      <c r="G80" s="880"/>
    </row>
    <row r="81" spans="1:7" s="844" customFormat="1">
      <c r="A81" s="856"/>
      <c r="B81" s="862" t="s">
        <v>278</v>
      </c>
      <c r="C81" s="874"/>
      <c r="D81" s="875"/>
      <c r="E81" s="886"/>
      <c r="F81" s="886"/>
      <c r="G81" s="887"/>
    </row>
    <row r="82" spans="1:7" s="844" customFormat="1">
      <c r="A82" s="856"/>
      <c r="B82" s="862" t="s">
        <v>272</v>
      </c>
      <c r="C82" s="857">
        <v>1</v>
      </c>
      <c r="D82" s="858">
        <v>2.42</v>
      </c>
      <c r="E82" s="859">
        <v>2.335</v>
      </c>
      <c r="F82" s="886"/>
      <c r="G82" s="887">
        <f t="shared" ref="G82:G87" si="2">E82*D82*C82</f>
        <v>5.6506999999999996</v>
      </c>
    </row>
    <row r="83" spans="1:7" s="844" customFormat="1">
      <c r="A83" s="856"/>
      <c r="B83" s="862" t="s">
        <v>273</v>
      </c>
      <c r="C83" s="857">
        <v>1</v>
      </c>
      <c r="D83" s="858">
        <v>2.42</v>
      </c>
      <c r="E83" s="859">
        <v>2.06</v>
      </c>
      <c r="F83" s="886"/>
      <c r="G83" s="887">
        <f t="shared" si="2"/>
        <v>4.9851999999999999</v>
      </c>
    </row>
    <row r="84" spans="1:7" s="844" customFormat="1">
      <c r="A84" s="856"/>
      <c r="B84" s="862"/>
      <c r="C84" s="874">
        <v>1</v>
      </c>
      <c r="D84" s="875">
        <v>2.8780000000000001</v>
      </c>
      <c r="E84" s="872">
        <f>(2.42+3)/2</f>
        <v>2.71</v>
      </c>
      <c r="F84" s="886"/>
      <c r="G84" s="887">
        <f t="shared" si="2"/>
        <v>7.7993800000000002</v>
      </c>
    </row>
    <row r="85" spans="1:7" s="844" customFormat="1">
      <c r="A85" s="856"/>
      <c r="B85" s="862" t="s">
        <v>274</v>
      </c>
      <c r="C85" s="874">
        <v>1</v>
      </c>
      <c r="D85" s="875">
        <v>95</v>
      </c>
      <c r="E85" s="872">
        <v>1</v>
      </c>
      <c r="F85" s="886"/>
      <c r="G85" s="887">
        <f t="shared" si="2"/>
        <v>95</v>
      </c>
    </row>
    <row r="86" spans="1:7" s="844" customFormat="1">
      <c r="A86" s="856"/>
      <c r="B86" s="862" t="s">
        <v>275</v>
      </c>
      <c r="C86" s="874">
        <v>1</v>
      </c>
      <c r="D86" s="875">
        <v>35</v>
      </c>
      <c r="E86" s="872">
        <v>1</v>
      </c>
      <c r="F86" s="886"/>
      <c r="G86" s="887">
        <f t="shared" si="2"/>
        <v>35</v>
      </c>
    </row>
    <row r="87" spans="1:7" s="844" customFormat="1">
      <c r="A87" s="856"/>
      <c r="B87" s="862" t="s">
        <v>276</v>
      </c>
      <c r="C87" s="874">
        <v>1</v>
      </c>
      <c r="D87" s="875">
        <v>8.9</v>
      </c>
      <c r="E87" s="872">
        <v>1</v>
      </c>
      <c r="F87" s="886"/>
      <c r="G87" s="887">
        <f t="shared" si="2"/>
        <v>8.9</v>
      </c>
    </row>
    <row r="88" spans="1:7" s="844" customFormat="1">
      <c r="A88" s="856"/>
      <c r="B88" s="862"/>
      <c r="C88" s="874"/>
      <c r="D88" s="875"/>
      <c r="E88" s="886"/>
      <c r="F88" s="886"/>
      <c r="G88" s="887"/>
    </row>
    <row r="89" spans="1:7" s="844" customFormat="1">
      <c r="A89" s="856"/>
      <c r="B89" s="862"/>
      <c r="C89" s="874"/>
      <c r="D89" s="875"/>
      <c r="E89" s="886"/>
      <c r="F89" s="886"/>
      <c r="G89" s="887">
        <f>SUM(G82:G88)</f>
        <v>157.33528000000001</v>
      </c>
    </row>
    <row r="90" spans="1:7" s="844" customFormat="1" ht="13">
      <c r="A90" s="856"/>
      <c r="B90" s="862"/>
      <c r="C90" s="874"/>
      <c r="D90" s="875"/>
      <c r="E90" s="872"/>
      <c r="F90" s="872"/>
      <c r="G90" s="883">
        <f>G89</f>
        <v>157.33528000000001</v>
      </c>
    </row>
    <row r="91" spans="1:7" s="844" customFormat="1" ht="13">
      <c r="A91" s="856"/>
      <c r="B91" s="862"/>
      <c r="C91" s="874"/>
      <c r="D91" s="875"/>
      <c r="E91" s="872"/>
      <c r="F91" s="872"/>
      <c r="G91" s="883"/>
    </row>
    <row r="92" spans="1:7" s="844" customFormat="1" ht="50">
      <c r="A92" s="856">
        <v>14</v>
      </c>
      <c r="B92" s="862" t="s">
        <v>279</v>
      </c>
      <c r="C92" s="863"/>
      <c r="D92" s="864"/>
      <c r="E92" s="865"/>
      <c r="F92" s="865"/>
      <c r="G92" s="873">
        <f>E92*D92</f>
        <v>0</v>
      </c>
    </row>
    <row r="93" spans="1:7" s="844" customFormat="1">
      <c r="A93" s="856"/>
      <c r="B93" s="862"/>
      <c r="C93" s="874"/>
      <c r="D93" s="875"/>
      <c r="E93" s="872"/>
      <c r="F93" s="872"/>
      <c r="G93" s="879"/>
    </row>
    <row r="94" spans="1:7" s="844" customFormat="1" ht="25">
      <c r="A94" s="856"/>
      <c r="B94" s="862" t="s">
        <v>280</v>
      </c>
      <c r="C94" s="874">
        <v>2</v>
      </c>
      <c r="D94" s="875">
        <v>3.0649999999999999</v>
      </c>
      <c r="E94" s="872"/>
      <c r="F94" s="872">
        <v>3.4</v>
      </c>
      <c r="G94" s="879">
        <f>F94*D94*C94</f>
        <v>20.841999999999999</v>
      </c>
    </row>
    <row r="95" spans="1:7" s="844" customFormat="1">
      <c r="A95" s="856"/>
      <c r="B95" s="862" t="s">
        <v>252</v>
      </c>
      <c r="C95" s="874">
        <v>2</v>
      </c>
      <c r="D95" s="875">
        <v>1.95</v>
      </c>
      <c r="E95" s="872"/>
      <c r="F95" s="872">
        <v>3.4</v>
      </c>
      <c r="G95" s="879">
        <f t="shared" ref="G95:G102" si="3">F95*D95*C95</f>
        <v>13.26</v>
      </c>
    </row>
    <row r="96" spans="1:7" s="844" customFormat="1">
      <c r="A96" s="856"/>
      <c r="B96" s="862" t="s">
        <v>253</v>
      </c>
      <c r="C96" s="874">
        <v>2</v>
      </c>
      <c r="D96" s="875">
        <v>2.4350000000000001</v>
      </c>
      <c r="E96" s="872"/>
      <c r="F96" s="872">
        <v>4.2</v>
      </c>
      <c r="G96" s="879">
        <f t="shared" si="3"/>
        <v>20.454000000000001</v>
      </c>
    </row>
    <row r="97" spans="1:7" s="844" customFormat="1">
      <c r="A97" s="856"/>
      <c r="B97" s="862" t="s">
        <v>254</v>
      </c>
      <c r="C97" s="874">
        <v>2</v>
      </c>
      <c r="D97" s="875">
        <v>2.06</v>
      </c>
      <c r="E97" s="872"/>
      <c r="F97" s="872">
        <v>4.2</v>
      </c>
      <c r="G97" s="879">
        <f t="shared" si="3"/>
        <v>17.304000000000002</v>
      </c>
    </row>
    <row r="98" spans="1:7" s="844" customFormat="1">
      <c r="A98" s="856"/>
      <c r="B98" s="862"/>
      <c r="C98" s="874">
        <v>2</v>
      </c>
      <c r="D98" s="875">
        <v>2.8780000000000001</v>
      </c>
      <c r="E98" s="872"/>
      <c r="F98" s="872">
        <v>4.2</v>
      </c>
      <c r="G98" s="879">
        <f t="shared" si="3"/>
        <v>24.1752</v>
      </c>
    </row>
    <row r="99" spans="1:7" s="844" customFormat="1">
      <c r="A99" s="856"/>
      <c r="B99" s="862" t="s">
        <v>255</v>
      </c>
      <c r="C99" s="874">
        <v>2</v>
      </c>
      <c r="D99" s="875">
        <v>2.42</v>
      </c>
      <c r="E99" s="872"/>
      <c r="F99" s="872">
        <v>4.2</v>
      </c>
      <c r="G99" s="879">
        <f t="shared" si="3"/>
        <v>20.327999999999999</v>
      </c>
    </row>
    <row r="100" spans="1:7" s="844" customFormat="1">
      <c r="A100" s="856"/>
      <c r="B100" s="862" t="s">
        <v>256</v>
      </c>
      <c r="C100" s="874">
        <v>-1</v>
      </c>
      <c r="D100" s="875">
        <v>0.8</v>
      </c>
      <c r="E100" s="872"/>
      <c r="F100" s="872">
        <v>2.4</v>
      </c>
      <c r="G100" s="879">
        <f t="shared" si="3"/>
        <v>-1.92</v>
      </c>
    </row>
    <row r="101" spans="1:7" s="844" customFormat="1">
      <c r="A101" s="856"/>
      <c r="B101" s="862" t="s">
        <v>257</v>
      </c>
      <c r="C101" s="874">
        <v>-2</v>
      </c>
      <c r="D101" s="875">
        <v>0.25</v>
      </c>
      <c r="E101" s="872"/>
      <c r="F101" s="872">
        <v>0.8</v>
      </c>
      <c r="G101" s="879">
        <f t="shared" si="3"/>
        <v>-0.4</v>
      </c>
    </row>
    <row r="102" spans="1:7" s="844" customFormat="1">
      <c r="A102" s="856"/>
      <c r="B102" s="862" t="s">
        <v>258</v>
      </c>
      <c r="C102" s="874">
        <v>2</v>
      </c>
      <c r="D102" s="875">
        <v>0.96</v>
      </c>
      <c r="E102" s="872"/>
      <c r="F102" s="872">
        <v>4.2</v>
      </c>
      <c r="G102" s="879">
        <f t="shared" si="3"/>
        <v>8.0640000000000001</v>
      </c>
    </row>
    <row r="103" spans="1:7" s="844" customFormat="1">
      <c r="A103" s="856"/>
      <c r="B103" s="862"/>
      <c r="C103" s="863"/>
      <c r="D103" s="864"/>
      <c r="E103" s="865"/>
      <c r="F103" s="865"/>
      <c r="G103" s="873"/>
    </row>
    <row r="104" spans="1:7" s="844" customFormat="1" ht="13">
      <c r="A104" s="856"/>
      <c r="B104" s="862"/>
      <c r="C104" s="863"/>
      <c r="D104" s="864"/>
      <c r="E104" s="865"/>
      <c r="F104" s="865"/>
      <c r="G104" s="866">
        <f>SUM(G94:G103)</f>
        <v>122.10720000000001</v>
      </c>
    </row>
    <row r="105" spans="1:7" s="844" customFormat="1" ht="13">
      <c r="A105" s="856"/>
      <c r="B105" s="862"/>
      <c r="C105" s="874"/>
      <c r="D105" s="875"/>
      <c r="E105" s="872"/>
      <c r="F105" s="872"/>
      <c r="G105" s="883"/>
    </row>
    <row r="106" spans="1:7" s="844" customFormat="1" ht="63">
      <c r="A106" s="856">
        <v>15</v>
      </c>
      <c r="B106" s="862" t="s">
        <v>281</v>
      </c>
      <c r="C106" s="888"/>
      <c r="D106" s="889" t="s">
        <v>282</v>
      </c>
      <c r="E106" s="890"/>
      <c r="F106" s="890"/>
      <c r="G106" s="873"/>
    </row>
    <row r="107" spans="1:7" s="844" customFormat="1">
      <c r="A107" s="856"/>
      <c r="B107" s="876" t="s">
        <v>283</v>
      </c>
      <c r="C107" s="888">
        <v>1</v>
      </c>
      <c r="D107" s="889">
        <v>4.9379999999999997</v>
      </c>
      <c r="E107" s="890">
        <v>2.5</v>
      </c>
      <c r="F107" s="891"/>
      <c r="G107" s="879">
        <f>E107*D107</f>
        <v>12.344999999999999</v>
      </c>
    </row>
    <row r="108" spans="1:7" s="844" customFormat="1">
      <c r="A108" s="856"/>
      <c r="B108" s="862" t="s">
        <v>284</v>
      </c>
      <c r="C108" s="888">
        <v>1</v>
      </c>
      <c r="D108" s="892">
        <v>2.335</v>
      </c>
      <c r="E108" s="890">
        <v>2.42</v>
      </c>
      <c r="F108" s="890"/>
      <c r="G108" s="879">
        <f>E108*D108</f>
        <v>5.6506999999999996</v>
      </c>
    </row>
    <row r="109" spans="1:7" s="844" customFormat="1">
      <c r="A109" s="856"/>
      <c r="B109" s="876" t="s">
        <v>285</v>
      </c>
      <c r="C109" s="874">
        <v>1</v>
      </c>
      <c r="D109" s="877">
        <v>7.95</v>
      </c>
      <c r="E109" s="874"/>
      <c r="F109" s="874"/>
      <c r="G109" s="879">
        <f>D109*C109</f>
        <v>7.95</v>
      </c>
    </row>
    <row r="110" spans="1:7" s="844" customFormat="1">
      <c r="A110" s="856"/>
      <c r="B110" s="862" t="s">
        <v>286</v>
      </c>
      <c r="C110" s="888">
        <v>1</v>
      </c>
      <c r="D110" s="889">
        <v>2.1</v>
      </c>
      <c r="E110" s="890">
        <v>1.2</v>
      </c>
      <c r="F110" s="890"/>
      <c r="G110" s="880">
        <f>E110*D110</f>
        <v>2.52</v>
      </c>
    </row>
    <row r="111" spans="1:7" s="844" customFormat="1" ht="13">
      <c r="A111" s="856"/>
      <c r="B111" s="862" t="s">
        <v>243</v>
      </c>
      <c r="C111" s="888"/>
      <c r="D111" s="889"/>
      <c r="E111" s="890"/>
      <c r="F111" s="890"/>
      <c r="G111" s="883">
        <f>SUM(G107:G110)</f>
        <v>28.465699999999998</v>
      </c>
    </row>
    <row r="112" spans="1:7" s="844" customFormat="1" ht="13">
      <c r="A112" s="856"/>
      <c r="B112" s="862"/>
      <c r="C112" s="874"/>
      <c r="D112" s="875"/>
      <c r="E112" s="872"/>
      <c r="F112" s="872"/>
      <c r="G112" s="883"/>
    </row>
    <row r="113" spans="1:7" s="844" customFormat="1" ht="50.5">
      <c r="A113" s="41">
        <v>16</v>
      </c>
      <c r="B113" s="448" t="s">
        <v>125</v>
      </c>
      <c r="C113" s="1" t="s">
        <v>111</v>
      </c>
      <c r="D113" s="893" t="s">
        <v>126</v>
      </c>
      <c r="E113" s="872"/>
      <c r="F113" s="872"/>
      <c r="G113" s="883"/>
    </row>
    <row r="114" spans="1:7" s="844" customFormat="1" ht="13">
      <c r="A114" s="41"/>
      <c r="B114" s="42"/>
      <c r="C114" s="1"/>
      <c r="D114" s="893"/>
      <c r="E114" s="872"/>
      <c r="F114" s="872"/>
      <c r="G114" s="883"/>
    </row>
    <row r="115" spans="1:7" s="844" customFormat="1" ht="50.5">
      <c r="A115" s="41">
        <v>17</v>
      </c>
      <c r="B115" s="448" t="s">
        <v>127</v>
      </c>
      <c r="C115" s="448" t="s">
        <v>111</v>
      </c>
      <c r="D115" s="448" t="s">
        <v>128</v>
      </c>
      <c r="E115" s="872"/>
      <c r="F115" s="872"/>
      <c r="G115" s="883"/>
    </row>
    <row r="116" spans="1:7" s="844" customFormat="1" ht="13">
      <c r="A116" s="856"/>
      <c r="B116" s="862"/>
      <c r="C116" s="874"/>
      <c r="D116" s="875"/>
      <c r="E116" s="872"/>
      <c r="F116" s="872"/>
      <c r="G116" s="883"/>
    </row>
    <row r="117" spans="1:7" s="844" customFormat="1" ht="150">
      <c r="A117" s="856">
        <v>18</v>
      </c>
      <c r="B117" s="448" t="s">
        <v>129</v>
      </c>
      <c r="C117" s="888"/>
      <c r="D117" s="889"/>
      <c r="E117" s="890"/>
      <c r="F117" s="890"/>
      <c r="G117" s="873"/>
    </row>
    <row r="118" spans="1:7" s="844" customFormat="1">
      <c r="A118" s="856"/>
      <c r="B118" s="862" t="s">
        <v>287</v>
      </c>
      <c r="C118" s="888"/>
      <c r="D118" s="889"/>
      <c r="E118" s="890"/>
      <c r="F118" s="890"/>
      <c r="G118" s="873"/>
    </row>
    <row r="119" spans="1:7" s="844" customFormat="1">
      <c r="A119" s="856"/>
      <c r="B119" s="862" t="s">
        <v>288</v>
      </c>
      <c r="C119" s="888"/>
      <c r="D119" s="889"/>
      <c r="E119" s="890"/>
      <c r="F119" s="890"/>
      <c r="G119" s="873"/>
    </row>
    <row r="120" spans="1:7" s="844" customFormat="1">
      <c r="A120" s="856"/>
      <c r="B120" s="862" t="s">
        <v>289</v>
      </c>
      <c r="C120" s="888"/>
      <c r="D120" s="889"/>
      <c r="E120" s="890"/>
      <c r="F120" s="890"/>
      <c r="G120" s="873"/>
    </row>
    <row r="121" spans="1:7" s="844" customFormat="1">
      <c r="A121" s="856"/>
      <c r="B121" s="862"/>
      <c r="C121" s="888">
        <v>1</v>
      </c>
      <c r="D121" s="892">
        <v>3.8740000000000001</v>
      </c>
      <c r="E121" s="890">
        <v>0.65</v>
      </c>
      <c r="F121" s="890"/>
      <c r="G121" s="879">
        <f>E121*D121*C121</f>
        <v>2.5181</v>
      </c>
    </row>
    <row r="122" spans="1:7" s="844" customFormat="1">
      <c r="A122" s="856"/>
      <c r="B122" s="862" t="s">
        <v>290</v>
      </c>
      <c r="C122" s="888">
        <v>1</v>
      </c>
      <c r="D122" s="889">
        <v>4.2</v>
      </c>
      <c r="E122" s="890">
        <v>0.65</v>
      </c>
      <c r="F122" s="890"/>
      <c r="G122" s="879">
        <f>E122*D122*C122</f>
        <v>2.7300000000000004</v>
      </c>
    </row>
    <row r="123" spans="1:7" s="844" customFormat="1">
      <c r="A123" s="856"/>
      <c r="B123" s="862"/>
      <c r="C123" s="888"/>
      <c r="D123" s="889"/>
      <c r="E123" s="890"/>
      <c r="F123" s="890"/>
      <c r="G123" s="873"/>
    </row>
    <row r="124" spans="1:7" s="844" customFormat="1">
      <c r="A124" s="856"/>
      <c r="B124" s="862"/>
      <c r="C124" s="888"/>
      <c r="D124" s="889"/>
      <c r="E124" s="890"/>
      <c r="F124" s="890"/>
      <c r="G124" s="873"/>
    </row>
    <row r="125" spans="1:7" s="844" customFormat="1" ht="13">
      <c r="A125" s="856"/>
      <c r="B125" s="862"/>
      <c r="C125" s="888"/>
      <c r="D125" s="889"/>
      <c r="E125" s="890"/>
      <c r="F125" s="890" t="s">
        <v>96</v>
      </c>
      <c r="G125" s="866">
        <f>SUM(G121:G124)</f>
        <v>5.2481000000000009</v>
      </c>
    </row>
    <row r="126" spans="1:7" s="844" customFormat="1" ht="13">
      <c r="A126" s="856"/>
      <c r="B126" s="862"/>
      <c r="C126" s="874"/>
      <c r="D126" s="875"/>
      <c r="E126" s="872"/>
      <c r="F126" s="872"/>
      <c r="G126" s="883"/>
    </row>
    <row r="127" spans="1:7" s="844" customFormat="1" ht="76">
      <c r="A127" s="856">
        <v>19</v>
      </c>
      <c r="B127" s="862" t="s">
        <v>291</v>
      </c>
      <c r="C127" s="888"/>
      <c r="D127" s="864"/>
      <c r="E127" s="886"/>
      <c r="F127" s="886"/>
      <c r="G127" s="873"/>
    </row>
    <row r="128" spans="1:7" s="844" customFormat="1">
      <c r="A128" s="856"/>
      <c r="B128" s="862"/>
      <c r="C128" s="888"/>
      <c r="D128" s="864"/>
      <c r="E128" s="886"/>
      <c r="F128" s="886"/>
      <c r="G128" s="873"/>
    </row>
    <row r="129" spans="1:7" s="844" customFormat="1">
      <c r="A129" s="856"/>
      <c r="B129" s="862" t="s">
        <v>292</v>
      </c>
      <c r="C129" s="888">
        <v>2</v>
      </c>
      <c r="D129" s="864">
        <v>2.42</v>
      </c>
      <c r="E129" s="886"/>
      <c r="F129" s="886">
        <v>3.1</v>
      </c>
      <c r="G129" s="879">
        <f>C129*D129*F129</f>
        <v>15.004</v>
      </c>
    </row>
    <row r="130" spans="1:7" s="844" customFormat="1">
      <c r="A130" s="856"/>
      <c r="B130" s="862" t="s">
        <v>293</v>
      </c>
      <c r="C130" s="888">
        <v>2</v>
      </c>
      <c r="D130" s="864">
        <v>2.335</v>
      </c>
      <c r="E130" s="886"/>
      <c r="F130" s="886">
        <v>3.1</v>
      </c>
      <c r="G130" s="879">
        <f t="shared" ref="G130:G144" si="4">C130*D130*F130</f>
        <v>14.477</v>
      </c>
    </row>
    <row r="131" spans="1:7" s="844" customFormat="1">
      <c r="A131" s="856"/>
      <c r="B131" s="862" t="s">
        <v>294</v>
      </c>
      <c r="C131" s="888">
        <v>-1</v>
      </c>
      <c r="D131" s="864">
        <v>0.8</v>
      </c>
      <c r="E131" s="886"/>
      <c r="F131" s="886">
        <v>2.4</v>
      </c>
      <c r="G131" s="879">
        <f t="shared" si="4"/>
        <v>-1.92</v>
      </c>
    </row>
    <row r="132" spans="1:7" s="844" customFormat="1">
      <c r="A132" s="856"/>
      <c r="B132" s="862" t="s">
        <v>295</v>
      </c>
      <c r="C132" s="888">
        <v>1</v>
      </c>
      <c r="D132" s="864">
        <v>2.42</v>
      </c>
      <c r="E132" s="886"/>
      <c r="F132" s="886">
        <v>3.1</v>
      </c>
      <c r="G132" s="879">
        <f t="shared" si="4"/>
        <v>7.5019999999999998</v>
      </c>
    </row>
    <row r="133" spans="1:7" s="844" customFormat="1">
      <c r="A133" s="856"/>
      <c r="B133" s="862" t="s">
        <v>296</v>
      </c>
      <c r="C133" s="888">
        <v>-2</v>
      </c>
      <c r="D133" s="864">
        <v>0.8</v>
      </c>
      <c r="E133" s="886"/>
      <c r="F133" s="886">
        <v>2.4</v>
      </c>
      <c r="G133" s="879">
        <f t="shared" si="4"/>
        <v>-3.84</v>
      </c>
    </row>
    <row r="134" spans="1:7" s="844" customFormat="1">
      <c r="A134" s="856"/>
      <c r="B134" s="862" t="s">
        <v>297</v>
      </c>
      <c r="C134" s="888">
        <v>1</v>
      </c>
      <c r="D134" s="864">
        <v>2.06</v>
      </c>
      <c r="E134" s="886"/>
      <c r="F134" s="886">
        <v>3.1</v>
      </c>
      <c r="G134" s="879">
        <f t="shared" si="4"/>
        <v>6.3860000000000001</v>
      </c>
    </row>
    <row r="135" spans="1:7" s="844" customFormat="1">
      <c r="A135" s="856"/>
      <c r="B135" s="862"/>
      <c r="C135" s="888">
        <v>1</v>
      </c>
      <c r="D135" s="864">
        <v>2.8780000000000001</v>
      </c>
      <c r="E135" s="886"/>
      <c r="F135" s="886">
        <v>3.1</v>
      </c>
      <c r="G135" s="873">
        <f t="shared" si="4"/>
        <v>8.9218000000000011</v>
      </c>
    </row>
    <row r="136" spans="1:7" s="844" customFormat="1">
      <c r="A136" s="856"/>
      <c r="B136" s="862" t="s">
        <v>298</v>
      </c>
      <c r="C136" s="888">
        <v>-1</v>
      </c>
      <c r="D136" s="864">
        <v>1.99</v>
      </c>
      <c r="E136" s="886"/>
      <c r="F136" s="886">
        <v>1.99</v>
      </c>
      <c r="G136" s="894">
        <f>F136*D136*C136</f>
        <v>-3.9601000000000002</v>
      </c>
    </row>
    <row r="137" spans="1:7" s="844" customFormat="1">
      <c r="A137" s="856"/>
      <c r="B137" s="862" t="s">
        <v>299</v>
      </c>
      <c r="C137" s="888">
        <v>1</v>
      </c>
      <c r="D137" s="864">
        <v>2.06</v>
      </c>
      <c r="E137" s="886"/>
      <c r="F137" s="886">
        <v>3.1</v>
      </c>
      <c r="G137" s="873">
        <f t="shared" si="4"/>
        <v>6.3860000000000001</v>
      </c>
    </row>
    <row r="138" spans="1:7" s="844" customFormat="1">
      <c r="A138" s="856"/>
      <c r="B138" s="862"/>
      <c r="C138" s="888">
        <v>1</v>
      </c>
      <c r="D138" s="864">
        <v>2.6</v>
      </c>
      <c r="E138" s="886"/>
      <c r="F138" s="886">
        <v>3.1</v>
      </c>
      <c r="G138" s="873">
        <f t="shared" si="4"/>
        <v>8.06</v>
      </c>
    </row>
    <row r="139" spans="1:7" s="844" customFormat="1">
      <c r="A139" s="856"/>
      <c r="B139" s="862" t="s">
        <v>300</v>
      </c>
      <c r="C139" s="888">
        <v>1</v>
      </c>
      <c r="D139" s="864">
        <v>1.8</v>
      </c>
      <c r="E139" s="886"/>
      <c r="F139" s="886">
        <v>3.1</v>
      </c>
      <c r="G139" s="873">
        <f t="shared" si="4"/>
        <v>5.58</v>
      </c>
    </row>
    <row r="140" spans="1:7" s="844" customFormat="1">
      <c r="A140" s="856"/>
      <c r="B140" s="862" t="s">
        <v>301</v>
      </c>
      <c r="C140" s="888">
        <v>1</v>
      </c>
      <c r="D140" s="864">
        <v>0.63500000000000001</v>
      </c>
      <c r="E140" s="886"/>
      <c r="F140" s="886">
        <v>3.1</v>
      </c>
      <c r="G140" s="873">
        <f t="shared" si="4"/>
        <v>1.9685000000000001</v>
      </c>
    </row>
    <row r="141" spans="1:7" s="844" customFormat="1">
      <c r="A141" s="856"/>
      <c r="B141" s="862" t="s">
        <v>302</v>
      </c>
      <c r="C141" s="888">
        <v>1</v>
      </c>
      <c r="D141" s="864">
        <v>0.1</v>
      </c>
      <c r="E141" s="886"/>
      <c r="F141" s="886">
        <v>3.1</v>
      </c>
      <c r="G141" s="894">
        <f t="shared" si="4"/>
        <v>0.31000000000000005</v>
      </c>
    </row>
    <row r="142" spans="1:7" s="844" customFormat="1">
      <c r="A142" s="856"/>
      <c r="B142" s="862"/>
      <c r="C142" s="888">
        <v>1</v>
      </c>
      <c r="D142" s="864">
        <v>0.96</v>
      </c>
      <c r="E142" s="886"/>
      <c r="F142" s="886">
        <v>3.1</v>
      </c>
      <c r="G142" s="894">
        <f t="shared" si="4"/>
        <v>2.976</v>
      </c>
    </row>
    <row r="143" spans="1:7" s="844" customFormat="1">
      <c r="A143" s="856"/>
      <c r="B143" s="862" t="s">
        <v>303</v>
      </c>
      <c r="C143" s="888">
        <v>2</v>
      </c>
      <c r="D143" s="864">
        <v>2.1</v>
      </c>
      <c r="E143" s="886"/>
      <c r="F143" s="886">
        <v>3.1</v>
      </c>
      <c r="G143" s="894">
        <f t="shared" si="4"/>
        <v>13.020000000000001</v>
      </c>
    </row>
    <row r="144" spans="1:7" s="844" customFormat="1">
      <c r="A144" s="856"/>
      <c r="B144" s="862"/>
      <c r="C144" s="888">
        <v>2</v>
      </c>
      <c r="D144" s="864">
        <v>1.2</v>
      </c>
      <c r="E144" s="886"/>
      <c r="F144" s="886">
        <v>3.1</v>
      </c>
      <c r="G144" s="894">
        <f t="shared" si="4"/>
        <v>7.4399999999999995</v>
      </c>
    </row>
    <row r="145" spans="1:7" s="844" customFormat="1">
      <c r="A145" s="856"/>
      <c r="B145" s="862"/>
      <c r="C145" s="888"/>
      <c r="D145" s="864"/>
      <c r="E145" s="886"/>
      <c r="F145" s="886"/>
      <c r="G145" s="873"/>
    </row>
    <row r="146" spans="1:7" s="844" customFormat="1" ht="13">
      <c r="A146" s="856"/>
      <c r="B146" s="862"/>
      <c r="C146" s="888"/>
      <c r="D146" s="864"/>
      <c r="E146" s="886"/>
      <c r="F146" s="886"/>
      <c r="G146" s="866">
        <f>SUM(G129:G145)</f>
        <v>88.311199999999999</v>
      </c>
    </row>
    <row r="147" spans="1:7" s="844" customFormat="1" ht="13">
      <c r="A147" s="856"/>
      <c r="B147" s="862"/>
      <c r="C147" s="888"/>
      <c r="D147" s="864"/>
      <c r="E147" s="886"/>
      <c r="F147" s="886"/>
      <c r="G147" s="866"/>
    </row>
    <row r="148" spans="1:7" s="844" customFormat="1" ht="162.5">
      <c r="A148" s="856">
        <v>20</v>
      </c>
      <c r="B148" s="42" t="s">
        <v>132</v>
      </c>
      <c r="C148" s="888"/>
      <c r="D148" s="864"/>
      <c r="E148" s="886"/>
      <c r="F148" s="886"/>
      <c r="G148" s="873"/>
    </row>
    <row r="149" spans="1:7" s="844" customFormat="1">
      <c r="A149" s="856"/>
      <c r="B149" s="862" t="s">
        <v>304</v>
      </c>
      <c r="C149" s="888">
        <v>1</v>
      </c>
      <c r="D149" s="864">
        <v>3.01</v>
      </c>
      <c r="E149" s="886"/>
      <c r="F149" s="886">
        <v>3.1</v>
      </c>
      <c r="G149" s="894">
        <f>F149*D149</f>
        <v>9.3309999999999995</v>
      </c>
    </row>
    <row r="150" spans="1:7" s="844" customFormat="1">
      <c r="A150" s="856"/>
      <c r="B150" s="862" t="s">
        <v>305</v>
      </c>
      <c r="C150" s="888">
        <v>-1</v>
      </c>
      <c r="D150" s="864">
        <v>0.8</v>
      </c>
      <c r="E150" s="886"/>
      <c r="F150" s="886">
        <v>2.4</v>
      </c>
      <c r="G150" s="894">
        <f>F150*D150</f>
        <v>1.92</v>
      </c>
    </row>
    <row r="151" spans="1:7" s="844" customFormat="1" ht="13">
      <c r="A151" s="856"/>
      <c r="B151" s="862"/>
      <c r="C151" s="888"/>
      <c r="D151" s="875"/>
      <c r="E151" s="886"/>
      <c r="F151" s="886"/>
      <c r="G151" s="895">
        <f>SUM(G149:G150)</f>
        <v>11.250999999999999</v>
      </c>
    </row>
    <row r="152" spans="1:7" s="844" customFormat="1" ht="13">
      <c r="A152" s="856"/>
      <c r="B152" s="862"/>
      <c r="C152" s="874"/>
      <c r="D152" s="875"/>
      <c r="E152" s="872"/>
      <c r="F152" s="872"/>
      <c r="G152" s="883"/>
    </row>
    <row r="153" spans="1:7" s="844" customFormat="1" ht="62.5">
      <c r="A153" s="856">
        <v>21</v>
      </c>
      <c r="B153" s="42" t="s">
        <v>133</v>
      </c>
      <c r="C153" s="874"/>
      <c r="D153" s="875"/>
      <c r="E153" s="886"/>
      <c r="F153" s="886"/>
      <c r="G153" s="887"/>
    </row>
    <row r="154" spans="1:7" s="844" customFormat="1">
      <c r="A154" s="856"/>
      <c r="B154" s="42"/>
      <c r="C154" s="874"/>
      <c r="D154" s="875"/>
      <c r="E154" s="886"/>
      <c r="F154" s="886"/>
      <c r="G154" s="887"/>
    </row>
    <row r="155" spans="1:7" s="844" customFormat="1" ht="13">
      <c r="A155" s="856"/>
      <c r="B155" s="896" t="s">
        <v>306</v>
      </c>
      <c r="C155" s="874"/>
      <c r="D155" s="875"/>
      <c r="E155" s="886"/>
      <c r="F155" s="886"/>
      <c r="G155" s="887"/>
    </row>
    <row r="156" spans="1:7" s="844" customFormat="1">
      <c r="A156" s="856"/>
      <c r="B156" s="876" t="s">
        <v>307</v>
      </c>
      <c r="C156" s="874">
        <v>1</v>
      </c>
      <c r="D156" s="875">
        <v>3.87</v>
      </c>
      <c r="E156" s="886"/>
      <c r="F156" s="886">
        <v>0.6</v>
      </c>
      <c r="G156" s="887">
        <f>F156*D156*C156</f>
        <v>2.3220000000000001</v>
      </c>
    </row>
    <row r="157" spans="1:7" s="844" customFormat="1">
      <c r="A157" s="856"/>
      <c r="B157" s="876"/>
      <c r="C157" s="874">
        <v>1</v>
      </c>
      <c r="D157" s="875">
        <v>2.87</v>
      </c>
      <c r="E157" s="886"/>
      <c r="F157" s="886">
        <v>2.2000000000000002</v>
      </c>
      <c r="G157" s="887">
        <f>F157*D157*C157</f>
        <v>6.3140000000000009</v>
      </c>
    </row>
    <row r="158" spans="1:7" s="844" customFormat="1">
      <c r="A158" s="856"/>
      <c r="B158" s="42" t="s">
        <v>308</v>
      </c>
      <c r="C158" s="874">
        <v>1</v>
      </c>
      <c r="D158" s="875">
        <v>1.33</v>
      </c>
      <c r="E158" s="886"/>
      <c r="F158" s="886">
        <v>2.2000000000000002</v>
      </c>
      <c r="G158" s="887">
        <f>F158*D158*C158</f>
        <v>2.9260000000000006</v>
      </c>
    </row>
    <row r="159" spans="1:7" s="844" customFormat="1">
      <c r="A159" s="856"/>
      <c r="B159" s="876" t="s">
        <v>309</v>
      </c>
      <c r="C159" s="876">
        <v>-1</v>
      </c>
      <c r="D159" s="897">
        <v>1.99</v>
      </c>
      <c r="E159" s="876"/>
      <c r="F159" s="876">
        <v>1.99</v>
      </c>
      <c r="G159" s="898">
        <f>F159*D159*C159</f>
        <v>-3.9601000000000002</v>
      </c>
    </row>
    <row r="160" spans="1:7" s="844" customFormat="1">
      <c r="A160" s="856"/>
      <c r="B160" s="862"/>
      <c r="C160" s="874"/>
      <c r="D160" s="875"/>
      <c r="E160" s="886"/>
      <c r="F160" s="886"/>
      <c r="G160" s="899"/>
    </row>
    <row r="161" spans="1:7" s="844" customFormat="1" ht="13">
      <c r="A161" s="856"/>
      <c r="B161" s="862"/>
      <c r="C161" s="874"/>
      <c r="D161" s="875"/>
      <c r="E161" s="886"/>
      <c r="F161" s="886"/>
      <c r="G161" s="900">
        <f>SUM(G156:G160)</f>
        <v>7.6019000000000005</v>
      </c>
    </row>
    <row r="162" spans="1:7" s="844" customFormat="1" ht="13">
      <c r="A162" s="856"/>
      <c r="B162" s="862"/>
      <c r="C162" s="874"/>
      <c r="D162" s="875"/>
      <c r="E162" s="872"/>
      <c r="F162" s="872"/>
      <c r="G162" s="883"/>
    </row>
    <row r="163" spans="1:7" s="844" customFormat="1" ht="137.5">
      <c r="A163" s="856">
        <v>22</v>
      </c>
      <c r="B163" s="42" t="s">
        <v>135</v>
      </c>
      <c r="C163" s="874"/>
      <c r="D163" s="875"/>
      <c r="E163" s="872"/>
      <c r="F163" s="872"/>
      <c r="G163" s="883"/>
    </row>
    <row r="164" spans="1:7" s="844" customFormat="1" ht="13">
      <c r="A164" s="856"/>
      <c r="B164" s="42" t="s">
        <v>137</v>
      </c>
      <c r="C164" s="874"/>
      <c r="D164" s="875"/>
      <c r="E164" s="872"/>
      <c r="F164" s="872"/>
      <c r="G164" s="883"/>
    </row>
    <row r="165" spans="1:7" s="844" customFormat="1" ht="13">
      <c r="A165" s="856"/>
      <c r="B165" s="862"/>
      <c r="C165" s="874"/>
      <c r="D165" s="875"/>
      <c r="E165" s="872"/>
      <c r="F165" s="872"/>
      <c r="G165" s="883"/>
    </row>
    <row r="166" spans="1:7" s="844" customFormat="1" ht="13">
      <c r="A166" s="856"/>
      <c r="B166" s="862" t="s">
        <v>310</v>
      </c>
      <c r="C166" s="874">
        <v>1</v>
      </c>
      <c r="D166" s="875">
        <v>1.03</v>
      </c>
      <c r="E166" s="872"/>
      <c r="F166" s="872">
        <v>0.1</v>
      </c>
      <c r="G166" s="883">
        <f t="shared" ref="G166:G171" si="5">F166*D166*C166</f>
        <v>0.10300000000000001</v>
      </c>
    </row>
    <row r="167" spans="1:7" s="844" customFormat="1" ht="13">
      <c r="A167" s="856"/>
      <c r="B167" s="862"/>
      <c r="C167" s="874">
        <v>1</v>
      </c>
      <c r="D167" s="875">
        <v>2.2000000000000002</v>
      </c>
      <c r="E167" s="872"/>
      <c r="F167" s="872">
        <v>0.1</v>
      </c>
      <c r="G167" s="883">
        <f t="shared" si="5"/>
        <v>0.22000000000000003</v>
      </c>
    </row>
    <row r="168" spans="1:7" s="844" customFormat="1" ht="13">
      <c r="A168" s="856"/>
      <c r="B168" s="862"/>
      <c r="C168" s="874">
        <v>1</v>
      </c>
      <c r="D168" s="875">
        <v>0.27500000000000002</v>
      </c>
      <c r="E168" s="872"/>
      <c r="F168" s="872">
        <v>0.1</v>
      </c>
      <c r="G168" s="883">
        <f t="shared" si="5"/>
        <v>2.7500000000000004E-2</v>
      </c>
    </row>
    <row r="169" spans="1:7" s="844" customFormat="1" ht="13">
      <c r="A169" s="856"/>
      <c r="B169" s="862"/>
      <c r="C169" s="874">
        <v>1</v>
      </c>
      <c r="D169" s="875">
        <v>0.81499999999999995</v>
      </c>
      <c r="E169" s="872"/>
      <c r="F169" s="872">
        <v>0.1</v>
      </c>
      <c r="G169" s="883">
        <f t="shared" si="5"/>
        <v>8.1500000000000003E-2</v>
      </c>
    </row>
    <row r="170" spans="1:7" s="844" customFormat="1" ht="13">
      <c r="A170" s="856"/>
      <c r="B170" s="862"/>
      <c r="C170" s="874">
        <v>1</v>
      </c>
      <c r="D170" s="875">
        <v>1.88</v>
      </c>
      <c r="E170" s="872"/>
      <c r="F170" s="872">
        <v>0.1</v>
      </c>
      <c r="G170" s="883">
        <f t="shared" si="5"/>
        <v>0.188</v>
      </c>
    </row>
    <row r="171" spans="1:7" s="844" customFormat="1" ht="13">
      <c r="A171" s="856"/>
      <c r="B171" s="862"/>
      <c r="C171" s="874">
        <v>1</v>
      </c>
      <c r="D171" s="875">
        <v>2.42</v>
      </c>
      <c r="E171" s="872"/>
      <c r="F171" s="872">
        <v>0.1</v>
      </c>
      <c r="G171" s="883">
        <f t="shared" si="5"/>
        <v>0.24199999999999999</v>
      </c>
    </row>
    <row r="172" spans="1:7" s="844" customFormat="1" ht="13">
      <c r="A172" s="856"/>
      <c r="B172" s="862"/>
      <c r="C172" s="874"/>
      <c r="D172" s="875"/>
      <c r="E172" s="872"/>
      <c r="F172" s="872"/>
      <c r="G172" s="883"/>
    </row>
    <row r="173" spans="1:7" s="844" customFormat="1" ht="13">
      <c r="A173" s="856"/>
      <c r="B173" s="862"/>
      <c r="C173" s="874"/>
      <c r="D173" s="875"/>
      <c r="E173" s="872"/>
      <c r="F173" s="872"/>
      <c r="G173" s="883">
        <f>SUM(G166:G172)</f>
        <v>0.8620000000000001</v>
      </c>
    </row>
    <row r="174" spans="1:7" s="844" customFormat="1" ht="13">
      <c r="A174" s="856"/>
      <c r="B174" s="862"/>
      <c r="C174" s="874"/>
      <c r="D174" s="875"/>
      <c r="E174" s="872"/>
      <c r="F174" s="872"/>
      <c r="G174" s="883"/>
    </row>
    <row r="175" spans="1:7" s="844" customFormat="1" ht="114.5">
      <c r="A175" s="856">
        <v>23</v>
      </c>
      <c r="B175" s="862" t="s">
        <v>311</v>
      </c>
      <c r="C175" s="888" t="s">
        <v>250</v>
      </c>
      <c r="D175" s="875"/>
      <c r="E175" s="886"/>
      <c r="F175" s="886"/>
      <c r="G175" s="899"/>
    </row>
    <row r="176" spans="1:7" s="844" customFormat="1">
      <c r="A176" s="856"/>
      <c r="B176" s="862"/>
      <c r="C176" s="901"/>
      <c r="D176" s="875"/>
      <c r="E176" s="886"/>
      <c r="F176" s="886"/>
      <c r="G176" s="887"/>
    </row>
    <row r="177" spans="1:7" s="844" customFormat="1">
      <c r="A177" s="856"/>
      <c r="B177" s="862" t="s">
        <v>312</v>
      </c>
      <c r="C177" s="901">
        <v>1</v>
      </c>
      <c r="D177" s="875">
        <v>2.06</v>
      </c>
      <c r="E177" s="886"/>
      <c r="F177" s="886">
        <v>0.6</v>
      </c>
      <c r="G177" s="887">
        <f>D177*C177*F177</f>
        <v>1.236</v>
      </c>
    </row>
    <row r="178" spans="1:7" s="844" customFormat="1">
      <c r="A178" s="856"/>
      <c r="B178" s="862"/>
      <c r="C178" s="901">
        <v>1</v>
      </c>
      <c r="D178" s="875">
        <v>2.8780000000000001</v>
      </c>
      <c r="E178" s="886"/>
      <c r="F178" s="886">
        <v>0.6</v>
      </c>
      <c r="G178" s="887">
        <f>D178*C178*F178</f>
        <v>1.7268000000000001</v>
      </c>
    </row>
    <row r="179" spans="1:7" s="844" customFormat="1">
      <c r="A179" s="856"/>
      <c r="B179" s="862"/>
      <c r="C179" s="901">
        <v>1</v>
      </c>
      <c r="D179" s="875">
        <v>2.6</v>
      </c>
      <c r="E179" s="886"/>
      <c r="F179" s="886">
        <v>0.6</v>
      </c>
      <c r="G179" s="887">
        <f>D179*C179*F179</f>
        <v>1.56</v>
      </c>
    </row>
    <row r="180" spans="1:7" s="844" customFormat="1">
      <c r="A180" s="856"/>
      <c r="B180" s="862"/>
      <c r="C180" s="901"/>
      <c r="D180" s="875"/>
      <c r="E180" s="886"/>
      <c r="F180" s="886"/>
      <c r="G180" s="887"/>
    </row>
    <row r="181" spans="1:7" s="844" customFormat="1" ht="13">
      <c r="A181" s="856"/>
      <c r="B181" s="902"/>
      <c r="C181" s="903"/>
      <c r="D181" s="904"/>
      <c r="E181" s="905"/>
      <c r="F181" s="905"/>
      <c r="G181" s="900">
        <f>SUM(G177:G180)</f>
        <v>4.5228000000000002</v>
      </c>
    </row>
    <row r="182" spans="1:7" s="844" customFormat="1">
      <c r="A182" s="856"/>
      <c r="B182" s="862"/>
      <c r="C182" s="888"/>
      <c r="D182" s="875"/>
      <c r="E182" s="886"/>
      <c r="F182" s="886"/>
      <c r="G182" s="899"/>
    </row>
    <row r="183" spans="1:7" s="844" customFormat="1" ht="13">
      <c r="A183" s="856"/>
      <c r="B183" s="862"/>
      <c r="C183" s="888"/>
      <c r="D183" s="875"/>
      <c r="E183" s="886"/>
      <c r="F183" s="886"/>
      <c r="G183" s="855"/>
    </row>
    <row r="184" spans="1:7" s="844" customFormat="1" ht="13">
      <c r="A184" s="856"/>
      <c r="B184" s="862"/>
      <c r="C184" s="888"/>
      <c r="D184" s="875"/>
      <c r="E184" s="886"/>
      <c r="F184" s="886"/>
      <c r="G184" s="855"/>
    </row>
    <row r="185" spans="1:7" s="844" customFormat="1" ht="13">
      <c r="A185" s="856"/>
      <c r="B185" s="862" t="s">
        <v>313</v>
      </c>
      <c r="C185" s="888">
        <v>1</v>
      </c>
      <c r="D185" s="875">
        <v>2.06</v>
      </c>
      <c r="E185" s="886"/>
      <c r="F185" s="886">
        <v>0.15</v>
      </c>
      <c r="G185" s="900">
        <f t="shared" ref="G185:G190" si="6">F185*D185*C185</f>
        <v>0.309</v>
      </c>
    </row>
    <row r="186" spans="1:7" s="844" customFormat="1" ht="13">
      <c r="A186" s="856"/>
      <c r="B186" s="862"/>
      <c r="C186" s="888">
        <v>1</v>
      </c>
      <c r="D186" s="875">
        <v>2.8780000000000001</v>
      </c>
      <c r="E186" s="886"/>
      <c r="F186" s="886">
        <v>0.15</v>
      </c>
      <c r="G186" s="900">
        <f t="shared" si="6"/>
        <v>0.43170000000000003</v>
      </c>
    </row>
    <row r="187" spans="1:7" s="844" customFormat="1" ht="13">
      <c r="A187" s="856"/>
      <c r="B187" s="862"/>
      <c r="C187" s="888">
        <v>1</v>
      </c>
      <c r="D187" s="875">
        <v>2.6</v>
      </c>
      <c r="E187" s="886"/>
      <c r="F187" s="886">
        <v>0.15</v>
      </c>
      <c r="G187" s="900">
        <f t="shared" si="6"/>
        <v>0.39</v>
      </c>
    </row>
    <row r="188" spans="1:7" s="844" customFormat="1" ht="13">
      <c r="A188" s="856"/>
      <c r="B188" s="862" t="s">
        <v>314</v>
      </c>
      <c r="C188" s="888">
        <v>1</v>
      </c>
      <c r="D188" s="875">
        <v>2.06</v>
      </c>
      <c r="E188" s="886"/>
      <c r="F188" s="886">
        <v>0.1</v>
      </c>
      <c r="G188" s="900">
        <f t="shared" si="6"/>
        <v>0.20600000000000002</v>
      </c>
    </row>
    <row r="189" spans="1:7" s="844" customFormat="1" ht="13">
      <c r="A189" s="856"/>
      <c r="B189" s="862"/>
      <c r="C189" s="888">
        <v>1</v>
      </c>
      <c r="D189" s="875">
        <v>2.8780000000000001</v>
      </c>
      <c r="E189" s="886"/>
      <c r="F189" s="886">
        <v>0.1</v>
      </c>
      <c r="G189" s="900">
        <f t="shared" si="6"/>
        <v>0.2878</v>
      </c>
    </row>
    <row r="190" spans="1:7" s="844" customFormat="1" ht="13">
      <c r="A190" s="856"/>
      <c r="B190" s="862"/>
      <c r="C190" s="888">
        <v>1</v>
      </c>
      <c r="D190" s="875">
        <v>2.6</v>
      </c>
      <c r="E190" s="886"/>
      <c r="F190" s="886">
        <v>0.1</v>
      </c>
      <c r="G190" s="900">
        <f t="shared" si="6"/>
        <v>0.26</v>
      </c>
    </row>
    <row r="191" spans="1:7" s="844" customFormat="1" ht="13">
      <c r="A191" s="856"/>
      <c r="B191" s="862"/>
      <c r="C191" s="888"/>
      <c r="D191" s="875"/>
      <c r="E191" s="886"/>
      <c r="F191" s="886"/>
      <c r="G191" s="900"/>
    </row>
    <row r="192" spans="1:7" s="844" customFormat="1" ht="13">
      <c r="A192" s="856"/>
      <c r="B192" s="862"/>
      <c r="C192" s="888"/>
      <c r="D192" s="875"/>
      <c r="E192" s="886"/>
      <c r="F192" s="886"/>
      <c r="G192" s="900">
        <f>SUM(G185:G191)</f>
        <v>1.8845000000000001</v>
      </c>
    </row>
    <row r="193" spans="1:7" s="844" customFormat="1" ht="13">
      <c r="A193" s="856"/>
      <c r="B193" s="862"/>
      <c r="C193" s="874"/>
      <c r="D193" s="875"/>
      <c r="E193" s="872"/>
      <c r="F193" s="872"/>
      <c r="G193" s="883"/>
    </row>
    <row r="194" spans="1:7" s="844" customFormat="1" ht="115">
      <c r="A194" s="856">
        <v>24</v>
      </c>
      <c r="B194" s="42" t="s">
        <v>315</v>
      </c>
      <c r="C194" s="888"/>
      <c r="D194" s="875"/>
      <c r="E194" s="886"/>
      <c r="F194" s="886"/>
      <c r="G194" s="899"/>
    </row>
    <row r="195" spans="1:7" s="844" customFormat="1" ht="13">
      <c r="A195" s="856"/>
      <c r="B195" s="852"/>
      <c r="C195" s="888"/>
      <c r="D195" s="875"/>
      <c r="E195" s="886"/>
      <c r="F195" s="886"/>
      <c r="G195" s="899"/>
    </row>
    <row r="196" spans="1:7" s="844" customFormat="1">
      <c r="A196" s="856"/>
      <c r="B196" s="862" t="s">
        <v>316</v>
      </c>
      <c r="C196" s="888"/>
      <c r="D196" s="875"/>
      <c r="E196" s="886"/>
      <c r="F196" s="886"/>
      <c r="G196" s="887"/>
    </row>
    <row r="197" spans="1:7" s="844" customFormat="1">
      <c r="A197" s="856"/>
      <c r="B197" s="862" t="s">
        <v>317</v>
      </c>
      <c r="C197" s="888">
        <v>2</v>
      </c>
      <c r="D197" s="875">
        <v>12.01</v>
      </c>
      <c r="E197" s="886"/>
      <c r="F197" s="886">
        <v>0.35</v>
      </c>
      <c r="G197" s="887">
        <f>D197*C197*F197</f>
        <v>8.407</v>
      </c>
    </row>
    <row r="198" spans="1:7" s="844" customFormat="1">
      <c r="A198" s="856"/>
      <c r="B198" s="862" t="s">
        <v>318</v>
      </c>
      <c r="C198" s="888">
        <v>1</v>
      </c>
      <c r="D198" s="875">
        <v>12.01</v>
      </c>
      <c r="E198" s="886">
        <v>0.35</v>
      </c>
      <c r="F198" s="886"/>
      <c r="G198" s="887">
        <f>C198*D198*E198</f>
        <v>4.2035</v>
      </c>
    </row>
    <row r="199" spans="1:7" s="844" customFormat="1">
      <c r="A199" s="856"/>
      <c r="B199" s="862" t="s">
        <v>319</v>
      </c>
      <c r="C199" s="888">
        <v>1</v>
      </c>
      <c r="D199" s="875">
        <v>3.6</v>
      </c>
      <c r="E199" s="886">
        <v>0.8</v>
      </c>
      <c r="F199" s="886"/>
      <c r="G199" s="887">
        <f>E199*D199</f>
        <v>2.8800000000000003</v>
      </c>
    </row>
    <row r="200" spans="1:7" s="844" customFormat="1">
      <c r="A200" s="856"/>
      <c r="B200" s="862"/>
      <c r="C200" s="888">
        <v>1</v>
      </c>
      <c r="D200" s="875">
        <v>4.2</v>
      </c>
      <c r="E200" s="886">
        <v>0.8</v>
      </c>
      <c r="F200" s="886"/>
      <c r="G200" s="887">
        <f>E200*D200</f>
        <v>3.3600000000000003</v>
      </c>
    </row>
    <row r="201" spans="1:7" s="844" customFormat="1">
      <c r="A201" s="856"/>
      <c r="B201" s="862" t="s">
        <v>320</v>
      </c>
      <c r="C201" s="888">
        <v>1</v>
      </c>
      <c r="D201" s="875">
        <v>2</v>
      </c>
      <c r="E201" s="886">
        <v>1</v>
      </c>
      <c r="F201" s="886"/>
      <c r="G201" s="887">
        <f>E201*D202*C202</f>
        <v>4</v>
      </c>
    </row>
    <row r="202" spans="1:7" s="844" customFormat="1">
      <c r="A202" s="856"/>
      <c r="B202" s="862"/>
      <c r="C202" s="888">
        <v>1</v>
      </c>
      <c r="D202" s="875">
        <v>4</v>
      </c>
      <c r="E202" s="886"/>
      <c r="F202" s="886">
        <v>1.05</v>
      </c>
      <c r="G202" s="887">
        <f>F202*D202*C202</f>
        <v>4.2</v>
      </c>
    </row>
    <row r="203" spans="1:7" s="844" customFormat="1">
      <c r="A203" s="856"/>
      <c r="B203" s="862"/>
      <c r="C203" s="888">
        <v>1</v>
      </c>
      <c r="D203" s="875">
        <v>4</v>
      </c>
      <c r="E203" s="886"/>
      <c r="F203" s="886">
        <v>0.15</v>
      </c>
      <c r="G203" s="887">
        <f>F203*D203*C203</f>
        <v>0.6</v>
      </c>
    </row>
    <row r="204" spans="1:7" s="844" customFormat="1">
      <c r="A204" s="856"/>
      <c r="B204" s="862" t="s">
        <v>321</v>
      </c>
      <c r="C204" s="888">
        <v>1</v>
      </c>
      <c r="D204" s="875"/>
      <c r="E204" s="886"/>
      <c r="F204" s="886"/>
      <c r="G204" s="887">
        <v>8.9</v>
      </c>
    </row>
    <row r="205" spans="1:7" s="844" customFormat="1">
      <c r="A205" s="856"/>
      <c r="B205" s="862"/>
      <c r="C205" s="888"/>
      <c r="D205" s="875"/>
      <c r="E205" s="886"/>
      <c r="F205" s="886"/>
      <c r="G205" s="887"/>
    </row>
    <row r="206" spans="1:7" s="844" customFormat="1" ht="13">
      <c r="A206" s="856"/>
      <c r="B206" s="862"/>
      <c r="C206" s="888"/>
      <c r="D206" s="875"/>
      <c r="E206" s="886"/>
      <c r="F206" s="886"/>
      <c r="G206" s="900">
        <f>SUM(G197:G205)</f>
        <v>36.5505</v>
      </c>
    </row>
    <row r="207" spans="1:7" s="844" customFormat="1">
      <c r="A207" s="856"/>
      <c r="B207" s="862"/>
      <c r="C207" s="888"/>
      <c r="D207" s="875"/>
      <c r="E207" s="886"/>
      <c r="F207" s="886"/>
      <c r="G207" s="899"/>
    </row>
    <row r="208" spans="1:7" s="844" customFormat="1">
      <c r="A208" s="856"/>
      <c r="B208" s="862"/>
      <c r="C208" s="874"/>
      <c r="D208" s="875"/>
      <c r="E208" s="886"/>
      <c r="F208" s="886"/>
      <c r="G208" s="899"/>
    </row>
    <row r="209" spans="1:7" s="844" customFormat="1" ht="137.5">
      <c r="A209" s="856">
        <v>25</v>
      </c>
      <c r="B209" s="42" t="s">
        <v>142</v>
      </c>
      <c r="C209" s="874"/>
      <c r="D209" s="875"/>
      <c r="E209" s="886"/>
      <c r="F209" s="886"/>
      <c r="G209" s="899"/>
    </row>
    <row r="210" spans="1:7" s="844" customFormat="1">
      <c r="A210" s="856"/>
      <c r="B210" s="844" t="s">
        <v>322</v>
      </c>
      <c r="C210" s="874">
        <v>1</v>
      </c>
      <c r="D210" s="875">
        <v>3.6</v>
      </c>
      <c r="E210" s="886"/>
      <c r="F210" s="886">
        <v>0.1</v>
      </c>
      <c r="G210" s="887">
        <f>F210*D210*C210</f>
        <v>0.36000000000000004</v>
      </c>
    </row>
    <row r="211" spans="1:7" s="844" customFormat="1" ht="13">
      <c r="A211" s="856"/>
      <c r="B211" s="852" t="s">
        <v>323</v>
      </c>
      <c r="C211" s="874">
        <v>1</v>
      </c>
      <c r="D211" s="875">
        <v>4.2</v>
      </c>
      <c r="E211" s="886"/>
      <c r="F211" s="886">
        <v>0.1</v>
      </c>
      <c r="G211" s="887">
        <f>F211*D211*C211</f>
        <v>0.42000000000000004</v>
      </c>
    </row>
    <row r="212" spans="1:7" s="844" customFormat="1" ht="13">
      <c r="A212" s="856"/>
      <c r="B212" s="852" t="s">
        <v>324</v>
      </c>
      <c r="C212" s="874">
        <v>2</v>
      </c>
      <c r="D212" s="875">
        <v>0.8</v>
      </c>
      <c r="E212" s="886"/>
      <c r="F212" s="886">
        <v>0.1</v>
      </c>
      <c r="G212" s="887">
        <f>F212*D212*C212</f>
        <v>0.16000000000000003</v>
      </c>
    </row>
    <row r="213" spans="1:7" s="844" customFormat="1" ht="13">
      <c r="A213" s="856"/>
      <c r="B213" s="852"/>
      <c r="C213" s="874">
        <v>2</v>
      </c>
      <c r="D213" s="875">
        <v>0.8</v>
      </c>
      <c r="E213" s="886"/>
      <c r="F213" s="886">
        <v>0.1</v>
      </c>
      <c r="G213" s="887">
        <f>F213*D213*C213</f>
        <v>0.16000000000000003</v>
      </c>
    </row>
    <row r="214" spans="1:7" s="844" customFormat="1">
      <c r="A214" s="856"/>
      <c r="B214" s="876"/>
      <c r="C214" s="874"/>
      <c r="D214" s="875"/>
      <c r="E214" s="886"/>
      <c r="F214" s="886"/>
      <c r="G214" s="887"/>
    </row>
    <row r="215" spans="1:7" s="844" customFormat="1" ht="13">
      <c r="A215" s="856"/>
      <c r="B215" s="876"/>
      <c r="C215" s="874"/>
      <c r="D215" s="875"/>
      <c r="E215" s="886"/>
      <c r="F215" s="886"/>
      <c r="G215" s="900">
        <f>SUM(G210:G214)</f>
        <v>1.1000000000000001</v>
      </c>
    </row>
    <row r="216" spans="1:7" s="844" customFormat="1">
      <c r="A216" s="856"/>
      <c r="B216" s="876"/>
      <c r="C216" s="874"/>
      <c r="D216" s="875"/>
      <c r="E216" s="886"/>
      <c r="F216" s="886"/>
      <c r="G216" s="887"/>
    </row>
    <row r="217" spans="1:7" s="844" customFormat="1" ht="141">
      <c r="A217" s="856">
        <v>26</v>
      </c>
      <c r="B217" s="789" t="s">
        <v>325</v>
      </c>
      <c r="C217" s="874"/>
      <c r="D217" s="875"/>
      <c r="E217" s="886"/>
      <c r="F217" s="886"/>
      <c r="G217" s="900"/>
    </row>
    <row r="218" spans="1:7" s="844" customFormat="1" ht="13">
      <c r="A218" s="856"/>
      <c r="B218" s="862"/>
      <c r="C218" s="874"/>
      <c r="D218" s="875"/>
      <c r="E218" s="886"/>
      <c r="F218" s="886"/>
      <c r="G218" s="855"/>
    </row>
    <row r="219" spans="1:7" s="844" customFormat="1" ht="13">
      <c r="A219" s="856"/>
      <c r="B219" s="852" t="s">
        <v>326</v>
      </c>
      <c r="C219" s="874"/>
      <c r="D219" s="877"/>
      <c r="E219" s="874"/>
      <c r="F219" s="874"/>
      <c r="G219" s="878"/>
    </row>
    <row r="220" spans="1:7" s="844" customFormat="1">
      <c r="A220" s="856"/>
      <c r="B220" s="862" t="s">
        <v>327</v>
      </c>
      <c r="D220" s="906"/>
    </row>
    <row r="221" spans="1:7" s="844" customFormat="1" ht="37.5">
      <c r="A221" s="856"/>
      <c r="B221" s="862" t="s">
        <v>328</v>
      </c>
      <c r="C221" s="874">
        <v>1</v>
      </c>
      <c r="D221" s="875">
        <v>93.45</v>
      </c>
      <c r="E221" s="886"/>
      <c r="F221" s="886"/>
      <c r="G221" s="887">
        <f>D221*C221</f>
        <v>93.45</v>
      </c>
    </row>
    <row r="222" spans="1:7" s="844" customFormat="1">
      <c r="A222" s="856"/>
      <c r="B222" s="862" t="s">
        <v>329</v>
      </c>
      <c r="C222" s="874">
        <v>-1</v>
      </c>
      <c r="D222" s="875">
        <v>2.1</v>
      </c>
      <c r="E222" s="886">
        <v>1.2</v>
      </c>
      <c r="F222" s="886"/>
      <c r="G222" s="887">
        <f>E222*D222*C222</f>
        <v>-2.52</v>
      </c>
    </row>
    <row r="223" spans="1:7" s="844" customFormat="1">
      <c r="A223" s="856"/>
      <c r="B223" s="862"/>
      <c r="C223" s="874"/>
      <c r="D223" s="875"/>
      <c r="E223" s="886"/>
      <c r="F223" s="886"/>
      <c r="G223" s="887">
        <f>SUM(G221:G222)</f>
        <v>90.93</v>
      </c>
    </row>
    <row r="224" spans="1:7" s="844" customFormat="1" ht="13">
      <c r="A224" s="856"/>
      <c r="B224" s="862"/>
      <c r="C224" s="874"/>
      <c r="D224" s="875"/>
      <c r="E224" s="886"/>
      <c r="F224" s="886"/>
      <c r="G224" s="900">
        <f>G223</f>
        <v>90.93</v>
      </c>
    </row>
    <row r="225" spans="1:7" s="844" customFormat="1" ht="13">
      <c r="A225" s="856"/>
      <c r="B225" s="852" t="s">
        <v>146</v>
      </c>
      <c r="C225" s="874"/>
      <c r="D225" s="875"/>
      <c r="E225" s="886"/>
      <c r="F225" s="886"/>
      <c r="G225" s="855"/>
    </row>
    <row r="226" spans="1:7" s="844" customFormat="1" ht="13">
      <c r="A226" s="856"/>
      <c r="B226" s="862"/>
      <c r="C226" s="874"/>
      <c r="D226" s="875"/>
      <c r="E226" s="872"/>
      <c r="F226" s="872"/>
      <c r="G226" s="883"/>
    </row>
    <row r="227" spans="1:7" s="844" customFormat="1" ht="62.5">
      <c r="A227" s="856">
        <v>27</v>
      </c>
      <c r="B227" s="42" t="s">
        <v>147</v>
      </c>
      <c r="C227" s="874"/>
      <c r="D227" s="875"/>
      <c r="E227" s="886"/>
      <c r="F227" s="886"/>
      <c r="G227" s="855"/>
    </row>
    <row r="228" spans="1:7" s="844" customFormat="1" ht="50">
      <c r="A228" s="856"/>
      <c r="B228" s="42" t="s">
        <v>148</v>
      </c>
      <c r="C228" s="874"/>
      <c r="D228" s="875"/>
      <c r="E228" s="886"/>
      <c r="F228" s="886"/>
      <c r="G228" s="855"/>
    </row>
    <row r="229" spans="1:7" s="844" customFormat="1">
      <c r="A229" s="856"/>
      <c r="B229" s="862"/>
      <c r="C229" s="874"/>
      <c r="D229" s="875"/>
      <c r="E229" s="886"/>
      <c r="F229" s="886"/>
      <c r="G229" s="899"/>
    </row>
    <row r="230" spans="1:7" s="844" customFormat="1" ht="13">
      <c r="A230" s="856"/>
      <c r="B230" s="852" t="s">
        <v>330</v>
      </c>
      <c r="C230" s="874"/>
      <c r="D230" s="875"/>
      <c r="E230" s="886"/>
      <c r="F230" s="886"/>
      <c r="G230" s="899"/>
    </row>
    <row r="231" spans="1:7" s="844" customFormat="1">
      <c r="A231" s="856"/>
      <c r="B231" s="862" t="s">
        <v>331</v>
      </c>
      <c r="C231" s="874">
        <v>1</v>
      </c>
      <c r="D231" s="875">
        <v>34.369999999999997</v>
      </c>
      <c r="E231" s="886"/>
      <c r="F231" s="886"/>
      <c r="G231" s="887">
        <f>D231*C231</f>
        <v>34.369999999999997</v>
      </c>
    </row>
    <row r="232" spans="1:7" s="844" customFormat="1">
      <c r="A232" s="856"/>
      <c r="B232" s="862"/>
      <c r="C232" s="874"/>
      <c r="D232" s="875"/>
      <c r="E232" s="886"/>
      <c r="F232" s="886"/>
      <c r="G232" s="887">
        <f>D232*C232</f>
        <v>0</v>
      </c>
    </row>
    <row r="233" spans="1:7" s="844" customFormat="1">
      <c r="A233" s="856"/>
      <c r="B233" s="862"/>
      <c r="C233" s="874"/>
      <c r="D233" s="875"/>
      <c r="E233" s="886"/>
      <c r="F233" s="886"/>
      <c r="G233" s="887">
        <f>SUM(G231:G232)</f>
        <v>34.369999999999997</v>
      </c>
    </row>
    <row r="234" spans="1:7" s="844" customFormat="1">
      <c r="A234" s="856"/>
      <c r="B234" s="862"/>
      <c r="C234" s="874"/>
      <c r="D234" s="875"/>
      <c r="E234" s="886"/>
      <c r="F234" s="886"/>
      <c r="G234" s="887"/>
    </row>
    <row r="235" spans="1:7" s="844" customFormat="1" ht="13">
      <c r="A235" s="856"/>
      <c r="B235" s="862"/>
      <c r="C235" s="874"/>
      <c r="D235" s="875"/>
      <c r="E235" s="886"/>
      <c r="F235" s="886"/>
      <c r="G235" s="855">
        <v>35</v>
      </c>
    </row>
    <row r="236" spans="1:7" s="844" customFormat="1" ht="76">
      <c r="A236" s="856">
        <v>28</v>
      </c>
      <c r="B236" s="42" t="s">
        <v>332</v>
      </c>
      <c r="C236" s="874"/>
      <c r="D236" s="907"/>
      <c r="E236" s="886"/>
      <c r="F236" s="886"/>
      <c r="G236" s="887"/>
    </row>
    <row r="237" spans="1:7" s="844" customFormat="1">
      <c r="A237" s="856"/>
      <c r="B237" s="862"/>
      <c r="C237" s="874"/>
      <c r="D237" s="907"/>
      <c r="E237" s="886"/>
      <c r="F237" s="886"/>
      <c r="G237" s="887"/>
    </row>
    <row r="238" spans="1:7" s="844" customFormat="1" ht="13">
      <c r="A238" s="856"/>
      <c r="B238" s="852" t="s">
        <v>333</v>
      </c>
      <c r="C238" s="874"/>
      <c r="D238" s="907"/>
      <c r="E238" s="886"/>
      <c r="F238" s="886"/>
      <c r="G238" s="899"/>
    </row>
    <row r="239" spans="1:7" s="844" customFormat="1">
      <c r="A239" s="856"/>
      <c r="B239" s="862"/>
      <c r="C239" s="874"/>
      <c r="D239" s="907"/>
      <c r="E239" s="886"/>
      <c r="F239" s="886"/>
      <c r="G239" s="899"/>
    </row>
    <row r="240" spans="1:7" s="844" customFormat="1" ht="25">
      <c r="A240" s="856"/>
      <c r="B240" s="908" t="s">
        <v>334</v>
      </c>
      <c r="C240" s="874">
        <v>1</v>
      </c>
      <c r="D240" s="875">
        <v>6.415</v>
      </c>
      <c r="E240" s="872"/>
      <c r="F240" s="886"/>
      <c r="G240" s="887">
        <f>D240*C240</f>
        <v>6.415</v>
      </c>
    </row>
    <row r="241" spans="1:7" s="844" customFormat="1" ht="25">
      <c r="A241" s="856"/>
      <c r="B241" s="908" t="s">
        <v>335</v>
      </c>
      <c r="C241" s="874">
        <v>1</v>
      </c>
      <c r="D241" s="907">
        <v>4.97</v>
      </c>
      <c r="E241" s="886"/>
      <c r="F241" s="886"/>
      <c r="G241" s="887">
        <f>D241*C241</f>
        <v>4.97</v>
      </c>
    </row>
    <row r="242" spans="1:7" s="844" customFormat="1">
      <c r="A242" s="856"/>
      <c r="B242" s="908" t="s">
        <v>336</v>
      </c>
      <c r="C242" s="874">
        <v>1</v>
      </c>
      <c r="D242" s="907">
        <v>7.01</v>
      </c>
      <c r="E242" s="886"/>
      <c r="F242" s="886"/>
      <c r="G242" s="887">
        <f>D242*C242</f>
        <v>7.01</v>
      </c>
    </row>
    <row r="243" spans="1:7" s="844" customFormat="1">
      <c r="A243" s="856"/>
      <c r="B243" s="908" t="s">
        <v>337</v>
      </c>
      <c r="C243" s="874">
        <v>1</v>
      </c>
      <c r="D243" s="907">
        <v>2.67</v>
      </c>
      <c r="E243" s="886"/>
      <c r="F243" s="886"/>
      <c r="G243" s="887">
        <f>D243*C243</f>
        <v>2.67</v>
      </c>
    </row>
    <row r="244" spans="1:7" s="844" customFormat="1" ht="13">
      <c r="A244" s="856"/>
      <c r="B244" s="862" t="s">
        <v>338</v>
      </c>
      <c r="C244" s="874" t="s">
        <v>99</v>
      </c>
      <c r="D244" s="907">
        <v>9</v>
      </c>
      <c r="E244" s="886"/>
      <c r="F244" s="886"/>
      <c r="G244" s="909">
        <f>D244</f>
        <v>9</v>
      </c>
    </row>
    <row r="245" spans="1:7" s="844" customFormat="1" ht="13">
      <c r="A245" s="856"/>
      <c r="B245" s="862"/>
      <c r="C245" s="874"/>
      <c r="D245" s="907"/>
      <c r="E245" s="886"/>
      <c r="F245" s="886"/>
      <c r="G245" s="855"/>
    </row>
    <row r="246" spans="1:7" s="844" customFormat="1" ht="13">
      <c r="A246" s="856"/>
      <c r="B246" s="862"/>
      <c r="C246" s="874"/>
      <c r="D246" s="907"/>
      <c r="E246" s="886"/>
      <c r="F246" s="886"/>
      <c r="G246" s="900">
        <f>SUM(G240:G244)</f>
        <v>30.064999999999998</v>
      </c>
    </row>
    <row r="247" spans="1:7" s="844" customFormat="1" ht="13">
      <c r="A247" s="856"/>
      <c r="B247" s="862"/>
      <c r="C247" s="874"/>
      <c r="D247" s="875"/>
      <c r="E247" s="886"/>
      <c r="F247" s="886"/>
      <c r="G247" s="855"/>
    </row>
    <row r="248" spans="1:7" s="844" customFormat="1" ht="13">
      <c r="A248" s="856"/>
      <c r="B248" s="862"/>
      <c r="C248" s="874"/>
      <c r="D248" s="875"/>
      <c r="E248" s="886"/>
      <c r="F248" s="886"/>
      <c r="G248" s="855"/>
    </row>
    <row r="249" spans="1:7" s="844" customFormat="1" ht="13">
      <c r="A249" s="856"/>
      <c r="B249" s="852" t="s">
        <v>339</v>
      </c>
      <c r="C249" s="874"/>
      <c r="D249" s="875"/>
      <c r="E249" s="886"/>
      <c r="F249" s="886"/>
      <c r="G249" s="855"/>
    </row>
    <row r="250" spans="1:7" s="844" customFormat="1" ht="13">
      <c r="A250" s="856"/>
      <c r="B250" s="862"/>
      <c r="C250" s="874"/>
      <c r="D250" s="875"/>
      <c r="E250" s="886"/>
      <c r="F250" s="886"/>
      <c r="G250" s="855"/>
    </row>
    <row r="251" spans="1:7" s="844" customFormat="1" ht="162.5">
      <c r="A251" s="856"/>
      <c r="B251" s="42" t="s">
        <v>153</v>
      </c>
      <c r="C251" s="874"/>
      <c r="D251" s="875"/>
      <c r="E251" s="886"/>
      <c r="F251" s="886"/>
      <c r="G251" s="899"/>
    </row>
    <row r="252" spans="1:7" s="844" customFormat="1" ht="13">
      <c r="A252" s="856"/>
      <c r="B252" s="910" t="s">
        <v>340</v>
      </c>
      <c r="C252" s="874"/>
      <c r="D252" s="875"/>
      <c r="E252" s="886"/>
      <c r="F252" s="886"/>
      <c r="G252" s="899"/>
    </row>
    <row r="253" spans="1:7" s="844" customFormat="1">
      <c r="A253" s="856"/>
      <c r="B253" s="911" t="s">
        <v>341</v>
      </c>
      <c r="C253" s="874">
        <v>2</v>
      </c>
      <c r="D253" s="875">
        <v>0.8</v>
      </c>
      <c r="E253" s="886">
        <v>0.01</v>
      </c>
      <c r="F253" s="886">
        <v>6.5000000000000002E-2</v>
      </c>
      <c r="G253" s="912">
        <f t="shared" ref="G253:G258" si="7">F253*E253*D253*C253</f>
        <v>1.0400000000000001E-3</v>
      </c>
    </row>
    <row r="254" spans="1:7" s="844" customFormat="1" ht="13">
      <c r="A254" s="856"/>
      <c r="B254" s="910"/>
      <c r="C254" s="874">
        <v>4</v>
      </c>
      <c r="D254" s="875">
        <v>0.01</v>
      </c>
      <c r="E254" s="886">
        <v>6.5000000000000002E-2</v>
      </c>
      <c r="F254" s="886">
        <v>2.4</v>
      </c>
      <c r="G254" s="912">
        <f t="shared" si="7"/>
        <v>6.2399999999999999E-3</v>
      </c>
    </row>
    <row r="255" spans="1:7" s="844" customFormat="1" ht="13">
      <c r="A255" s="856"/>
      <c r="B255" s="910" t="s">
        <v>342</v>
      </c>
      <c r="C255" s="874">
        <v>1</v>
      </c>
      <c r="D255" s="875">
        <v>0.9</v>
      </c>
      <c r="E255" s="886">
        <v>0.01</v>
      </c>
      <c r="F255" s="886">
        <v>6.5000000000000002E-2</v>
      </c>
      <c r="G255" s="912">
        <f t="shared" si="7"/>
        <v>5.8500000000000012E-4</v>
      </c>
    </row>
    <row r="256" spans="1:7" s="844" customFormat="1" ht="13">
      <c r="A256" s="856"/>
      <c r="B256" s="910"/>
      <c r="C256" s="874">
        <v>2</v>
      </c>
      <c r="D256" s="875">
        <v>0.1</v>
      </c>
      <c r="E256" s="886">
        <v>6.5000000000000002E-2</v>
      </c>
      <c r="F256" s="886">
        <v>2.4</v>
      </c>
      <c r="G256" s="912">
        <f t="shared" si="7"/>
        <v>3.1200000000000002E-2</v>
      </c>
    </row>
    <row r="257" spans="1:7" s="844" customFormat="1" ht="13">
      <c r="A257" s="856"/>
      <c r="B257" s="910" t="s">
        <v>343</v>
      </c>
      <c r="C257" s="874">
        <v>1</v>
      </c>
      <c r="D257" s="875">
        <v>0.8</v>
      </c>
      <c r="E257" s="886">
        <v>0.01</v>
      </c>
      <c r="F257" s="886">
        <v>6.5000000000000002E-2</v>
      </c>
      <c r="G257" s="912">
        <f t="shared" si="7"/>
        <v>5.2000000000000006E-4</v>
      </c>
    </row>
    <row r="258" spans="1:7" s="844" customFormat="1" ht="13">
      <c r="A258" s="856"/>
      <c r="B258" s="910"/>
      <c r="C258" s="874">
        <v>2</v>
      </c>
      <c r="D258" s="875">
        <v>0.01</v>
      </c>
      <c r="E258" s="886">
        <v>6.5000000000000002E-2</v>
      </c>
      <c r="F258" s="886">
        <v>2.4</v>
      </c>
      <c r="G258" s="912">
        <f t="shared" si="7"/>
        <v>3.1199999999999999E-3</v>
      </c>
    </row>
    <row r="259" spans="1:7" s="844" customFormat="1" ht="13">
      <c r="A259" s="856"/>
      <c r="B259" s="910"/>
      <c r="C259" s="874"/>
      <c r="D259" s="875"/>
      <c r="E259" s="886"/>
      <c r="F259" s="886"/>
      <c r="G259" s="912"/>
    </row>
    <row r="260" spans="1:7" s="844" customFormat="1" ht="13">
      <c r="A260" s="856"/>
      <c r="B260" s="910"/>
      <c r="C260" s="874"/>
      <c r="D260" s="875"/>
      <c r="E260" s="886"/>
      <c r="F260" s="886"/>
      <c r="G260" s="887"/>
    </row>
    <row r="261" spans="1:7" s="844" customFormat="1" ht="13">
      <c r="A261" s="856"/>
      <c r="B261" s="910"/>
      <c r="C261" s="874"/>
      <c r="D261" s="875"/>
      <c r="E261" s="886"/>
      <c r="F261" s="886"/>
      <c r="G261" s="900">
        <f>SUM(G253:G260)</f>
        <v>4.2705E-2</v>
      </c>
    </row>
    <row r="262" spans="1:7" s="844" customFormat="1" ht="13">
      <c r="A262" s="856"/>
      <c r="B262" s="910"/>
      <c r="C262" s="874"/>
      <c r="D262" s="875"/>
      <c r="E262" s="886"/>
      <c r="F262" s="886"/>
      <c r="G262" s="900"/>
    </row>
    <row r="263" spans="1:7" s="844" customFormat="1" ht="387.5">
      <c r="A263" s="856"/>
      <c r="B263" s="789" t="s">
        <v>154</v>
      </c>
      <c r="C263" s="874"/>
      <c r="D263" s="875"/>
      <c r="E263" s="886"/>
      <c r="F263" s="886"/>
      <c r="G263" s="887"/>
    </row>
    <row r="264" spans="1:7" s="844" customFormat="1" ht="26">
      <c r="A264" s="856"/>
      <c r="B264" s="910" t="s">
        <v>344</v>
      </c>
      <c r="C264" s="874">
        <v>1</v>
      </c>
      <c r="D264" s="875">
        <v>0.9</v>
      </c>
      <c r="E264" s="886"/>
      <c r="F264" s="886">
        <v>2.4</v>
      </c>
      <c r="G264" s="913">
        <f>F264*D264*C264</f>
        <v>2.16</v>
      </c>
    </row>
    <row r="265" spans="1:7" s="844" customFormat="1" ht="25">
      <c r="A265" s="856"/>
      <c r="B265" s="914" t="s">
        <v>345</v>
      </c>
      <c r="C265" s="874">
        <v>1</v>
      </c>
      <c r="D265" s="875">
        <v>1</v>
      </c>
      <c r="E265" s="886"/>
      <c r="F265" s="886">
        <v>2.4</v>
      </c>
      <c r="G265" s="887">
        <f>F265*D265*C265</f>
        <v>2.4</v>
      </c>
    </row>
    <row r="266" spans="1:7" s="844" customFormat="1" ht="13">
      <c r="A266" s="856"/>
      <c r="B266" s="910"/>
      <c r="C266" s="874"/>
      <c r="D266" s="875"/>
      <c r="E266" s="886"/>
      <c r="F266" s="886"/>
      <c r="G266" s="887"/>
    </row>
    <row r="267" spans="1:7" s="844" customFormat="1" ht="13">
      <c r="A267" s="856"/>
      <c r="B267" s="910"/>
      <c r="C267" s="874"/>
      <c r="D267" s="875"/>
      <c r="E267" s="886"/>
      <c r="F267" s="886"/>
      <c r="G267" s="900">
        <f>SUM(G264:G266)</f>
        <v>4.5600000000000005</v>
      </c>
    </row>
    <row r="268" spans="1:7" s="844" customFormat="1" ht="13">
      <c r="A268" s="856"/>
      <c r="B268" s="910"/>
      <c r="C268" s="874"/>
      <c r="D268" s="875"/>
      <c r="E268" s="886"/>
      <c r="F268" s="886"/>
      <c r="G268" s="899"/>
    </row>
    <row r="269" spans="1:7" s="844" customFormat="1" ht="162.5">
      <c r="A269" s="856"/>
      <c r="B269" s="915" t="s">
        <v>155</v>
      </c>
      <c r="C269" s="874"/>
      <c r="D269" s="875"/>
      <c r="E269" s="886"/>
      <c r="F269" s="886"/>
      <c r="G269" s="899"/>
    </row>
    <row r="270" spans="1:7" s="844" customFormat="1" ht="13">
      <c r="A270" s="856"/>
      <c r="B270" s="910" t="s">
        <v>346</v>
      </c>
      <c r="C270" s="874"/>
      <c r="D270" s="875"/>
      <c r="E270" s="886"/>
      <c r="F270" s="886"/>
      <c r="G270" s="899"/>
    </row>
    <row r="271" spans="1:7" s="844" customFormat="1">
      <c r="A271" s="856"/>
      <c r="B271" s="914" t="s">
        <v>347</v>
      </c>
      <c r="C271" s="874">
        <v>1</v>
      </c>
      <c r="D271" s="875">
        <v>0.8</v>
      </c>
      <c r="E271" s="886"/>
      <c r="F271" s="886">
        <v>2.4</v>
      </c>
      <c r="G271" s="887">
        <f>F271*D271*C271</f>
        <v>1.92</v>
      </c>
    </row>
    <row r="272" spans="1:7" s="844" customFormat="1">
      <c r="A272" s="856"/>
      <c r="B272" s="914" t="s">
        <v>348</v>
      </c>
      <c r="C272" s="874">
        <v>2</v>
      </c>
      <c r="D272" s="875">
        <v>0.8</v>
      </c>
      <c r="E272" s="886"/>
      <c r="F272" s="886">
        <v>2.4</v>
      </c>
      <c r="G272" s="887">
        <f>F272*D272*C272</f>
        <v>3.84</v>
      </c>
    </row>
    <row r="273" spans="1:7" s="844" customFormat="1">
      <c r="A273" s="856"/>
      <c r="B273" s="914"/>
      <c r="C273" s="874"/>
      <c r="D273" s="875"/>
      <c r="E273" s="886"/>
      <c r="F273" s="886"/>
      <c r="G273" s="887"/>
    </row>
    <row r="274" spans="1:7" s="844" customFormat="1" ht="13">
      <c r="A274" s="856"/>
      <c r="B274" s="910"/>
      <c r="C274" s="874"/>
      <c r="D274" s="875"/>
      <c r="E274" s="886"/>
      <c r="F274" s="886"/>
      <c r="G274" s="900">
        <f>SUM(G271:G273)</f>
        <v>5.76</v>
      </c>
    </row>
    <row r="275" spans="1:7" s="844" customFormat="1" ht="13">
      <c r="A275" s="856"/>
      <c r="B275" s="862"/>
      <c r="C275" s="874"/>
      <c r="D275" s="875"/>
      <c r="E275" s="886"/>
      <c r="F275" s="886"/>
      <c r="G275" s="855"/>
    </row>
    <row r="276" spans="1:7" s="844" customFormat="1" ht="112.5">
      <c r="A276" s="41">
        <v>32</v>
      </c>
      <c r="B276" s="915" t="s">
        <v>156</v>
      </c>
      <c r="C276" s="1" t="s">
        <v>157</v>
      </c>
      <c r="D276" s="871">
        <v>1</v>
      </c>
      <c r="E276" s="886"/>
      <c r="F276" s="886">
        <v>1</v>
      </c>
      <c r="G276" s="916">
        <f>D276</f>
        <v>1</v>
      </c>
    </row>
    <row r="277" spans="1:7" s="844" customFormat="1" ht="17.25" customHeight="1">
      <c r="A277" s="41"/>
      <c r="B277" s="915"/>
      <c r="C277" s="1"/>
      <c r="D277" s="871"/>
      <c r="E277" s="886"/>
      <c r="F277" s="886"/>
      <c r="G277" s="916"/>
    </row>
    <row r="278" spans="1:7" s="844" customFormat="1" ht="17.25" customHeight="1">
      <c r="A278" s="41"/>
      <c r="B278" s="915"/>
      <c r="C278" s="1"/>
      <c r="D278" s="871"/>
      <c r="E278" s="886"/>
      <c r="F278" s="886"/>
      <c r="G278" s="916">
        <f>SUM(G276:G277)</f>
        <v>1</v>
      </c>
    </row>
    <row r="279" spans="1:7" s="844" customFormat="1" ht="13">
      <c r="A279" s="41"/>
      <c r="B279" s="915"/>
      <c r="C279" s="1"/>
      <c r="D279" s="871"/>
      <c r="E279" s="886"/>
      <c r="F279" s="886"/>
      <c r="G279" s="855"/>
    </row>
    <row r="280" spans="1:7" s="844" customFormat="1" ht="125">
      <c r="A280" s="41">
        <v>33</v>
      </c>
      <c r="B280" s="915" t="s">
        <v>158</v>
      </c>
      <c r="C280" s="1" t="s">
        <v>159</v>
      </c>
      <c r="D280" s="871">
        <v>1</v>
      </c>
      <c r="E280" s="886"/>
      <c r="F280" s="886"/>
      <c r="G280" s="916">
        <f>D280</f>
        <v>1</v>
      </c>
    </row>
    <row r="281" spans="1:7" s="844" customFormat="1" ht="13">
      <c r="A281" s="41"/>
      <c r="B281" s="915"/>
      <c r="C281" s="1"/>
      <c r="D281" s="871"/>
      <c r="E281" s="886"/>
      <c r="F281" s="886"/>
      <c r="G281" s="855"/>
    </row>
    <row r="282" spans="1:7" s="844" customFormat="1" ht="13">
      <c r="A282" s="856"/>
      <c r="B282" s="862"/>
      <c r="C282" s="874"/>
      <c r="D282" s="875"/>
      <c r="E282" s="886"/>
      <c r="F282" s="886"/>
      <c r="G282" s="916">
        <f>SUM(G280:G281)</f>
        <v>1</v>
      </c>
    </row>
    <row r="283" spans="1:7" s="844" customFormat="1" ht="13">
      <c r="A283" s="856"/>
      <c r="B283" s="862"/>
      <c r="C283" s="874"/>
      <c r="D283" s="875"/>
      <c r="E283" s="886"/>
      <c r="F283" s="886"/>
      <c r="G283" s="855"/>
    </row>
    <row r="284" spans="1:7" s="844" customFormat="1" ht="13">
      <c r="A284" s="856"/>
      <c r="B284" s="862"/>
      <c r="C284" s="874"/>
      <c r="D284" s="875"/>
      <c r="E284" s="872"/>
      <c r="F284" s="872"/>
      <c r="G284" s="883"/>
    </row>
    <row r="285" spans="1:7" s="844" customFormat="1" ht="101.5">
      <c r="A285" s="856"/>
      <c r="B285" s="789" t="s">
        <v>349</v>
      </c>
      <c r="C285" s="874"/>
      <c r="D285" s="875"/>
      <c r="E285" s="886"/>
      <c r="F285" s="886"/>
      <c r="G285" s="899"/>
    </row>
    <row r="286" spans="1:7" s="844" customFormat="1" ht="13">
      <c r="A286" s="856"/>
      <c r="B286" s="852" t="s">
        <v>350</v>
      </c>
      <c r="C286" s="874"/>
      <c r="D286" s="875"/>
      <c r="E286" s="886"/>
      <c r="F286" s="886"/>
      <c r="G286" s="899"/>
    </row>
    <row r="287" spans="1:7" s="844" customFormat="1">
      <c r="A287" s="856"/>
      <c r="B287" s="862" t="s">
        <v>351</v>
      </c>
      <c r="C287" s="874">
        <v>1</v>
      </c>
      <c r="D287" s="875">
        <v>1.9450000000000001</v>
      </c>
      <c r="E287" s="886"/>
      <c r="F287" s="886"/>
      <c r="G287" s="887">
        <f>D287*C287</f>
        <v>1.9450000000000001</v>
      </c>
    </row>
    <row r="288" spans="1:7" s="844" customFormat="1">
      <c r="A288" s="856"/>
      <c r="B288" s="862"/>
      <c r="C288" s="874">
        <v>1</v>
      </c>
      <c r="D288" s="875">
        <v>0.90500000000000003</v>
      </c>
      <c r="E288" s="886"/>
      <c r="F288" s="886"/>
      <c r="G288" s="887">
        <f>D288*C288</f>
        <v>0.90500000000000003</v>
      </c>
    </row>
    <row r="289" spans="1:7" s="844" customFormat="1">
      <c r="A289" s="856"/>
      <c r="B289" s="862" t="s">
        <v>352</v>
      </c>
      <c r="C289" s="874">
        <v>1</v>
      </c>
      <c r="D289" s="875">
        <v>1.8</v>
      </c>
      <c r="E289" s="886"/>
      <c r="F289" s="886"/>
      <c r="G289" s="887">
        <f>D289*C289</f>
        <v>1.8</v>
      </c>
    </row>
    <row r="290" spans="1:7" s="844" customFormat="1">
      <c r="A290" s="856"/>
      <c r="B290" s="862" t="s">
        <v>353</v>
      </c>
      <c r="C290" s="874">
        <v>3</v>
      </c>
      <c r="D290" s="875">
        <v>0.9</v>
      </c>
      <c r="E290" s="886"/>
      <c r="F290" s="886"/>
      <c r="G290" s="887">
        <f>D290</f>
        <v>0.9</v>
      </c>
    </row>
    <row r="291" spans="1:7" s="844" customFormat="1">
      <c r="A291" s="856"/>
      <c r="B291" s="862" t="s">
        <v>354</v>
      </c>
      <c r="C291" s="874">
        <v>1</v>
      </c>
      <c r="D291" s="875">
        <v>1.1000000000000001</v>
      </c>
      <c r="E291" s="886"/>
      <c r="F291" s="886"/>
      <c r="G291" s="887">
        <f>D291*C291</f>
        <v>1.1000000000000001</v>
      </c>
    </row>
    <row r="292" spans="1:7" s="844" customFormat="1">
      <c r="A292" s="856"/>
      <c r="B292" s="862"/>
      <c r="C292" s="874"/>
      <c r="D292" s="875"/>
      <c r="E292" s="886"/>
      <c r="F292" s="886"/>
      <c r="G292" s="887">
        <f>SUM(G286:G291)</f>
        <v>6.65</v>
      </c>
    </row>
    <row r="293" spans="1:7" s="844" customFormat="1">
      <c r="A293" s="856"/>
      <c r="B293" s="862"/>
      <c r="C293" s="874"/>
      <c r="D293" s="875"/>
      <c r="E293" s="886"/>
      <c r="F293" s="886"/>
      <c r="G293" s="887"/>
    </row>
    <row r="294" spans="1:7" s="844" customFormat="1" ht="262.5">
      <c r="A294" s="856">
        <v>34</v>
      </c>
      <c r="B294" s="42" t="s">
        <v>161</v>
      </c>
      <c r="C294" s="874"/>
      <c r="D294" s="875"/>
      <c r="E294" s="886"/>
      <c r="F294" s="886"/>
      <c r="G294" s="899"/>
    </row>
    <row r="295" spans="1:7" s="844" customFormat="1" ht="37.5">
      <c r="A295" s="856"/>
      <c r="B295" s="439" t="s">
        <v>162</v>
      </c>
      <c r="C295" s="874"/>
      <c r="D295" s="875"/>
      <c r="E295" s="886"/>
      <c r="F295" s="886"/>
      <c r="G295" s="887"/>
    </row>
    <row r="296" spans="1:7" s="844" customFormat="1" ht="25">
      <c r="A296" s="856"/>
      <c r="B296" s="42" t="s">
        <v>163</v>
      </c>
      <c r="C296" s="874"/>
      <c r="D296" s="875"/>
      <c r="E296" s="886"/>
      <c r="F296" s="886"/>
      <c r="G296" s="887"/>
    </row>
    <row r="297" spans="1:7" s="844" customFormat="1" ht="37.5">
      <c r="A297" s="856"/>
      <c r="B297" s="42" t="s">
        <v>164</v>
      </c>
      <c r="C297" s="874"/>
      <c r="D297" s="875"/>
      <c r="E297" s="886"/>
      <c r="F297" s="886"/>
      <c r="G297" s="887"/>
    </row>
    <row r="298" spans="1:7" s="844" customFormat="1" ht="62.5">
      <c r="A298" s="856"/>
      <c r="B298" s="789" t="s">
        <v>355</v>
      </c>
      <c r="C298" s="874"/>
      <c r="D298" s="875"/>
      <c r="E298" s="886"/>
      <c r="F298" s="886"/>
      <c r="G298" s="887"/>
    </row>
    <row r="299" spans="1:7" s="844" customFormat="1" ht="13">
      <c r="A299" s="856"/>
      <c r="B299" s="910"/>
      <c r="C299" s="874"/>
      <c r="D299" s="875"/>
      <c r="E299" s="886"/>
      <c r="F299" s="886"/>
      <c r="G299" s="900"/>
    </row>
    <row r="300" spans="1:7" s="844" customFormat="1" ht="13">
      <c r="A300" s="856"/>
      <c r="B300" s="910" t="s">
        <v>356</v>
      </c>
      <c r="C300" s="874">
        <v>1</v>
      </c>
      <c r="D300" s="875">
        <v>8.8249999999999993</v>
      </c>
      <c r="E300" s="886"/>
      <c r="F300" s="886">
        <v>3.4</v>
      </c>
      <c r="G300" s="900">
        <f>F300*D300*C300</f>
        <v>30.004999999999995</v>
      </c>
    </row>
    <row r="301" spans="1:7" s="844" customFormat="1" ht="13">
      <c r="A301" s="856"/>
      <c r="B301" s="910"/>
      <c r="C301" s="874"/>
      <c r="D301" s="875"/>
      <c r="E301" s="886"/>
      <c r="F301" s="886"/>
      <c r="G301" s="900"/>
    </row>
    <row r="302" spans="1:7" s="844" customFormat="1" ht="13">
      <c r="A302" s="856"/>
      <c r="B302" s="910"/>
      <c r="C302" s="874"/>
      <c r="D302" s="875"/>
      <c r="E302" s="886"/>
      <c r="F302" s="886"/>
      <c r="G302" s="900">
        <f>SUM(G300:G301)</f>
        <v>30.004999999999995</v>
      </c>
    </row>
    <row r="303" spans="1:7" s="844" customFormat="1" ht="13">
      <c r="A303" s="856"/>
      <c r="B303" s="910"/>
      <c r="C303" s="874"/>
      <c r="D303" s="875"/>
      <c r="E303" s="886"/>
      <c r="F303" s="886"/>
      <c r="G303" s="899"/>
    </row>
    <row r="304" spans="1:7" s="844" customFormat="1" ht="37.5">
      <c r="A304" s="856">
        <v>35</v>
      </c>
      <c r="B304" s="42" t="s">
        <v>357</v>
      </c>
      <c r="C304" s="874"/>
      <c r="D304" s="875"/>
      <c r="E304" s="886"/>
      <c r="F304" s="886"/>
      <c r="G304" s="899"/>
    </row>
    <row r="305" spans="1:7" s="844" customFormat="1" ht="13">
      <c r="A305" s="856"/>
      <c r="B305" s="910" t="s">
        <v>358</v>
      </c>
      <c r="C305" s="874"/>
      <c r="D305" s="875"/>
      <c r="E305" s="886"/>
      <c r="F305" s="886"/>
      <c r="G305" s="899"/>
    </row>
    <row r="306" spans="1:7" s="844" customFormat="1">
      <c r="A306" s="856"/>
      <c r="B306" s="914"/>
      <c r="C306" s="874"/>
      <c r="D306" s="875"/>
      <c r="E306" s="886"/>
      <c r="F306" s="886"/>
      <c r="G306" s="899"/>
    </row>
    <row r="307" spans="1:7" s="844" customFormat="1">
      <c r="A307" s="856"/>
      <c r="B307" s="914" t="s">
        <v>359</v>
      </c>
      <c r="C307" s="874">
        <v>1</v>
      </c>
      <c r="D307" s="875"/>
      <c r="E307" s="886"/>
      <c r="F307" s="886"/>
      <c r="G307" s="899">
        <v>1</v>
      </c>
    </row>
    <row r="308" spans="1:7" s="844" customFormat="1">
      <c r="A308" s="856"/>
      <c r="B308" s="914" t="s">
        <v>360</v>
      </c>
      <c r="C308" s="874">
        <v>1</v>
      </c>
      <c r="D308" s="907"/>
      <c r="E308" s="886"/>
      <c r="F308" s="886"/>
      <c r="G308" s="899">
        <v>1</v>
      </c>
    </row>
    <row r="309" spans="1:7" s="844" customFormat="1">
      <c r="A309" s="856"/>
      <c r="B309" s="914" t="s">
        <v>361</v>
      </c>
      <c r="C309" s="874">
        <v>1</v>
      </c>
      <c r="D309" s="907"/>
      <c r="E309" s="886"/>
      <c r="F309" s="886"/>
      <c r="G309" s="899">
        <v>1</v>
      </c>
    </row>
    <row r="310" spans="1:7" s="844" customFormat="1">
      <c r="A310" s="856"/>
      <c r="B310" s="914"/>
      <c r="C310" s="874"/>
      <c r="D310" s="907"/>
      <c r="E310" s="886"/>
      <c r="F310" s="886"/>
      <c r="G310" s="899"/>
    </row>
    <row r="311" spans="1:7" s="844" customFormat="1" ht="13">
      <c r="A311" s="856"/>
      <c r="B311" s="914"/>
      <c r="C311" s="874"/>
      <c r="D311" s="907"/>
      <c r="E311" s="886"/>
      <c r="F311" s="886"/>
      <c r="G311" s="855">
        <f>SUM(G307:G310)</f>
        <v>3</v>
      </c>
    </row>
    <row r="312" spans="1:7" s="844" customFormat="1">
      <c r="A312" s="856"/>
      <c r="B312" s="914"/>
      <c r="C312" s="874"/>
      <c r="D312" s="907"/>
      <c r="E312" s="886"/>
      <c r="F312" s="886"/>
      <c r="G312" s="899"/>
    </row>
    <row r="313" spans="1:7" s="844" customFormat="1" ht="50">
      <c r="A313" s="856">
        <v>36</v>
      </c>
      <c r="B313" s="42" t="s">
        <v>362</v>
      </c>
      <c r="C313" s="874"/>
      <c r="D313" s="907"/>
      <c r="E313" s="886"/>
      <c r="F313" s="886"/>
      <c r="G313" s="899"/>
    </row>
    <row r="314" spans="1:7" s="844" customFormat="1" ht="13">
      <c r="A314" s="856"/>
      <c r="B314" s="910" t="s">
        <v>363</v>
      </c>
      <c r="C314" s="874"/>
      <c r="D314" s="907"/>
      <c r="E314" s="886"/>
      <c r="F314" s="886"/>
      <c r="G314" s="899"/>
    </row>
    <row r="315" spans="1:7" s="844" customFormat="1">
      <c r="A315" s="856"/>
      <c r="D315" s="907"/>
      <c r="E315" s="886"/>
      <c r="F315" s="886"/>
      <c r="G315" s="899"/>
    </row>
    <row r="316" spans="1:7" s="844" customFormat="1">
      <c r="A316" s="856"/>
      <c r="B316" s="914" t="s">
        <v>360</v>
      </c>
      <c r="C316" s="874">
        <v>1</v>
      </c>
      <c r="D316" s="907"/>
      <c r="E316" s="886"/>
      <c r="F316" s="886"/>
      <c r="G316" s="899">
        <v>1</v>
      </c>
    </row>
    <row r="317" spans="1:7" s="844" customFormat="1">
      <c r="A317" s="856"/>
      <c r="B317" s="914" t="s">
        <v>361</v>
      </c>
      <c r="C317" s="874">
        <v>1</v>
      </c>
      <c r="D317" s="907"/>
      <c r="E317" s="886"/>
      <c r="F317" s="886"/>
      <c r="G317" s="899">
        <v>1</v>
      </c>
    </row>
    <row r="318" spans="1:7" s="844" customFormat="1" ht="13">
      <c r="A318" s="856"/>
      <c r="B318" s="914" t="s">
        <v>364</v>
      </c>
      <c r="C318" s="874">
        <v>1</v>
      </c>
      <c r="D318" s="907"/>
      <c r="E318" s="886"/>
      <c r="F318" s="886"/>
      <c r="G318" s="855">
        <v>1</v>
      </c>
    </row>
    <row r="319" spans="1:7" s="844" customFormat="1" ht="13">
      <c r="A319" s="856"/>
      <c r="B319" s="914"/>
      <c r="C319" s="874"/>
      <c r="D319" s="907"/>
      <c r="E319" s="886"/>
      <c r="F319" s="886"/>
      <c r="G319" s="855">
        <f>SUM(G316:G318)</f>
        <v>3</v>
      </c>
    </row>
    <row r="320" spans="1:7" s="844" customFormat="1">
      <c r="A320" s="856"/>
      <c r="B320" s="914"/>
      <c r="C320" s="874"/>
      <c r="D320" s="907"/>
      <c r="E320" s="886"/>
      <c r="F320" s="886"/>
      <c r="G320" s="899"/>
    </row>
    <row r="321" spans="1:7" s="844" customFormat="1">
      <c r="A321" s="856"/>
      <c r="B321" s="914"/>
      <c r="C321" s="874"/>
      <c r="D321" s="907"/>
      <c r="E321" s="886"/>
      <c r="F321" s="886"/>
      <c r="G321" s="899"/>
    </row>
    <row r="322" spans="1:7" s="844" customFormat="1" ht="50">
      <c r="A322" s="856">
        <v>37</v>
      </c>
      <c r="B322" s="42" t="s">
        <v>171</v>
      </c>
      <c r="D322" s="907"/>
      <c r="E322" s="886"/>
      <c r="F322" s="886"/>
      <c r="G322" s="899"/>
    </row>
    <row r="323" spans="1:7" s="844" customFormat="1">
      <c r="A323" s="856"/>
      <c r="B323" s="914" t="s">
        <v>359</v>
      </c>
      <c r="C323" s="874">
        <v>2</v>
      </c>
      <c r="D323" s="907"/>
      <c r="E323" s="886"/>
      <c r="F323" s="886"/>
      <c r="G323" s="899">
        <v>2</v>
      </c>
    </row>
    <row r="324" spans="1:7" s="844" customFormat="1" ht="13">
      <c r="A324" s="856"/>
      <c r="B324" s="862"/>
      <c r="C324" s="874"/>
      <c r="D324" s="875"/>
      <c r="E324" s="872"/>
      <c r="F324" s="872"/>
      <c r="G324" s="883"/>
    </row>
    <row r="325" spans="1:7" s="844" customFormat="1" ht="13">
      <c r="A325" s="856"/>
      <c r="B325" s="862"/>
      <c r="C325" s="874"/>
      <c r="D325" s="875"/>
      <c r="E325" s="872"/>
      <c r="F325" s="872"/>
      <c r="G325" s="883">
        <f>SUM(G323:G324)</f>
        <v>2</v>
      </c>
    </row>
    <row r="326" spans="1:7" s="844" customFormat="1" ht="13">
      <c r="A326" s="856"/>
      <c r="B326" s="862"/>
      <c r="C326" s="874"/>
      <c r="D326" s="875"/>
      <c r="E326" s="872"/>
      <c r="F326" s="872"/>
      <c r="G326" s="883"/>
    </row>
    <row r="327" spans="1:7" s="844" customFormat="1" ht="62.5">
      <c r="A327" s="856">
        <v>38</v>
      </c>
      <c r="B327" s="42" t="s">
        <v>172</v>
      </c>
      <c r="C327" s="485" t="s">
        <v>173</v>
      </c>
      <c r="D327" s="871">
        <v>3</v>
      </c>
      <c r="E327" s="917"/>
      <c r="F327" s="917"/>
      <c r="G327" s="883">
        <f>D327</f>
        <v>3</v>
      </c>
    </row>
    <row r="328" spans="1:7" s="844" customFormat="1" ht="13">
      <c r="A328" s="856"/>
      <c r="B328" s="862"/>
      <c r="C328" s="874"/>
      <c r="D328" s="875"/>
      <c r="E328" s="872"/>
      <c r="F328" s="872"/>
      <c r="G328" s="883"/>
    </row>
    <row r="329" spans="1:7" s="844" customFormat="1" ht="13">
      <c r="A329" s="856"/>
      <c r="B329" s="862"/>
      <c r="C329" s="874"/>
      <c r="D329" s="875"/>
      <c r="E329" s="872"/>
      <c r="F329" s="872"/>
      <c r="G329" s="883">
        <f>SUM(G327:G328)</f>
        <v>3</v>
      </c>
    </row>
    <row r="330" spans="1:7" s="844" customFormat="1" ht="175">
      <c r="A330" s="856">
        <v>39</v>
      </c>
      <c r="B330" s="42" t="s">
        <v>175</v>
      </c>
      <c r="C330" s="863"/>
      <c r="D330" s="864"/>
      <c r="E330" s="865"/>
      <c r="F330" s="865"/>
      <c r="G330" s="866"/>
    </row>
    <row r="331" spans="1:7" s="844" customFormat="1" ht="13">
      <c r="A331" s="856"/>
      <c r="B331" s="852" t="s">
        <v>365</v>
      </c>
      <c r="C331" s="863"/>
      <c r="D331" s="864"/>
      <c r="E331" s="865"/>
      <c r="F331" s="865"/>
      <c r="G331" s="873"/>
    </row>
    <row r="332" spans="1:7" s="844" customFormat="1">
      <c r="A332" s="856"/>
      <c r="B332" s="862" t="s">
        <v>366</v>
      </c>
      <c r="C332" s="863">
        <v>1</v>
      </c>
      <c r="D332" s="864">
        <v>3.01</v>
      </c>
      <c r="E332" s="865"/>
      <c r="F332" s="865"/>
      <c r="G332" s="887">
        <f>D332</f>
        <v>3.01</v>
      </c>
    </row>
    <row r="333" spans="1:7" s="844" customFormat="1">
      <c r="A333" s="856"/>
      <c r="B333" s="862" t="s">
        <v>367</v>
      </c>
      <c r="C333" s="863">
        <v>1</v>
      </c>
      <c r="D333" s="864">
        <v>0.1</v>
      </c>
      <c r="E333" s="865"/>
      <c r="F333" s="865"/>
      <c r="G333" s="887">
        <f t="shared" ref="G333:G357" si="8">D333</f>
        <v>0.1</v>
      </c>
    </row>
    <row r="334" spans="1:7" s="844" customFormat="1">
      <c r="A334" s="856"/>
      <c r="B334" s="862"/>
      <c r="C334" s="863">
        <v>1</v>
      </c>
      <c r="D334" s="864">
        <v>3.46</v>
      </c>
      <c r="E334" s="865"/>
      <c r="F334" s="865"/>
      <c r="G334" s="887">
        <f t="shared" si="8"/>
        <v>3.46</v>
      </c>
    </row>
    <row r="335" spans="1:7" s="844" customFormat="1">
      <c r="A335" s="856"/>
      <c r="B335" s="862" t="s">
        <v>368</v>
      </c>
      <c r="C335" s="874">
        <v>1</v>
      </c>
      <c r="D335" s="875">
        <f>3.874*1.35/4.2</f>
        <v>1.2452142857142858</v>
      </c>
      <c r="E335" s="874"/>
      <c r="F335" s="874"/>
      <c r="G335" s="887">
        <f t="shared" si="8"/>
        <v>1.2452142857142858</v>
      </c>
    </row>
    <row r="336" spans="1:7" s="844" customFormat="1">
      <c r="A336" s="856"/>
      <c r="B336" s="908" t="s">
        <v>369</v>
      </c>
      <c r="C336" s="874">
        <v>1</v>
      </c>
      <c r="D336" s="875">
        <v>1.331</v>
      </c>
      <c r="E336" s="872"/>
      <c r="F336" s="872"/>
      <c r="G336" s="887">
        <f t="shared" si="8"/>
        <v>1.331</v>
      </c>
    </row>
    <row r="337" spans="1:7" s="844" customFormat="1">
      <c r="A337" s="856"/>
      <c r="B337" s="908" t="s">
        <v>370</v>
      </c>
      <c r="C337" s="874">
        <v>1</v>
      </c>
      <c r="D337" s="875">
        <v>1.1000000000000001</v>
      </c>
      <c r="E337" s="872"/>
      <c r="F337" s="872"/>
      <c r="G337" s="887">
        <f t="shared" si="8"/>
        <v>1.1000000000000001</v>
      </c>
    </row>
    <row r="338" spans="1:7" s="844" customFormat="1">
      <c r="A338" s="856"/>
      <c r="B338" s="908" t="s">
        <v>371</v>
      </c>
      <c r="C338" s="874">
        <v>1</v>
      </c>
      <c r="D338" s="875">
        <v>1</v>
      </c>
      <c r="E338" s="872"/>
      <c r="F338" s="872"/>
      <c r="G338" s="887">
        <f t="shared" si="8"/>
        <v>1</v>
      </c>
    </row>
    <row r="339" spans="1:7" s="844" customFormat="1">
      <c r="A339" s="856"/>
      <c r="B339" s="908" t="s">
        <v>372</v>
      </c>
      <c r="C339" s="874">
        <v>1</v>
      </c>
      <c r="D339" s="875">
        <v>1.83</v>
      </c>
      <c r="E339" s="872"/>
      <c r="F339" s="872"/>
      <c r="G339" s="887">
        <f t="shared" si="8"/>
        <v>1.83</v>
      </c>
    </row>
    <row r="340" spans="1:7" s="844" customFormat="1">
      <c r="A340" s="856"/>
      <c r="B340" s="908" t="s">
        <v>373</v>
      </c>
      <c r="C340" s="874">
        <v>1</v>
      </c>
      <c r="D340" s="875">
        <v>1.7350000000000001</v>
      </c>
      <c r="E340" s="872"/>
      <c r="F340" s="872"/>
      <c r="G340" s="887">
        <f t="shared" si="8"/>
        <v>1.7350000000000001</v>
      </c>
    </row>
    <row r="341" spans="1:7" s="844" customFormat="1">
      <c r="A341" s="856"/>
      <c r="B341" s="908" t="s">
        <v>374</v>
      </c>
      <c r="C341" s="874">
        <v>1</v>
      </c>
      <c r="D341" s="875">
        <v>7.04</v>
      </c>
      <c r="E341" s="872"/>
      <c r="F341" s="872"/>
      <c r="G341" s="887">
        <f t="shared" si="8"/>
        <v>7.04</v>
      </c>
    </row>
    <row r="342" spans="1:7" s="844" customFormat="1">
      <c r="A342" s="856"/>
      <c r="B342" s="908" t="s">
        <v>375</v>
      </c>
      <c r="C342" s="874">
        <v>1</v>
      </c>
      <c r="D342" s="875">
        <v>2.0350000000000001</v>
      </c>
      <c r="E342" s="872"/>
      <c r="F342" s="872"/>
      <c r="G342" s="887">
        <f t="shared" si="8"/>
        <v>2.0350000000000001</v>
      </c>
    </row>
    <row r="343" spans="1:7" s="844" customFormat="1">
      <c r="A343" s="856"/>
      <c r="B343" s="908" t="s">
        <v>376</v>
      </c>
      <c r="C343" s="874">
        <v>1</v>
      </c>
      <c r="D343" s="875">
        <v>0.8</v>
      </c>
      <c r="E343" s="872"/>
      <c r="F343" s="872"/>
      <c r="G343" s="887">
        <f t="shared" si="8"/>
        <v>0.8</v>
      </c>
    </row>
    <row r="344" spans="1:7" s="844" customFormat="1">
      <c r="A344" s="856"/>
      <c r="B344" s="908" t="s">
        <v>377</v>
      </c>
      <c r="C344" s="874">
        <v>1</v>
      </c>
      <c r="D344" s="875">
        <v>0.2</v>
      </c>
      <c r="E344" s="872"/>
      <c r="F344" s="872"/>
      <c r="G344" s="887">
        <f t="shared" si="8"/>
        <v>0.2</v>
      </c>
    </row>
    <row r="345" spans="1:7" s="844" customFormat="1">
      <c r="A345" s="856"/>
      <c r="B345" s="908" t="s">
        <v>378</v>
      </c>
      <c r="C345" s="874">
        <v>1</v>
      </c>
      <c r="D345" s="875">
        <v>1.06</v>
      </c>
      <c r="E345" s="872"/>
      <c r="F345" s="872"/>
      <c r="G345" s="887">
        <f t="shared" si="8"/>
        <v>1.06</v>
      </c>
    </row>
    <row r="346" spans="1:7" s="844" customFormat="1">
      <c r="A346" s="856"/>
      <c r="B346" s="908" t="s">
        <v>379</v>
      </c>
      <c r="C346" s="874">
        <v>1</v>
      </c>
      <c r="D346" s="875">
        <v>0.2</v>
      </c>
      <c r="E346" s="872"/>
      <c r="F346" s="872"/>
      <c r="G346" s="887">
        <f t="shared" si="8"/>
        <v>0.2</v>
      </c>
    </row>
    <row r="347" spans="1:7" s="844" customFormat="1">
      <c r="A347" s="856"/>
      <c r="B347" s="908"/>
      <c r="C347" s="874">
        <v>1</v>
      </c>
      <c r="D347" s="875">
        <v>0.34699999999999998</v>
      </c>
      <c r="E347" s="872"/>
      <c r="F347" s="872"/>
      <c r="G347" s="887">
        <f t="shared" si="8"/>
        <v>0.34699999999999998</v>
      </c>
    </row>
    <row r="348" spans="1:7" s="844" customFormat="1">
      <c r="A348" s="856"/>
      <c r="B348" s="908" t="s">
        <v>380</v>
      </c>
      <c r="C348" s="874">
        <v>1</v>
      </c>
      <c r="D348" s="875">
        <v>4.069</v>
      </c>
      <c r="E348" s="872"/>
      <c r="F348" s="872"/>
      <c r="G348" s="887">
        <f t="shared" si="8"/>
        <v>4.069</v>
      </c>
    </row>
    <row r="349" spans="1:7" s="844" customFormat="1">
      <c r="A349" s="856"/>
      <c r="B349" s="908" t="s">
        <v>381</v>
      </c>
      <c r="C349" s="874">
        <v>1</v>
      </c>
      <c r="D349" s="875">
        <v>0.34699999999999998</v>
      </c>
      <c r="E349" s="872"/>
      <c r="F349" s="872"/>
      <c r="G349" s="887">
        <f t="shared" si="8"/>
        <v>0.34699999999999998</v>
      </c>
    </row>
    <row r="350" spans="1:7" s="844" customFormat="1">
      <c r="A350" s="856"/>
      <c r="B350" s="908" t="s">
        <v>382</v>
      </c>
      <c r="C350" s="874">
        <v>1</v>
      </c>
      <c r="D350" s="875">
        <v>0.91300000000000003</v>
      </c>
      <c r="E350" s="872"/>
      <c r="F350" s="872"/>
      <c r="G350" s="887">
        <f t="shared" si="8"/>
        <v>0.91300000000000003</v>
      </c>
    </row>
    <row r="351" spans="1:7" s="844" customFormat="1">
      <c r="A351" s="856"/>
      <c r="B351" s="908"/>
      <c r="C351" s="874">
        <v>1</v>
      </c>
      <c r="D351" s="875">
        <v>2.681</v>
      </c>
      <c r="E351" s="872"/>
      <c r="F351" s="872"/>
      <c r="G351" s="887">
        <f t="shared" si="8"/>
        <v>2.681</v>
      </c>
    </row>
    <row r="352" spans="1:7" s="844" customFormat="1">
      <c r="A352" s="856"/>
      <c r="B352" s="908" t="s">
        <v>383</v>
      </c>
      <c r="C352" s="874">
        <v>1</v>
      </c>
      <c r="D352" s="875">
        <v>1.03</v>
      </c>
      <c r="E352" s="872"/>
      <c r="F352" s="872"/>
      <c r="G352" s="887">
        <f t="shared" si="8"/>
        <v>1.03</v>
      </c>
    </row>
    <row r="353" spans="1:7" s="844" customFormat="1">
      <c r="A353" s="856"/>
      <c r="B353" s="908" t="s">
        <v>384</v>
      </c>
      <c r="C353" s="874">
        <v>1</v>
      </c>
      <c r="D353" s="875">
        <v>2.2010000000000001</v>
      </c>
      <c r="E353" s="872"/>
      <c r="F353" s="872"/>
      <c r="G353" s="887">
        <f t="shared" si="8"/>
        <v>2.2010000000000001</v>
      </c>
    </row>
    <row r="354" spans="1:7" s="844" customFormat="1">
      <c r="A354" s="856"/>
      <c r="B354" s="908" t="s">
        <v>385</v>
      </c>
      <c r="C354" s="874">
        <v>1</v>
      </c>
      <c r="D354" s="875">
        <v>0.27500000000000002</v>
      </c>
      <c r="E354" s="872"/>
      <c r="F354" s="872"/>
      <c r="G354" s="887">
        <f t="shared" si="8"/>
        <v>0.27500000000000002</v>
      </c>
    </row>
    <row r="355" spans="1:7" s="844" customFormat="1">
      <c r="A355" s="856"/>
      <c r="B355" s="908" t="s">
        <v>386</v>
      </c>
      <c r="C355" s="874">
        <v>1</v>
      </c>
      <c r="D355" s="875">
        <v>0.1</v>
      </c>
      <c r="E355" s="872"/>
      <c r="F355" s="872"/>
      <c r="G355" s="887">
        <f t="shared" si="8"/>
        <v>0.1</v>
      </c>
    </row>
    <row r="356" spans="1:7" s="844" customFormat="1">
      <c r="A356" s="856"/>
      <c r="B356" s="908" t="s">
        <v>387</v>
      </c>
      <c r="C356" s="874">
        <v>1</v>
      </c>
      <c r="D356" s="875">
        <f>(2.1-0.8)</f>
        <v>1.3</v>
      </c>
      <c r="E356" s="872"/>
      <c r="F356" s="872"/>
      <c r="G356" s="887">
        <f t="shared" si="8"/>
        <v>1.3</v>
      </c>
    </row>
    <row r="357" spans="1:7" s="844" customFormat="1">
      <c r="A357" s="856"/>
      <c r="B357" s="908"/>
      <c r="C357" s="874">
        <v>1</v>
      </c>
      <c r="D357" s="875">
        <v>1.2</v>
      </c>
      <c r="E357" s="872"/>
      <c r="F357" s="872"/>
      <c r="G357" s="887">
        <f t="shared" si="8"/>
        <v>1.2</v>
      </c>
    </row>
    <row r="358" spans="1:7" s="844" customFormat="1">
      <c r="A358" s="856"/>
      <c r="B358" s="908"/>
      <c r="C358" s="874"/>
      <c r="D358" s="875"/>
      <c r="E358" s="872"/>
      <c r="F358" s="872"/>
      <c r="G358" s="887">
        <f>SUM(G332:G357)</f>
        <v>40.609214285714287</v>
      </c>
    </row>
    <row r="359" spans="1:7" s="844" customFormat="1">
      <c r="A359" s="856"/>
      <c r="B359" s="908"/>
      <c r="C359" s="874"/>
      <c r="D359" s="875"/>
      <c r="E359" s="872"/>
      <c r="F359" s="872"/>
      <c r="G359" s="887"/>
    </row>
    <row r="360" spans="1:7" s="844" customFormat="1">
      <c r="A360" s="856"/>
      <c r="B360" s="908" t="s">
        <v>388</v>
      </c>
      <c r="C360" s="918">
        <f>G358/0.6</f>
        <v>67.682023809523812</v>
      </c>
      <c r="D360" s="875"/>
      <c r="E360" s="872"/>
      <c r="F360" s="872"/>
      <c r="G360" s="887"/>
    </row>
    <row r="361" spans="1:7" s="844" customFormat="1" ht="25">
      <c r="A361" s="856"/>
      <c r="B361" s="908" t="s">
        <v>389</v>
      </c>
      <c r="C361" s="874">
        <f>+C360*10%</f>
        <v>6.7682023809523812</v>
      </c>
      <c r="D361" s="875"/>
      <c r="E361" s="872"/>
      <c r="F361" s="872"/>
      <c r="G361" s="887"/>
    </row>
    <row r="362" spans="1:7" s="844" customFormat="1">
      <c r="A362" s="856"/>
      <c r="B362" s="908" t="s">
        <v>243</v>
      </c>
      <c r="C362" s="918">
        <f>SUM(C360:C361)</f>
        <v>74.450226190476201</v>
      </c>
      <c r="D362" s="875" t="s">
        <v>390</v>
      </c>
      <c r="E362" s="872"/>
      <c r="F362" s="872"/>
      <c r="G362" s="887"/>
    </row>
    <row r="363" spans="1:7" s="844" customFormat="1" ht="25">
      <c r="A363" s="856"/>
      <c r="B363" s="908" t="s">
        <v>391</v>
      </c>
      <c r="C363" s="918">
        <f>C362*4.2</f>
        <v>312.69095000000004</v>
      </c>
      <c r="D363" s="875" t="s">
        <v>113</v>
      </c>
      <c r="E363" s="872" t="s">
        <v>392</v>
      </c>
      <c r="F363" s="872"/>
      <c r="G363" s="887">
        <f>C363*2.4</f>
        <v>750.45828000000006</v>
      </c>
    </row>
    <row r="364" spans="1:7" s="844" customFormat="1" ht="25">
      <c r="A364" s="856"/>
      <c r="B364" s="908" t="s">
        <v>393</v>
      </c>
      <c r="C364" s="874">
        <f>4.2/0.6</f>
        <v>7.0000000000000009</v>
      </c>
      <c r="D364" s="875"/>
      <c r="E364" s="872"/>
      <c r="F364" s="872"/>
      <c r="G364" s="887"/>
    </row>
    <row r="365" spans="1:7" s="844" customFormat="1">
      <c r="A365" s="856"/>
      <c r="B365" s="908" t="s">
        <v>394</v>
      </c>
      <c r="C365" s="874">
        <f>C364*10%</f>
        <v>0.70000000000000018</v>
      </c>
      <c r="D365" s="875"/>
      <c r="E365" s="872"/>
      <c r="F365" s="872"/>
      <c r="G365" s="887"/>
    </row>
    <row r="366" spans="1:7" s="844" customFormat="1">
      <c r="A366" s="856"/>
      <c r="B366" s="908" t="s">
        <v>243</v>
      </c>
      <c r="C366" s="874">
        <f>SUM(C364:C365)</f>
        <v>7.7000000000000011</v>
      </c>
      <c r="D366" s="875"/>
      <c r="E366" s="872"/>
      <c r="F366" s="872"/>
      <c r="G366" s="887"/>
    </row>
    <row r="367" spans="1:7" s="844" customFormat="1">
      <c r="A367" s="856"/>
      <c r="B367" s="908" t="s">
        <v>395</v>
      </c>
      <c r="C367" s="918">
        <f>C366*G358</f>
        <v>312.69095000000004</v>
      </c>
      <c r="D367" s="875" t="s">
        <v>113</v>
      </c>
      <c r="E367" s="872"/>
      <c r="F367" s="872"/>
      <c r="G367" s="887">
        <f>C367*2.4</f>
        <v>750.45828000000006</v>
      </c>
    </row>
    <row r="368" spans="1:7" s="844" customFormat="1">
      <c r="A368" s="856"/>
      <c r="B368" s="908"/>
      <c r="C368" s="874"/>
      <c r="D368" s="875"/>
      <c r="E368" s="872"/>
      <c r="F368" s="872"/>
      <c r="G368" s="887"/>
    </row>
    <row r="369" spans="1:7" s="844" customFormat="1">
      <c r="A369" s="856"/>
      <c r="B369" s="908" t="s">
        <v>396</v>
      </c>
      <c r="C369" s="874"/>
      <c r="D369" s="875"/>
      <c r="E369" s="872"/>
      <c r="F369" s="872"/>
      <c r="G369" s="887"/>
    </row>
    <row r="370" spans="1:7" s="844" customFormat="1">
      <c r="A370" s="856"/>
      <c r="B370" s="908"/>
      <c r="C370" s="874"/>
      <c r="D370" s="875"/>
      <c r="E370" s="872"/>
      <c r="F370" s="872"/>
      <c r="G370" s="887"/>
    </row>
    <row r="371" spans="1:7" s="844" customFormat="1">
      <c r="A371" s="856"/>
      <c r="B371" s="908" t="s">
        <v>397</v>
      </c>
      <c r="C371" s="874">
        <v>81</v>
      </c>
      <c r="D371" s="875">
        <v>0.3</v>
      </c>
      <c r="E371" s="872">
        <v>0.3</v>
      </c>
      <c r="F371" s="872">
        <v>94.2</v>
      </c>
      <c r="G371" s="894">
        <f>F371*E371*D371*C371</f>
        <v>686.71799999999996</v>
      </c>
    </row>
    <row r="372" spans="1:7" s="844" customFormat="1" ht="25">
      <c r="A372" s="856"/>
      <c r="B372" s="908" t="s">
        <v>398</v>
      </c>
      <c r="C372" s="874">
        <v>81</v>
      </c>
      <c r="D372" s="875">
        <v>0.3</v>
      </c>
      <c r="E372" s="872">
        <v>0.3</v>
      </c>
      <c r="F372" s="872">
        <f>+F371/2</f>
        <v>47.1</v>
      </c>
      <c r="G372" s="879">
        <f>F372*E372*D372*C372</f>
        <v>343.35899999999998</v>
      </c>
    </row>
    <row r="373" spans="1:7" s="844" customFormat="1">
      <c r="A373" s="856"/>
      <c r="B373" s="908"/>
      <c r="C373" s="874"/>
      <c r="D373" s="875"/>
      <c r="E373" s="872"/>
      <c r="F373" s="872"/>
      <c r="G373" s="879"/>
    </row>
    <row r="374" spans="1:7" s="844" customFormat="1">
      <c r="A374" s="856"/>
      <c r="B374" s="862" t="s">
        <v>399</v>
      </c>
      <c r="C374" s="874">
        <f>C372*8</f>
        <v>648</v>
      </c>
      <c r="D374" s="875">
        <v>7.4999999999999997E-2</v>
      </c>
      <c r="E374" s="872">
        <v>0.62</v>
      </c>
      <c r="F374" s="872"/>
      <c r="G374" s="879">
        <f>E374*D374*C374</f>
        <v>30.132000000000001</v>
      </c>
    </row>
    <row r="375" spans="1:7" s="844" customFormat="1">
      <c r="A375" s="856"/>
      <c r="B375" s="908" t="s">
        <v>400</v>
      </c>
      <c r="C375" s="874"/>
      <c r="D375" s="875"/>
      <c r="E375" s="872"/>
      <c r="F375" s="872"/>
      <c r="G375" s="873"/>
    </row>
    <row r="376" spans="1:7" s="844" customFormat="1">
      <c r="A376" s="856"/>
      <c r="B376" s="908"/>
      <c r="C376" s="874"/>
      <c r="D376" s="875"/>
      <c r="E376" s="872"/>
      <c r="F376" s="872"/>
      <c r="G376" s="879"/>
    </row>
    <row r="377" spans="1:7" s="844" customFormat="1" ht="13">
      <c r="A377" s="856"/>
      <c r="B377" s="862"/>
      <c r="C377" s="863"/>
      <c r="D377" s="864"/>
      <c r="E377" s="865"/>
      <c r="F377" s="919"/>
      <c r="G377" s="866"/>
    </row>
    <row r="378" spans="1:7" s="844" customFormat="1" ht="26">
      <c r="A378" s="856"/>
      <c r="B378" s="852" t="s">
        <v>401</v>
      </c>
      <c r="C378" s="863"/>
      <c r="D378" s="864"/>
      <c r="E378" s="865"/>
      <c r="F378" s="919"/>
      <c r="G378" s="866"/>
    </row>
    <row r="379" spans="1:7" s="844" customFormat="1">
      <c r="A379" s="856"/>
      <c r="B379" s="862" t="s">
        <v>402</v>
      </c>
      <c r="C379" s="863">
        <v>3</v>
      </c>
      <c r="D379" s="864">
        <f>12.01/0.6</f>
        <v>20.016666666666666</v>
      </c>
      <c r="E379" s="865">
        <v>0.35</v>
      </c>
      <c r="F379" s="865">
        <v>2.4</v>
      </c>
      <c r="G379" s="894">
        <f>F379*E379*D379*C379</f>
        <v>50.442</v>
      </c>
    </row>
    <row r="380" spans="1:7" s="844" customFormat="1">
      <c r="A380" s="856"/>
      <c r="B380" s="862" t="s">
        <v>403</v>
      </c>
      <c r="C380" s="863">
        <v>4</v>
      </c>
      <c r="D380" s="864">
        <v>12.01</v>
      </c>
      <c r="E380" s="865"/>
      <c r="F380" s="865">
        <v>2.4</v>
      </c>
      <c r="G380" s="894">
        <f>F380*D380*C380</f>
        <v>115.29599999999999</v>
      </c>
    </row>
    <row r="381" spans="1:7" s="844" customFormat="1">
      <c r="A381" s="856"/>
      <c r="B381" s="862" t="s">
        <v>404</v>
      </c>
      <c r="C381" s="863">
        <f>41+26</f>
        <v>67</v>
      </c>
      <c r="D381" s="864">
        <v>0.3</v>
      </c>
      <c r="E381" s="865">
        <v>0.3</v>
      </c>
      <c r="F381" s="865">
        <v>47.1</v>
      </c>
      <c r="G381" s="894">
        <f>F381*E381*D381*C381</f>
        <v>284.01299999999998</v>
      </c>
    </row>
    <row r="382" spans="1:7" s="844" customFormat="1">
      <c r="A382" s="856"/>
      <c r="B382" s="862" t="s">
        <v>405</v>
      </c>
      <c r="C382" s="863">
        <f>C381*4</f>
        <v>268</v>
      </c>
      <c r="D382" s="864">
        <v>7.4999999999999997E-2</v>
      </c>
      <c r="E382" s="865">
        <v>0.62</v>
      </c>
      <c r="F382" s="865"/>
      <c r="G382" s="894">
        <f>E382*D382*C382</f>
        <v>12.462</v>
      </c>
    </row>
    <row r="383" spans="1:7" s="844" customFormat="1">
      <c r="A383" s="856"/>
      <c r="B383" s="862" t="s">
        <v>406</v>
      </c>
      <c r="C383" s="863">
        <v>26</v>
      </c>
      <c r="D383" s="864">
        <v>3.4</v>
      </c>
      <c r="E383" s="865">
        <v>4.71</v>
      </c>
      <c r="F383" s="865"/>
      <c r="G383" s="894">
        <f>E383*D383*C383</f>
        <v>416.36399999999998</v>
      </c>
    </row>
    <row r="384" spans="1:7" s="844" customFormat="1" ht="25">
      <c r="A384" s="856"/>
      <c r="B384" s="862" t="s">
        <v>407</v>
      </c>
      <c r="C384" s="863">
        <v>19</v>
      </c>
      <c r="D384" s="864">
        <v>0.2</v>
      </c>
      <c r="E384" s="865">
        <v>2.4</v>
      </c>
      <c r="F384" s="865"/>
      <c r="G384" s="894">
        <f>E384*D384*C384</f>
        <v>9.1199999999999992</v>
      </c>
    </row>
    <row r="385" spans="1:7" s="844" customFormat="1">
      <c r="A385" s="856"/>
      <c r="B385" s="862" t="s">
        <v>408</v>
      </c>
      <c r="C385" s="863">
        <v>2</v>
      </c>
      <c r="D385" s="864">
        <v>10.96</v>
      </c>
      <c r="E385" s="865">
        <v>2.4</v>
      </c>
      <c r="F385" s="865"/>
      <c r="G385" s="894">
        <f>E385*D385*C385</f>
        <v>52.608000000000004</v>
      </c>
    </row>
    <row r="386" spans="1:7" s="844" customFormat="1">
      <c r="A386" s="856"/>
      <c r="B386" s="862"/>
      <c r="C386" s="863"/>
      <c r="D386" s="864"/>
      <c r="E386" s="865"/>
      <c r="F386" s="865"/>
      <c r="G386" s="894"/>
    </row>
    <row r="387" spans="1:7" s="844" customFormat="1" ht="13">
      <c r="A387" s="856"/>
      <c r="B387" s="908" t="s">
        <v>409</v>
      </c>
      <c r="C387" s="874"/>
      <c r="D387" s="875"/>
      <c r="E387" s="872"/>
      <c r="F387" s="920" t="s">
        <v>176</v>
      </c>
      <c r="G387" s="866">
        <f>SUM(G363:G386)</f>
        <v>3501.4305599999998</v>
      </c>
    </row>
    <row r="388" spans="1:7" s="844" customFormat="1" ht="13">
      <c r="A388" s="856"/>
      <c r="B388" s="862"/>
      <c r="C388" s="874"/>
      <c r="D388" s="875"/>
      <c r="E388" s="872"/>
      <c r="F388" s="872"/>
      <c r="G388" s="883"/>
    </row>
    <row r="389" spans="1:7" s="844" customFormat="1" ht="39">
      <c r="A389" s="856"/>
      <c r="B389" s="852" t="s">
        <v>410</v>
      </c>
      <c r="C389" s="874"/>
      <c r="D389" s="907"/>
      <c r="E389" s="886"/>
      <c r="F389" s="886"/>
      <c r="G389" s="899"/>
    </row>
    <row r="390" spans="1:7" s="844" customFormat="1" ht="13">
      <c r="A390" s="856"/>
      <c r="B390" s="852"/>
      <c r="C390" s="874"/>
      <c r="D390" s="907"/>
      <c r="E390" s="886"/>
      <c r="F390" s="886"/>
      <c r="G390" s="899"/>
    </row>
    <row r="391" spans="1:7" s="844" customFormat="1" ht="104">
      <c r="A391" s="856">
        <v>40</v>
      </c>
      <c r="B391" s="50" t="s">
        <v>177</v>
      </c>
      <c r="C391" s="874"/>
      <c r="D391" s="907"/>
      <c r="E391" s="886"/>
      <c r="F391" s="886"/>
      <c r="G391" s="899"/>
    </row>
    <row r="392" spans="1:7" s="844" customFormat="1" ht="26">
      <c r="A392" s="856"/>
      <c r="B392" s="921" t="s">
        <v>411</v>
      </c>
      <c r="C392" s="874"/>
      <c r="D392" s="907"/>
      <c r="E392" s="886"/>
      <c r="F392" s="886"/>
      <c r="G392" s="899"/>
    </row>
    <row r="393" spans="1:7" s="844" customFormat="1" ht="13">
      <c r="A393" s="856"/>
      <c r="B393" s="852"/>
      <c r="C393" s="874"/>
      <c r="D393" s="907"/>
      <c r="E393" s="886"/>
      <c r="F393" s="886"/>
      <c r="G393" s="899"/>
    </row>
    <row r="394" spans="1:7" s="844" customFormat="1">
      <c r="A394" s="856"/>
      <c r="B394" s="862" t="s">
        <v>366</v>
      </c>
      <c r="C394" s="863">
        <v>2</v>
      </c>
      <c r="D394" s="864">
        <v>3.01</v>
      </c>
      <c r="E394" s="886" t="s">
        <v>409</v>
      </c>
      <c r="F394" s="886">
        <v>3.3</v>
      </c>
      <c r="G394" s="922">
        <f>F394*D394*C394</f>
        <v>19.865999999999996</v>
      </c>
    </row>
    <row r="395" spans="1:7" s="844" customFormat="1">
      <c r="A395" s="856"/>
      <c r="B395" s="862" t="s">
        <v>367</v>
      </c>
      <c r="C395" s="863">
        <v>2</v>
      </c>
      <c r="D395" s="864">
        <v>0.1</v>
      </c>
      <c r="E395" s="886"/>
      <c r="F395" s="886">
        <v>3.3</v>
      </c>
      <c r="G395" s="922">
        <f t="shared" ref="G395:G430" si="9">F395*D395*C395</f>
        <v>0.66</v>
      </c>
    </row>
    <row r="396" spans="1:7" s="844" customFormat="1">
      <c r="A396" s="856"/>
      <c r="B396" s="862"/>
      <c r="C396" s="863">
        <v>2</v>
      </c>
      <c r="D396" s="864">
        <v>3.46</v>
      </c>
      <c r="E396" s="886"/>
      <c r="F396" s="886">
        <v>3.3</v>
      </c>
      <c r="G396" s="922">
        <f t="shared" si="9"/>
        <v>22.835999999999999</v>
      </c>
    </row>
    <row r="397" spans="1:7" s="844" customFormat="1">
      <c r="A397" s="856"/>
      <c r="B397" s="908" t="s">
        <v>370</v>
      </c>
      <c r="C397" s="874">
        <v>1</v>
      </c>
      <c r="D397" s="875">
        <v>1.1000000000000001</v>
      </c>
      <c r="E397" s="886"/>
      <c r="F397" s="886">
        <v>3.3</v>
      </c>
      <c r="G397" s="922">
        <f t="shared" si="9"/>
        <v>3.63</v>
      </c>
    </row>
    <row r="398" spans="1:7" s="844" customFormat="1">
      <c r="A398" s="856"/>
      <c r="B398" s="908" t="s">
        <v>371</v>
      </c>
      <c r="C398" s="874">
        <v>1</v>
      </c>
      <c r="D398" s="875">
        <v>1</v>
      </c>
      <c r="E398" s="886"/>
      <c r="F398" s="886">
        <v>3.3</v>
      </c>
      <c r="G398" s="922">
        <f t="shared" si="9"/>
        <v>3.3</v>
      </c>
    </row>
    <row r="399" spans="1:7" s="844" customFormat="1">
      <c r="A399" s="856"/>
      <c r="B399" s="908" t="s">
        <v>372</v>
      </c>
      <c r="C399" s="874">
        <v>1</v>
      </c>
      <c r="D399" s="875">
        <v>1.83</v>
      </c>
      <c r="E399" s="886"/>
      <c r="F399" s="886">
        <v>3.3</v>
      </c>
      <c r="G399" s="922">
        <f t="shared" si="9"/>
        <v>6.0389999999999997</v>
      </c>
    </row>
    <row r="400" spans="1:7" s="844" customFormat="1">
      <c r="A400" s="856"/>
      <c r="B400" s="908" t="s">
        <v>370</v>
      </c>
      <c r="C400" s="874">
        <v>1</v>
      </c>
      <c r="D400" s="875">
        <v>0.89500000000000002</v>
      </c>
      <c r="E400" s="886"/>
      <c r="F400" s="886">
        <v>3.3</v>
      </c>
      <c r="G400" s="922">
        <f t="shared" si="9"/>
        <v>2.9535</v>
      </c>
    </row>
    <row r="401" spans="1:7" s="844" customFormat="1">
      <c r="A401" s="856"/>
      <c r="B401" s="908" t="s">
        <v>371</v>
      </c>
      <c r="C401" s="874">
        <v>1</v>
      </c>
      <c r="D401" s="875">
        <v>1</v>
      </c>
      <c r="E401" s="886"/>
      <c r="F401" s="886">
        <v>3.3</v>
      </c>
      <c r="G401" s="922">
        <f t="shared" si="9"/>
        <v>3.3</v>
      </c>
    </row>
    <row r="402" spans="1:7" s="844" customFormat="1">
      <c r="A402" s="856"/>
      <c r="B402" s="908" t="s">
        <v>372</v>
      </c>
      <c r="C402" s="874">
        <v>1</v>
      </c>
      <c r="D402" s="875">
        <v>0.86499999999999999</v>
      </c>
      <c r="E402" s="886"/>
      <c r="F402" s="886">
        <v>3.3</v>
      </c>
      <c r="G402" s="922">
        <f t="shared" si="9"/>
        <v>2.8544999999999998</v>
      </c>
    </row>
    <row r="403" spans="1:7" s="844" customFormat="1">
      <c r="A403" s="856"/>
      <c r="B403" s="908" t="s">
        <v>412</v>
      </c>
      <c r="C403" s="874">
        <v>1</v>
      </c>
      <c r="D403" s="875">
        <v>0.86499999999999999</v>
      </c>
      <c r="E403" s="886"/>
      <c r="F403" s="886">
        <v>3.3</v>
      </c>
      <c r="G403" s="922">
        <f t="shared" si="9"/>
        <v>2.8544999999999998</v>
      </c>
    </row>
    <row r="404" spans="1:7" s="844" customFormat="1">
      <c r="A404" s="856"/>
      <c r="B404" s="908" t="s">
        <v>413</v>
      </c>
      <c r="C404" s="874">
        <v>2</v>
      </c>
      <c r="D404" s="875">
        <v>0.1</v>
      </c>
      <c r="E404" s="886"/>
      <c r="F404" s="886">
        <v>2.4</v>
      </c>
      <c r="G404" s="922">
        <f t="shared" si="9"/>
        <v>0.48</v>
      </c>
    </row>
    <row r="405" spans="1:7" s="844" customFormat="1">
      <c r="A405" s="856"/>
      <c r="B405" s="908" t="s">
        <v>414</v>
      </c>
      <c r="C405" s="874">
        <v>-2</v>
      </c>
      <c r="D405" s="875">
        <v>1</v>
      </c>
      <c r="E405" s="886"/>
      <c r="F405" s="886">
        <v>2.4</v>
      </c>
      <c r="G405" s="922">
        <f t="shared" si="9"/>
        <v>-4.8</v>
      </c>
    </row>
    <row r="406" spans="1:7" s="844" customFormat="1">
      <c r="A406" s="856"/>
      <c r="B406" s="908" t="s">
        <v>373</v>
      </c>
      <c r="C406" s="874">
        <v>2</v>
      </c>
      <c r="D406" s="875">
        <v>1.7350000000000001</v>
      </c>
      <c r="E406" s="886"/>
      <c r="F406" s="886">
        <v>3.3</v>
      </c>
      <c r="G406" s="922">
        <f t="shared" si="9"/>
        <v>11.451000000000001</v>
      </c>
    </row>
    <row r="407" spans="1:7" s="844" customFormat="1">
      <c r="A407" s="856"/>
      <c r="B407" s="908"/>
      <c r="C407" s="874">
        <v>1</v>
      </c>
      <c r="D407" s="875">
        <v>0.1</v>
      </c>
      <c r="E407" s="886"/>
      <c r="F407" s="886">
        <v>3.3</v>
      </c>
      <c r="G407" s="922">
        <f t="shared" si="9"/>
        <v>0.33</v>
      </c>
    </row>
    <row r="408" spans="1:7" s="844" customFormat="1" ht="25">
      <c r="A408" s="856"/>
      <c r="B408" s="908" t="s">
        <v>415</v>
      </c>
      <c r="C408" s="874">
        <v>2</v>
      </c>
      <c r="D408" s="875">
        <v>3.645</v>
      </c>
      <c r="E408" s="886"/>
      <c r="F408" s="886">
        <v>3.3</v>
      </c>
      <c r="G408" s="922">
        <f t="shared" si="9"/>
        <v>24.056999999999999</v>
      </c>
    </row>
    <row r="409" spans="1:7" s="844" customFormat="1">
      <c r="A409" s="856"/>
      <c r="B409" s="908"/>
      <c r="C409" s="874">
        <v>2</v>
      </c>
      <c r="D409" s="875">
        <v>1.085</v>
      </c>
      <c r="E409" s="886"/>
      <c r="F409" s="886">
        <v>3.3</v>
      </c>
      <c r="G409" s="922">
        <f t="shared" si="9"/>
        <v>7.1609999999999996</v>
      </c>
    </row>
    <row r="410" spans="1:7" s="844" customFormat="1">
      <c r="A410" s="856"/>
      <c r="B410" s="908"/>
      <c r="C410" s="874">
        <v>2</v>
      </c>
      <c r="D410" s="875">
        <v>2.2000000000000002</v>
      </c>
      <c r="E410" s="886"/>
      <c r="F410" s="886">
        <v>3.3</v>
      </c>
      <c r="G410" s="922">
        <f t="shared" si="9"/>
        <v>14.52</v>
      </c>
    </row>
    <row r="411" spans="1:7" s="844" customFormat="1">
      <c r="A411" s="856"/>
      <c r="B411" s="908" t="s">
        <v>375</v>
      </c>
      <c r="C411" s="874">
        <v>1</v>
      </c>
      <c r="D411" s="875">
        <v>2.0350000000000001</v>
      </c>
      <c r="E411" s="886"/>
      <c r="F411" s="886">
        <v>3.3</v>
      </c>
      <c r="G411" s="922">
        <f t="shared" si="9"/>
        <v>6.7155000000000005</v>
      </c>
    </row>
    <row r="412" spans="1:7" s="844" customFormat="1">
      <c r="A412" s="856"/>
      <c r="B412" s="908"/>
      <c r="C412" s="874">
        <v>1</v>
      </c>
      <c r="D412" s="875">
        <v>1.88</v>
      </c>
      <c r="E412" s="886"/>
      <c r="F412" s="886">
        <v>3.3</v>
      </c>
      <c r="G412" s="922">
        <f t="shared" si="9"/>
        <v>6.2039999999999997</v>
      </c>
    </row>
    <row r="413" spans="1:7" s="844" customFormat="1">
      <c r="A413" s="856"/>
      <c r="B413" s="908" t="s">
        <v>376</v>
      </c>
      <c r="C413" s="874">
        <v>1</v>
      </c>
      <c r="D413" s="875">
        <v>0.8</v>
      </c>
      <c r="E413" s="886"/>
      <c r="F413" s="886">
        <v>3.3</v>
      </c>
      <c r="G413" s="922">
        <f t="shared" si="9"/>
        <v>2.64</v>
      </c>
    </row>
    <row r="414" spans="1:7" s="844" customFormat="1">
      <c r="A414" s="856"/>
      <c r="B414" s="908" t="s">
        <v>413</v>
      </c>
      <c r="C414" s="874">
        <v>2</v>
      </c>
      <c r="D414" s="875">
        <v>0.1</v>
      </c>
      <c r="E414" s="886"/>
      <c r="F414" s="886">
        <v>2.4</v>
      </c>
      <c r="G414" s="922">
        <f t="shared" si="9"/>
        <v>0.48</v>
      </c>
    </row>
    <row r="415" spans="1:7" s="844" customFormat="1">
      <c r="A415" s="856"/>
      <c r="B415" s="908" t="s">
        <v>416</v>
      </c>
      <c r="C415" s="874">
        <v>1</v>
      </c>
      <c r="D415" s="875">
        <v>2.1</v>
      </c>
      <c r="E415" s="886"/>
      <c r="F415" s="886">
        <v>3.3</v>
      </c>
      <c r="G415" s="922">
        <f t="shared" si="9"/>
        <v>6.93</v>
      </c>
    </row>
    <row r="416" spans="1:7" s="844" customFormat="1">
      <c r="A416" s="856"/>
      <c r="B416" s="908"/>
      <c r="C416" s="874">
        <v>1</v>
      </c>
      <c r="D416" s="875">
        <v>1.2</v>
      </c>
      <c r="E416" s="886"/>
      <c r="F416" s="886">
        <v>3.3</v>
      </c>
      <c r="G416" s="922">
        <f t="shared" si="9"/>
        <v>3.9599999999999995</v>
      </c>
    </row>
    <row r="417" spans="1:7" s="844" customFormat="1">
      <c r="A417" s="856"/>
      <c r="B417" s="908" t="s">
        <v>256</v>
      </c>
      <c r="C417" s="874">
        <v>-3</v>
      </c>
      <c r="D417" s="875">
        <v>0.8</v>
      </c>
      <c r="E417" s="886"/>
      <c r="F417" s="886">
        <v>2.4</v>
      </c>
      <c r="G417" s="922">
        <f t="shared" si="9"/>
        <v>-5.76</v>
      </c>
    </row>
    <row r="418" spans="1:7" s="844" customFormat="1">
      <c r="A418" s="856"/>
      <c r="B418" s="908" t="s">
        <v>377</v>
      </c>
      <c r="C418" s="874">
        <v>1</v>
      </c>
      <c r="D418" s="875">
        <v>0.2</v>
      </c>
      <c r="E418" s="886"/>
      <c r="F418" s="886">
        <v>3.3</v>
      </c>
      <c r="G418" s="922">
        <f t="shared" si="9"/>
        <v>0.66</v>
      </c>
    </row>
    <row r="419" spans="1:7" s="844" customFormat="1">
      <c r="A419" s="856"/>
      <c r="B419" s="908"/>
      <c r="C419" s="874">
        <v>1</v>
      </c>
      <c r="D419" s="875">
        <v>0.1</v>
      </c>
      <c r="E419" s="886"/>
      <c r="F419" s="886">
        <v>3.3</v>
      </c>
      <c r="G419" s="922">
        <f t="shared" si="9"/>
        <v>0.33</v>
      </c>
    </row>
    <row r="420" spans="1:7" s="844" customFormat="1">
      <c r="A420" s="856"/>
      <c r="B420" s="908" t="s">
        <v>378</v>
      </c>
      <c r="C420" s="874">
        <v>1</v>
      </c>
      <c r="D420" s="875">
        <v>1.06</v>
      </c>
      <c r="E420" s="886"/>
      <c r="F420" s="886">
        <v>3.3</v>
      </c>
      <c r="G420" s="922">
        <f t="shared" si="9"/>
        <v>3.4979999999999998</v>
      </c>
    </row>
    <row r="421" spans="1:7" s="844" customFormat="1">
      <c r="A421" s="856"/>
      <c r="B421" s="908"/>
      <c r="C421" s="874">
        <v>1</v>
      </c>
      <c r="D421" s="875">
        <v>0.81499999999999995</v>
      </c>
      <c r="E421" s="886"/>
      <c r="F421" s="886">
        <v>3.3</v>
      </c>
      <c r="G421" s="922">
        <f t="shared" si="9"/>
        <v>2.6894999999999998</v>
      </c>
    </row>
    <row r="422" spans="1:7" s="844" customFormat="1">
      <c r="A422" s="856"/>
      <c r="B422" s="908" t="s">
        <v>379</v>
      </c>
      <c r="C422" s="874">
        <v>1</v>
      </c>
      <c r="D422" s="875">
        <v>0.2</v>
      </c>
      <c r="E422" s="886"/>
      <c r="F422" s="886">
        <v>3.3</v>
      </c>
      <c r="G422" s="922">
        <f t="shared" si="9"/>
        <v>0.66</v>
      </c>
    </row>
    <row r="423" spans="1:7" s="844" customFormat="1">
      <c r="A423" s="856"/>
      <c r="B423" s="908"/>
      <c r="C423" s="874">
        <v>1</v>
      </c>
      <c r="D423" s="875">
        <v>0.34699999999999998</v>
      </c>
      <c r="E423" s="886"/>
      <c r="F423" s="886">
        <v>3.3</v>
      </c>
      <c r="G423" s="922">
        <f t="shared" si="9"/>
        <v>1.1450999999999998</v>
      </c>
    </row>
    <row r="424" spans="1:7" s="844" customFormat="1">
      <c r="A424" s="856"/>
      <c r="B424" s="908" t="s">
        <v>381</v>
      </c>
      <c r="C424" s="874">
        <v>1</v>
      </c>
      <c r="D424" s="875">
        <v>0.34699999999999998</v>
      </c>
      <c r="E424" s="886"/>
      <c r="F424" s="886">
        <v>3.3</v>
      </c>
      <c r="G424" s="922">
        <f t="shared" si="9"/>
        <v>1.1450999999999998</v>
      </c>
    </row>
    <row r="425" spans="1:7" s="844" customFormat="1">
      <c r="A425" s="856"/>
      <c r="B425" s="908" t="s">
        <v>417</v>
      </c>
      <c r="C425" s="874">
        <v>1</v>
      </c>
      <c r="D425" s="875">
        <v>1.03</v>
      </c>
      <c r="E425" s="886"/>
      <c r="F425" s="886">
        <v>3.3</v>
      </c>
      <c r="G425" s="922">
        <f t="shared" si="9"/>
        <v>3.399</v>
      </c>
    </row>
    <row r="426" spans="1:7" s="844" customFormat="1">
      <c r="A426" s="856"/>
      <c r="B426" s="908" t="s">
        <v>385</v>
      </c>
      <c r="C426" s="874">
        <v>1</v>
      </c>
      <c r="D426" s="875">
        <v>0.27500000000000002</v>
      </c>
      <c r="E426" s="886"/>
      <c r="F426" s="886">
        <v>3.3</v>
      </c>
      <c r="G426" s="922">
        <f t="shared" si="9"/>
        <v>0.90749999999999997</v>
      </c>
    </row>
    <row r="427" spans="1:7" s="844" customFormat="1">
      <c r="A427" s="856"/>
      <c r="B427" s="908" t="s">
        <v>386</v>
      </c>
      <c r="C427" s="874">
        <v>2</v>
      </c>
      <c r="D427" s="875">
        <v>0.1</v>
      </c>
      <c r="E427" s="886"/>
      <c r="F427" s="886">
        <v>3.3</v>
      </c>
      <c r="G427" s="922">
        <f t="shared" si="9"/>
        <v>0.66</v>
      </c>
    </row>
    <row r="428" spans="1:7" s="844" customFormat="1" ht="13">
      <c r="A428" s="856"/>
      <c r="B428" s="852"/>
      <c r="C428" s="874">
        <v>1</v>
      </c>
      <c r="D428" s="907">
        <v>0.1</v>
      </c>
      <c r="E428" s="886"/>
      <c r="F428" s="886">
        <v>2.4</v>
      </c>
      <c r="G428" s="922">
        <f t="shared" si="9"/>
        <v>0.24</v>
      </c>
    </row>
    <row r="429" spans="1:7" s="844" customFormat="1">
      <c r="A429" s="856"/>
      <c r="B429" s="908" t="s">
        <v>384</v>
      </c>
      <c r="C429" s="874">
        <v>1</v>
      </c>
      <c r="D429" s="875">
        <v>2.2010000000000001</v>
      </c>
      <c r="E429" s="886"/>
      <c r="F429" s="886">
        <v>3.3</v>
      </c>
      <c r="G429" s="923">
        <f t="shared" si="9"/>
        <v>7.2633000000000001</v>
      </c>
    </row>
    <row r="430" spans="1:7" s="844" customFormat="1">
      <c r="A430" s="856"/>
      <c r="B430" s="908" t="s">
        <v>380</v>
      </c>
      <c r="C430" s="874">
        <v>1</v>
      </c>
      <c r="D430" s="875">
        <v>4.069</v>
      </c>
      <c r="E430" s="886"/>
      <c r="F430" s="886">
        <v>3.3</v>
      </c>
      <c r="G430" s="923">
        <f t="shared" si="9"/>
        <v>13.4277</v>
      </c>
    </row>
    <row r="431" spans="1:7" s="844" customFormat="1" ht="13">
      <c r="A431" s="856"/>
      <c r="B431" s="852"/>
      <c r="C431" s="874"/>
      <c r="D431" s="907"/>
      <c r="E431" s="886"/>
      <c r="F431" s="886"/>
      <c r="G431" s="899"/>
    </row>
    <row r="432" spans="1:7" s="844" customFormat="1" ht="13">
      <c r="A432" s="856"/>
      <c r="B432" s="852"/>
      <c r="C432" s="874"/>
      <c r="D432" s="907"/>
      <c r="E432" s="886"/>
      <c r="F432" s="886"/>
      <c r="G432" s="924">
        <f>SUM(G394:G431)</f>
        <v>178.68720000000002</v>
      </c>
    </row>
    <row r="433" spans="1:7" s="844" customFormat="1" ht="13">
      <c r="A433" s="856"/>
      <c r="B433" s="852"/>
      <c r="C433" s="874"/>
      <c r="D433" s="907"/>
      <c r="E433" s="886"/>
      <c r="F433" s="886"/>
      <c r="G433" s="899"/>
    </row>
    <row r="434" spans="1:7" s="844" customFormat="1" ht="104">
      <c r="A434" s="856">
        <v>41</v>
      </c>
      <c r="B434" s="50" t="s">
        <v>178</v>
      </c>
      <c r="C434" s="874"/>
      <c r="D434" s="907"/>
      <c r="E434" s="886"/>
      <c r="F434" s="886"/>
      <c r="G434" s="899"/>
    </row>
    <row r="435" spans="1:7" s="844" customFormat="1" ht="13">
      <c r="A435" s="856"/>
      <c r="B435" s="852"/>
      <c r="C435" s="874"/>
      <c r="D435" s="907"/>
      <c r="E435" s="886"/>
      <c r="F435" s="886"/>
      <c r="G435" s="899"/>
    </row>
    <row r="436" spans="1:7" s="844" customFormat="1">
      <c r="A436" s="856"/>
      <c r="B436" s="908" t="s">
        <v>382</v>
      </c>
      <c r="C436" s="874">
        <v>1</v>
      </c>
      <c r="D436" s="875">
        <v>0.91300000000000003</v>
      </c>
      <c r="E436" s="886"/>
      <c r="F436" s="886">
        <v>3.3</v>
      </c>
      <c r="G436" s="923">
        <f>F436*D436*C436</f>
        <v>3.0129000000000001</v>
      </c>
    </row>
    <row r="437" spans="1:7" s="844" customFormat="1">
      <c r="A437" s="856"/>
      <c r="B437" s="908"/>
      <c r="C437" s="874">
        <v>1</v>
      </c>
      <c r="D437" s="875">
        <v>2.681</v>
      </c>
      <c r="E437" s="886"/>
      <c r="F437" s="886">
        <v>3.3</v>
      </c>
      <c r="G437" s="923">
        <f>F437*D437*C437</f>
        <v>8.8472999999999988</v>
      </c>
    </row>
    <row r="438" spans="1:7" s="844" customFormat="1">
      <c r="A438" s="856"/>
      <c r="B438" s="862" t="s">
        <v>368</v>
      </c>
      <c r="C438" s="874">
        <v>1</v>
      </c>
      <c r="D438" s="875">
        <v>3.8740000000000001</v>
      </c>
      <c r="E438" s="886"/>
      <c r="F438" s="886">
        <v>1.35</v>
      </c>
      <c r="G438" s="923">
        <f>F438*D438*C438</f>
        <v>5.2299000000000007</v>
      </c>
    </row>
    <row r="439" spans="1:7" s="844" customFormat="1">
      <c r="A439" s="856"/>
      <c r="B439" s="908" t="s">
        <v>369</v>
      </c>
      <c r="C439" s="874">
        <v>1</v>
      </c>
      <c r="D439" s="875">
        <v>1.331</v>
      </c>
      <c r="E439" s="886"/>
      <c r="F439" s="886">
        <v>3.3</v>
      </c>
      <c r="G439" s="923">
        <f>F439*D439*C439</f>
        <v>4.3922999999999996</v>
      </c>
    </row>
    <row r="440" spans="1:7" s="844" customFormat="1">
      <c r="A440" s="856"/>
      <c r="B440" s="908"/>
      <c r="C440" s="874"/>
      <c r="D440" s="875"/>
      <c r="E440" s="886"/>
      <c r="F440" s="886"/>
      <c r="G440" s="923"/>
    </row>
    <row r="441" spans="1:7" s="844" customFormat="1" ht="13">
      <c r="A441" s="856"/>
      <c r="B441" s="908"/>
      <c r="C441" s="874"/>
      <c r="D441" s="875"/>
      <c r="E441" s="886"/>
      <c r="F441" s="886"/>
      <c r="G441" s="925">
        <f>SUM(G436:G440)</f>
        <v>21.482399999999998</v>
      </c>
    </row>
    <row r="442" spans="1:7" s="844" customFormat="1" ht="100">
      <c r="A442" s="856">
        <v>42</v>
      </c>
      <c r="B442" s="789" t="s">
        <v>179</v>
      </c>
      <c r="C442" s="874"/>
      <c r="D442" s="875"/>
      <c r="E442" s="886"/>
      <c r="F442" s="886"/>
      <c r="G442" s="899"/>
    </row>
    <row r="443" spans="1:7" s="844" customFormat="1">
      <c r="A443" s="856"/>
      <c r="B443" s="876"/>
      <c r="C443" s="874"/>
      <c r="D443" s="877"/>
      <c r="E443" s="874"/>
      <c r="F443" s="874"/>
      <c r="G443" s="878"/>
    </row>
    <row r="444" spans="1:7" s="844" customFormat="1" ht="75">
      <c r="A444" s="856">
        <v>43</v>
      </c>
      <c r="B444" s="789" t="s">
        <v>181</v>
      </c>
      <c r="C444" s="874"/>
      <c r="D444" s="907"/>
      <c r="E444" s="886"/>
      <c r="F444" s="886"/>
      <c r="G444" s="899"/>
    </row>
    <row r="445" spans="1:7" s="844" customFormat="1" ht="13">
      <c r="A445" s="856"/>
      <c r="B445" s="852"/>
      <c r="C445" s="874"/>
      <c r="D445" s="907"/>
      <c r="E445" s="886"/>
      <c r="F445" s="886"/>
      <c r="G445" s="899"/>
    </row>
    <row r="446" spans="1:7" s="844" customFormat="1" ht="26">
      <c r="A446" s="856"/>
      <c r="B446" s="852" t="s">
        <v>418</v>
      </c>
      <c r="C446" s="874"/>
      <c r="D446" s="907"/>
      <c r="E446" s="886"/>
      <c r="F446" s="886"/>
      <c r="G446" s="899"/>
    </row>
    <row r="447" spans="1:7" s="844" customFormat="1">
      <c r="A447" s="856"/>
      <c r="B447" s="42" t="s">
        <v>419</v>
      </c>
      <c r="C447" s="874">
        <v>1</v>
      </c>
      <c r="D447" s="907">
        <v>2.85</v>
      </c>
      <c r="E447" s="886"/>
      <c r="F447" s="886">
        <v>1</v>
      </c>
      <c r="G447" s="899">
        <f>F447*D447*C447</f>
        <v>2.85</v>
      </c>
    </row>
    <row r="448" spans="1:7" s="844" customFormat="1">
      <c r="A448" s="856"/>
      <c r="B448" s="862" t="s">
        <v>366</v>
      </c>
      <c r="C448" s="863">
        <v>1</v>
      </c>
      <c r="D448" s="864">
        <f>3.46+0.1+3.01</f>
        <v>6.57</v>
      </c>
      <c r="E448" s="886"/>
      <c r="F448" s="886">
        <v>1</v>
      </c>
      <c r="G448" s="922">
        <f t="shared" ref="G448:G470" si="10">F448*D448*C448</f>
        <v>6.57</v>
      </c>
    </row>
    <row r="449" spans="1:7" s="844" customFormat="1">
      <c r="A449" s="856"/>
      <c r="B449" s="862" t="s">
        <v>420</v>
      </c>
      <c r="C449" s="863">
        <v>1</v>
      </c>
      <c r="D449" s="864">
        <v>3.46</v>
      </c>
      <c r="E449" s="886"/>
      <c r="F449" s="886">
        <v>3.1</v>
      </c>
      <c r="G449" s="922">
        <f t="shared" si="10"/>
        <v>10.726000000000001</v>
      </c>
    </row>
    <row r="450" spans="1:7" s="844" customFormat="1">
      <c r="A450" s="856"/>
      <c r="B450" s="908" t="s">
        <v>370</v>
      </c>
      <c r="C450" s="874">
        <v>1</v>
      </c>
      <c r="D450" s="875">
        <v>1.1000000000000001</v>
      </c>
      <c r="E450" s="886"/>
      <c r="F450" s="886">
        <v>3.1</v>
      </c>
      <c r="G450" s="922">
        <f t="shared" si="10"/>
        <v>3.4100000000000006</v>
      </c>
    </row>
    <row r="451" spans="1:7" s="844" customFormat="1">
      <c r="A451" s="856"/>
      <c r="B451" s="908" t="s">
        <v>371</v>
      </c>
      <c r="C451" s="874">
        <v>1</v>
      </c>
      <c r="D451" s="875">
        <v>1</v>
      </c>
      <c r="E451" s="886"/>
      <c r="F451" s="886">
        <v>3.1</v>
      </c>
      <c r="G451" s="922">
        <f t="shared" si="10"/>
        <v>3.1</v>
      </c>
    </row>
    <row r="452" spans="1:7" s="844" customFormat="1">
      <c r="A452" s="856"/>
      <c r="B452" s="908" t="s">
        <v>372</v>
      </c>
      <c r="C452" s="874">
        <v>1</v>
      </c>
      <c r="D452" s="875">
        <v>1.83</v>
      </c>
      <c r="E452" s="886"/>
      <c r="F452" s="886">
        <v>3.1</v>
      </c>
      <c r="G452" s="922">
        <f t="shared" si="10"/>
        <v>5.673</v>
      </c>
    </row>
    <row r="453" spans="1:7" s="844" customFormat="1">
      <c r="A453" s="856"/>
      <c r="B453" s="908" t="s">
        <v>370</v>
      </c>
      <c r="C453" s="874">
        <v>1</v>
      </c>
      <c r="D453" s="875">
        <v>0.89500000000000002</v>
      </c>
      <c r="E453" s="886"/>
      <c r="F453" s="886">
        <v>3.1</v>
      </c>
      <c r="G453" s="922">
        <f t="shared" si="10"/>
        <v>2.7745000000000002</v>
      </c>
    </row>
    <row r="454" spans="1:7" s="844" customFormat="1">
      <c r="A454" s="856"/>
      <c r="B454" s="908" t="s">
        <v>371</v>
      </c>
      <c r="C454" s="874">
        <v>1</v>
      </c>
      <c r="D454" s="875">
        <v>1</v>
      </c>
      <c r="E454" s="886"/>
      <c r="F454" s="886">
        <v>3.1</v>
      </c>
      <c r="G454" s="922">
        <f t="shared" si="10"/>
        <v>3.1</v>
      </c>
    </row>
    <row r="455" spans="1:7" s="844" customFormat="1">
      <c r="A455" s="856"/>
      <c r="B455" s="908" t="s">
        <v>372</v>
      </c>
      <c r="C455" s="874">
        <v>1</v>
      </c>
      <c r="D455" s="875">
        <v>0.86499999999999999</v>
      </c>
      <c r="E455" s="886"/>
      <c r="F455" s="886">
        <v>3.1</v>
      </c>
      <c r="G455" s="922">
        <f t="shared" si="10"/>
        <v>2.6815000000000002</v>
      </c>
    </row>
    <row r="456" spans="1:7" s="844" customFormat="1">
      <c r="A456" s="856"/>
      <c r="B456" s="908" t="s">
        <v>412</v>
      </c>
      <c r="C456" s="874">
        <v>1</v>
      </c>
      <c r="D456" s="875">
        <v>0.86499999999999999</v>
      </c>
      <c r="E456" s="886"/>
      <c r="F456" s="886">
        <v>3.1</v>
      </c>
      <c r="G456" s="922">
        <f t="shared" si="10"/>
        <v>2.6815000000000002</v>
      </c>
    </row>
    <row r="457" spans="1:7" s="844" customFormat="1">
      <c r="A457" s="856"/>
      <c r="B457" s="908" t="s">
        <v>414</v>
      </c>
      <c r="C457" s="874">
        <v>-2</v>
      </c>
      <c r="D457" s="875">
        <v>1</v>
      </c>
      <c r="E457" s="886"/>
      <c r="F457" s="886">
        <v>2.4</v>
      </c>
      <c r="G457" s="922">
        <f t="shared" si="10"/>
        <v>-4.8</v>
      </c>
    </row>
    <row r="458" spans="1:7" s="844" customFormat="1">
      <c r="A458" s="856"/>
      <c r="B458" s="908" t="s">
        <v>373</v>
      </c>
      <c r="C458" s="874">
        <v>2</v>
      </c>
      <c r="D458" s="875">
        <v>1.7350000000000001</v>
      </c>
      <c r="E458" s="886"/>
      <c r="F458" s="886">
        <v>3.1</v>
      </c>
      <c r="G458" s="922">
        <f t="shared" si="10"/>
        <v>10.757000000000001</v>
      </c>
    </row>
    <row r="459" spans="1:7" s="844" customFormat="1">
      <c r="A459" s="856"/>
      <c r="B459" s="908"/>
      <c r="C459" s="874">
        <v>1</v>
      </c>
      <c r="D459" s="875">
        <v>0.1</v>
      </c>
      <c r="E459" s="886"/>
      <c r="F459" s="886">
        <v>3.1</v>
      </c>
      <c r="G459" s="922">
        <f t="shared" si="10"/>
        <v>0.31000000000000005</v>
      </c>
    </row>
    <row r="460" spans="1:7" s="844" customFormat="1" ht="25">
      <c r="A460" s="856"/>
      <c r="B460" s="908" t="s">
        <v>415</v>
      </c>
      <c r="C460" s="874">
        <v>3</v>
      </c>
      <c r="D460" s="875">
        <v>0.6</v>
      </c>
      <c r="E460" s="886"/>
      <c r="F460" s="886">
        <v>3.1</v>
      </c>
      <c r="G460" s="922">
        <f t="shared" si="10"/>
        <v>5.58</v>
      </c>
    </row>
    <row r="461" spans="1:7" s="844" customFormat="1">
      <c r="A461" s="856"/>
      <c r="B461" s="908" t="s">
        <v>378</v>
      </c>
      <c r="C461" s="874">
        <v>1</v>
      </c>
      <c r="D461" s="875">
        <v>1.06</v>
      </c>
      <c r="E461" s="886"/>
      <c r="F461" s="886">
        <v>3.5</v>
      </c>
      <c r="G461" s="922">
        <f t="shared" si="10"/>
        <v>3.71</v>
      </c>
    </row>
    <row r="462" spans="1:7" s="844" customFormat="1">
      <c r="A462" s="856"/>
      <c r="B462" s="908" t="s">
        <v>379</v>
      </c>
      <c r="C462" s="874">
        <v>1</v>
      </c>
      <c r="D462" s="875">
        <v>0.2</v>
      </c>
      <c r="E462" s="886"/>
      <c r="F462" s="886">
        <v>3.5</v>
      </c>
      <c r="G462" s="922">
        <f t="shared" si="10"/>
        <v>0.70000000000000007</v>
      </c>
    </row>
    <row r="463" spans="1:7" s="844" customFormat="1">
      <c r="A463" s="856"/>
      <c r="B463" s="908"/>
      <c r="C463" s="874">
        <v>1</v>
      </c>
      <c r="D463" s="875">
        <v>0.34699999999999998</v>
      </c>
      <c r="E463" s="886"/>
      <c r="F463" s="886">
        <v>3.5</v>
      </c>
      <c r="G463" s="922">
        <f t="shared" si="10"/>
        <v>1.2144999999999999</v>
      </c>
    </row>
    <row r="464" spans="1:7" s="844" customFormat="1">
      <c r="A464" s="856"/>
      <c r="B464" s="908" t="s">
        <v>381</v>
      </c>
      <c r="C464" s="874">
        <v>1</v>
      </c>
      <c r="D464" s="875">
        <v>0.34699999999999998</v>
      </c>
      <c r="E464" s="886"/>
      <c r="F464" s="886">
        <v>3.5</v>
      </c>
      <c r="G464" s="922">
        <f t="shared" si="10"/>
        <v>1.2144999999999999</v>
      </c>
    </row>
    <row r="465" spans="1:7" s="844" customFormat="1">
      <c r="A465" s="856"/>
      <c r="B465" s="908" t="s">
        <v>380</v>
      </c>
      <c r="C465" s="874">
        <v>1</v>
      </c>
      <c r="D465" s="875">
        <v>4.069</v>
      </c>
      <c r="E465" s="886"/>
      <c r="F465" s="886">
        <v>3.5</v>
      </c>
      <c r="G465" s="923">
        <f t="shared" si="10"/>
        <v>14.2415</v>
      </c>
    </row>
    <row r="466" spans="1:7" s="844" customFormat="1">
      <c r="A466" s="856"/>
      <c r="B466" s="862" t="s">
        <v>368</v>
      </c>
      <c r="C466" s="874">
        <v>1</v>
      </c>
      <c r="D466" s="875">
        <v>3.8740000000000001</v>
      </c>
      <c r="E466" s="886"/>
      <c r="F466" s="886">
        <v>1</v>
      </c>
      <c r="G466" s="923">
        <f t="shared" si="10"/>
        <v>3.8740000000000001</v>
      </c>
    </row>
    <row r="467" spans="1:7" s="844" customFormat="1">
      <c r="A467" s="856"/>
      <c r="B467" s="908" t="s">
        <v>421</v>
      </c>
      <c r="C467" s="874">
        <v>1</v>
      </c>
      <c r="D467" s="875">
        <v>3.7450000000000001</v>
      </c>
      <c r="E467" s="886"/>
      <c r="F467" s="886">
        <v>1</v>
      </c>
      <c r="G467" s="923">
        <f t="shared" si="10"/>
        <v>3.7450000000000001</v>
      </c>
    </row>
    <row r="468" spans="1:7" s="844" customFormat="1" ht="25">
      <c r="A468" s="856"/>
      <c r="B468" s="908" t="s">
        <v>422</v>
      </c>
      <c r="C468" s="874">
        <v>1</v>
      </c>
      <c r="D468" s="875">
        <f>0.9+0.7+2.4+0.7+0.9+5.36</f>
        <v>10.96</v>
      </c>
      <c r="E468" s="886"/>
      <c r="F468" s="886">
        <f>0.2+0.1+0.2</f>
        <v>0.5</v>
      </c>
      <c r="G468" s="923">
        <f t="shared" si="10"/>
        <v>5.48</v>
      </c>
    </row>
    <row r="469" spans="1:7" s="844" customFormat="1">
      <c r="A469" s="856"/>
      <c r="B469" s="908" t="s">
        <v>423</v>
      </c>
      <c r="C469" s="874">
        <v>1</v>
      </c>
      <c r="D469" s="875">
        <v>1</v>
      </c>
      <c r="E469" s="886"/>
      <c r="F469" s="886">
        <v>3.1</v>
      </c>
      <c r="G469" s="923">
        <f t="shared" si="10"/>
        <v>3.1</v>
      </c>
    </row>
    <row r="470" spans="1:7" s="844" customFormat="1">
      <c r="A470" s="856"/>
      <c r="B470" s="908" t="s">
        <v>256</v>
      </c>
      <c r="C470" s="874">
        <v>-1</v>
      </c>
      <c r="D470" s="875">
        <v>0.9</v>
      </c>
      <c r="E470" s="886"/>
      <c r="F470" s="886">
        <v>2.4</v>
      </c>
      <c r="G470" s="923">
        <f t="shared" si="10"/>
        <v>-2.16</v>
      </c>
    </row>
    <row r="471" spans="1:7" s="844" customFormat="1" ht="13">
      <c r="A471" s="856"/>
      <c r="B471" s="908"/>
      <c r="C471" s="874"/>
      <c r="D471" s="875"/>
      <c r="E471" s="886"/>
      <c r="F471" s="886"/>
      <c r="G471" s="925">
        <f>SUM(G447:G470)</f>
        <v>90.533000000000015</v>
      </c>
    </row>
    <row r="472" spans="1:7" s="844" customFormat="1" ht="13">
      <c r="A472" s="856"/>
      <c r="B472" s="852"/>
      <c r="C472" s="874"/>
      <c r="D472" s="907"/>
      <c r="E472" s="886"/>
      <c r="F472" s="886"/>
      <c r="G472" s="887"/>
    </row>
    <row r="473" spans="1:7" s="844" customFormat="1" ht="76">
      <c r="A473" s="856"/>
      <c r="B473" s="42" t="s">
        <v>424</v>
      </c>
      <c r="C473" s="874"/>
      <c r="D473" s="907"/>
      <c r="E473" s="886"/>
      <c r="F473" s="886"/>
      <c r="G473" s="899"/>
    </row>
    <row r="474" spans="1:7" s="844" customFormat="1">
      <c r="A474" s="856"/>
      <c r="B474" s="42"/>
      <c r="C474" s="874"/>
      <c r="D474" s="907"/>
      <c r="E474" s="886"/>
      <c r="F474" s="886"/>
      <c r="G474" s="899"/>
    </row>
    <row r="475" spans="1:7" s="844" customFormat="1">
      <c r="A475" s="856"/>
      <c r="B475" s="862" t="s">
        <v>366</v>
      </c>
      <c r="C475" s="863">
        <v>1</v>
      </c>
      <c r="D475" s="864">
        <f>3.46+0.1+3.01</f>
        <v>6.57</v>
      </c>
      <c r="E475" s="886"/>
      <c r="F475" s="886">
        <v>2.1</v>
      </c>
      <c r="G475" s="922">
        <f>F475*D475*C475</f>
        <v>13.797000000000001</v>
      </c>
    </row>
    <row r="476" spans="1:7" s="844" customFormat="1">
      <c r="A476" s="856"/>
      <c r="B476" s="862" t="s">
        <v>368</v>
      </c>
      <c r="C476" s="874">
        <v>1</v>
      </c>
      <c r="D476" s="875">
        <v>3.8740000000000001</v>
      </c>
      <c r="E476" s="886"/>
      <c r="F476" s="886">
        <v>1.35</v>
      </c>
      <c r="G476" s="923">
        <f>F476*D476*C476</f>
        <v>5.2299000000000007</v>
      </c>
    </row>
    <row r="477" spans="1:7" s="844" customFormat="1">
      <c r="A477" s="856"/>
      <c r="B477" s="908" t="s">
        <v>421</v>
      </c>
      <c r="C477" s="874">
        <v>1</v>
      </c>
      <c r="D477" s="875">
        <v>3.7450000000000001</v>
      </c>
      <c r="E477" s="886"/>
      <c r="F477" s="886">
        <v>2.1</v>
      </c>
      <c r="G477" s="923">
        <f>F477*D477*C477</f>
        <v>7.8645000000000005</v>
      </c>
    </row>
    <row r="478" spans="1:7" s="844" customFormat="1">
      <c r="A478" s="856"/>
      <c r="B478" s="42" t="s">
        <v>419</v>
      </c>
      <c r="C478" s="874">
        <v>1</v>
      </c>
      <c r="D478" s="907">
        <v>2.85</v>
      </c>
      <c r="E478" s="886"/>
      <c r="F478" s="886">
        <v>2.1</v>
      </c>
      <c r="G478" s="899">
        <f>F478*D478*C478</f>
        <v>5.9850000000000003</v>
      </c>
    </row>
    <row r="479" spans="1:7" s="844" customFormat="1">
      <c r="A479" s="856"/>
      <c r="B479" s="908" t="s">
        <v>382</v>
      </c>
      <c r="C479" s="874">
        <v>1</v>
      </c>
      <c r="D479" s="875">
        <v>0.91300000000000003</v>
      </c>
      <c r="E479" s="886"/>
      <c r="F479" s="886">
        <v>3.1</v>
      </c>
      <c r="G479" s="923">
        <f t="shared" ref="G479:G487" si="11">F479*D479*C479</f>
        <v>2.8303000000000003</v>
      </c>
    </row>
    <row r="480" spans="1:7" s="844" customFormat="1">
      <c r="A480" s="856"/>
      <c r="B480" s="908"/>
      <c r="C480" s="874">
        <v>1</v>
      </c>
      <c r="D480" s="875">
        <v>2.681</v>
      </c>
      <c r="E480" s="886"/>
      <c r="F480" s="886">
        <v>3.1</v>
      </c>
      <c r="G480" s="923">
        <f t="shared" si="11"/>
        <v>8.3110999999999997</v>
      </c>
    </row>
    <row r="481" spans="1:7" s="844" customFormat="1">
      <c r="A481" s="856"/>
      <c r="B481" s="908" t="s">
        <v>375</v>
      </c>
      <c r="C481" s="874">
        <v>1</v>
      </c>
      <c r="D481" s="875">
        <v>2.0350000000000001</v>
      </c>
      <c r="E481" s="886"/>
      <c r="F481" s="886">
        <v>3.1</v>
      </c>
      <c r="G481" s="922">
        <f t="shared" si="11"/>
        <v>6.3085000000000004</v>
      </c>
    </row>
    <row r="482" spans="1:7" s="844" customFormat="1">
      <c r="A482" s="856"/>
      <c r="B482" s="908" t="s">
        <v>376</v>
      </c>
      <c r="C482" s="874">
        <v>1</v>
      </c>
      <c r="D482" s="875">
        <v>0.8</v>
      </c>
      <c r="E482" s="886"/>
      <c r="F482" s="886">
        <v>3.1</v>
      </c>
      <c r="G482" s="922">
        <f t="shared" si="11"/>
        <v>2.4800000000000004</v>
      </c>
    </row>
    <row r="483" spans="1:7" s="844" customFormat="1">
      <c r="A483" s="856"/>
      <c r="B483" s="908" t="s">
        <v>256</v>
      </c>
      <c r="C483" s="874">
        <v>-2</v>
      </c>
      <c r="D483" s="875">
        <v>0.8</v>
      </c>
      <c r="E483" s="886"/>
      <c r="F483" s="886">
        <v>2.4</v>
      </c>
      <c r="G483" s="922">
        <f t="shared" si="11"/>
        <v>-3.84</v>
      </c>
    </row>
    <row r="484" spans="1:7" s="844" customFormat="1">
      <c r="A484" s="856"/>
      <c r="B484" s="908" t="s">
        <v>377</v>
      </c>
      <c r="C484" s="874">
        <v>1</v>
      </c>
      <c r="D484" s="875">
        <v>0.2</v>
      </c>
      <c r="E484" s="886"/>
      <c r="F484" s="886">
        <v>3.1</v>
      </c>
      <c r="G484" s="922">
        <f t="shared" si="11"/>
        <v>0.62000000000000011</v>
      </c>
    </row>
    <row r="485" spans="1:7" s="844" customFormat="1" ht="25">
      <c r="A485" s="856"/>
      <c r="B485" s="908" t="s">
        <v>415</v>
      </c>
      <c r="C485" s="874">
        <v>1</v>
      </c>
      <c r="D485" s="875">
        <v>3.645</v>
      </c>
      <c r="E485" s="886"/>
      <c r="F485" s="886">
        <v>3.1</v>
      </c>
      <c r="G485" s="922">
        <f t="shared" si="11"/>
        <v>11.2995</v>
      </c>
    </row>
    <row r="486" spans="1:7" s="844" customFormat="1">
      <c r="A486" s="856"/>
      <c r="B486" s="908"/>
      <c r="C486" s="874">
        <v>1</v>
      </c>
      <c r="D486" s="875">
        <v>1.085</v>
      </c>
      <c r="E486" s="886"/>
      <c r="F486" s="886">
        <v>3.1</v>
      </c>
      <c r="G486" s="922">
        <f t="shared" si="11"/>
        <v>3.3635000000000002</v>
      </c>
    </row>
    <row r="487" spans="1:7" s="844" customFormat="1">
      <c r="A487" s="856"/>
      <c r="B487" s="42"/>
      <c r="C487" s="874">
        <v>1</v>
      </c>
      <c r="D487" s="907">
        <v>7.04</v>
      </c>
      <c r="E487" s="886"/>
      <c r="F487" s="886">
        <v>3.3</v>
      </c>
      <c r="G487" s="899">
        <f t="shared" si="11"/>
        <v>23.231999999999999</v>
      </c>
    </row>
    <row r="488" spans="1:7" s="844" customFormat="1" ht="13">
      <c r="A488" s="856"/>
      <c r="B488" s="42"/>
      <c r="C488" s="874"/>
      <c r="D488" s="907"/>
      <c r="E488" s="886"/>
      <c r="F488" s="886"/>
      <c r="G488" s="924">
        <f>SUM(G475:G487)</f>
        <v>87.481300000000005</v>
      </c>
    </row>
    <row r="489" spans="1:7" s="844" customFormat="1">
      <c r="A489" s="856"/>
      <c r="B489" s="42"/>
      <c r="C489" s="874"/>
      <c r="D489" s="907"/>
      <c r="E489" s="886"/>
      <c r="F489" s="886"/>
      <c r="G489" s="899"/>
    </row>
    <row r="490" spans="1:7" s="844" customFormat="1" ht="137.5">
      <c r="A490" s="856">
        <v>44</v>
      </c>
      <c r="B490" s="789" t="s">
        <v>182</v>
      </c>
      <c r="C490" s="874"/>
      <c r="D490" s="907"/>
      <c r="E490" s="886"/>
      <c r="F490" s="886"/>
      <c r="G490" s="899"/>
    </row>
    <row r="491" spans="1:7" s="844" customFormat="1">
      <c r="A491" s="856"/>
      <c r="B491" s="42"/>
      <c r="C491" s="874"/>
      <c r="D491" s="907"/>
      <c r="E491" s="886"/>
      <c r="F491" s="886"/>
      <c r="G491" s="899"/>
    </row>
    <row r="492" spans="1:7" s="844" customFormat="1">
      <c r="A492" s="856"/>
      <c r="B492" s="908" t="s">
        <v>421</v>
      </c>
      <c r="C492" s="874">
        <v>1</v>
      </c>
      <c r="D492" s="875">
        <v>3.7450000000000001</v>
      </c>
      <c r="E492" s="886"/>
      <c r="F492" s="886">
        <v>3.4</v>
      </c>
      <c r="G492" s="923">
        <f>F492*D492*C492</f>
        <v>12.733000000000001</v>
      </c>
    </row>
    <row r="493" spans="1:7" s="844" customFormat="1">
      <c r="A493" s="856"/>
      <c r="B493" s="42" t="s">
        <v>419</v>
      </c>
      <c r="C493" s="874">
        <v>1</v>
      </c>
      <c r="D493" s="907">
        <v>2.85</v>
      </c>
      <c r="E493" s="886"/>
      <c r="F493" s="886">
        <v>3.4</v>
      </c>
      <c r="G493" s="899">
        <f>F493*D493*C493</f>
        <v>9.69</v>
      </c>
    </row>
    <row r="494" spans="1:7" s="844" customFormat="1">
      <c r="A494" s="856"/>
      <c r="B494" s="42"/>
      <c r="C494" s="874"/>
      <c r="D494" s="907"/>
      <c r="E494" s="886"/>
      <c r="F494" s="886"/>
      <c r="G494" s="899"/>
    </row>
    <row r="495" spans="1:7" s="844" customFormat="1" ht="13">
      <c r="A495" s="856"/>
      <c r="B495" s="42"/>
      <c r="C495" s="874"/>
      <c r="D495" s="907"/>
      <c r="E495" s="886"/>
      <c r="F495" s="886"/>
      <c r="G495" s="925">
        <f>SUM(G492:G494)</f>
        <v>22.423000000000002</v>
      </c>
    </row>
    <row r="496" spans="1:7" s="844" customFormat="1" ht="13">
      <c r="A496" s="856"/>
      <c r="B496" s="42"/>
      <c r="C496" s="874"/>
      <c r="D496" s="907"/>
      <c r="E496" s="886"/>
      <c r="F496" s="886"/>
      <c r="G496" s="925"/>
    </row>
    <row r="497" spans="1:7" s="844" customFormat="1" ht="75">
      <c r="A497" s="856">
        <v>45</v>
      </c>
      <c r="B497" s="42" t="s">
        <v>183</v>
      </c>
      <c r="C497" s="874"/>
      <c r="D497" s="907"/>
      <c r="E497" s="886"/>
      <c r="F497" s="886"/>
      <c r="G497" s="925"/>
    </row>
    <row r="498" spans="1:7" s="844" customFormat="1" ht="13">
      <c r="A498" s="856"/>
      <c r="B498" s="42"/>
      <c r="C498" s="874"/>
      <c r="D498" s="907"/>
      <c r="E498" s="886"/>
      <c r="F498" s="886"/>
      <c r="G498" s="925"/>
    </row>
    <row r="499" spans="1:7" s="844" customFormat="1" ht="13">
      <c r="A499" s="856"/>
      <c r="B499" s="926" t="s">
        <v>425</v>
      </c>
      <c r="C499" s="874"/>
      <c r="D499" s="877"/>
      <c r="E499" s="886"/>
      <c r="F499" s="886"/>
      <c r="G499" s="855"/>
    </row>
    <row r="500" spans="1:7" s="844" customFormat="1">
      <c r="A500" s="856"/>
      <c r="B500" s="862" t="s">
        <v>366</v>
      </c>
      <c r="C500" s="863">
        <v>2</v>
      </c>
      <c r="D500" s="864">
        <v>3.01</v>
      </c>
      <c r="E500" s="886"/>
      <c r="F500" s="886"/>
      <c r="G500" s="887">
        <f t="shared" ref="G500:G506" si="12">C500*D500</f>
        <v>6.02</v>
      </c>
    </row>
    <row r="501" spans="1:7" s="844" customFormat="1">
      <c r="A501" s="856"/>
      <c r="B501" s="862"/>
      <c r="C501" s="863">
        <v>2</v>
      </c>
      <c r="D501" s="864">
        <v>3.46</v>
      </c>
      <c r="E501" s="886"/>
      <c r="F501" s="886"/>
      <c r="G501" s="887">
        <f t="shared" si="12"/>
        <v>6.92</v>
      </c>
    </row>
    <row r="502" spans="1:7" s="844" customFormat="1">
      <c r="A502" s="856"/>
      <c r="B502" s="908" t="s">
        <v>370</v>
      </c>
      <c r="C502" s="874">
        <v>1</v>
      </c>
      <c r="D502" s="875">
        <v>1.1000000000000001</v>
      </c>
      <c r="E502" s="886"/>
      <c r="F502" s="886"/>
      <c r="G502" s="887">
        <f t="shared" si="12"/>
        <v>1.1000000000000001</v>
      </c>
    </row>
    <row r="503" spans="1:7" s="844" customFormat="1">
      <c r="A503" s="856"/>
      <c r="B503" s="908" t="s">
        <v>371</v>
      </c>
      <c r="C503" s="874">
        <v>2</v>
      </c>
      <c r="D503" s="875">
        <v>0.1</v>
      </c>
      <c r="E503" s="886"/>
      <c r="F503" s="886"/>
      <c r="G503" s="887">
        <f t="shared" si="12"/>
        <v>0.2</v>
      </c>
    </row>
    <row r="504" spans="1:7" s="844" customFormat="1">
      <c r="A504" s="856"/>
      <c r="B504" s="908" t="s">
        <v>372</v>
      </c>
      <c r="C504" s="874">
        <v>1</v>
      </c>
      <c r="D504" s="875">
        <v>1.83</v>
      </c>
      <c r="E504" s="886"/>
      <c r="F504" s="886"/>
      <c r="G504" s="887">
        <f t="shared" si="12"/>
        <v>1.83</v>
      </c>
    </row>
    <row r="505" spans="1:7" s="844" customFormat="1">
      <c r="A505" s="856"/>
      <c r="B505" s="908" t="s">
        <v>370</v>
      </c>
      <c r="C505" s="874">
        <v>1</v>
      </c>
      <c r="D505" s="875">
        <v>0.89500000000000002</v>
      </c>
      <c r="E505" s="886"/>
      <c r="F505" s="886"/>
      <c r="G505" s="887">
        <f t="shared" si="12"/>
        <v>0.89500000000000002</v>
      </c>
    </row>
    <row r="506" spans="1:7" s="844" customFormat="1">
      <c r="A506" s="856"/>
      <c r="B506" s="908" t="s">
        <v>372</v>
      </c>
      <c r="C506" s="874">
        <v>1</v>
      </c>
      <c r="D506" s="875">
        <v>0.86499999999999999</v>
      </c>
      <c r="E506" s="886"/>
      <c r="F506" s="886"/>
      <c r="G506" s="887">
        <f t="shared" si="12"/>
        <v>0.86499999999999999</v>
      </c>
    </row>
    <row r="507" spans="1:7" s="844" customFormat="1">
      <c r="A507" s="856"/>
      <c r="B507" s="908" t="s">
        <v>412</v>
      </c>
      <c r="C507" s="874">
        <v>1</v>
      </c>
      <c r="D507" s="875">
        <v>0.86499999999999999</v>
      </c>
      <c r="E507" s="886"/>
      <c r="F507" s="886"/>
      <c r="G507" s="887">
        <f t="shared" ref="G507:G527" si="13">C507*D507</f>
        <v>0.86499999999999999</v>
      </c>
    </row>
    <row r="508" spans="1:7" s="844" customFormat="1">
      <c r="A508" s="856"/>
      <c r="B508" s="908" t="s">
        <v>413</v>
      </c>
      <c r="C508" s="874">
        <v>2</v>
      </c>
      <c r="D508" s="875">
        <v>0.1</v>
      </c>
      <c r="E508" s="886"/>
      <c r="F508" s="886"/>
      <c r="G508" s="887">
        <f t="shared" si="13"/>
        <v>0.2</v>
      </c>
    </row>
    <row r="509" spans="1:7" s="844" customFormat="1">
      <c r="A509" s="856"/>
      <c r="B509" s="908" t="s">
        <v>373</v>
      </c>
      <c r="C509" s="874">
        <v>2</v>
      </c>
      <c r="D509" s="875">
        <v>1.7350000000000001</v>
      </c>
      <c r="E509" s="886"/>
      <c r="F509" s="886"/>
      <c r="G509" s="887">
        <f t="shared" si="13"/>
        <v>3.47</v>
      </c>
    </row>
    <row r="510" spans="1:7" s="844" customFormat="1">
      <c r="A510" s="856"/>
      <c r="B510" s="908"/>
      <c r="C510" s="874">
        <v>1</v>
      </c>
      <c r="D510" s="875">
        <v>0.1</v>
      </c>
      <c r="E510" s="886"/>
      <c r="F510" s="886"/>
      <c r="G510" s="887">
        <f t="shared" si="13"/>
        <v>0.1</v>
      </c>
    </row>
    <row r="511" spans="1:7" s="844" customFormat="1" ht="25">
      <c r="A511" s="856"/>
      <c r="B511" s="908" t="s">
        <v>415</v>
      </c>
      <c r="C511" s="927">
        <v>2</v>
      </c>
      <c r="D511" s="875">
        <v>3.645</v>
      </c>
      <c r="E511" s="886"/>
      <c r="F511" s="886"/>
      <c r="G511" s="887">
        <f t="shared" si="13"/>
        <v>7.29</v>
      </c>
    </row>
    <row r="512" spans="1:7" s="844" customFormat="1">
      <c r="A512" s="856"/>
      <c r="B512" s="908"/>
      <c r="C512" s="927">
        <v>2</v>
      </c>
      <c r="D512" s="875">
        <v>1.085</v>
      </c>
      <c r="E512" s="886"/>
      <c r="F512" s="886"/>
      <c r="G512" s="887">
        <f t="shared" si="13"/>
        <v>2.17</v>
      </c>
    </row>
    <row r="513" spans="1:7" s="844" customFormat="1">
      <c r="A513" s="856"/>
      <c r="B513" s="908"/>
      <c r="C513" s="927">
        <v>2</v>
      </c>
      <c r="D513" s="875">
        <v>2.2000000000000002</v>
      </c>
      <c r="E513" s="886"/>
      <c r="F513" s="886"/>
      <c r="G513" s="887">
        <f t="shared" si="13"/>
        <v>4.4000000000000004</v>
      </c>
    </row>
    <row r="514" spans="1:7" s="844" customFormat="1">
      <c r="A514" s="856"/>
      <c r="B514" s="908" t="s">
        <v>375</v>
      </c>
      <c r="C514" s="874">
        <v>1</v>
      </c>
      <c r="D514" s="875">
        <v>2.0350000000000001</v>
      </c>
      <c r="E514" s="886"/>
      <c r="F514" s="886"/>
      <c r="G514" s="887">
        <f t="shared" si="13"/>
        <v>2.0350000000000001</v>
      </c>
    </row>
    <row r="515" spans="1:7" s="844" customFormat="1">
      <c r="A515" s="856"/>
      <c r="B515" s="908" t="s">
        <v>413</v>
      </c>
      <c r="C515" s="874">
        <v>2</v>
      </c>
      <c r="D515" s="875">
        <v>0.1</v>
      </c>
      <c r="E515" s="886"/>
      <c r="F515" s="886"/>
      <c r="G515" s="887">
        <f t="shared" si="13"/>
        <v>0.2</v>
      </c>
    </row>
    <row r="516" spans="1:7" s="844" customFormat="1">
      <c r="A516" s="856"/>
      <c r="B516" s="908" t="s">
        <v>377</v>
      </c>
      <c r="C516" s="874">
        <v>1</v>
      </c>
      <c r="D516" s="875">
        <v>0.2</v>
      </c>
      <c r="E516" s="886"/>
      <c r="F516" s="886"/>
      <c r="G516" s="887">
        <f t="shared" si="13"/>
        <v>0.2</v>
      </c>
    </row>
    <row r="517" spans="1:7" s="844" customFormat="1">
      <c r="A517" s="856"/>
      <c r="B517" s="908" t="s">
        <v>378</v>
      </c>
      <c r="C517" s="874">
        <v>1</v>
      </c>
      <c r="D517" s="875">
        <v>1.06</v>
      </c>
      <c r="E517" s="886"/>
      <c r="F517" s="886"/>
      <c r="G517" s="887">
        <f t="shared" si="13"/>
        <v>1.06</v>
      </c>
    </row>
    <row r="518" spans="1:7" s="844" customFormat="1">
      <c r="A518" s="856"/>
      <c r="B518" s="908" t="s">
        <v>379</v>
      </c>
      <c r="C518" s="874">
        <v>1</v>
      </c>
      <c r="D518" s="875">
        <v>0.2</v>
      </c>
      <c r="E518" s="886"/>
      <c r="F518" s="886"/>
      <c r="G518" s="887">
        <f t="shared" si="13"/>
        <v>0.2</v>
      </c>
    </row>
    <row r="519" spans="1:7" s="844" customFormat="1">
      <c r="A519" s="856"/>
      <c r="B519" s="908"/>
      <c r="C519" s="874">
        <v>1</v>
      </c>
      <c r="D519" s="875">
        <v>0.34699999999999998</v>
      </c>
      <c r="E519" s="886"/>
      <c r="F519" s="886"/>
      <c r="G519" s="887">
        <f t="shared" si="13"/>
        <v>0.34699999999999998</v>
      </c>
    </row>
    <row r="520" spans="1:7" s="844" customFormat="1">
      <c r="A520" s="856"/>
      <c r="B520" s="908" t="s">
        <v>381</v>
      </c>
      <c r="C520" s="874">
        <v>1</v>
      </c>
      <c r="D520" s="875">
        <v>0.34699999999999998</v>
      </c>
      <c r="E520" s="886"/>
      <c r="F520" s="886"/>
      <c r="G520" s="887">
        <f t="shared" si="13"/>
        <v>0.34699999999999998</v>
      </c>
    </row>
    <row r="521" spans="1:7" s="844" customFormat="1">
      <c r="A521" s="856"/>
      <c r="B521" s="908" t="s">
        <v>386</v>
      </c>
      <c r="C521" s="874">
        <v>1</v>
      </c>
      <c r="D521" s="875">
        <v>0.1</v>
      </c>
      <c r="E521" s="886"/>
      <c r="F521" s="886"/>
      <c r="G521" s="887">
        <f t="shared" si="13"/>
        <v>0.1</v>
      </c>
    </row>
    <row r="522" spans="1:7" s="844" customFormat="1">
      <c r="A522" s="856"/>
      <c r="B522" s="908" t="s">
        <v>382</v>
      </c>
      <c r="C522" s="874">
        <v>1</v>
      </c>
      <c r="D522" s="875">
        <v>0.91300000000000003</v>
      </c>
      <c r="E522" s="886"/>
      <c r="F522" s="886"/>
      <c r="G522" s="887">
        <f t="shared" si="13"/>
        <v>0.91300000000000003</v>
      </c>
    </row>
    <row r="523" spans="1:7" s="844" customFormat="1">
      <c r="A523" s="856"/>
      <c r="B523" s="908"/>
      <c r="C523" s="874">
        <v>1</v>
      </c>
      <c r="D523" s="875">
        <v>2.681</v>
      </c>
      <c r="E523" s="886"/>
      <c r="F523" s="886"/>
      <c r="G523" s="887">
        <f t="shared" si="13"/>
        <v>2.681</v>
      </c>
    </row>
    <row r="524" spans="1:7" s="844" customFormat="1">
      <c r="A524" s="856"/>
      <c r="B524" s="908" t="s">
        <v>380</v>
      </c>
      <c r="C524" s="874">
        <v>1</v>
      </c>
      <c r="D524" s="875">
        <v>4.069</v>
      </c>
      <c r="E524" s="886"/>
      <c r="F524" s="886"/>
      <c r="G524" s="887">
        <f t="shared" si="13"/>
        <v>4.069</v>
      </c>
    </row>
    <row r="525" spans="1:7" s="844" customFormat="1">
      <c r="A525" s="856"/>
      <c r="B525" s="862" t="s">
        <v>368</v>
      </c>
      <c r="C525" s="874">
        <v>2</v>
      </c>
      <c r="D525" s="875">
        <v>3.8740000000000001</v>
      </c>
      <c r="E525" s="886"/>
      <c r="F525" s="886"/>
      <c r="G525" s="887">
        <f t="shared" si="13"/>
        <v>7.7480000000000002</v>
      </c>
    </row>
    <row r="526" spans="1:7" s="844" customFormat="1">
      <c r="A526" s="856"/>
      <c r="B526" s="908" t="s">
        <v>369</v>
      </c>
      <c r="C526" s="874">
        <v>1</v>
      </c>
      <c r="D526" s="875">
        <v>1.331</v>
      </c>
      <c r="E526" s="886"/>
      <c r="F526" s="886"/>
      <c r="G526" s="887">
        <f t="shared" si="13"/>
        <v>1.331</v>
      </c>
    </row>
    <row r="527" spans="1:7" s="844" customFormat="1">
      <c r="A527" s="856"/>
      <c r="B527" s="862"/>
      <c r="C527" s="874">
        <v>1</v>
      </c>
      <c r="D527" s="907">
        <v>2.87</v>
      </c>
      <c r="E527" s="886"/>
      <c r="F527" s="886"/>
      <c r="G527" s="887">
        <f t="shared" si="13"/>
        <v>2.87</v>
      </c>
    </row>
    <row r="528" spans="1:7" s="844" customFormat="1">
      <c r="A528" s="856"/>
      <c r="B528" s="862"/>
      <c r="C528" s="874">
        <v>1</v>
      </c>
      <c r="D528" s="907">
        <v>3.7450000000000001</v>
      </c>
      <c r="E528" s="886"/>
      <c r="F528" s="886"/>
      <c r="G528" s="887">
        <f>D528</f>
        <v>3.7450000000000001</v>
      </c>
    </row>
    <row r="529" spans="1:7" s="844" customFormat="1" ht="13">
      <c r="A529" s="856"/>
      <c r="B529" s="862"/>
      <c r="C529" s="874">
        <v>1</v>
      </c>
      <c r="D529" s="907">
        <v>2.85</v>
      </c>
      <c r="E529" s="886"/>
      <c r="F529" s="886"/>
      <c r="G529" s="900">
        <f>C529*D529</f>
        <v>2.85</v>
      </c>
    </row>
    <row r="530" spans="1:7" s="844" customFormat="1" ht="13">
      <c r="A530" s="856"/>
      <c r="B530" s="862"/>
      <c r="C530" s="874"/>
      <c r="D530" s="907"/>
      <c r="E530" s="886"/>
      <c r="F530" s="886"/>
      <c r="G530" s="900">
        <f>SUM(G500:G529)</f>
        <v>67.021000000000001</v>
      </c>
    </row>
    <row r="531" spans="1:7" s="844" customFormat="1" ht="13">
      <c r="A531" s="856"/>
      <c r="B531" s="42"/>
      <c r="C531" s="874"/>
      <c r="D531" s="907"/>
      <c r="E531" s="886"/>
      <c r="F531" s="886"/>
      <c r="G531" s="925"/>
    </row>
    <row r="532" spans="1:7" s="844" customFormat="1" ht="189.5">
      <c r="A532" s="856">
        <v>46</v>
      </c>
      <c r="B532" s="42" t="s">
        <v>426</v>
      </c>
      <c r="C532" s="874"/>
      <c r="D532" s="907"/>
      <c r="E532" s="886"/>
      <c r="F532" s="886"/>
      <c r="G532" s="925"/>
    </row>
    <row r="533" spans="1:7" s="844" customFormat="1" ht="13">
      <c r="A533" s="856"/>
      <c r="B533" s="928" t="s">
        <v>186</v>
      </c>
      <c r="C533" s="874"/>
      <c r="D533" s="907"/>
      <c r="E533" s="886"/>
      <c r="F533" s="886"/>
      <c r="G533" s="925"/>
    </row>
    <row r="534" spans="1:7" s="844" customFormat="1" ht="13">
      <c r="A534" s="856"/>
      <c r="B534" s="852" t="s">
        <v>427</v>
      </c>
      <c r="C534" s="874"/>
      <c r="D534" s="907"/>
      <c r="E534" s="886"/>
      <c r="F534" s="886"/>
      <c r="G534" s="900"/>
    </row>
    <row r="535" spans="1:7" s="844" customFormat="1">
      <c r="A535" s="856"/>
      <c r="B535" s="876" t="s">
        <v>428</v>
      </c>
      <c r="C535" s="874"/>
      <c r="D535" s="877"/>
      <c r="E535" s="874"/>
      <c r="F535" s="874"/>
      <c r="G535" s="878"/>
    </row>
    <row r="536" spans="1:7" s="844" customFormat="1">
      <c r="A536" s="856"/>
      <c r="B536" s="876" t="s">
        <v>429</v>
      </c>
      <c r="C536" s="874">
        <v>1</v>
      </c>
      <c r="D536" s="877">
        <v>4.28</v>
      </c>
      <c r="E536" s="874"/>
      <c r="F536" s="874">
        <v>0.75</v>
      </c>
      <c r="G536" s="878">
        <f>F536*D536*C536</f>
        <v>3.21</v>
      </c>
    </row>
    <row r="537" spans="1:7" s="844" customFormat="1">
      <c r="A537" s="856"/>
      <c r="B537" s="876" t="s">
        <v>430</v>
      </c>
      <c r="C537" s="874">
        <v>1</v>
      </c>
      <c r="D537" s="877">
        <v>3.2109999999999999</v>
      </c>
      <c r="E537" s="874"/>
      <c r="F537" s="874">
        <v>0.75</v>
      </c>
      <c r="G537" s="878">
        <f>F537*D537*C537</f>
        <v>2.4082499999999998</v>
      </c>
    </row>
    <row r="538" spans="1:7" s="844" customFormat="1">
      <c r="A538" s="856"/>
      <c r="B538" s="876"/>
      <c r="C538" s="874">
        <v>1</v>
      </c>
      <c r="D538" s="877">
        <v>2.75</v>
      </c>
      <c r="E538" s="874"/>
      <c r="F538" s="874">
        <v>0.75</v>
      </c>
      <c r="G538" s="878">
        <f>F538*D538*C538</f>
        <v>2.0625</v>
      </c>
    </row>
    <row r="539" spans="1:7" s="844" customFormat="1">
      <c r="A539" s="856"/>
      <c r="B539" s="876"/>
      <c r="C539" s="874">
        <v>1</v>
      </c>
      <c r="D539" s="877">
        <v>4.41</v>
      </c>
      <c r="E539" s="874"/>
      <c r="F539" s="874">
        <v>0.75</v>
      </c>
      <c r="G539" s="878">
        <f>F539*D539*C539</f>
        <v>3.3075000000000001</v>
      </c>
    </row>
    <row r="540" spans="1:7" s="844" customFormat="1">
      <c r="A540" s="856"/>
      <c r="B540" s="876" t="s">
        <v>338</v>
      </c>
      <c r="C540" s="874">
        <v>1</v>
      </c>
      <c r="D540" s="877">
        <v>3.04</v>
      </c>
      <c r="E540" s="874"/>
      <c r="F540" s="874">
        <v>0.75</v>
      </c>
      <c r="G540" s="878">
        <f>F540*D540*C540</f>
        <v>2.2800000000000002</v>
      </c>
    </row>
    <row r="541" spans="1:7" s="844" customFormat="1">
      <c r="A541" s="856"/>
      <c r="B541" s="876"/>
      <c r="C541" s="874"/>
      <c r="D541" s="877"/>
      <c r="E541" s="874"/>
      <c r="F541" s="874"/>
      <c r="G541" s="878"/>
    </row>
    <row r="542" spans="1:7" s="844" customFormat="1" ht="13">
      <c r="A542" s="856"/>
      <c r="B542" s="876"/>
      <c r="C542" s="874"/>
      <c r="D542" s="877"/>
      <c r="E542" s="874"/>
      <c r="F542" s="874"/>
      <c r="G542" s="929">
        <f>SUM(G536:G541)</f>
        <v>13.268250000000002</v>
      </c>
    </row>
    <row r="543" spans="1:7" s="844" customFormat="1">
      <c r="A543" s="856"/>
      <c r="B543" s="876"/>
      <c r="C543" s="874"/>
      <c r="D543" s="877"/>
      <c r="E543" s="874"/>
      <c r="F543" s="874"/>
      <c r="G543" s="878"/>
    </row>
    <row r="544" spans="1:7" s="844" customFormat="1" ht="201.5">
      <c r="A544" s="856">
        <v>47</v>
      </c>
      <c r="B544" s="42" t="s">
        <v>431</v>
      </c>
      <c r="C544" s="874"/>
      <c r="D544" s="877"/>
      <c r="E544" s="874"/>
      <c r="F544" s="874"/>
      <c r="G544" s="878"/>
    </row>
    <row r="545" spans="1:7" s="844" customFormat="1" ht="13">
      <c r="A545" s="856"/>
      <c r="B545" s="896" t="s">
        <v>432</v>
      </c>
      <c r="C545" s="874"/>
      <c r="D545" s="877"/>
      <c r="E545" s="874"/>
      <c r="F545" s="874"/>
      <c r="G545" s="878"/>
    </row>
    <row r="546" spans="1:7" s="844" customFormat="1">
      <c r="A546" s="856"/>
      <c r="B546" s="876"/>
      <c r="C546" s="874"/>
      <c r="D546" s="877"/>
      <c r="E546" s="874"/>
      <c r="F546" s="874"/>
      <c r="G546" s="878"/>
    </row>
    <row r="547" spans="1:7" s="844" customFormat="1">
      <c r="A547" s="856"/>
      <c r="B547" s="876"/>
      <c r="C547" s="874">
        <v>1</v>
      </c>
      <c r="D547" s="877">
        <v>3.05</v>
      </c>
      <c r="E547" s="874"/>
      <c r="F547" s="874">
        <v>0.9</v>
      </c>
      <c r="G547" s="878">
        <f t="shared" ref="G547:G552" si="14">F547*D547*C547</f>
        <v>2.7450000000000001</v>
      </c>
    </row>
    <row r="548" spans="1:7" s="844" customFormat="1">
      <c r="A548" s="856"/>
      <c r="B548" s="876" t="s">
        <v>433</v>
      </c>
      <c r="C548" s="874">
        <v>1</v>
      </c>
      <c r="D548" s="877">
        <v>2.8780000000000001</v>
      </c>
      <c r="E548" s="874"/>
      <c r="F548" s="874">
        <v>0.9</v>
      </c>
      <c r="G548" s="878">
        <f t="shared" si="14"/>
        <v>2.5902000000000003</v>
      </c>
    </row>
    <row r="549" spans="1:7" s="844" customFormat="1">
      <c r="A549" s="856"/>
      <c r="B549" s="876"/>
      <c r="C549" s="874">
        <v>1</v>
      </c>
      <c r="D549" s="877">
        <v>2.06</v>
      </c>
      <c r="E549" s="874"/>
      <c r="F549" s="874">
        <v>0.9</v>
      </c>
      <c r="G549" s="878">
        <f t="shared" si="14"/>
        <v>1.8540000000000001</v>
      </c>
    </row>
    <row r="550" spans="1:7" s="844" customFormat="1">
      <c r="A550" s="856"/>
      <c r="B550" s="876"/>
      <c r="C550" s="874">
        <v>1</v>
      </c>
      <c r="D550" s="877">
        <v>2.2999999999999998</v>
      </c>
      <c r="E550" s="874"/>
      <c r="F550" s="874">
        <v>0.9</v>
      </c>
      <c r="G550" s="878">
        <f t="shared" si="14"/>
        <v>2.0699999999999998</v>
      </c>
    </row>
    <row r="551" spans="1:7" s="844" customFormat="1">
      <c r="A551" s="856"/>
      <c r="B551" s="876" t="s">
        <v>434</v>
      </c>
      <c r="C551" s="874">
        <v>1</v>
      </c>
      <c r="D551" s="877">
        <v>2.33</v>
      </c>
      <c r="E551" s="874"/>
      <c r="F551" s="874">
        <v>0.9</v>
      </c>
      <c r="G551" s="878">
        <f t="shared" si="14"/>
        <v>2.097</v>
      </c>
    </row>
    <row r="552" spans="1:7" s="844" customFormat="1">
      <c r="A552" s="856"/>
      <c r="B552" s="876"/>
      <c r="C552" s="874">
        <v>1</v>
      </c>
      <c r="D552" s="877">
        <v>1.85</v>
      </c>
      <c r="E552" s="874"/>
      <c r="F552" s="874">
        <v>0.9</v>
      </c>
      <c r="G552" s="878">
        <f t="shared" si="14"/>
        <v>1.665</v>
      </c>
    </row>
    <row r="553" spans="1:7" s="844" customFormat="1">
      <c r="A553" s="856"/>
      <c r="B553" s="876"/>
      <c r="C553" s="874"/>
      <c r="D553" s="877"/>
      <c r="E553" s="874"/>
      <c r="F553" s="874"/>
      <c r="G553" s="878"/>
    </row>
    <row r="554" spans="1:7" s="844" customFormat="1" ht="13">
      <c r="A554" s="856"/>
      <c r="B554" s="876"/>
      <c r="C554" s="874"/>
      <c r="D554" s="877"/>
      <c r="E554" s="874"/>
      <c r="F554" s="874"/>
      <c r="G554" s="929">
        <f>SUM(G547:G553)</f>
        <v>13.0212</v>
      </c>
    </row>
    <row r="555" spans="1:7" s="844" customFormat="1" ht="13">
      <c r="A555" s="856"/>
      <c r="B555" s="876"/>
      <c r="C555" s="874"/>
      <c r="D555" s="877"/>
      <c r="E555" s="874"/>
      <c r="F555" s="874"/>
      <c r="G555" s="929"/>
    </row>
    <row r="556" spans="1:7" s="844" customFormat="1" ht="312.5">
      <c r="A556" s="856">
        <v>48</v>
      </c>
      <c r="B556" s="42" t="s">
        <v>435</v>
      </c>
      <c r="C556" s="874"/>
      <c r="D556" s="907"/>
      <c r="E556" s="886"/>
      <c r="F556" s="886"/>
      <c r="G556" s="925"/>
    </row>
    <row r="557" spans="1:7" s="844" customFormat="1" ht="13">
      <c r="A557" s="856"/>
      <c r="B557" s="928" t="s">
        <v>436</v>
      </c>
      <c r="C557" s="874"/>
      <c r="D557" s="907"/>
      <c r="E557" s="886"/>
      <c r="F557" s="886"/>
      <c r="G557" s="925"/>
    </row>
    <row r="558" spans="1:7" s="844" customFormat="1">
      <c r="A558" s="856"/>
      <c r="B558" s="876" t="s">
        <v>437</v>
      </c>
      <c r="C558" s="874"/>
      <c r="D558" s="877"/>
      <c r="E558" s="874"/>
      <c r="F558" s="874"/>
      <c r="G558" s="878"/>
    </row>
    <row r="559" spans="1:7" s="844" customFormat="1">
      <c r="A559" s="856"/>
      <c r="B559" s="876"/>
      <c r="C559" s="874">
        <v>1</v>
      </c>
      <c r="D559" s="877">
        <v>4.75</v>
      </c>
      <c r="E559" s="874"/>
      <c r="F559" s="874">
        <v>0.85</v>
      </c>
      <c r="G559" s="878">
        <f>F559*D559*C559</f>
        <v>4.0374999999999996</v>
      </c>
    </row>
    <row r="560" spans="1:7" s="844" customFormat="1">
      <c r="A560" s="856"/>
      <c r="B560" s="876"/>
      <c r="C560" s="874">
        <v>1</v>
      </c>
      <c r="D560" s="877">
        <v>4.8499999999999996</v>
      </c>
      <c r="E560" s="874"/>
      <c r="F560" s="874">
        <v>0.85</v>
      </c>
      <c r="G560" s="878">
        <f>F560*D560*C560</f>
        <v>4.1224999999999996</v>
      </c>
    </row>
    <row r="561" spans="1:7" s="844" customFormat="1">
      <c r="A561" s="856"/>
      <c r="B561" s="876"/>
      <c r="C561" s="874"/>
      <c r="D561" s="877"/>
      <c r="E561" s="874"/>
      <c r="F561" s="874"/>
      <c r="G561" s="878"/>
    </row>
    <row r="562" spans="1:7" s="844" customFormat="1" ht="13">
      <c r="A562" s="856"/>
      <c r="B562" s="876"/>
      <c r="C562" s="874"/>
      <c r="D562" s="877"/>
      <c r="E562" s="874"/>
      <c r="F562" s="874"/>
      <c r="G562" s="929">
        <f>SUM(G559:G561)</f>
        <v>8.16</v>
      </c>
    </row>
    <row r="563" spans="1:7" s="844" customFormat="1" ht="13">
      <c r="A563" s="856"/>
      <c r="B563" s="42"/>
      <c r="C563" s="874"/>
      <c r="D563" s="907"/>
      <c r="E563" s="886"/>
      <c r="F563" s="886"/>
      <c r="G563" s="925"/>
    </row>
    <row r="564" spans="1:7" s="844" customFormat="1" ht="329">
      <c r="A564" s="856">
        <v>49</v>
      </c>
      <c r="B564" s="42" t="s">
        <v>438</v>
      </c>
      <c r="C564" s="874">
        <v>1</v>
      </c>
      <c r="D564" s="907"/>
      <c r="E564" s="886"/>
      <c r="F564" s="886"/>
      <c r="G564" s="925">
        <v>1</v>
      </c>
    </row>
    <row r="565" spans="1:7" s="844" customFormat="1" ht="13">
      <c r="A565" s="856"/>
      <c r="B565" s="42"/>
      <c r="C565" s="874"/>
      <c r="D565" s="907"/>
      <c r="E565" s="886"/>
      <c r="F565" s="886"/>
      <c r="G565" s="925"/>
    </row>
    <row r="566" spans="1:7" s="844" customFormat="1" ht="13">
      <c r="A566" s="856"/>
      <c r="B566" s="42"/>
      <c r="C566" s="874"/>
      <c r="D566" s="907"/>
      <c r="E566" s="886"/>
      <c r="F566" s="886"/>
      <c r="G566" s="925">
        <f>SUM(G564:G565)</f>
        <v>1</v>
      </c>
    </row>
    <row r="567" spans="1:7" s="844" customFormat="1" ht="13">
      <c r="A567" s="856"/>
      <c r="B567" s="42"/>
      <c r="C567" s="874"/>
      <c r="D567" s="907"/>
      <c r="E567" s="886"/>
      <c r="F567" s="886"/>
      <c r="G567" s="925"/>
    </row>
    <row r="568" spans="1:7" s="844" customFormat="1" ht="115">
      <c r="A568" s="856">
        <v>50</v>
      </c>
      <c r="B568" s="42" t="s">
        <v>439</v>
      </c>
      <c r="C568" s="874">
        <v>1</v>
      </c>
      <c r="D568" s="907"/>
      <c r="E568" s="886"/>
      <c r="F568" s="886"/>
      <c r="G568" s="925">
        <v>1</v>
      </c>
    </row>
    <row r="569" spans="1:7" s="844" customFormat="1" ht="13">
      <c r="A569" s="856"/>
      <c r="B569" s="42"/>
      <c r="C569" s="874"/>
      <c r="D569" s="907"/>
      <c r="E569" s="886"/>
      <c r="F569" s="886"/>
      <c r="G569" s="925"/>
    </row>
    <row r="570" spans="1:7" s="844" customFormat="1" ht="13">
      <c r="A570" s="856"/>
      <c r="B570" s="42"/>
      <c r="C570" s="874"/>
      <c r="D570" s="907"/>
      <c r="E570" s="886"/>
      <c r="F570" s="886"/>
      <c r="G570" s="925">
        <f>SUM(G568:G569)</f>
        <v>1</v>
      </c>
    </row>
    <row r="571" spans="1:7" s="844" customFormat="1" ht="13">
      <c r="A571" s="856"/>
      <c r="B571" s="42"/>
      <c r="C571" s="874"/>
      <c r="D571" s="907"/>
      <c r="E571" s="886"/>
      <c r="F571" s="886"/>
      <c r="G571" s="925"/>
    </row>
    <row r="572" spans="1:7" s="844" customFormat="1" ht="409.5" customHeight="1">
      <c r="A572" s="856">
        <v>51</v>
      </c>
      <c r="B572" s="789" t="s">
        <v>193</v>
      </c>
      <c r="C572" s="874"/>
      <c r="D572" s="907"/>
      <c r="E572" s="886"/>
      <c r="F572" s="886"/>
      <c r="G572" s="925"/>
    </row>
    <row r="573" spans="1:7" s="844" customFormat="1" ht="342.75" customHeight="1">
      <c r="A573" s="856"/>
      <c r="B573" s="42" t="s">
        <v>440</v>
      </c>
      <c r="C573" s="874"/>
      <c r="D573" s="907"/>
      <c r="E573" s="886"/>
      <c r="F573" s="886"/>
      <c r="G573" s="925"/>
    </row>
    <row r="574" spans="1:7" s="844" customFormat="1" ht="13">
      <c r="A574" s="856"/>
      <c r="B574" s="42"/>
      <c r="C574" s="874"/>
      <c r="D574" s="907"/>
      <c r="E574" s="886"/>
      <c r="F574" s="886"/>
      <c r="G574" s="925"/>
    </row>
    <row r="575" spans="1:7" s="844" customFormat="1" ht="87.5">
      <c r="A575" s="856"/>
      <c r="B575" s="42" t="s">
        <v>196</v>
      </c>
      <c r="C575" s="874">
        <v>3</v>
      </c>
      <c r="D575" s="907"/>
      <c r="E575" s="886"/>
      <c r="F575" s="886"/>
      <c r="G575" s="925">
        <v>3</v>
      </c>
    </row>
    <row r="576" spans="1:7" s="844" customFormat="1" ht="13">
      <c r="A576" s="856"/>
      <c r="B576" s="42"/>
      <c r="C576" s="874"/>
      <c r="D576" s="907"/>
      <c r="E576" s="886"/>
      <c r="F576" s="886"/>
      <c r="G576" s="925"/>
    </row>
    <row r="577" spans="1:7" s="844" customFormat="1" ht="13">
      <c r="A577" s="856"/>
      <c r="B577" s="42"/>
      <c r="C577" s="874"/>
      <c r="D577" s="907"/>
      <c r="E577" s="886"/>
      <c r="F577" s="886"/>
      <c r="G577" s="925">
        <f>SUM(G575:G576)</f>
        <v>3</v>
      </c>
    </row>
    <row r="578" spans="1:7" s="844" customFormat="1" ht="13">
      <c r="A578" s="856"/>
      <c r="B578" s="42"/>
      <c r="C578" s="874"/>
      <c r="D578" s="907"/>
      <c r="E578" s="886"/>
      <c r="F578" s="886"/>
      <c r="G578" s="925"/>
    </row>
    <row r="579" spans="1:7" s="844" customFormat="1" ht="150">
      <c r="A579" s="856">
        <v>52</v>
      </c>
      <c r="B579" s="42" t="s">
        <v>441</v>
      </c>
      <c r="C579" s="874"/>
      <c r="D579" s="907"/>
      <c r="E579" s="886"/>
      <c r="F579" s="886"/>
      <c r="G579" s="925"/>
    </row>
    <row r="580" spans="1:7" s="844" customFormat="1" ht="13">
      <c r="A580" s="856"/>
      <c r="B580" s="42"/>
      <c r="C580" s="874">
        <v>2</v>
      </c>
      <c r="D580" s="907">
        <v>3</v>
      </c>
      <c r="E580" s="886">
        <v>0.2</v>
      </c>
      <c r="F580" s="886"/>
      <c r="G580" s="925">
        <f>E580*D580*C580</f>
        <v>1.2000000000000002</v>
      </c>
    </row>
    <row r="581" spans="1:7" s="844" customFormat="1" ht="13">
      <c r="A581" s="856"/>
      <c r="B581" s="42" t="s">
        <v>442</v>
      </c>
      <c r="C581" s="874"/>
      <c r="D581" s="907"/>
      <c r="E581" s="886"/>
      <c r="F581" s="886"/>
      <c r="G581" s="925">
        <v>0.3</v>
      </c>
    </row>
    <row r="582" spans="1:7" s="844" customFormat="1" ht="13">
      <c r="A582" s="856"/>
      <c r="B582" s="42"/>
      <c r="C582" s="874"/>
      <c r="D582" s="907"/>
      <c r="E582" s="886"/>
      <c r="F582" s="886"/>
      <c r="G582" s="925"/>
    </row>
    <row r="583" spans="1:7" s="844" customFormat="1" ht="13">
      <c r="A583" s="856"/>
      <c r="B583" s="42"/>
      <c r="C583" s="874"/>
      <c r="D583" s="907"/>
      <c r="E583" s="886"/>
      <c r="F583" s="886"/>
      <c r="G583" s="925">
        <f>SUM(G580:G582)</f>
        <v>1.5000000000000002</v>
      </c>
    </row>
    <row r="584" spans="1:7" s="844" customFormat="1" ht="13">
      <c r="A584" s="856"/>
      <c r="B584" s="42"/>
      <c r="C584" s="874"/>
      <c r="D584" s="907"/>
      <c r="E584" s="886"/>
      <c r="F584" s="886"/>
      <c r="G584" s="925"/>
    </row>
    <row r="585" spans="1:7" s="844" customFormat="1" ht="300">
      <c r="A585" s="41">
        <v>53</v>
      </c>
      <c r="B585" s="42" t="s">
        <v>201</v>
      </c>
      <c r="C585" s="874"/>
      <c r="D585" s="907"/>
      <c r="E585" s="886"/>
      <c r="F585" s="886"/>
      <c r="G585" s="925">
        <v>34</v>
      </c>
    </row>
    <row r="586" spans="1:7" s="844" customFormat="1" ht="13">
      <c r="A586" s="41"/>
      <c r="B586" s="42"/>
      <c r="C586" s="874"/>
      <c r="D586" s="907"/>
      <c r="E586" s="886"/>
      <c r="F586" s="886"/>
      <c r="G586" s="925"/>
    </row>
    <row r="587" spans="1:7" s="844" customFormat="1" ht="13">
      <c r="A587" s="41"/>
      <c r="B587" s="42"/>
      <c r="C587" s="874"/>
      <c r="D587" s="907"/>
      <c r="E587" s="886"/>
      <c r="F587" s="886"/>
      <c r="G587" s="925">
        <f>SUM(G585:G586)</f>
        <v>34</v>
      </c>
    </row>
    <row r="588" spans="1:7" s="844" customFormat="1" ht="13">
      <c r="A588" s="41"/>
      <c r="B588" s="42"/>
      <c r="C588" s="874"/>
      <c r="D588" s="907"/>
      <c r="E588" s="886"/>
      <c r="F588" s="886"/>
      <c r="G588" s="925"/>
    </row>
    <row r="589" spans="1:7" s="844" customFormat="1" ht="325">
      <c r="A589" s="41">
        <v>54</v>
      </c>
      <c r="B589" s="42" t="s">
        <v>202</v>
      </c>
      <c r="C589" s="874" t="s">
        <v>111</v>
      </c>
      <c r="D589" s="907"/>
      <c r="E589" s="886"/>
      <c r="F589" s="886">
        <v>140</v>
      </c>
      <c r="G589" s="925">
        <v>140</v>
      </c>
    </row>
    <row r="590" spans="1:7" s="844" customFormat="1" ht="13">
      <c r="A590" s="41"/>
      <c r="B590" s="42"/>
      <c r="C590" s="874"/>
      <c r="D590" s="907"/>
      <c r="E590" s="886"/>
      <c r="F590" s="886"/>
      <c r="G590" s="925"/>
    </row>
    <row r="591" spans="1:7" s="844" customFormat="1" ht="13">
      <c r="A591" s="41"/>
      <c r="B591" s="42"/>
      <c r="C591" s="874"/>
      <c r="D591" s="907"/>
      <c r="E591" s="886"/>
      <c r="F591" s="886"/>
      <c r="G591" s="925">
        <f>SUM(G589:G590)</f>
        <v>140</v>
      </c>
    </row>
    <row r="592" spans="1:7" s="844" customFormat="1" ht="13">
      <c r="A592" s="41"/>
      <c r="B592" s="42"/>
      <c r="C592" s="874"/>
      <c r="D592" s="907"/>
      <c r="E592" s="886"/>
      <c r="F592" s="886"/>
      <c r="G592" s="925"/>
    </row>
    <row r="593" spans="1:7" s="844" customFormat="1" ht="312.5">
      <c r="A593" s="41">
        <v>55</v>
      </c>
      <c r="B593" s="42" t="s">
        <v>203</v>
      </c>
      <c r="C593" s="874"/>
      <c r="D593" s="907"/>
      <c r="E593" s="886"/>
      <c r="F593" s="886"/>
      <c r="G593" s="925"/>
    </row>
    <row r="594" spans="1:7" s="844" customFormat="1" ht="113.5">
      <c r="A594" s="41"/>
      <c r="B594" s="42" t="s">
        <v>443</v>
      </c>
      <c r="C594" s="874"/>
      <c r="D594" s="907"/>
      <c r="E594" s="886"/>
      <c r="F594" s="886"/>
      <c r="G594" s="925"/>
    </row>
    <row r="595" spans="1:7" s="844" customFormat="1" ht="13">
      <c r="A595" s="856"/>
      <c r="B595" s="42"/>
      <c r="C595" s="874"/>
      <c r="D595" s="907"/>
      <c r="E595" s="886"/>
      <c r="F595" s="886"/>
      <c r="G595" s="925"/>
    </row>
    <row r="596" spans="1:7" s="844" customFormat="1" ht="13">
      <c r="A596" s="856"/>
      <c r="B596" s="852" t="s">
        <v>444</v>
      </c>
      <c r="C596" s="874"/>
      <c r="D596" s="875"/>
      <c r="E596" s="872"/>
      <c r="F596" s="872"/>
      <c r="G596" s="880"/>
    </row>
    <row r="597" spans="1:7" s="844" customFormat="1">
      <c r="A597" s="856"/>
      <c r="B597" s="862" t="s">
        <v>445</v>
      </c>
      <c r="C597" s="874">
        <v>1</v>
      </c>
      <c r="D597" s="875">
        <v>21.5</v>
      </c>
      <c r="E597" s="872"/>
      <c r="F597" s="872"/>
      <c r="G597" s="880">
        <f>D597*C597</f>
        <v>21.5</v>
      </c>
    </row>
    <row r="598" spans="1:7" s="844" customFormat="1">
      <c r="A598" s="856"/>
      <c r="B598" s="862"/>
      <c r="C598" s="874"/>
      <c r="D598" s="875"/>
      <c r="E598" s="872"/>
      <c r="F598" s="872"/>
      <c r="G598" s="880"/>
    </row>
    <row r="599" spans="1:7" s="844" customFormat="1">
      <c r="A599" s="856"/>
      <c r="B599" s="862"/>
      <c r="C599" s="874"/>
      <c r="D599" s="875"/>
      <c r="E599" s="872"/>
      <c r="F599" s="872"/>
      <c r="G599" s="880"/>
    </row>
    <row r="600" spans="1:7" s="844" customFormat="1" ht="13">
      <c r="A600" s="856"/>
      <c r="B600" s="862"/>
      <c r="C600" s="874"/>
      <c r="D600" s="875"/>
      <c r="E600" s="872"/>
      <c r="F600" s="872"/>
      <c r="G600" s="883">
        <f>SUM(G597:G599)</f>
        <v>21.5</v>
      </c>
    </row>
    <row r="601" spans="1:7" s="844" customFormat="1" ht="13">
      <c r="A601" s="856"/>
      <c r="B601" s="862"/>
      <c r="C601" s="874"/>
      <c r="D601" s="875"/>
      <c r="E601" s="872"/>
      <c r="F601" s="872"/>
      <c r="G601" s="883"/>
    </row>
    <row r="602" spans="1:7" s="844" customFormat="1" ht="50">
      <c r="A602" s="41">
        <v>56</v>
      </c>
      <c r="B602" s="42" t="s">
        <v>207</v>
      </c>
      <c r="C602" s="874" t="s">
        <v>446</v>
      </c>
      <c r="D602" s="907"/>
      <c r="E602" s="886"/>
      <c r="F602" s="886"/>
      <c r="G602" s="925"/>
    </row>
    <row r="603" spans="1:7" s="844" customFormat="1" ht="13">
      <c r="A603" s="856"/>
      <c r="B603" s="42"/>
      <c r="C603" s="874"/>
      <c r="D603" s="907"/>
      <c r="E603" s="886"/>
      <c r="F603" s="886"/>
      <c r="G603" s="925"/>
    </row>
    <row r="604" spans="1:7" s="844" customFormat="1" ht="64">
      <c r="A604" s="41">
        <v>57</v>
      </c>
      <c r="B604" s="42" t="s">
        <v>447</v>
      </c>
      <c r="C604" s="874"/>
      <c r="D604" s="907"/>
      <c r="E604" s="886"/>
      <c r="F604" s="886"/>
      <c r="G604" s="925"/>
    </row>
    <row r="605" spans="1:7" s="844" customFormat="1" ht="13">
      <c r="A605" s="856"/>
      <c r="B605" s="42"/>
      <c r="C605" s="874"/>
      <c r="D605" s="907"/>
      <c r="E605" s="886"/>
      <c r="F605" s="886"/>
      <c r="G605" s="925"/>
    </row>
    <row r="606" spans="1:7" s="844" customFormat="1">
      <c r="A606" s="856"/>
      <c r="B606" s="862" t="s">
        <v>448</v>
      </c>
      <c r="C606" s="874"/>
      <c r="D606" s="875"/>
      <c r="E606" s="886"/>
      <c r="F606" s="886"/>
      <c r="G606" s="899"/>
    </row>
    <row r="607" spans="1:7" s="844" customFormat="1">
      <c r="A607" s="856"/>
      <c r="B607" s="908" t="s">
        <v>375</v>
      </c>
      <c r="C607" s="874">
        <v>1</v>
      </c>
      <c r="D607" s="875">
        <v>1.88</v>
      </c>
      <c r="E607" s="886"/>
      <c r="F607" s="886">
        <v>3.1</v>
      </c>
      <c r="G607" s="922">
        <f t="shared" ref="G607:G616" si="15">F607*D607*C607</f>
        <v>5.8279999999999994</v>
      </c>
    </row>
    <row r="608" spans="1:7" s="844" customFormat="1">
      <c r="A608" s="856"/>
      <c r="B608" s="908" t="s">
        <v>376</v>
      </c>
      <c r="C608" s="874">
        <v>1</v>
      </c>
      <c r="D608" s="875">
        <v>0.8</v>
      </c>
      <c r="E608" s="886"/>
      <c r="F608" s="886">
        <v>3.1</v>
      </c>
      <c r="G608" s="922">
        <f t="shared" si="15"/>
        <v>2.4800000000000004</v>
      </c>
    </row>
    <row r="609" spans="1:7" s="844" customFormat="1">
      <c r="A609" s="856"/>
      <c r="B609" s="908" t="s">
        <v>256</v>
      </c>
      <c r="C609" s="874">
        <v>-2</v>
      </c>
      <c r="D609" s="875">
        <v>0.8</v>
      </c>
      <c r="E609" s="886"/>
      <c r="F609" s="886">
        <v>2.2999999999999998</v>
      </c>
      <c r="G609" s="922">
        <f t="shared" si="15"/>
        <v>-3.6799999999999997</v>
      </c>
    </row>
    <row r="610" spans="1:7" s="844" customFormat="1">
      <c r="A610" s="856"/>
      <c r="B610" s="908" t="s">
        <v>377</v>
      </c>
      <c r="C610" s="874">
        <v>1</v>
      </c>
      <c r="D610" s="875">
        <v>0.1</v>
      </c>
      <c r="E610" s="886"/>
      <c r="F610" s="886">
        <v>3.1</v>
      </c>
      <c r="G610" s="922">
        <f t="shared" si="15"/>
        <v>0.31000000000000005</v>
      </c>
    </row>
    <row r="611" spans="1:7" s="844" customFormat="1">
      <c r="A611" s="856"/>
      <c r="B611" s="908" t="s">
        <v>378</v>
      </c>
      <c r="C611" s="874">
        <v>1</v>
      </c>
      <c r="D611" s="875">
        <v>0.81499999999999995</v>
      </c>
      <c r="E611" s="886"/>
      <c r="F611" s="886">
        <v>3.1</v>
      </c>
      <c r="G611" s="922">
        <f t="shared" si="15"/>
        <v>2.5265</v>
      </c>
    </row>
    <row r="612" spans="1:7" s="844" customFormat="1">
      <c r="A612" s="856"/>
      <c r="B612" s="908" t="s">
        <v>417</v>
      </c>
      <c r="C612" s="874">
        <v>1</v>
      </c>
      <c r="D612" s="875">
        <v>1.03</v>
      </c>
      <c r="E612" s="886"/>
      <c r="F612" s="886">
        <v>3.1</v>
      </c>
      <c r="G612" s="922">
        <f t="shared" si="15"/>
        <v>3.1930000000000001</v>
      </c>
    </row>
    <row r="613" spans="1:7" s="844" customFormat="1">
      <c r="A613" s="856"/>
      <c r="B613" s="908" t="s">
        <v>385</v>
      </c>
      <c r="C613" s="874">
        <v>1</v>
      </c>
      <c r="D613" s="875">
        <v>0.27500000000000002</v>
      </c>
      <c r="E613" s="886"/>
      <c r="F613" s="886">
        <v>3.1</v>
      </c>
      <c r="G613" s="922">
        <f t="shared" si="15"/>
        <v>0.85250000000000015</v>
      </c>
    </row>
    <row r="614" spans="1:7" s="844" customFormat="1">
      <c r="A614" s="856"/>
      <c r="B614" s="908" t="s">
        <v>384</v>
      </c>
      <c r="C614" s="874">
        <v>1</v>
      </c>
      <c r="D614" s="875">
        <v>2.2010000000000001</v>
      </c>
      <c r="E614" s="886"/>
      <c r="F614" s="886">
        <v>3.1</v>
      </c>
      <c r="G614" s="923">
        <f t="shared" si="15"/>
        <v>6.8231000000000002</v>
      </c>
    </row>
    <row r="615" spans="1:7" s="844" customFormat="1">
      <c r="A615" s="856"/>
      <c r="B615" s="908" t="s">
        <v>382</v>
      </c>
      <c r="C615" s="874">
        <v>1</v>
      </c>
      <c r="D615" s="875">
        <v>2.681</v>
      </c>
      <c r="E615" s="886"/>
      <c r="F615" s="886">
        <v>3.1</v>
      </c>
      <c r="G615" s="923">
        <f t="shared" si="15"/>
        <v>8.3110999999999997</v>
      </c>
    </row>
    <row r="616" spans="1:7" s="844" customFormat="1">
      <c r="A616" s="856"/>
      <c r="B616" s="862" t="s">
        <v>449</v>
      </c>
      <c r="C616" s="874">
        <v>1</v>
      </c>
      <c r="D616" s="907">
        <v>7.04</v>
      </c>
      <c r="E616" s="886"/>
      <c r="F616" s="886">
        <v>3.4</v>
      </c>
      <c r="G616" s="899">
        <f t="shared" si="15"/>
        <v>23.936</v>
      </c>
    </row>
    <row r="617" spans="1:7" s="844" customFormat="1">
      <c r="A617" s="856"/>
      <c r="B617" s="862"/>
      <c r="C617" s="874"/>
      <c r="D617" s="907"/>
      <c r="E617" s="886"/>
      <c r="F617" s="886"/>
      <c r="G617" s="887"/>
    </row>
    <row r="618" spans="1:7" s="844" customFormat="1" ht="13">
      <c r="A618" s="856"/>
      <c r="B618" s="862"/>
      <c r="C618" s="874"/>
      <c r="D618" s="907"/>
      <c r="E618" s="886"/>
      <c r="F618" s="886"/>
      <c r="G618" s="924">
        <f>SUM(G607:G617)</f>
        <v>50.580200000000005</v>
      </c>
    </row>
    <row r="619" spans="1:7" s="844" customFormat="1" ht="13">
      <c r="A619" s="856"/>
      <c r="B619" s="42"/>
      <c r="C619" s="874"/>
      <c r="D619" s="907"/>
      <c r="E619" s="886"/>
      <c r="F619" s="886"/>
      <c r="G619" s="925"/>
    </row>
    <row r="620" spans="1:7" s="844" customFormat="1" ht="76">
      <c r="A620" s="41">
        <v>58</v>
      </c>
      <c r="B620" s="42" t="s">
        <v>424</v>
      </c>
      <c r="C620" s="874"/>
      <c r="D620" s="907"/>
      <c r="E620" s="886"/>
      <c r="F620" s="886"/>
      <c r="G620" s="925"/>
    </row>
    <row r="621" spans="1:7" s="844" customFormat="1" ht="13">
      <c r="A621" s="856"/>
      <c r="B621" s="42"/>
      <c r="C621" s="874"/>
      <c r="D621" s="907"/>
      <c r="E621" s="886"/>
      <c r="F621" s="886"/>
      <c r="G621" s="925"/>
    </row>
    <row r="622" spans="1:7" s="844" customFormat="1" ht="76">
      <c r="A622" s="856"/>
      <c r="B622" s="42" t="s">
        <v>424</v>
      </c>
      <c r="C622" s="874"/>
      <c r="D622" s="907"/>
      <c r="E622" s="886"/>
      <c r="F622" s="886"/>
      <c r="G622" s="899"/>
    </row>
    <row r="623" spans="1:7" s="844" customFormat="1">
      <c r="A623" s="856"/>
      <c r="B623" s="42"/>
      <c r="C623" s="874"/>
      <c r="D623" s="907"/>
      <c r="E623" s="886"/>
      <c r="F623" s="886"/>
      <c r="G623" s="899"/>
    </row>
    <row r="624" spans="1:7" s="844" customFormat="1">
      <c r="A624" s="856"/>
      <c r="B624" s="862" t="s">
        <v>366</v>
      </c>
      <c r="C624" s="863">
        <v>1</v>
      </c>
      <c r="D624" s="864">
        <f>3.46+0.1+3.01</f>
        <v>6.57</v>
      </c>
      <c r="E624" s="886"/>
      <c r="F624" s="886">
        <v>2.1</v>
      </c>
      <c r="G624" s="922">
        <f>F624*D624*C624</f>
        <v>13.797000000000001</v>
      </c>
    </row>
    <row r="625" spans="1:7" s="844" customFormat="1">
      <c r="A625" s="856"/>
      <c r="B625" s="862" t="s">
        <v>368</v>
      </c>
      <c r="C625" s="874">
        <v>1</v>
      </c>
      <c r="D625" s="875">
        <v>3.8740000000000001</v>
      </c>
      <c r="E625" s="886"/>
      <c r="F625" s="886">
        <v>2.1</v>
      </c>
      <c r="G625" s="923">
        <f>F625*D625*C625</f>
        <v>8.1354000000000006</v>
      </c>
    </row>
    <row r="626" spans="1:7" s="844" customFormat="1">
      <c r="A626" s="856"/>
      <c r="B626" s="908" t="s">
        <v>421</v>
      </c>
      <c r="C626" s="874">
        <v>1</v>
      </c>
      <c r="D626" s="875">
        <v>3.7450000000000001</v>
      </c>
      <c r="E626" s="886"/>
      <c r="F626" s="886">
        <v>2.1</v>
      </c>
      <c r="G626" s="923">
        <f>F626*D626*C626</f>
        <v>7.8645000000000005</v>
      </c>
    </row>
    <row r="627" spans="1:7" s="844" customFormat="1">
      <c r="A627" s="856"/>
      <c r="B627" s="42" t="s">
        <v>419</v>
      </c>
      <c r="C627" s="874">
        <v>1</v>
      </c>
      <c r="D627" s="907">
        <v>2.85</v>
      </c>
      <c r="E627" s="886"/>
      <c r="F627" s="886">
        <v>2.1</v>
      </c>
      <c r="G627" s="899">
        <f>F627*D627*C627</f>
        <v>5.9850000000000003</v>
      </c>
    </row>
    <row r="628" spans="1:7" s="844" customFormat="1">
      <c r="A628" s="856"/>
      <c r="B628" s="908" t="s">
        <v>382</v>
      </c>
      <c r="C628" s="874">
        <v>1</v>
      </c>
      <c r="D628" s="875">
        <v>0.91300000000000003</v>
      </c>
      <c r="E628" s="886"/>
      <c r="F628" s="886">
        <v>3.1</v>
      </c>
      <c r="G628" s="923">
        <f t="shared" ref="G628:G636" si="16">F628*D628*C628</f>
        <v>2.8303000000000003</v>
      </c>
    </row>
    <row r="629" spans="1:7" s="844" customFormat="1">
      <c r="A629" s="856"/>
      <c r="B629" s="908"/>
      <c r="C629" s="874">
        <v>1</v>
      </c>
      <c r="D629" s="875">
        <v>2.681</v>
      </c>
      <c r="E629" s="886"/>
      <c r="F629" s="886">
        <v>3.1</v>
      </c>
      <c r="G629" s="923">
        <f t="shared" si="16"/>
        <v>8.3110999999999997</v>
      </c>
    </row>
    <row r="630" spans="1:7" s="844" customFormat="1">
      <c r="A630" s="856"/>
      <c r="B630" s="908" t="s">
        <v>375</v>
      </c>
      <c r="C630" s="874">
        <v>1</v>
      </c>
      <c r="D630" s="875">
        <v>2.0350000000000001</v>
      </c>
      <c r="E630" s="886"/>
      <c r="F630" s="886">
        <v>3.1</v>
      </c>
      <c r="G630" s="922">
        <f t="shared" si="16"/>
        <v>6.3085000000000004</v>
      </c>
    </row>
    <row r="631" spans="1:7" s="844" customFormat="1">
      <c r="A631" s="856"/>
      <c r="B631" s="908" t="s">
        <v>376</v>
      </c>
      <c r="C631" s="874">
        <v>1</v>
      </c>
      <c r="D631" s="875">
        <v>0.8</v>
      </c>
      <c r="E631" s="886"/>
      <c r="F631" s="886">
        <v>3.1</v>
      </c>
      <c r="G631" s="922">
        <f t="shared" si="16"/>
        <v>2.4800000000000004</v>
      </c>
    </row>
    <row r="632" spans="1:7" s="844" customFormat="1">
      <c r="A632" s="856"/>
      <c r="B632" s="908" t="s">
        <v>256</v>
      </c>
      <c r="C632" s="874">
        <v>-2</v>
      </c>
      <c r="D632" s="875">
        <v>0.8</v>
      </c>
      <c r="E632" s="886"/>
      <c r="F632" s="886">
        <v>2.4</v>
      </c>
      <c r="G632" s="922">
        <f t="shared" si="16"/>
        <v>-3.84</v>
      </c>
    </row>
    <row r="633" spans="1:7" s="844" customFormat="1">
      <c r="A633" s="856"/>
      <c r="B633" s="908" t="s">
        <v>377</v>
      </c>
      <c r="C633" s="874">
        <v>1</v>
      </c>
      <c r="D633" s="875">
        <v>0.2</v>
      </c>
      <c r="E633" s="886"/>
      <c r="F633" s="886">
        <v>3.1</v>
      </c>
      <c r="G633" s="922">
        <f t="shared" si="16"/>
        <v>0.62000000000000011</v>
      </c>
    </row>
    <row r="634" spans="1:7" s="844" customFormat="1" ht="25">
      <c r="A634" s="856"/>
      <c r="B634" s="908" t="s">
        <v>415</v>
      </c>
      <c r="C634" s="874">
        <v>1</v>
      </c>
      <c r="D634" s="875">
        <v>3.645</v>
      </c>
      <c r="E634" s="886"/>
      <c r="F634" s="886">
        <v>3.1</v>
      </c>
      <c r="G634" s="922">
        <f t="shared" si="16"/>
        <v>11.2995</v>
      </c>
    </row>
    <row r="635" spans="1:7" s="844" customFormat="1">
      <c r="A635" s="856"/>
      <c r="B635" s="908"/>
      <c r="C635" s="874">
        <v>1</v>
      </c>
      <c r="D635" s="875">
        <v>1.085</v>
      </c>
      <c r="E635" s="886"/>
      <c r="F635" s="886">
        <v>3.1</v>
      </c>
      <c r="G635" s="922">
        <f t="shared" si="16"/>
        <v>3.3635000000000002</v>
      </c>
    </row>
    <row r="636" spans="1:7" s="844" customFormat="1">
      <c r="A636" s="856"/>
      <c r="B636" s="42"/>
      <c r="C636" s="874">
        <v>1</v>
      </c>
      <c r="D636" s="907">
        <v>7.04</v>
      </c>
      <c r="E636" s="886"/>
      <c r="F636" s="886">
        <v>3.3</v>
      </c>
      <c r="G636" s="899">
        <f t="shared" si="16"/>
        <v>23.231999999999999</v>
      </c>
    </row>
    <row r="637" spans="1:7" s="844" customFormat="1" ht="13">
      <c r="A637" s="856"/>
      <c r="B637" s="42"/>
      <c r="C637" s="874"/>
      <c r="D637" s="907"/>
      <c r="E637" s="886"/>
      <c r="F637" s="886"/>
      <c r="G637" s="924">
        <f>SUM(G624:G636)</f>
        <v>90.386799999999994</v>
      </c>
    </row>
    <row r="638" spans="1:7" s="844" customFormat="1" ht="38">
      <c r="A638" s="41">
        <v>59</v>
      </c>
      <c r="B638" s="42" t="s">
        <v>450</v>
      </c>
      <c r="C638" s="874"/>
      <c r="D638" s="907"/>
      <c r="E638" s="886"/>
      <c r="F638" s="886"/>
      <c r="G638" s="925"/>
    </row>
    <row r="639" spans="1:7" s="844" customFormat="1" ht="13">
      <c r="A639" s="856"/>
      <c r="B639" s="42"/>
      <c r="C639" s="874"/>
      <c r="D639" s="907"/>
      <c r="E639" s="886"/>
      <c r="F639" s="886"/>
      <c r="G639" s="925"/>
    </row>
    <row r="640" spans="1:7" s="844" customFormat="1" ht="13">
      <c r="A640" s="856"/>
      <c r="B640" s="852" t="s">
        <v>451</v>
      </c>
      <c r="C640" s="874"/>
      <c r="D640" s="875"/>
      <c r="E640" s="886"/>
      <c r="F640" s="886"/>
      <c r="G640" s="899"/>
    </row>
    <row r="641" spans="1:7" s="844" customFormat="1" ht="13">
      <c r="A641" s="856"/>
      <c r="B641" s="896" t="s">
        <v>452</v>
      </c>
      <c r="C641" s="874"/>
      <c r="D641" s="877"/>
      <c r="E641" s="874"/>
      <c r="F641" s="874"/>
      <c r="G641" s="878"/>
    </row>
    <row r="642" spans="1:7" s="844" customFormat="1">
      <c r="A642" s="856"/>
      <c r="B642" s="862" t="s">
        <v>366</v>
      </c>
      <c r="C642" s="874">
        <v>1</v>
      </c>
      <c r="D642" s="864">
        <v>3.01</v>
      </c>
      <c r="E642" s="886" t="s">
        <v>409</v>
      </c>
      <c r="F642" s="886">
        <v>3.3</v>
      </c>
      <c r="G642" s="887">
        <f>F642*D642*C642</f>
        <v>9.9329999999999981</v>
      </c>
    </row>
    <row r="643" spans="1:7" s="844" customFormat="1">
      <c r="A643" s="856"/>
      <c r="B643" s="862"/>
      <c r="C643" s="874">
        <v>1</v>
      </c>
      <c r="D643" s="864">
        <v>3.46</v>
      </c>
      <c r="E643" s="886"/>
      <c r="F643" s="886">
        <v>3.3</v>
      </c>
      <c r="G643" s="887">
        <f t="shared" ref="G643:G654" si="17">F643*D643*C643</f>
        <v>11.417999999999999</v>
      </c>
    </row>
    <row r="644" spans="1:7" s="844" customFormat="1">
      <c r="A644" s="856"/>
      <c r="B644" s="908" t="s">
        <v>370</v>
      </c>
      <c r="C644" s="874">
        <v>1</v>
      </c>
      <c r="D644" s="875">
        <v>1.1000000000000001</v>
      </c>
      <c r="E644" s="886"/>
      <c r="F644" s="886">
        <v>3.3</v>
      </c>
      <c r="G644" s="887">
        <f t="shared" si="17"/>
        <v>3.63</v>
      </c>
    </row>
    <row r="645" spans="1:7" s="844" customFormat="1">
      <c r="A645" s="856"/>
      <c r="B645" s="908" t="s">
        <v>371</v>
      </c>
      <c r="C645" s="874">
        <v>1</v>
      </c>
      <c r="D645" s="875">
        <v>1</v>
      </c>
      <c r="E645" s="886"/>
      <c r="F645" s="886">
        <v>3.3</v>
      </c>
      <c r="G645" s="887">
        <f t="shared" si="17"/>
        <v>3.3</v>
      </c>
    </row>
    <row r="646" spans="1:7" s="844" customFormat="1">
      <c r="A646" s="856"/>
      <c r="B646" s="908" t="s">
        <v>372</v>
      </c>
      <c r="C646" s="874">
        <v>1</v>
      </c>
      <c r="D646" s="875">
        <v>1.83</v>
      </c>
      <c r="E646" s="886"/>
      <c r="F646" s="886">
        <v>3.3</v>
      </c>
      <c r="G646" s="887">
        <f t="shared" si="17"/>
        <v>6.0389999999999997</v>
      </c>
    </row>
    <row r="647" spans="1:7" s="844" customFormat="1">
      <c r="A647" s="856"/>
      <c r="B647" s="908" t="s">
        <v>414</v>
      </c>
      <c r="C647" s="874">
        <v>1</v>
      </c>
      <c r="D647" s="875">
        <v>1</v>
      </c>
      <c r="E647" s="886"/>
      <c r="F647" s="886">
        <v>2.4</v>
      </c>
      <c r="G647" s="887">
        <f t="shared" si="17"/>
        <v>2.4</v>
      </c>
    </row>
    <row r="648" spans="1:7" s="844" customFormat="1">
      <c r="A648" s="856"/>
      <c r="B648" s="908" t="s">
        <v>373</v>
      </c>
      <c r="C648" s="874">
        <v>1</v>
      </c>
      <c r="D648" s="875">
        <v>1.7350000000000001</v>
      </c>
      <c r="E648" s="886"/>
      <c r="F648" s="886">
        <v>3.3</v>
      </c>
      <c r="G648" s="887">
        <f t="shared" si="17"/>
        <v>5.7255000000000003</v>
      </c>
    </row>
    <row r="649" spans="1:7" s="844" customFormat="1" ht="25">
      <c r="A649" s="856"/>
      <c r="B649" s="908" t="s">
        <v>415</v>
      </c>
      <c r="C649" s="874">
        <v>1</v>
      </c>
      <c r="D649" s="875">
        <v>3.645</v>
      </c>
      <c r="E649" s="886"/>
      <c r="F649" s="886">
        <v>3.3</v>
      </c>
      <c r="G649" s="887">
        <f t="shared" si="17"/>
        <v>12.028499999999999</v>
      </c>
    </row>
    <row r="650" spans="1:7" s="844" customFormat="1">
      <c r="A650" s="856"/>
      <c r="B650" s="908"/>
      <c r="C650" s="874">
        <v>1</v>
      </c>
      <c r="D650" s="875">
        <v>1.085</v>
      </c>
      <c r="E650" s="886"/>
      <c r="F650" s="886">
        <v>3.3</v>
      </c>
      <c r="G650" s="887">
        <f t="shared" si="17"/>
        <v>3.5804999999999998</v>
      </c>
    </row>
    <row r="651" spans="1:7" s="844" customFormat="1">
      <c r="A651" s="856"/>
      <c r="B651" s="908"/>
      <c r="C651" s="874">
        <v>1</v>
      </c>
      <c r="D651" s="875">
        <v>2.2000000000000002</v>
      </c>
      <c r="E651" s="886"/>
      <c r="F651" s="886">
        <v>3.3</v>
      </c>
      <c r="G651" s="887">
        <f t="shared" si="17"/>
        <v>7.26</v>
      </c>
    </row>
    <row r="652" spans="1:7" s="844" customFormat="1">
      <c r="A652" s="856"/>
      <c r="B652" s="908" t="s">
        <v>375</v>
      </c>
      <c r="C652" s="874">
        <v>1</v>
      </c>
      <c r="D652" s="875">
        <v>2.0350000000000001</v>
      </c>
      <c r="E652" s="886"/>
      <c r="F652" s="886">
        <v>3.3</v>
      </c>
      <c r="G652" s="887">
        <f t="shared" si="17"/>
        <v>6.7155000000000005</v>
      </c>
    </row>
    <row r="653" spans="1:7" s="844" customFormat="1">
      <c r="A653" s="856"/>
      <c r="B653" s="908" t="s">
        <v>376</v>
      </c>
      <c r="C653" s="874">
        <v>1</v>
      </c>
      <c r="D653" s="875">
        <v>0.8</v>
      </c>
      <c r="E653" s="886"/>
      <c r="F653" s="886">
        <v>3.3</v>
      </c>
      <c r="G653" s="887">
        <f t="shared" si="17"/>
        <v>2.64</v>
      </c>
    </row>
    <row r="654" spans="1:7" s="844" customFormat="1">
      <c r="A654" s="856"/>
      <c r="B654" s="908" t="s">
        <v>256</v>
      </c>
      <c r="C654" s="874">
        <v>1</v>
      </c>
      <c r="D654" s="875">
        <v>0.8</v>
      </c>
      <c r="E654" s="886"/>
      <c r="F654" s="886">
        <v>2.4</v>
      </c>
      <c r="G654" s="887">
        <f t="shared" si="17"/>
        <v>1.92</v>
      </c>
    </row>
    <row r="655" spans="1:7" s="844" customFormat="1">
      <c r="A655" s="856"/>
      <c r="B655" s="908" t="s">
        <v>377</v>
      </c>
      <c r="C655" s="874">
        <v>1</v>
      </c>
      <c r="D655" s="875">
        <v>0.2</v>
      </c>
      <c r="E655" s="886"/>
      <c r="F655" s="886">
        <v>3.3</v>
      </c>
      <c r="G655" s="887">
        <f t="shared" ref="G655:G666" si="18">F655*D655*C655</f>
        <v>0.66</v>
      </c>
    </row>
    <row r="656" spans="1:7" s="844" customFormat="1">
      <c r="A656" s="856"/>
      <c r="B656" s="908" t="s">
        <v>378</v>
      </c>
      <c r="C656" s="874">
        <v>1</v>
      </c>
      <c r="D656" s="875">
        <v>1.06</v>
      </c>
      <c r="E656" s="886"/>
      <c r="F656" s="886">
        <v>3.3</v>
      </c>
      <c r="G656" s="887">
        <f t="shared" si="18"/>
        <v>3.4979999999999998</v>
      </c>
    </row>
    <row r="657" spans="1:7" s="844" customFormat="1">
      <c r="A657" s="856"/>
      <c r="B657" s="908" t="s">
        <v>379</v>
      </c>
      <c r="C657" s="847">
        <v>1</v>
      </c>
      <c r="D657" s="875">
        <v>0.2</v>
      </c>
      <c r="E657" s="886"/>
      <c r="F657" s="886">
        <v>3.3</v>
      </c>
      <c r="G657" s="887">
        <f t="shared" si="18"/>
        <v>0.66</v>
      </c>
    </row>
    <row r="658" spans="1:7" s="844" customFormat="1">
      <c r="A658" s="856"/>
      <c r="B658" s="908"/>
      <c r="C658" s="874">
        <v>1</v>
      </c>
      <c r="D658" s="875">
        <v>0.34699999999999998</v>
      </c>
      <c r="E658" s="886"/>
      <c r="F658" s="886">
        <v>3.3</v>
      </c>
      <c r="G658" s="887">
        <f t="shared" si="18"/>
        <v>1.1450999999999998</v>
      </c>
    </row>
    <row r="659" spans="1:7" s="844" customFormat="1">
      <c r="A659" s="856"/>
      <c r="B659" s="908" t="s">
        <v>381</v>
      </c>
      <c r="C659" s="874">
        <v>1</v>
      </c>
      <c r="D659" s="875">
        <v>0.34699999999999998</v>
      </c>
      <c r="E659" s="886"/>
      <c r="F659" s="886">
        <v>3.3</v>
      </c>
      <c r="G659" s="887">
        <f t="shared" si="18"/>
        <v>1.1450999999999998</v>
      </c>
    </row>
    <row r="660" spans="1:7" s="844" customFormat="1">
      <c r="A660" s="856"/>
      <c r="B660" s="908" t="s">
        <v>417</v>
      </c>
      <c r="C660" s="874">
        <v>1</v>
      </c>
      <c r="D660" s="875">
        <v>1.03</v>
      </c>
      <c r="E660" s="886"/>
      <c r="F660" s="886">
        <v>3.3</v>
      </c>
      <c r="G660" s="899">
        <f t="shared" si="18"/>
        <v>3.399</v>
      </c>
    </row>
    <row r="661" spans="1:7" s="844" customFormat="1">
      <c r="A661" s="856"/>
      <c r="B661" s="908" t="s">
        <v>385</v>
      </c>
      <c r="C661" s="874">
        <v>1</v>
      </c>
      <c r="D661" s="875">
        <v>0.27500000000000002</v>
      </c>
      <c r="E661" s="886"/>
      <c r="F661" s="886">
        <v>3.3</v>
      </c>
      <c r="G661" s="899">
        <f t="shared" si="18"/>
        <v>0.90749999999999997</v>
      </c>
    </row>
    <row r="662" spans="1:7" s="844" customFormat="1">
      <c r="A662" s="856"/>
      <c r="B662" s="908" t="s">
        <v>382</v>
      </c>
      <c r="C662" s="874">
        <v>1</v>
      </c>
      <c r="D662" s="875">
        <v>0.91300000000000003</v>
      </c>
      <c r="E662" s="886"/>
      <c r="F662" s="886">
        <v>3.3</v>
      </c>
      <c r="G662" s="899">
        <f t="shared" si="18"/>
        <v>3.0129000000000001</v>
      </c>
    </row>
    <row r="663" spans="1:7" s="844" customFormat="1">
      <c r="A663" s="856"/>
      <c r="B663" s="908"/>
      <c r="C663" s="874">
        <v>1</v>
      </c>
      <c r="D663" s="875">
        <v>2.681</v>
      </c>
      <c r="E663" s="886"/>
      <c r="F663" s="886">
        <v>3.3</v>
      </c>
      <c r="G663" s="899">
        <f t="shared" si="18"/>
        <v>8.8472999999999988</v>
      </c>
    </row>
    <row r="664" spans="1:7" s="844" customFormat="1">
      <c r="A664" s="856"/>
      <c r="B664" s="908" t="s">
        <v>380</v>
      </c>
      <c r="C664" s="874">
        <v>1</v>
      </c>
      <c r="D664" s="875">
        <v>4.069</v>
      </c>
      <c r="E664" s="886"/>
      <c r="F664" s="886">
        <v>3.3</v>
      </c>
      <c r="G664" s="899">
        <f t="shared" si="18"/>
        <v>13.4277</v>
      </c>
    </row>
    <row r="665" spans="1:7" s="844" customFormat="1">
      <c r="A665" s="856"/>
      <c r="B665" s="862" t="s">
        <v>368</v>
      </c>
      <c r="C665" s="874">
        <v>1</v>
      </c>
      <c r="D665" s="875">
        <v>3.8740000000000001</v>
      </c>
      <c r="E665" s="886"/>
      <c r="F665" s="886">
        <v>3.3</v>
      </c>
      <c r="G665" s="879">
        <f t="shared" si="18"/>
        <v>12.7842</v>
      </c>
    </row>
    <row r="666" spans="1:7" s="844" customFormat="1">
      <c r="A666" s="856"/>
      <c r="B666" s="908" t="s">
        <v>369</v>
      </c>
      <c r="C666" s="874">
        <v>1</v>
      </c>
      <c r="D666" s="875">
        <v>1.331</v>
      </c>
      <c r="E666" s="886"/>
      <c r="F666" s="886">
        <v>3.3</v>
      </c>
      <c r="G666" s="879">
        <f t="shared" si="18"/>
        <v>4.3922999999999996</v>
      </c>
    </row>
    <row r="667" spans="1:7" s="844" customFormat="1">
      <c r="A667" s="856"/>
      <c r="B667" s="862"/>
      <c r="C667" s="874"/>
      <c r="D667" s="875"/>
      <c r="E667" s="886"/>
      <c r="F667" s="886"/>
      <c r="G667" s="873"/>
    </row>
    <row r="668" spans="1:7" s="844" customFormat="1" ht="13">
      <c r="A668" s="856"/>
      <c r="B668" s="862"/>
      <c r="C668" s="874"/>
      <c r="D668" s="875"/>
      <c r="E668" s="886"/>
      <c r="F668" s="886"/>
      <c r="G668" s="866">
        <f>SUM(G642:G667)</f>
        <v>130.4691</v>
      </c>
    </row>
    <row r="669" spans="1:7" s="844" customFormat="1" ht="13">
      <c r="A669" s="856"/>
      <c r="B669" s="42"/>
      <c r="C669" s="874"/>
      <c r="D669" s="907"/>
      <c r="E669" s="886"/>
      <c r="F669" s="886"/>
      <c r="G669" s="925"/>
    </row>
    <row r="670" spans="1:7" s="844" customFormat="1" ht="76">
      <c r="A670" s="856">
        <v>60</v>
      </c>
      <c r="B670" s="42" t="s">
        <v>332</v>
      </c>
      <c r="C670" s="874"/>
      <c r="D670" s="907"/>
      <c r="E670" s="886"/>
      <c r="F670" s="886"/>
      <c r="G670" s="887"/>
    </row>
    <row r="671" spans="1:7" s="844" customFormat="1">
      <c r="A671" s="856"/>
      <c r="B671" s="862"/>
      <c r="C671" s="874"/>
      <c r="D671" s="907"/>
      <c r="E671" s="886"/>
      <c r="F671" s="886"/>
      <c r="G671" s="887"/>
    </row>
    <row r="672" spans="1:7" s="844" customFormat="1" ht="13">
      <c r="A672" s="856"/>
      <c r="B672" s="852" t="s">
        <v>333</v>
      </c>
      <c r="C672" s="874"/>
      <c r="D672" s="907"/>
      <c r="E672" s="886"/>
      <c r="F672" s="886"/>
      <c r="G672" s="899"/>
    </row>
    <row r="673" spans="1:7" s="844" customFormat="1">
      <c r="A673" s="856"/>
      <c r="B673" s="862"/>
      <c r="C673" s="874"/>
      <c r="D673" s="907"/>
      <c r="E673" s="886"/>
      <c r="F673" s="886"/>
      <c r="G673" s="899"/>
    </row>
    <row r="674" spans="1:7" s="844" customFormat="1" ht="25">
      <c r="A674" s="856"/>
      <c r="B674" s="908" t="s">
        <v>334</v>
      </c>
      <c r="C674" s="874">
        <v>1</v>
      </c>
      <c r="D674" s="875">
        <v>6.415</v>
      </c>
      <c r="E674" s="872"/>
      <c r="F674" s="886"/>
      <c r="G674" s="887">
        <f>D674*C674</f>
        <v>6.415</v>
      </c>
    </row>
    <row r="675" spans="1:7" s="844" customFormat="1" ht="25">
      <c r="A675" s="856"/>
      <c r="B675" s="908" t="s">
        <v>335</v>
      </c>
      <c r="C675" s="874">
        <v>1</v>
      </c>
      <c r="D675" s="907">
        <v>4.97</v>
      </c>
      <c r="E675" s="886"/>
      <c r="F675" s="886"/>
      <c r="G675" s="887">
        <f>D675*C675</f>
        <v>4.97</v>
      </c>
    </row>
    <row r="676" spans="1:7" s="844" customFormat="1">
      <c r="A676" s="856"/>
      <c r="B676" s="908" t="s">
        <v>336</v>
      </c>
      <c r="C676" s="874">
        <v>1</v>
      </c>
      <c r="D676" s="907">
        <v>7.01</v>
      </c>
      <c r="E676" s="886"/>
      <c r="F676" s="886"/>
      <c r="G676" s="887">
        <f>D676*C676</f>
        <v>7.01</v>
      </c>
    </row>
    <row r="677" spans="1:7" s="844" customFormat="1">
      <c r="A677" s="856"/>
      <c r="B677" s="908" t="s">
        <v>337</v>
      </c>
      <c r="C677" s="874">
        <v>1</v>
      </c>
      <c r="D677" s="907">
        <v>2.67</v>
      </c>
      <c r="E677" s="886"/>
      <c r="F677" s="886"/>
      <c r="G677" s="887">
        <f>D677*C677</f>
        <v>2.67</v>
      </c>
    </row>
    <row r="678" spans="1:7" s="844" customFormat="1" ht="13">
      <c r="A678" s="856"/>
      <c r="B678" s="862" t="s">
        <v>338</v>
      </c>
      <c r="C678" s="874" t="s">
        <v>99</v>
      </c>
      <c r="D678" s="907">
        <v>9</v>
      </c>
      <c r="E678" s="886"/>
      <c r="F678" s="886"/>
      <c r="G678" s="909">
        <f>D678</f>
        <v>9</v>
      </c>
    </row>
    <row r="679" spans="1:7" s="844" customFormat="1" ht="13">
      <c r="A679" s="856"/>
      <c r="B679" s="862"/>
      <c r="C679" s="874"/>
      <c r="D679" s="907"/>
      <c r="E679" s="886"/>
      <c r="F679" s="886"/>
      <c r="G679" s="855"/>
    </row>
    <row r="680" spans="1:7" s="844" customFormat="1" ht="13">
      <c r="A680" s="856"/>
      <c r="B680" s="862"/>
      <c r="C680" s="874"/>
      <c r="D680" s="907"/>
      <c r="E680" s="886"/>
      <c r="F680" s="886"/>
      <c r="G680" s="900">
        <f>SUM(G674:G678)</f>
        <v>30.064999999999998</v>
      </c>
    </row>
    <row r="681" spans="1:7" s="844" customFormat="1" ht="13">
      <c r="A681" s="856"/>
      <c r="B681" s="42"/>
      <c r="C681" s="874"/>
      <c r="D681" s="907"/>
      <c r="E681" s="886"/>
      <c r="F681" s="886"/>
      <c r="G681" s="925"/>
    </row>
    <row r="682" spans="1:7" s="844" customFormat="1" ht="76">
      <c r="A682" s="856">
        <v>61</v>
      </c>
      <c r="B682" s="42" t="s">
        <v>453</v>
      </c>
      <c r="C682" s="874"/>
      <c r="D682" s="875"/>
      <c r="E682" s="886"/>
      <c r="F682" s="886"/>
      <c r="G682" s="873"/>
    </row>
    <row r="683" spans="1:7" s="844" customFormat="1" ht="13">
      <c r="A683" s="856"/>
      <c r="B683" s="852" t="s">
        <v>454</v>
      </c>
      <c r="C683" s="874"/>
      <c r="D683" s="875"/>
      <c r="E683" s="886"/>
      <c r="F683" s="886"/>
      <c r="G683" s="873"/>
    </row>
    <row r="684" spans="1:7" s="844" customFormat="1">
      <c r="A684" s="856"/>
      <c r="B684" s="862" t="s">
        <v>455</v>
      </c>
      <c r="C684" s="874">
        <v>3</v>
      </c>
      <c r="D684" s="875">
        <v>3.2</v>
      </c>
      <c r="E684" s="872"/>
      <c r="F684" s="872"/>
      <c r="G684" s="879">
        <f>D684*C684</f>
        <v>9.6000000000000014</v>
      </c>
    </row>
    <row r="685" spans="1:7" s="844" customFormat="1" ht="25">
      <c r="A685" s="856"/>
      <c r="B685" s="862" t="s">
        <v>456</v>
      </c>
      <c r="C685" s="874">
        <v>2</v>
      </c>
      <c r="D685" s="875">
        <v>3</v>
      </c>
      <c r="E685" s="872"/>
      <c r="F685" s="872"/>
      <c r="G685" s="879">
        <f>D685*C685</f>
        <v>6</v>
      </c>
    </row>
    <row r="686" spans="1:7" s="844" customFormat="1">
      <c r="A686" s="856"/>
      <c r="B686" s="862" t="s">
        <v>457</v>
      </c>
      <c r="C686" s="874">
        <v>3</v>
      </c>
      <c r="D686" s="875">
        <v>3</v>
      </c>
      <c r="E686" s="872"/>
      <c r="F686" s="872"/>
      <c r="G686" s="879">
        <f>D686*C686</f>
        <v>9</v>
      </c>
    </row>
    <row r="687" spans="1:7" s="844" customFormat="1">
      <c r="A687" s="856"/>
      <c r="B687" s="862"/>
      <c r="C687" s="874"/>
      <c r="D687" s="875"/>
      <c r="E687" s="872"/>
      <c r="F687" s="872"/>
      <c r="G687" s="879"/>
    </row>
    <row r="688" spans="1:7" s="844" customFormat="1" ht="13">
      <c r="A688" s="856"/>
      <c r="B688" s="862"/>
      <c r="C688" s="874"/>
      <c r="D688" s="875"/>
      <c r="E688" s="872"/>
      <c r="F688" s="872"/>
      <c r="G688" s="866">
        <f>SUM(G684:G687)</f>
        <v>24.6</v>
      </c>
    </row>
    <row r="689" spans="1:7" s="844" customFormat="1" ht="13">
      <c r="A689" s="856"/>
      <c r="B689" s="42"/>
      <c r="C689" s="874"/>
      <c r="D689" s="907"/>
      <c r="E689" s="886"/>
      <c r="F689" s="886"/>
      <c r="G689" s="925"/>
    </row>
    <row r="690" spans="1:7" s="844" customFormat="1" ht="63.5">
      <c r="A690" s="41">
        <v>62</v>
      </c>
      <c r="B690" s="42" t="s">
        <v>458</v>
      </c>
      <c r="C690" s="874"/>
      <c r="D690" s="907"/>
      <c r="E690" s="886"/>
      <c r="F690" s="886"/>
      <c r="G690" s="925"/>
    </row>
    <row r="691" spans="1:7" s="844" customFormat="1">
      <c r="A691" s="856"/>
      <c r="B691" s="862" t="s">
        <v>459</v>
      </c>
      <c r="C691" s="874"/>
      <c r="D691" s="875"/>
      <c r="E691" s="872"/>
      <c r="F691" s="872"/>
      <c r="G691" s="873"/>
    </row>
    <row r="692" spans="1:7" s="844" customFormat="1">
      <c r="A692" s="856"/>
      <c r="B692" s="876" t="s">
        <v>460</v>
      </c>
      <c r="C692" s="874">
        <v>2</v>
      </c>
      <c r="D692" s="875">
        <v>0.1</v>
      </c>
      <c r="E692" s="872"/>
      <c r="F692" s="872">
        <v>2.4</v>
      </c>
      <c r="G692" s="879">
        <f>F692*C692*D692</f>
        <v>0.48</v>
      </c>
    </row>
    <row r="693" spans="1:7" s="844" customFormat="1">
      <c r="A693" s="856"/>
      <c r="B693" s="862" t="s">
        <v>461</v>
      </c>
      <c r="C693" s="874">
        <v>3</v>
      </c>
      <c r="D693" s="875">
        <v>0.125</v>
      </c>
      <c r="E693" s="872"/>
      <c r="F693" s="872">
        <v>3</v>
      </c>
      <c r="G693" s="879">
        <f>F693*C693*D693</f>
        <v>1.125</v>
      </c>
    </row>
    <row r="694" spans="1:7" s="844" customFormat="1" ht="25">
      <c r="A694" s="856"/>
      <c r="B694" s="862" t="s">
        <v>462</v>
      </c>
      <c r="C694" s="874">
        <v>4</v>
      </c>
      <c r="D694" s="875">
        <v>2</v>
      </c>
      <c r="E694" s="872"/>
      <c r="F694" s="872">
        <v>0.3</v>
      </c>
      <c r="G694" s="879">
        <f>F694*C694*D694</f>
        <v>2.4</v>
      </c>
    </row>
    <row r="695" spans="1:7" s="844" customFormat="1">
      <c r="A695" s="856"/>
      <c r="B695" s="862" t="s">
        <v>463</v>
      </c>
      <c r="C695" s="874">
        <v>8</v>
      </c>
      <c r="D695" s="875">
        <v>0.6</v>
      </c>
      <c r="E695" s="872"/>
      <c r="F695" s="872">
        <v>0.3</v>
      </c>
      <c r="G695" s="879">
        <f>F695*C695*D695</f>
        <v>1.44</v>
      </c>
    </row>
    <row r="696" spans="1:7" s="844" customFormat="1">
      <c r="A696" s="856"/>
      <c r="B696" s="862" t="s">
        <v>464</v>
      </c>
      <c r="C696" s="874">
        <v>8</v>
      </c>
      <c r="D696" s="875">
        <v>1.5</v>
      </c>
      <c r="E696" s="872"/>
      <c r="F696" s="872">
        <v>0.6</v>
      </c>
      <c r="G696" s="879">
        <f>F696*C696*D696</f>
        <v>7.1999999999999993</v>
      </c>
    </row>
    <row r="697" spans="1:7" s="844" customFormat="1">
      <c r="A697" s="856"/>
      <c r="B697" s="862"/>
      <c r="C697" s="874"/>
      <c r="D697" s="875"/>
      <c r="E697" s="872"/>
      <c r="F697" s="872"/>
      <c r="G697" s="879"/>
    </row>
    <row r="698" spans="1:7" s="844" customFormat="1">
      <c r="A698" s="856"/>
      <c r="B698" s="862"/>
      <c r="C698" s="874"/>
      <c r="D698" s="875"/>
      <c r="E698" s="872"/>
      <c r="F698" s="872"/>
      <c r="G698" s="879">
        <f>F698*C698*D698</f>
        <v>0</v>
      </c>
    </row>
    <row r="699" spans="1:7" s="844" customFormat="1" ht="13">
      <c r="A699" s="856"/>
      <c r="B699" s="862" t="s">
        <v>243</v>
      </c>
      <c r="C699" s="874"/>
      <c r="D699" s="875"/>
      <c r="E699" s="872"/>
      <c r="F699" s="872"/>
      <c r="G699" s="866">
        <f>SUM(G692:G698)</f>
        <v>12.645</v>
      </c>
    </row>
    <row r="700" spans="1:7" s="844" customFormat="1" ht="13">
      <c r="A700" s="856"/>
      <c r="B700" s="42"/>
      <c r="C700" s="874"/>
      <c r="D700" s="907"/>
      <c r="E700" s="886"/>
      <c r="F700" s="886"/>
      <c r="G700" s="925"/>
    </row>
    <row r="701" spans="1:7" s="844" customFormat="1" ht="13">
      <c r="A701" s="856"/>
      <c r="B701" s="42"/>
      <c r="C701" s="874"/>
      <c r="D701" s="907"/>
      <c r="E701" s="886"/>
      <c r="F701" s="886"/>
      <c r="G701" s="925"/>
    </row>
    <row r="702" spans="1:7" s="844" customFormat="1" ht="409.5">
      <c r="A702" s="856">
        <v>63</v>
      </c>
      <c r="B702" s="448" t="s">
        <v>217</v>
      </c>
      <c r="C702" s="874"/>
      <c r="D702" s="875"/>
      <c r="E702" s="872"/>
      <c r="F702" s="882"/>
      <c r="G702" s="880"/>
    </row>
    <row r="703" spans="1:7" s="844" customFormat="1" ht="13">
      <c r="A703" s="856"/>
      <c r="B703" s="852" t="s">
        <v>465</v>
      </c>
      <c r="C703" s="863"/>
      <c r="D703" s="875"/>
      <c r="E703" s="872"/>
      <c r="F703" s="872"/>
      <c r="G703" s="883"/>
    </row>
    <row r="704" spans="1:7" s="844" customFormat="1">
      <c r="A704" s="856"/>
      <c r="B704" s="862" t="s">
        <v>466</v>
      </c>
      <c r="C704" s="863">
        <v>1</v>
      </c>
      <c r="D704" s="875">
        <v>4.93</v>
      </c>
      <c r="E704" s="872"/>
      <c r="F704" s="872">
        <f>(2.42+3)/2</f>
        <v>2.71</v>
      </c>
      <c r="G704" s="880">
        <f>F704*D704*C704</f>
        <v>13.360299999999999</v>
      </c>
    </row>
    <row r="705" spans="1:10" s="844" customFormat="1">
      <c r="A705" s="856"/>
      <c r="B705" s="862" t="s">
        <v>467</v>
      </c>
      <c r="C705" s="863">
        <v>2</v>
      </c>
      <c r="D705" s="875">
        <v>4.93</v>
      </c>
      <c r="E705" s="872"/>
      <c r="F705" s="872">
        <v>0.6</v>
      </c>
      <c r="G705" s="880">
        <f>F705*D705*C705</f>
        <v>5.9159999999999995</v>
      </c>
    </row>
    <row r="706" spans="1:10" s="844" customFormat="1">
      <c r="A706" s="856"/>
      <c r="B706" s="862"/>
      <c r="C706" s="863">
        <v>1</v>
      </c>
      <c r="D706" s="875">
        <v>2.42</v>
      </c>
      <c r="E706" s="872"/>
      <c r="F706" s="872">
        <v>0.1</v>
      </c>
      <c r="G706" s="880">
        <f>F706*D706*C706</f>
        <v>0.24199999999999999</v>
      </c>
    </row>
    <row r="707" spans="1:10" s="844" customFormat="1">
      <c r="A707" s="856"/>
      <c r="B707" s="862"/>
      <c r="C707" s="863">
        <v>1</v>
      </c>
      <c r="D707" s="875">
        <v>1.45</v>
      </c>
      <c r="E707" s="872"/>
      <c r="F707" s="872">
        <v>0.1</v>
      </c>
      <c r="G707" s="880">
        <f>F707*D707*C707</f>
        <v>0.14499999999999999</v>
      </c>
    </row>
    <row r="708" spans="1:10" s="844" customFormat="1">
      <c r="A708" s="856"/>
      <c r="B708" s="862"/>
      <c r="C708" s="863"/>
      <c r="D708" s="875"/>
      <c r="E708" s="872"/>
      <c r="F708" s="872"/>
      <c r="G708" s="880"/>
    </row>
    <row r="709" spans="1:10" s="844" customFormat="1" ht="13">
      <c r="A709" s="856"/>
      <c r="B709" s="862"/>
      <c r="C709" s="863"/>
      <c r="D709" s="875"/>
      <c r="E709" s="872"/>
      <c r="F709" s="872"/>
      <c r="G709" s="883">
        <f>SUM(G704:G708)</f>
        <v>19.6633</v>
      </c>
    </row>
    <row r="710" spans="1:10" s="844" customFormat="1" ht="13">
      <c r="A710" s="856"/>
      <c r="B710" s="862"/>
      <c r="C710" s="863"/>
      <c r="D710" s="875"/>
      <c r="E710" s="872"/>
      <c r="F710" s="872"/>
      <c r="G710" s="883"/>
    </row>
    <row r="711" spans="1:10" s="844" customFormat="1" ht="25.5">
      <c r="A711" s="41">
        <v>64</v>
      </c>
      <c r="B711" s="448" t="s">
        <v>219</v>
      </c>
      <c r="C711" s="1" t="s">
        <v>117</v>
      </c>
      <c r="D711" s="871">
        <v>1</v>
      </c>
      <c r="E711" s="886"/>
      <c r="F711" s="886"/>
      <c r="G711" s="925">
        <v>1</v>
      </c>
    </row>
    <row r="712" spans="1:10" s="844" customFormat="1" ht="13">
      <c r="A712" s="856"/>
      <c r="B712" s="42"/>
      <c r="C712" s="874"/>
      <c r="D712" s="907"/>
      <c r="E712" s="886"/>
      <c r="F712" s="886"/>
      <c r="G712" s="925"/>
    </row>
    <row r="713" spans="1:10" s="844" customFormat="1" ht="13">
      <c r="A713" s="856"/>
      <c r="B713" s="42"/>
      <c r="C713" s="874"/>
      <c r="D713" s="907"/>
      <c r="E713" s="886"/>
      <c r="F713" s="886"/>
      <c r="G713" s="925">
        <f>SUM(G711:G712)</f>
        <v>1</v>
      </c>
    </row>
    <row r="714" spans="1:10" s="844" customFormat="1" ht="13">
      <c r="A714" s="856"/>
      <c r="B714" s="42"/>
      <c r="C714" s="874"/>
      <c r="D714" s="907"/>
      <c r="E714" s="886"/>
      <c r="F714" s="886"/>
      <c r="G714" s="925"/>
    </row>
    <row r="715" spans="1:10" s="844" customFormat="1" ht="87.5">
      <c r="A715" s="856">
        <v>65</v>
      </c>
      <c r="B715" s="42" t="s">
        <v>468</v>
      </c>
      <c r="C715" s="874"/>
      <c r="D715" s="907"/>
      <c r="E715" s="886"/>
      <c r="F715" s="886"/>
      <c r="G715" s="925"/>
    </row>
    <row r="716" spans="1:10" s="844" customFormat="1" ht="13">
      <c r="A716" s="856"/>
      <c r="B716" s="42"/>
      <c r="C716" s="874"/>
      <c r="D716" s="907"/>
      <c r="E716" s="886"/>
      <c r="F716" s="886"/>
      <c r="G716" s="925"/>
    </row>
    <row r="717" spans="1:10" s="844" customFormat="1" ht="13">
      <c r="A717" s="851"/>
      <c r="B717" s="862" t="s">
        <v>319</v>
      </c>
      <c r="C717" s="888">
        <v>1</v>
      </c>
      <c r="D717" s="875">
        <v>3.6</v>
      </c>
      <c r="E717" s="886">
        <v>0.8</v>
      </c>
      <c r="F717" s="886"/>
      <c r="G717" s="887">
        <f>E717*D717</f>
        <v>2.8800000000000003</v>
      </c>
      <c r="J717" s="844" t="s">
        <v>469</v>
      </c>
    </row>
    <row r="718" spans="1:10" s="844" customFormat="1" ht="13">
      <c r="A718" s="851"/>
      <c r="B718" s="862"/>
      <c r="C718" s="888">
        <v>1</v>
      </c>
      <c r="D718" s="875">
        <v>4.2</v>
      </c>
      <c r="E718" s="886">
        <v>0.8</v>
      </c>
      <c r="F718" s="886"/>
      <c r="G718" s="887">
        <f>E718*D718</f>
        <v>3.3600000000000003</v>
      </c>
    </row>
    <row r="719" spans="1:10" s="844" customFormat="1" ht="13">
      <c r="A719" s="851"/>
      <c r="B719" s="862" t="s">
        <v>470</v>
      </c>
      <c r="C719" s="888">
        <v>1</v>
      </c>
      <c r="D719" s="875">
        <v>3.87</v>
      </c>
      <c r="E719" s="886"/>
      <c r="F719" s="886">
        <v>0.9</v>
      </c>
      <c r="G719" s="887">
        <f>D719*C719*F719</f>
        <v>3.4830000000000001</v>
      </c>
    </row>
    <row r="720" spans="1:10" s="844" customFormat="1" ht="13">
      <c r="A720" s="851"/>
      <c r="B720" s="862"/>
      <c r="C720" s="888">
        <v>1</v>
      </c>
      <c r="D720" s="875">
        <v>2.87</v>
      </c>
      <c r="E720" s="886"/>
      <c r="F720" s="886">
        <v>0.9</v>
      </c>
      <c r="G720" s="887">
        <f>D720*C720*F720</f>
        <v>2.5830000000000002</v>
      </c>
    </row>
    <row r="721" spans="1:7" s="844" customFormat="1" ht="13">
      <c r="A721" s="851"/>
      <c r="B721" s="862"/>
      <c r="C721" s="888">
        <v>1</v>
      </c>
      <c r="D721" s="875">
        <v>1.33</v>
      </c>
      <c r="E721" s="886"/>
      <c r="F721" s="886">
        <v>0.9</v>
      </c>
      <c r="G721" s="887">
        <f>D721*C721*F721</f>
        <v>1.1970000000000001</v>
      </c>
    </row>
    <row r="722" spans="1:7">
      <c r="A722" s="856"/>
      <c r="B722" s="862" t="s">
        <v>471</v>
      </c>
      <c r="C722" s="888">
        <v>-2</v>
      </c>
      <c r="D722" s="875">
        <v>2.85</v>
      </c>
      <c r="E722" s="886"/>
      <c r="F722" s="886">
        <v>0.6</v>
      </c>
      <c r="G722" s="887">
        <f>D722*C722*F722</f>
        <v>-3.42</v>
      </c>
    </row>
    <row r="723" spans="1:7">
      <c r="A723" s="856"/>
      <c r="B723" s="862" t="s">
        <v>472</v>
      </c>
      <c r="C723" s="888">
        <v>1</v>
      </c>
      <c r="D723" s="875">
        <v>3.6</v>
      </c>
      <c r="E723" s="886"/>
      <c r="F723" s="886">
        <v>0.15</v>
      </c>
      <c r="G723" s="887">
        <f>F723*D723*C723</f>
        <v>0.54</v>
      </c>
    </row>
    <row r="724" spans="1:7">
      <c r="A724" s="856"/>
      <c r="B724" s="862"/>
      <c r="C724" s="888">
        <v>1</v>
      </c>
      <c r="D724" s="875">
        <v>4.2</v>
      </c>
      <c r="E724" s="886"/>
      <c r="F724" s="886">
        <v>0.15</v>
      </c>
      <c r="G724" s="887">
        <f>F724*D724*C724</f>
        <v>0.63</v>
      </c>
    </row>
    <row r="725" spans="1:7">
      <c r="A725" s="856"/>
      <c r="B725" s="862" t="s">
        <v>473</v>
      </c>
      <c r="C725" s="888">
        <v>4</v>
      </c>
      <c r="D725" s="875">
        <v>1.2749999999999999</v>
      </c>
      <c r="E725" s="886">
        <v>0.3</v>
      </c>
      <c r="F725" s="886"/>
      <c r="G725" s="887">
        <f>E725*D725*C725</f>
        <v>1.5299999999999998</v>
      </c>
    </row>
    <row r="726" spans="1:7">
      <c r="A726" s="856"/>
      <c r="B726" s="862"/>
      <c r="C726" s="888">
        <v>4</v>
      </c>
      <c r="D726" s="875">
        <v>1.2749999999999999</v>
      </c>
      <c r="E726" s="886">
        <v>0.17</v>
      </c>
      <c r="F726" s="886"/>
      <c r="G726" s="887">
        <f>E726*D726*C726</f>
        <v>0.86699999999999999</v>
      </c>
    </row>
    <row r="727" spans="1:7">
      <c r="A727" s="856"/>
      <c r="B727" s="862"/>
      <c r="C727" s="888"/>
      <c r="D727" s="875"/>
      <c r="E727" s="886"/>
      <c r="F727" s="886"/>
      <c r="G727" s="887"/>
    </row>
    <row r="728" spans="1:7" ht="13">
      <c r="A728" s="856"/>
      <c r="B728" s="862"/>
      <c r="C728" s="888"/>
      <c r="D728" s="875"/>
      <c r="E728" s="886"/>
      <c r="F728" s="886"/>
      <c r="G728" s="900"/>
    </row>
    <row r="729" spans="1:7" ht="13">
      <c r="A729" s="856"/>
      <c r="B729" s="876"/>
      <c r="C729" s="874"/>
      <c r="D729" s="877"/>
      <c r="E729" s="874"/>
      <c r="F729" s="874"/>
      <c r="G729" s="930">
        <f>SUM(G717:G728)</f>
        <v>13.650000000000002</v>
      </c>
    </row>
    <row r="730" spans="1:7">
      <c r="A730" s="856"/>
      <c r="B730" s="876"/>
      <c r="C730" s="874"/>
      <c r="D730" s="877"/>
      <c r="E730" s="874"/>
      <c r="F730" s="874"/>
      <c r="G730" s="878"/>
    </row>
    <row r="731" spans="1:7">
      <c r="A731" s="856"/>
      <c r="B731" s="876"/>
      <c r="C731" s="874"/>
      <c r="D731" s="877"/>
      <c r="E731" s="874"/>
      <c r="F731" s="874"/>
      <c r="G731" s="878"/>
    </row>
    <row r="732" spans="1:7">
      <c r="A732" s="856"/>
      <c r="B732" s="876"/>
      <c r="C732" s="874"/>
      <c r="D732" s="877"/>
      <c r="E732" s="874"/>
      <c r="F732" s="874"/>
      <c r="G732" s="878"/>
    </row>
    <row r="733" spans="1:7">
      <c r="A733" s="856"/>
      <c r="B733" s="876"/>
      <c r="C733" s="874"/>
      <c r="D733" s="877"/>
      <c r="E733" s="874"/>
      <c r="F733" s="874"/>
      <c r="G733" s="878"/>
    </row>
    <row r="734" spans="1:7">
      <c r="A734" s="856"/>
      <c r="B734" s="876"/>
      <c r="C734" s="874"/>
      <c r="D734" s="877"/>
      <c r="E734" s="874"/>
      <c r="F734" s="874"/>
      <c r="G734" s="878"/>
    </row>
    <row r="735" spans="1:7">
      <c r="A735" s="856"/>
      <c r="B735" s="876"/>
      <c r="C735" s="874"/>
      <c r="D735" s="877"/>
      <c r="E735" s="874"/>
      <c r="F735" s="874"/>
      <c r="G735" s="878"/>
    </row>
    <row r="736" spans="1:7">
      <c r="A736" s="856"/>
      <c r="B736" s="876"/>
      <c r="C736" s="874"/>
      <c r="D736" s="877"/>
      <c r="E736" s="874"/>
      <c r="F736" s="874"/>
      <c r="G736" s="878"/>
    </row>
    <row r="737" spans="1:7">
      <c r="A737" s="856"/>
      <c r="B737" s="876"/>
      <c r="C737" s="874"/>
      <c r="D737" s="877"/>
      <c r="E737" s="874"/>
      <c r="F737" s="874"/>
      <c r="G737" s="878"/>
    </row>
    <row r="738" spans="1:7">
      <c r="A738" s="856"/>
      <c r="B738" s="862"/>
      <c r="C738" s="874"/>
      <c r="D738" s="875"/>
      <c r="E738" s="874"/>
      <c r="F738" s="874"/>
      <c r="G738" s="899"/>
    </row>
    <row r="739" spans="1:7">
      <c r="A739" s="856"/>
      <c r="B739" s="862"/>
      <c r="C739" s="874"/>
      <c r="D739" s="875"/>
      <c r="E739" s="874"/>
      <c r="F739" s="874"/>
      <c r="G739" s="899"/>
    </row>
    <row r="740" spans="1:7">
      <c r="A740" s="856"/>
      <c r="B740" s="862"/>
      <c r="C740" s="874"/>
      <c r="D740" s="875"/>
      <c r="E740" s="874"/>
      <c r="F740" s="874"/>
      <c r="G740" s="899"/>
    </row>
    <row r="741" spans="1:7">
      <c r="A741" s="856"/>
      <c r="B741" s="862"/>
      <c r="C741" s="874"/>
      <c r="D741" s="875"/>
      <c r="E741" s="874"/>
      <c r="F741" s="874"/>
      <c r="G741" s="899"/>
    </row>
    <row r="742" spans="1:7">
      <c r="A742" s="856"/>
      <c r="B742" s="862"/>
      <c r="C742" s="874"/>
      <c r="D742" s="875"/>
      <c r="E742" s="874"/>
      <c r="F742" s="874"/>
      <c r="G742" s="899"/>
    </row>
  </sheetData>
  <conditionalFormatting sqref="B69:B78">
    <cfRule type="cellIs" dxfId="22" priority="35" stopIfTrue="1" operator="equal">
      <formula>0</formula>
    </cfRule>
  </conditionalFormatting>
  <conditionalFormatting sqref="B80:B87">
    <cfRule type="cellIs" dxfId="21" priority="33" stopIfTrue="1" operator="equal">
      <formula>0</formula>
    </cfRule>
  </conditionalFormatting>
  <conditionalFormatting sqref="B90">
    <cfRule type="cellIs" dxfId="20" priority="34" stopIfTrue="1" operator="equal">
      <formula>0</formula>
    </cfRule>
  </conditionalFormatting>
  <conditionalFormatting sqref="B240:B243">
    <cfRule type="cellIs" dxfId="19" priority="3" stopIfTrue="1" operator="equal">
      <formula>0</formula>
    </cfRule>
  </conditionalFormatting>
  <conditionalFormatting sqref="B336:B373 B375:B376 B387">
    <cfRule type="cellIs" dxfId="18" priority="32" stopIfTrue="1" operator="equal">
      <formula>0</formula>
    </cfRule>
  </conditionalFormatting>
  <conditionalFormatting sqref="B397:B427">
    <cfRule type="cellIs" dxfId="17" priority="31" stopIfTrue="1" operator="equal">
      <formula>0</formula>
    </cfRule>
  </conditionalFormatting>
  <conditionalFormatting sqref="B429:B430">
    <cfRule type="cellIs" dxfId="16" priority="1" stopIfTrue="1" operator="equal">
      <formula>0</formula>
    </cfRule>
  </conditionalFormatting>
  <conditionalFormatting sqref="B436:B437">
    <cfRule type="cellIs" dxfId="15" priority="28" stopIfTrue="1" operator="equal">
      <formula>0</formula>
    </cfRule>
  </conditionalFormatting>
  <conditionalFormatting sqref="B439:B441">
    <cfRule type="cellIs" dxfId="14" priority="30" stopIfTrue="1" operator="equal">
      <formula>0</formula>
    </cfRule>
  </conditionalFormatting>
  <conditionalFormatting sqref="B450:B465">
    <cfRule type="cellIs" dxfId="13" priority="25" stopIfTrue="1" operator="equal">
      <formula>0</formula>
    </cfRule>
  </conditionalFormatting>
  <conditionalFormatting sqref="B467:B471">
    <cfRule type="cellIs" dxfId="12" priority="26" stopIfTrue="1" operator="equal">
      <formula>0</formula>
    </cfRule>
  </conditionalFormatting>
  <conditionalFormatting sqref="B477">
    <cfRule type="cellIs" dxfId="11" priority="24" stopIfTrue="1" operator="equal">
      <formula>0</formula>
    </cfRule>
  </conditionalFormatting>
  <conditionalFormatting sqref="B479:B486">
    <cfRule type="cellIs" dxfId="10" priority="23" stopIfTrue="1" operator="equal">
      <formula>0</formula>
    </cfRule>
  </conditionalFormatting>
  <conditionalFormatting sqref="B492">
    <cfRule type="cellIs" dxfId="9" priority="22" stopIfTrue="1" operator="equal">
      <formula>0</formula>
    </cfRule>
  </conditionalFormatting>
  <conditionalFormatting sqref="B502:B524">
    <cfRule type="cellIs" dxfId="8" priority="18" stopIfTrue="1" operator="equal">
      <formula>0</formula>
    </cfRule>
  </conditionalFormatting>
  <conditionalFormatting sqref="B526">
    <cfRule type="cellIs" dxfId="7" priority="20" stopIfTrue="1" operator="equal">
      <formula>0</formula>
    </cfRule>
  </conditionalFormatting>
  <conditionalFormatting sqref="B607:B615">
    <cfRule type="cellIs" dxfId="6" priority="12" stopIfTrue="1" operator="equal">
      <formula>0</formula>
    </cfRule>
  </conditionalFormatting>
  <conditionalFormatting sqref="B626">
    <cfRule type="cellIs" dxfId="5" priority="10" stopIfTrue="1" operator="equal">
      <formula>0</formula>
    </cfRule>
  </conditionalFormatting>
  <conditionalFormatting sqref="B628:B635">
    <cfRule type="cellIs" dxfId="4" priority="9" stopIfTrue="1" operator="equal">
      <formula>0</formula>
    </cfRule>
  </conditionalFormatting>
  <conditionalFormatting sqref="B644:B664">
    <cfRule type="cellIs" dxfId="3" priority="5" stopIfTrue="1" operator="equal">
      <formula>0</formula>
    </cfRule>
  </conditionalFormatting>
  <conditionalFormatting sqref="B666">
    <cfRule type="cellIs" dxfId="2" priority="7" stopIfTrue="1" operator="equal">
      <formula>0</formula>
    </cfRule>
  </conditionalFormatting>
  <conditionalFormatting sqref="B674:B677">
    <cfRule type="cellIs" dxfId="1" priority="4"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66"/>
  <sheetViews>
    <sheetView view="pageBreakPreview" zoomScale="110" zoomScaleNormal="100" workbookViewId="0">
      <pane ySplit="3" topLeftCell="A151" activePane="bottomLeft" state="frozen"/>
      <selection pane="bottomLeft" activeCell="B15" sqref="B15"/>
    </sheetView>
  </sheetViews>
  <sheetFormatPr defaultColWidth="8.90625" defaultRowHeight="13"/>
  <cols>
    <col min="1" max="1" width="7.08984375" style="338" customWidth="1"/>
    <col min="2" max="2" width="88.1796875" style="338" customWidth="1"/>
    <col min="3" max="3" width="7.453125" style="750" customWidth="1"/>
    <col min="4" max="4" width="7.36328125" style="751" customWidth="1"/>
    <col min="5" max="5" width="9.6328125" style="338" customWidth="1"/>
    <col min="6" max="6" width="9.453125" style="338" customWidth="1"/>
    <col min="7" max="7" width="12.81640625" style="338" customWidth="1"/>
    <col min="8" max="16384" width="8.90625" style="338"/>
  </cols>
  <sheetData>
    <row r="1" spans="1:7" s="309" customFormat="1" ht="23.5">
      <c r="A1" s="1239" t="s">
        <v>474</v>
      </c>
      <c r="B1" s="1239"/>
      <c r="C1" s="1240"/>
      <c r="D1" s="1241"/>
      <c r="E1" s="1239"/>
      <c r="F1" s="1239"/>
      <c r="G1" s="1239"/>
    </row>
    <row r="2" spans="1:7" s="309" customFormat="1" ht="18.5">
      <c r="A2" s="1242" t="s">
        <v>475</v>
      </c>
      <c r="B2" s="1242"/>
      <c r="C2" s="1243"/>
      <c r="D2" s="1244"/>
      <c r="E2" s="1242"/>
      <c r="F2" s="1242"/>
      <c r="G2" s="1242"/>
    </row>
    <row r="3" spans="1:7" s="309" customFormat="1" ht="14.5">
      <c r="A3" s="752" t="s">
        <v>476</v>
      </c>
      <c r="B3" s="752" t="s">
        <v>477</v>
      </c>
      <c r="C3" s="753" t="s">
        <v>390</v>
      </c>
      <c r="D3" s="752" t="s">
        <v>241</v>
      </c>
      <c r="E3" s="754" t="s">
        <v>478</v>
      </c>
      <c r="F3" s="754" t="s">
        <v>242</v>
      </c>
      <c r="G3" s="656" t="s">
        <v>479</v>
      </c>
    </row>
    <row r="4" spans="1:7" s="309" customFormat="1" ht="14.5">
      <c r="A4" s="755" t="s">
        <v>6</v>
      </c>
      <c r="B4" s="756" t="s">
        <v>7</v>
      </c>
      <c r="C4" s="753"/>
      <c r="D4" s="752"/>
      <c r="E4" s="754"/>
      <c r="F4" s="754"/>
      <c r="G4" s="656"/>
    </row>
    <row r="5" spans="1:7" s="638" customFormat="1" ht="52">
      <c r="A5" s="757" t="s">
        <v>94</v>
      </c>
      <c r="B5" s="758" t="s">
        <v>95</v>
      </c>
      <c r="C5" s="759"/>
      <c r="D5" s="760"/>
      <c r="E5" s="761"/>
      <c r="F5" s="761"/>
      <c r="G5" s="761"/>
    </row>
    <row r="6" spans="1:7" s="309" customFormat="1" ht="14.5">
      <c r="A6" s="649"/>
      <c r="B6" s="762" t="s">
        <v>480</v>
      </c>
      <c r="C6" s="645">
        <v>1</v>
      </c>
      <c r="D6" s="649"/>
      <c r="E6" s="647"/>
      <c r="F6" s="647"/>
      <c r="G6" s="763">
        <v>0</v>
      </c>
    </row>
    <row r="7" spans="1:7" s="309" customFormat="1" ht="14.5">
      <c r="A7" s="764"/>
      <c r="B7" s="764" t="s">
        <v>481</v>
      </c>
      <c r="C7" s="765"/>
      <c r="D7" s="764"/>
      <c r="E7" s="766"/>
      <c r="F7" s="766"/>
      <c r="G7" s="767">
        <f>G6</f>
        <v>0</v>
      </c>
    </row>
    <row r="8" spans="1:7" s="309" customFormat="1" ht="14.5">
      <c r="A8" s="752"/>
      <c r="B8" s="752"/>
      <c r="C8" s="753"/>
      <c r="D8" s="752"/>
      <c r="E8" s="754"/>
      <c r="F8" s="754"/>
      <c r="G8" s="656"/>
    </row>
    <row r="9" spans="1:7" s="309" customFormat="1" ht="14.5">
      <c r="A9" s="755" t="s">
        <v>8</v>
      </c>
      <c r="B9" s="756" t="s">
        <v>106</v>
      </c>
      <c r="C9" s="753"/>
      <c r="D9" s="752"/>
      <c r="E9" s="754"/>
      <c r="F9" s="754"/>
      <c r="G9" s="656"/>
    </row>
    <row r="10" spans="1:7" s="638" customFormat="1" ht="65">
      <c r="A10" s="757">
        <v>8</v>
      </c>
      <c r="B10" s="768" t="s">
        <v>110</v>
      </c>
      <c r="C10" s="753"/>
      <c r="D10" s="752"/>
      <c r="E10" s="754"/>
      <c r="F10" s="754"/>
      <c r="G10" s="656"/>
    </row>
    <row r="11" spans="1:7" s="638" customFormat="1" ht="14.5">
      <c r="A11" s="757"/>
      <c r="B11" s="768" t="s">
        <v>1917</v>
      </c>
      <c r="C11" s="753"/>
      <c r="D11" s="752"/>
      <c r="E11" s="754"/>
      <c r="F11" s="754"/>
      <c r="G11" s="656"/>
    </row>
    <row r="12" spans="1:7" s="309" customFormat="1" ht="14.5">
      <c r="A12" s="649">
        <v>8.01</v>
      </c>
      <c r="B12" s="649" t="s">
        <v>482</v>
      </c>
      <c r="C12" s="645">
        <v>1</v>
      </c>
      <c r="D12" s="649">
        <v>1.9</v>
      </c>
      <c r="E12" s="647">
        <v>3.35</v>
      </c>
      <c r="F12" s="647"/>
      <c r="G12" s="648">
        <f t="shared" ref="G12:G19" si="0">E12*D12*C12</f>
        <v>6.3650000000000002</v>
      </c>
    </row>
    <row r="13" spans="1:7" s="309" customFormat="1" ht="14.5">
      <c r="A13" s="649">
        <v>8.02</v>
      </c>
      <c r="B13" s="649" t="s">
        <v>483</v>
      </c>
      <c r="C13" s="645">
        <v>1</v>
      </c>
      <c r="D13" s="649">
        <v>1.1000000000000001</v>
      </c>
      <c r="E13" s="647">
        <v>3.35</v>
      </c>
      <c r="F13" s="647"/>
      <c r="G13" s="648">
        <f t="shared" si="0"/>
        <v>3.6850000000000005</v>
      </c>
    </row>
    <row r="14" spans="1:7" s="309" customFormat="1" ht="14.5">
      <c r="A14" s="649">
        <v>8.0299999999999994</v>
      </c>
      <c r="B14" s="309" t="s">
        <v>484</v>
      </c>
      <c r="C14" s="645">
        <v>1</v>
      </c>
      <c r="D14" s="649">
        <v>4.5</v>
      </c>
      <c r="E14" s="647">
        <v>4.1500000000000004</v>
      </c>
      <c r="F14" s="647"/>
      <c r="G14" s="648">
        <f t="shared" si="0"/>
        <v>18.675000000000001</v>
      </c>
    </row>
    <row r="15" spans="1:7" s="309" customFormat="1" ht="14.5">
      <c r="A15" s="649">
        <v>8.0399999999999991</v>
      </c>
      <c r="B15" s="649" t="s">
        <v>485</v>
      </c>
      <c r="C15" s="645">
        <v>1</v>
      </c>
      <c r="D15" s="649">
        <v>5.31</v>
      </c>
      <c r="E15" s="647">
        <v>4.1500000000000004</v>
      </c>
      <c r="F15" s="647"/>
      <c r="G15" s="648">
        <f t="shared" si="0"/>
        <v>22.0365</v>
      </c>
    </row>
    <row r="16" spans="1:7" s="309" customFormat="1" ht="14.5">
      <c r="A16" s="649">
        <v>8.0500000000000007</v>
      </c>
      <c r="B16" s="649" t="s">
        <v>486</v>
      </c>
      <c r="C16" s="645">
        <v>1</v>
      </c>
      <c r="D16" s="649">
        <v>2.5</v>
      </c>
      <c r="E16" s="647">
        <v>4.1500000000000004</v>
      </c>
      <c r="F16" s="647"/>
      <c r="G16" s="648">
        <f t="shared" si="0"/>
        <v>10.375</v>
      </c>
    </row>
    <row r="17" spans="1:7" s="309" customFormat="1" ht="14.5">
      <c r="A17" s="649">
        <v>8.07</v>
      </c>
      <c r="B17" s="649" t="s">
        <v>487</v>
      </c>
      <c r="C17" s="645">
        <v>1</v>
      </c>
      <c r="D17" s="649">
        <v>2.5</v>
      </c>
      <c r="E17" s="647">
        <v>2.8</v>
      </c>
      <c r="F17" s="647"/>
      <c r="G17" s="648">
        <f t="shared" si="0"/>
        <v>7</v>
      </c>
    </row>
    <row r="18" spans="1:7" s="309" customFormat="1" ht="14.5">
      <c r="A18" s="649">
        <v>8.08</v>
      </c>
      <c r="B18" s="762" t="s">
        <v>488</v>
      </c>
      <c r="C18" s="645">
        <v>1</v>
      </c>
      <c r="D18" s="649">
        <v>1.88</v>
      </c>
      <c r="E18" s="647">
        <v>2.8</v>
      </c>
      <c r="F18" s="647"/>
      <c r="G18" s="648">
        <f t="shared" si="0"/>
        <v>5.2639999999999993</v>
      </c>
    </row>
    <row r="19" spans="1:7" s="309" customFormat="1" ht="14.5">
      <c r="A19" s="649">
        <v>8.09</v>
      </c>
      <c r="B19" s="649" t="s">
        <v>489</v>
      </c>
      <c r="C19" s="645">
        <v>1</v>
      </c>
      <c r="D19" s="649">
        <v>2.2000000000000002</v>
      </c>
      <c r="E19" s="647">
        <v>4.1500000000000004</v>
      </c>
      <c r="F19" s="647"/>
      <c r="G19" s="648">
        <f t="shared" si="0"/>
        <v>9.1300000000000008</v>
      </c>
    </row>
    <row r="20" spans="1:7" s="309" customFormat="1" ht="14.5">
      <c r="A20" s="649"/>
      <c r="B20" s="649" t="s">
        <v>1918</v>
      </c>
      <c r="C20" s="645"/>
      <c r="D20" s="649"/>
      <c r="E20" s="647"/>
      <c r="F20" s="647"/>
      <c r="G20" s="648"/>
    </row>
    <row r="21" spans="1:7" s="309" customFormat="1" ht="14.5">
      <c r="A21" s="649"/>
      <c r="B21" s="769" t="s">
        <v>490</v>
      </c>
      <c r="C21" s="645"/>
      <c r="D21" s="649"/>
      <c r="E21" s="647"/>
      <c r="F21" s="647"/>
      <c r="G21" s="648"/>
    </row>
    <row r="22" spans="1:7" s="309" customFormat="1" ht="14.5">
      <c r="A22" s="649"/>
      <c r="B22" s="769" t="s">
        <v>491</v>
      </c>
      <c r="C22" s="770">
        <v>-1</v>
      </c>
      <c r="D22" s="771">
        <v>0.92</v>
      </c>
      <c r="E22" s="772">
        <v>2.4</v>
      </c>
      <c r="F22" s="647"/>
      <c r="G22" s="648">
        <f>E22*D22*C22</f>
        <v>-2.2080000000000002</v>
      </c>
    </row>
    <row r="23" spans="1:7" s="309" customFormat="1" ht="14.5">
      <c r="A23" s="649"/>
      <c r="B23" s="769" t="s">
        <v>492</v>
      </c>
      <c r="C23" s="770">
        <v>-1</v>
      </c>
      <c r="D23" s="771">
        <v>1.2</v>
      </c>
      <c r="E23" s="772">
        <v>2.4</v>
      </c>
      <c r="F23" s="647"/>
      <c r="G23" s="648">
        <f>E23*D23*C23</f>
        <v>-2.88</v>
      </c>
    </row>
    <row r="24" spans="1:7" s="309" customFormat="1" ht="14.5">
      <c r="A24" s="764"/>
      <c r="B24" s="764" t="s">
        <v>481</v>
      </c>
      <c r="C24" s="765"/>
      <c r="D24" s="764"/>
      <c r="E24" s="766"/>
      <c r="F24" s="766"/>
      <c r="G24" s="767">
        <f>SUM(G12:G23)</f>
        <v>77.442499999999995</v>
      </c>
    </row>
    <row r="25" spans="1:7" s="309" customFormat="1" ht="14.5">
      <c r="A25" s="1163"/>
      <c r="B25" s="764" t="s">
        <v>1892</v>
      </c>
      <c r="C25" s="765"/>
      <c r="D25" s="764"/>
      <c r="E25" s="766"/>
      <c r="F25" s="766"/>
      <c r="G25" s="767">
        <v>55.67</v>
      </c>
    </row>
    <row r="26" spans="1:7" s="309" customFormat="1" ht="14.5">
      <c r="A26" s="1163"/>
      <c r="B26" s="764" t="s">
        <v>1893</v>
      </c>
      <c r="C26" s="765"/>
      <c r="D26" s="764"/>
      <c r="E26" s="766"/>
      <c r="F26" s="766"/>
      <c r="G26" s="767">
        <v>21.77</v>
      </c>
    </row>
    <row r="27" spans="1:7" s="309" customFormat="1" ht="14.5">
      <c r="A27" s="1163"/>
      <c r="B27" s="764" t="s">
        <v>813</v>
      </c>
      <c r="C27" s="765"/>
      <c r="D27" s="764"/>
      <c r="E27" s="766"/>
      <c r="F27" s="766"/>
      <c r="G27" s="767">
        <f>SUM(G25:G26)</f>
        <v>77.44</v>
      </c>
    </row>
    <row r="28" spans="1:7" s="309" customFormat="1" ht="14.5">
      <c r="A28" s="752"/>
      <c r="B28" s="752"/>
      <c r="C28" s="753"/>
      <c r="D28" s="752"/>
      <c r="E28" s="754"/>
      <c r="F28" s="754"/>
      <c r="G28" s="656"/>
    </row>
    <row r="29" spans="1:7" s="309" customFormat="1" ht="14.5">
      <c r="A29" s="752"/>
      <c r="B29" s="752"/>
      <c r="C29" s="753"/>
      <c r="D29" s="752"/>
      <c r="E29" s="754"/>
      <c r="F29" s="754"/>
      <c r="G29" s="656"/>
    </row>
    <row r="30" spans="1:7" s="309" customFormat="1" ht="62.5">
      <c r="A30" s="43">
        <v>9</v>
      </c>
      <c r="B30" s="42" t="s">
        <v>112</v>
      </c>
      <c r="C30" s="753"/>
      <c r="D30" s="752"/>
      <c r="E30" s="754"/>
      <c r="F30" s="754"/>
      <c r="G30" s="656"/>
    </row>
    <row r="31" spans="1:7" s="309" customFormat="1" ht="14.5">
      <c r="A31" s="322">
        <v>9.01</v>
      </c>
      <c r="B31" s="649" t="s">
        <v>493</v>
      </c>
      <c r="C31" s="645">
        <v>1</v>
      </c>
      <c r="D31" s="649">
        <v>1.1000000000000001</v>
      </c>
      <c r="E31" s="647"/>
      <c r="F31" s="754"/>
      <c r="G31" s="656">
        <f>D31*C31</f>
        <v>1.1000000000000001</v>
      </c>
    </row>
    <row r="32" spans="1:7" s="309" customFormat="1" ht="14.5">
      <c r="A32" s="322">
        <v>9.02</v>
      </c>
      <c r="B32" s="649" t="s">
        <v>494</v>
      </c>
      <c r="C32" s="645">
        <v>1</v>
      </c>
      <c r="D32" s="649">
        <v>1.4</v>
      </c>
      <c r="E32" s="647"/>
      <c r="F32" s="754"/>
      <c r="G32" s="656">
        <f>D32*C32</f>
        <v>1.4</v>
      </c>
    </row>
    <row r="33" spans="1:7" s="309" customFormat="1" ht="14.5">
      <c r="A33" s="764"/>
      <c r="B33" s="764" t="s">
        <v>481</v>
      </c>
      <c r="C33" s="765"/>
      <c r="D33" s="764"/>
      <c r="E33" s="766"/>
      <c r="F33" s="766"/>
      <c r="G33" s="767">
        <f>SUM(G31:G32)</f>
        <v>2.5</v>
      </c>
    </row>
    <row r="34" spans="1:7" s="309" customFormat="1" ht="14.5">
      <c r="A34" s="764"/>
      <c r="B34" s="764" t="s">
        <v>1897</v>
      </c>
      <c r="C34" s="765"/>
      <c r="D34" s="764"/>
      <c r="E34" s="766"/>
      <c r="F34" s="766"/>
      <c r="G34" s="767">
        <v>1.4</v>
      </c>
    </row>
    <row r="35" spans="1:7" s="309" customFormat="1" ht="14.5">
      <c r="A35" s="764"/>
      <c r="B35" s="764" t="s">
        <v>1898</v>
      </c>
      <c r="C35" s="765"/>
      <c r="D35" s="764"/>
      <c r="E35" s="766"/>
      <c r="F35" s="766"/>
      <c r="G35" s="767">
        <f>G33-G34</f>
        <v>1.1000000000000001</v>
      </c>
    </row>
    <row r="36" spans="1:7" s="309" customFormat="1" ht="14.5">
      <c r="A36" s="764"/>
      <c r="B36" s="764" t="s">
        <v>813</v>
      </c>
      <c r="C36" s="765"/>
      <c r="D36" s="764"/>
      <c r="E36" s="766"/>
      <c r="F36" s="766"/>
      <c r="G36" s="767">
        <f>SUM(G34:G35)</f>
        <v>2.5</v>
      </c>
    </row>
    <row r="37" spans="1:7" s="309" customFormat="1" ht="14.5">
      <c r="A37" s="752"/>
      <c r="B37" s="752"/>
      <c r="C37" s="753"/>
      <c r="D37" s="752"/>
      <c r="E37" s="754"/>
      <c r="F37" s="754"/>
      <c r="G37" s="656"/>
    </row>
    <row r="38" spans="1:7" s="309" customFormat="1" ht="65">
      <c r="A38" s="757">
        <v>10</v>
      </c>
      <c r="B38" s="756" t="s">
        <v>114</v>
      </c>
      <c r="C38" s="753"/>
      <c r="D38" s="752"/>
      <c r="E38" s="754"/>
      <c r="F38" s="754"/>
      <c r="G38" s="656"/>
    </row>
    <row r="39" spans="1:7" s="309" customFormat="1" ht="14.5">
      <c r="A39" s="649">
        <v>10.01</v>
      </c>
      <c r="B39" s="649" t="s">
        <v>482</v>
      </c>
      <c r="C39" s="645">
        <v>2</v>
      </c>
      <c r="D39" s="649">
        <v>1.9</v>
      </c>
      <c r="E39" s="647">
        <v>1</v>
      </c>
      <c r="F39" s="647"/>
      <c r="G39" s="648">
        <f>E39*D39*C39</f>
        <v>3.8</v>
      </c>
    </row>
    <row r="40" spans="1:7" s="309" customFormat="1" ht="14.5">
      <c r="A40" s="649">
        <v>10.02</v>
      </c>
      <c r="B40" s="649" t="s">
        <v>483</v>
      </c>
      <c r="C40" s="645">
        <v>2</v>
      </c>
      <c r="D40" s="649">
        <v>1.1000000000000001</v>
      </c>
      <c r="E40" s="647">
        <v>1</v>
      </c>
      <c r="F40" s="754"/>
      <c r="G40" s="648">
        <f t="shared" ref="G40:G49" si="1">E40*D40*C40</f>
        <v>2.2000000000000002</v>
      </c>
    </row>
    <row r="41" spans="1:7" s="309" customFormat="1" ht="14.5">
      <c r="A41" s="649">
        <v>10.029999999999999</v>
      </c>
      <c r="B41" s="309" t="s">
        <v>484</v>
      </c>
      <c r="C41" s="645">
        <v>2</v>
      </c>
      <c r="D41" s="649">
        <v>4.5</v>
      </c>
      <c r="E41" s="647">
        <v>1</v>
      </c>
      <c r="F41" s="754"/>
      <c r="G41" s="648">
        <f t="shared" si="1"/>
        <v>9</v>
      </c>
    </row>
    <row r="42" spans="1:7" s="309" customFormat="1" ht="14.5">
      <c r="A42" s="649">
        <v>10.039999999999999</v>
      </c>
      <c r="B42" s="649" t="s">
        <v>495</v>
      </c>
      <c r="C42" s="645">
        <v>2</v>
      </c>
      <c r="D42" s="649">
        <v>5.31</v>
      </c>
      <c r="E42" s="647">
        <v>1</v>
      </c>
      <c r="F42" s="754"/>
      <c r="G42" s="648">
        <f t="shared" si="1"/>
        <v>10.62</v>
      </c>
    </row>
    <row r="43" spans="1:7" s="309" customFormat="1" ht="14.5">
      <c r="A43" s="649">
        <v>10.050000000000001</v>
      </c>
      <c r="B43" s="649" t="s">
        <v>496</v>
      </c>
      <c r="C43" s="645">
        <v>2</v>
      </c>
      <c r="D43" s="649">
        <v>2.5</v>
      </c>
      <c r="E43" s="647">
        <v>1</v>
      </c>
      <c r="F43" s="754"/>
      <c r="G43" s="648">
        <f t="shared" si="1"/>
        <v>5</v>
      </c>
    </row>
    <row r="44" spans="1:7" s="309" customFormat="1" ht="14.5">
      <c r="A44" s="649">
        <v>10.06</v>
      </c>
      <c r="B44" s="649" t="s">
        <v>497</v>
      </c>
      <c r="C44" s="645">
        <v>2</v>
      </c>
      <c r="D44" s="649">
        <v>2.5</v>
      </c>
      <c r="E44" s="647">
        <v>1</v>
      </c>
      <c r="F44" s="754"/>
      <c r="G44" s="648">
        <f t="shared" si="1"/>
        <v>5</v>
      </c>
    </row>
    <row r="45" spans="1:7" s="309" customFormat="1" ht="14.5">
      <c r="A45" s="649">
        <v>10.07</v>
      </c>
      <c r="B45" s="649" t="s">
        <v>487</v>
      </c>
      <c r="C45" s="645">
        <v>2</v>
      </c>
      <c r="D45" s="649">
        <v>1.88</v>
      </c>
      <c r="E45" s="647">
        <v>1</v>
      </c>
      <c r="F45" s="754"/>
      <c r="G45" s="648">
        <f t="shared" si="1"/>
        <v>3.76</v>
      </c>
    </row>
    <row r="46" spans="1:7" s="309" customFormat="1" ht="14.5">
      <c r="A46" s="649">
        <v>10.08</v>
      </c>
      <c r="B46" s="649" t="s">
        <v>489</v>
      </c>
      <c r="C46" s="645">
        <v>2</v>
      </c>
      <c r="D46" s="649">
        <v>2.2000000000000002</v>
      </c>
      <c r="E46" s="647">
        <v>1</v>
      </c>
      <c r="F46" s="754"/>
      <c r="G46" s="648">
        <f t="shared" si="1"/>
        <v>4.4000000000000004</v>
      </c>
    </row>
    <row r="47" spans="1:7" s="309" customFormat="1" ht="14.5">
      <c r="A47" s="649"/>
      <c r="B47" s="769" t="s">
        <v>490</v>
      </c>
      <c r="C47" s="645"/>
      <c r="D47" s="649"/>
      <c r="E47" s="647"/>
      <c r="F47" s="754"/>
      <c r="G47" s="648">
        <f t="shared" si="1"/>
        <v>0</v>
      </c>
    </row>
    <row r="48" spans="1:7" s="309" customFormat="1" ht="14.5">
      <c r="A48" s="649"/>
      <c r="B48" s="769" t="s">
        <v>491</v>
      </c>
      <c r="C48" s="770">
        <v>-1</v>
      </c>
      <c r="D48" s="771">
        <v>0.9</v>
      </c>
      <c r="E48" s="772">
        <v>1</v>
      </c>
      <c r="F48" s="754"/>
      <c r="G48" s="648">
        <f t="shared" si="1"/>
        <v>-0.9</v>
      </c>
    </row>
    <row r="49" spans="1:7" s="309" customFormat="1" ht="14.5">
      <c r="A49" s="649"/>
      <c r="B49" s="769" t="s">
        <v>492</v>
      </c>
      <c r="C49" s="770">
        <v>-1</v>
      </c>
      <c r="D49" s="771">
        <v>1.2</v>
      </c>
      <c r="E49" s="772">
        <v>1</v>
      </c>
      <c r="F49" s="754"/>
      <c r="G49" s="648">
        <f t="shared" si="1"/>
        <v>-1.2</v>
      </c>
    </row>
    <row r="50" spans="1:7" s="309" customFormat="1" ht="14.5">
      <c r="A50" s="764"/>
      <c r="B50" s="764" t="s">
        <v>481</v>
      </c>
      <c r="C50" s="765"/>
      <c r="D50" s="764"/>
      <c r="E50" s="766"/>
      <c r="F50" s="766"/>
      <c r="G50" s="767">
        <f>SUM(G39:G49)</f>
        <v>41.679999999999993</v>
      </c>
    </row>
    <row r="51" spans="1:7" s="309" customFormat="1" ht="14.5">
      <c r="A51" s="764"/>
      <c r="B51" s="764" t="s">
        <v>1897</v>
      </c>
      <c r="C51" s="765"/>
      <c r="D51" s="764"/>
      <c r="E51" s="766"/>
      <c r="F51" s="766"/>
      <c r="G51" s="767">
        <f>G50</f>
        <v>41.679999999999993</v>
      </c>
    </row>
    <row r="52" spans="1:7" s="309" customFormat="1" ht="14.5">
      <c r="A52" s="764"/>
      <c r="B52" s="764" t="s">
        <v>1898</v>
      </c>
      <c r="C52" s="765"/>
      <c r="D52" s="764"/>
      <c r="E52" s="766"/>
      <c r="F52" s="766"/>
      <c r="G52" s="767"/>
    </row>
    <row r="53" spans="1:7" s="309" customFormat="1" ht="14.5">
      <c r="A53" s="764"/>
      <c r="B53" s="764" t="s">
        <v>813</v>
      </c>
      <c r="C53" s="765"/>
      <c r="D53" s="764"/>
      <c r="E53" s="766"/>
      <c r="F53" s="766"/>
      <c r="G53" s="767">
        <f>SUM(G51:G52)</f>
        <v>41.679999999999993</v>
      </c>
    </row>
    <row r="54" spans="1:7" s="309" customFormat="1" ht="14.5">
      <c r="A54" s="752"/>
      <c r="B54" s="752"/>
      <c r="C54" s="753"/>
      <c r="D54" s="752"/>
      <c r="E54" s="754"/>
      <c r="F54" s="754"/>
      <c r="G54" s="656"/>
    </row>
    <row r="55" spans="1:7" s="638" customFormat="1" ht="39">
      <c r="A55" s="757">
        <v>12</v>
      </c>
      <c r="B55" s="756" t="s">
        <v>116</v>
      </c>
      <c r="C55" s="753"/>
      <c r="D55" s="761"/>
      <c r="E55" s="761"/>
      <c r="F55" s="754"/>
      <c r="G55" s="656"/>
    </row>
    <row r="56" spans="1:7" s="309" customFormat="1" ht="14.5">
      <c r="A56" s="773">
        <v>12.01</v>
      </c>
      <c r="B56" s="644" t="s">
        <v>498</v>
      </c>
      <c r="C56" s="645">
        <v>1</v>
      </c>
      <c r="D56" s="312">
        <v>12.4</v>
      </c>
      <c r="E56" s="312">
        <v>3.44</v>
      </c>
      <c r="F56" s="647">
        <v>0.05</v>
      </c>
      <c r="G56" s="648">
        <f>F56*E56*D56</f>
        <v>2.1328</v>
      </c>
    </row>
    <row r="57" spans="1:7" s="309" customFormat="1" ht="14.5">
      <c r="A57" s="773">
        <v>12.02</v>
      </c>
      <c r="B57" s="644" t="s">
        <v>499</v>
      </c>
      <c r="C57" s="645">
        <v>1</v>
      </c>
      <c r="D57" s="312">
        <v>11.91</v>
      </c>
      <c r="E57" s="312">
        <v>5.52</v>
      </c>
      <c r="F57" s="647">
        <v>0.05</v>
      </c>
      <c r="G57" s="648">
        <f t="shared" ref="G57:G58" si="2">F57*E57*D57</f>
        <v>3.2871599999999996</v>
      </c>
    </row>
    <row r="58" spans="1:7" s="309" customFormat="1" ht="14.5">
      <c r="A58" s="773">
        <v>12.03</v>
      </c>
      <c r="B58" s="644" t="s">
        <v>500</v>
      </c>
      <c r="C58" s="645">
        <v>1</v>
      </c>
      <c r="D58" s="312">
        <v>11.91</v>
      </c>
      <c r="E58" s="312">
        <v>3.19</v>
      </c>
      <c r="F58" s="647">
        <v>0.05</v>
      </c>
      <c r="G58" s="648">
        <f t="shared" si="2"/>
        <v>1.899645</v>
      </c>
    </row>
    <row r="59" spans="1:7" s="309" customFormat="1" ht="14.5">
      <c r="A59" s="773"/>
      <c r="B59" s="774"/>
      <c r="D59" s="649"/>
      <c r="E59" s="647"/>
      <c r="F59" s="645"/>
      <c r="G59" s="648"/>
    </row>
    <row r="60" spans="1:7" s="309" customFormat="1" ht="14.5">
      <c r="A60" s="764"/>
      <c r="B60" s="764" t="s">
        <v>481</v>
      </c>
      <c r="C60" s="765"/>
      <c r="D60" s="764"/>
      <c r="E60" s="766"/>
      <c r="F60" s="766"/>
      <c r="G60" s="767">
        <f>SUM(G56:G57)</f>
        <v>5.4199599999999997</v>
      </c>
    </row>
    <row r="61" spans="1:7" s="309" customFormat="1" ht="14.5">
      <c r="A61" s="752"/>
      <c r="B61" s="752"/>
      <c r="C61" s="753"/>
      <c r="D61" s="752"/>
      <c r="E61" s="754"/>
      <c r="F61" s="754"/>
      <c r="G61" s="656"/>
    </row>
    <row r="62" spans="1:7" s="309" customFormat="1" ht="26">
      <c r="A62" s="775">
        <v>13</v>
      </c>
      <c r="B62" s="50" t="s">
        <v>118</v>
      </c>
      <c r="C62" s="753"/>
      <c r="D62" s="752"/>
      <c r="E62" s="754"/>
      <c r="F62" s="754"/>
      <c r="G62" s="656"/>
    </row>
    <row r="63" spans="1:7" s="309" customFormat="1" ht="14.5">
      <c r="A63" s="773">
        <v>13.01</v>
      </c>
      <c r="B63" s="644" t="s">
        <v>501</v>
      </c>
      <c r="C63" s="645">
        <v>1</v>
      </c>
      <c r="D63" s="312">
        <v>31.91</v>
      </c>
      <c r="E63" s="312">
        <v>1</v>
      </c>
      <c r="F63" s="647"/>
      <c r="G63" s="648">
        <f>D63*E63</f>
        <v>31.91</v>
      </c>
    </row>
    <row r="64" spans="1:7" s="309" customFormat="1" ht="14.5">
      <c r="A64" s="773">
        <v>13.02</v>
      </c>
      <c r="B64" s="644" t="s">
        <v>502</v>
      </c>
      <c r="C64" s="645">
        <v>1</v>
      </c>
      <c r="D64" s="1129">
        <v>15</v>
      </c>
      <c r="E64" s="312">
        <v>1</v>
      </c>
      <c r="F64" s="647"/>
      <c r="G64" s="648">
        <f>D64*E64</f>
        <v>15</v>
      </c>
    </row>
    <row r="65" spans="1:7" s="309" customFormat="1" ht="14.5">
      <c r="A65" s="773">
        <v>13.03</v>
      </c>
      <c r="B65" s="644" t="s">
        <v>503</v>
      </c>
      <c r="C65" s="645">
        <v>1</v>
      </c>
      <c r="D65" s="1129">
        <v>22</v>
      </c>
      <c r="E65" s="312">
        <v>1</v>
      </c>
      <c r="F65" s="647"/>
      <c r="G65" s="648">
        <f>D65*E65</f>
        <v>22</v>
      </c>
    </row>
    <row r="66" spans="1:7" s="309" customFormat="1" ht="14.5">
      <c r="A66" s="764"/>
      <c r="B66" s="764" t="s">
        <v>481</v>
      </c>
      <c r="C66" s="765"/>
      <c r="D66" s="764"/>
      <c r="E66" s="766"/>
      <c r="F66" s="766"/>
      <c r="G66" s="767">
        <f>SUM(G62:G65)</f>
        <v>68.91</v>
      </c>
    </row>
    <row r="67" spans="1:7" s="309" customFormat="1" ht="14.5">
      <c r="A67" s="752"/>
      <c r="B67" s="752"/>
      <c r="C67" s="753"/>
      <c r="D67" s="752"/>
      <c r="E67" s="754"/>
      <c r="F67" s="754"/>
      <c r="G67" s="656"/>
    </row>
    <row r="68" spans="1:7" s="26" customFormat="1" ht="26">
      <c r="A68" s="775">
        <v>14</v>
      </c>
      <c r="B68" s="776" t="s">
        <v>119</v>
      </c>
      <c r="C68" s="43"/>
      <c r="D68" s="44"/>
      <c r="E68" s="777"/>
      <c r="F68" s="778"/>
      <c r="G68" s="778"/>
    </row>
    <row r="69" spans="1:7" s="309" customFormat="1" ht="14.5">
      <c r="A69" s="649">
        <v>14.01</v>
      </c>
      <c r="B69" s="649" t="s">
        <v>482</v>
      </c>
      <c r="C69" s="645">
        <v>2</v>
      </c>
      <c r="D69" s="649">
        <v>1.9</v>
      </c>
      <c r="E69" s="647">
        <v>3.35</v>
      </c>
      <c r="F69" s="647"/>
      <c r="G69" s="648">
        <f t="shared" ref="G69:G78" si="3">E69*D69*C69</f>
        <v>12.73</v>
      </c>
    </row>
    <row r="70" spans="1:7" s="309" customFormat="1" ht="14.5">
      <c r="A70" s="649">
        <v>14.02</v>
      </c>
      <c r="B70" s="649" t="s">
        <v>483</v>
      </c>
      <c r="C70" s="645">
        <v>2</v>
      </c>
      <c r="D70" s="649">
        <v>1.1599999999999999</v>
      </c>
      <c r="E70" s="647">
        <v>3.35</v>
      </c>
      <c r="F70" s="647"/>
      <c r="G70" s="648">
        <f t="shared" si="3"/>
        <v>7.7719999999999994</v>
      </c>
    </row>
    <row r="71" spans="1:7" s="309" customFormat="1" ht="14.5">
      <c r="A71" s="649">
        <v>14.03</v>
      </c>
      <c r="B71" s="309" t="s">
        <v>484</v>
      </c>
      <c r="C71" s="645">
        <v>2</v>
      </c>
      <c r="D71" s="649">
        <v>4.5</v>
      </c>
      <c r="E71" s="647">
        <v>4.1500000000000004</v>
      </c>
      <c r="F71" s="647"/>
      <c r="G71" s="648">
        <f t="shared" si="3"/>
        <v>37.35</v>
      </c>
    </row>
    <row r="72" spans="1:7" s="309" customFormat="1" ht="14.5">
      <c r="A72" s="649">
        <v>14.04</v>
      </c>
      <c r="B72" s="649" t="s">
        <v>495</v>
      </c>
      <c r="C72" s="645">
        <v>1</v>
      </c>
      <c r="D72" s="649">
        <v>9.6950000000000003</v>
      </c>
      <c r="E72" s="647">
        <v>2</v>
      </c>
      <c r="F72" s="647"/>
      <c r="G72" s="648">
        <f t="shared" si="3"/>
        <v>19.39</v>
      </c>
    </row>
    <row r="73" spans="1:7" s="309" customFormat="1" ht="14.5">
      <c r="A73" s="649">
        <v>14.05</v>
      </c>
      <c r="B73" s="649" t="s">
        <v>496</v>
      </c>
      <c r="C73" s="645">
        <v>2</v>
      </c>
      <c r="D73" s="649">
        <v>5.31</v>
      </c>
      <c r="E73" s="647">
        <v>4.1500000000000004</v>
      </c>
      <c r="F73" s="647"/>
      <c r="G73" s="648">
        <f t="shared" si="3"/>
        <v>44.073</v>
      </c>
    </row>
    <row r="74" spans="1:7" s="309" customFormat="1" ht="14.5">
      <c r="A74" s="649">
        <v>14.06</v>
      </c>
      <c r="B74" s="649" t="s">
        <v>486</v>
      </c>
      <c r="C74" s="645">
        <v>2</v>
      </c>
      <c r="D74" s="649">
        <v>2.5</v>
      </c>
      <c r="E74" s="647">
        <v>4.1500000000000004</v>
      </c>
      <c r="F74" s="647"/>
      <c r="G74" s="648">
        <f t="shared" si="3"/>
        <v>20.75</v>
      </c>
    </row>
    <row r="75" spans="1:7" s="309" customFormat="1" ht="14.5">
      <c r="A75" s="649">
        <v>14.07</v>
      </c>
      <c r="B75" s="649" t="s">
        <v>487</v>
      </c>
      <c r="C75" s="645">
        <v>2</v>
      </c>
      <c r="D75" s="649">
        <v>2.5</v>
      </c>
      <c r="E75" s="647">
        <v>2.8</v>
      </c>
      <c r="F75" s="647"/>
      <c r="G75" s="648">
        <f t="shared" si="3"/>
        <v>14</v>
      </c>
    </row>
    <row r="76" spans="1:7" s="309" customFormat="1" ht="14.5">
      <c r="A76" s="649">
        <v>14.08</v>
      </c>
      <c r="B76" s="762" t="s">
        <v>504</v>
      </c>
      <c r="C76" s="645">
        <v>1</v>
      </c>
      <c r="D76" s="649">
        <v>2.8</v>
      </c>
      <c r="E76" s="647">
        <v>2</v>
      </c>
      <c r="F76" s="647"/>
      <c r="G76" s="648">
        <f t="shared" si="3"/>
        <v>5.6</v>
      </c>
    </row>
    <row r="77" spans="1:7" s="309" customFormat="1" ht="14.5">
      <c r="A77" s="649">
        <v>14.09</v>
      </c>
      <c r="B77" s="762" t="s">
        <v>488</v>
      </c>
      <c r="C77" s="645">
        <v>1</v>
      </c>
      <c r="D77" s="649">
        <v>1.88</v>
      </c>
      <c r="E77" s="647">
        <v>2.65</v>
      </c>
      <c r="F77" s="647"/>
      <c r="G77" s="648">
        <f t="shared" si="3"/>
        <v>4.9819999999999993</v>
      </c>
    </row>
    <row r="78" spans="1:7" s="309" customFormat="1" ht="14.5">
      <c r="A78" s="649">
        <v>14.08</v>
      </c>
      <c r="B78" s="649" t="s">
        <v>489</v>
      </c>
      <c r="C78" s="645">
        <v>2</v>
      </c>
      <c r="D78" s="649">
        <v>2.2000000000000002</v>
      </c>
      <c r="E78" s="647">
        <v>4.1500000000000004</v>
      </c>
      <c r="F78" s="647"/>
      <c r="G78" s="648">
        <f t="shared" si="3"/>
        <v>18.260000000000002</v>
      </c>
    </row>
    <row r="79" spans="1:7" s="309" customFormat="1" ht="14.5">
      <c r="A79" s="649"/>
      <c r="B79" s="769" t="s">
        <v>490</v>
      </c>
      <c r="C79" s="645"/>
      <c r="D79" s="649"/>
      <c r="E79" s="647"/>
      <c r="F79" s="647"/>
      <c r="G79" s="648"/>
    </row>
    <row r="80" spans="1:7" s="309" customFormat="1" ht="14.5">
      <c r="A80" s="649"/>
      <c r="B80" s="769" t="s">
        <v>491</v>
      </c>
      <c r="C80" s="770">
        <v>-1</v>
      </c>
      <c r="D80" s="771">
        <v>0.92</v>
      </c>
      <c r="E80" s="772">
        <v>2.4</v>
      </c>
      <c r="F80" s="647"/>
      <c r="G80" s="648">
        <f>E80*D80*C80</f>
        <v>-2.2080000000000002</v>
      </c>
    </row>
    <row r="81" spans="1:7" s="309" customFormat="1" ht="14.5">
      <c r="A81" s="649"/>
      <c r="B81" s="769" t="s">
        <v>492</v>
      </c>
      <c r="C81" s="770">
        <v>-1</v>
      </c>
      <c r="D81" s="771">
        <v>1.2</v>
      </c>
      <c r="E81" s="772">
        <v>2.4</v>
      </c>
      <c r="F81" s="647"/>
      <c r="G81" s="648">
        <f>E81*D81*C81</f>
        <v>-2.88</v>
      </c>
    </row>
    <row r="82" spans="1:7" s="309" customFormat="1" ht="14.5">
      <c r="A82" s="764"/>
      <c r="B82" s="764" t="s">
        <v>481</v>
      </c>
      <c r="C82" s="765"/>
      <c r="D82" s="764"/>
      <c r="E82" s="766"/>
      <c r="F82" s="766"/>
      <c r="G82" s="767">
        <f>SUM(G69:G81)</f>
        <v>179.81899999999999</v>
      </c>
    </row>
    <row r="83" spans="1:7" s="309" customFormat="1" ht="14.5">
      <c r="A83" s="764"/>
      <c r="B83" s="764" t="s">
        <v>1897</v>
      </c>
      <c r="C83" s="765"/>
      <c r="D83" s="764"/>
      <c r="E83" s="766"/>
      <c r="F83" s="766"/>
      <c r="G83" s="767">
        <v>122.11</v>
      </c>
    </row>
    <row r="84" spans="1:7" s="309" customFormat="1" ht="14.5">
      <c r="A84" s="764"/>
      <c r="B84" s="764" t="s">
        <v>1898</v>
      </c>
      <c r="C84" s="765"/>
      <c r="D84" s="764"/>
      <c r="E84" s="766"/>
      <c r="F84" s="766"/>
      <c r="G84" s="767">
        <f>G82-G83</f>
        <v>57.708999999999989</v>
      </c>
    </row>
    <row r="85" spans="1:7" s="309" customFormat="1" ht="14.5">
      <c r="A85" s="764"/>
      <c r="B85" s="764" t="s">
        <v>813</v>
      </c>
      <c r="C85" s="765"/>
      <c r="D85" s="764"/>
      <c r="E85" s="766"/>
      <c r="F85" s="766"/>
      <c r="G85" s="767">
        <f>SUM(G83:G84)</f>
        <v>179.81899999999999</v>
      </c>
    </row>
    <row r="86" spans="1:7" s="309" customFormat="1" ht="14.5">
      <c r="A86" s="752"/>
      <c r="B86" s="752"/>
      <c r="C86" s="753"/>
      <c r="D86" s="752"/>
      <c r="E86" s="754"/>
      <c r="F86" s="754"/>
      <c r="G86" s="656"/>
    </row>
    <row r="87" spans="1:7" s="638" customFormat="1" ht="78.5">
      <c r="A87" s="757">
        <v>15</v>
      </c>
      <c r="B87" s="779" t="s">
        <v>505</v>
      </c>
      <c r="C87" s="753"/>
      <c r="D87" s="752"/>
      <c r="E87" s="754"/>
      <c r="F87" s="754"/>
      <c r="G87" s="656"/>
    </row>
    <row r="88" spans="1:7" s="309" customFormat="1" ht="14.5">
      <c r="A88" s="649">
        <v>15.01</v>
      </c>
      <c r="B88" s="649" t="s">
        <v>506</v>
      </c>
      <c r="C88" s="645">
        <v>1</v>
      </c>
      <c r="D88" s="649">
        <v>9.5</v>
      </c>
      <c r="E88" s="647">
        <v>2.48</v>
      </c>
      <c r="F88" s="647"/>
      <c r="G88" s="648">
        <f t="shared" ref="G88:G95" si="4">E88*D88*C88</f>
        <v>23.56</v>
      </c>
    </row>
    <row r="89" spans="1:7" s="309" customFormat="1" ht="14.5">
      <c r="A89" s="649">
        <v>15.02</v>
      </c>
      <c r="B89" s="649" t="s">
        <v>1842</v>
      </c>
      <c r="C89" s="645">
        <v>1</v>
      </c>
      <c r="D89" s="1113">
        <v>5.32</v>
      </c>
      <c r="E89" s="647">
        <v>1</v>
      </c>
      <c r="F89" s="647"/>
      <c r="G89" s="648">
        <f t="shared" si="4"/>
        <v>5.32</v>
      </c>
    </row>
    <row r="90" spans="1:7" s="309" customFormat="1" ht="14.5">
      <c r="A90" s="649"/>
      <c r="B90" s="769" t="s">
        <v>490</v>
      </c>
      <c r="C90" s="645"/>
      <c r="D90" s="649"/>
      <c r="E90" s="647"/>
      <c r="F90" s="647"/>
      <c r="G90" s="648"/>
    </row>
    <row r="91" spans="1:7" s="309" customFormat="1" ht="14.5">
      <c r="A91" s="649"/>
      <c r="B91" s="769" t="s">
        <v>509</v>
      </c>
      <c r="C91" s="770">
        <v>-1</v>
      </c>
      <c r="D91" s="771">
        <v>0.95</v>
      </c>
      <c r="E91" s="780">
        <v>0.15</v>
      </c>
      <c r="F91" s="772"/>
      <c r="G91" s="781">
        <f t="shared" si="4"/>
        <v>-0.14249999999999999</v>
      </c>
    </row>
    <row r="92" spans="1:7" s="309" customFormat="1" ht="14.5">
      <c r="A92" s="649"/>
      <c r="B92" s="769" t="s">
        <v>509</v>
      </c>
      <c r="C92" s="770">
        <v>-1</v>
      </c>
      <c r="D92" s="771">
        <v>0.3</v>
      </c>
      <c r="E92" s="772">
        <v>0.8</v>
      </c>
      <c r="F92" s="772"/>
      <c r="G92" s="781">
        <f t="shared" si="4"/>
        <v>-0.24</v>
      </c>
    </row>
    <row r="93" spans="1:7" s="309" customFormat="1" ht="14.5">
      <c r="A93" s="649"/>
      <c r="B93" s="769" t="s">
        <v>510</v>
      </c>
      <c r="C93" s="770">
        <v>-1</v>
      </c>
      <c r="D93" s="771">
        <v>0.9</v>
      </c>
      <c r="E93" s="780">
        <v>0.15</v>
      </c>
      <c r="F93" s="772"/>
      <c r="G93" s="781">
        <f t="shared" si="4"/>
        <v>-0.13500000000000001</v>
      </c>
    </row>
    <row r="94" spans="1:7" s="309" customFormat="1" ht="14.5">
      <c r="A94" s="649"/>
      <c r="B94" s="769" t="s">
        <v>511</v>
      </c>
      <c r="C94" s="770">
        <v>-1</v>
      </c>
      <c r="D94" s="771">
        <v>0.73</v>
      </c>
      <c r="E94" s="780">
        <v>0.15</v>
      </c>
      <c r="F94" s="772"/>
      <c r="G94" s="781">
        <f t="shared" si="4"/>
        <v>-0.1095</v>
      </c>
    </row>
    <row r="95" spans="1:7" s="309" customFormat="1" ht="14.5">
      <c r="A95" s="649"/>
      <c r="B95" s="769" t="s">
        <v>512</v>
      </c>
      <c r="C95" s="770">
        <v>-1</v>
      </c>
      <c r="D95" s="771">
        <v>0.59</v>
      </c>
      <c r="E95" s="772">
        <v>0.72</v>
      </c>
      <c r="F95" s="772"/>
      <c r="G95" s="781">
        <f t="shared" si="4"/>
        <v>-0.42479999999999996</v>
      </c>
    </row>
    <row r="96" spans="1:7" s="309" customFormat="1" ht="14.5">
      <c r="A96" s="649"/>
      <c r="B96" s="649"/>
      <c r="C96" s="645"/>
      <c r="D96" s="649"/>
      <c r="E96" s="647"/>
      <c r="F96" s="647"/>
      <c r="G96" s="648"/>
    </row>
    <row r="97" spans="1:7" s="309" customFormat="1" ht="14.5">
      <c r="A97" s="764"/>
      <c r="B97" s="782" t="s">
        <v>481</v>
      </c>
      <c r="C97" s="765"/>
      <c r="D97" s="764"/>
      <c r="E97" s="766"/>
      <c r="F97" s="766"/>
      <c r="G97" s="767">
        <f>SUM(G88:G95)</f>
        <v>27.828199999999999</v>
      </c>
    </row>
    <row r="98" spans="1:7" s="309" customFormat="1" ht="14.5">
      <c r="A98" s="752"/>
      <c r="B98" s="752"/>
      <c r="C98" s="753"/>
      <c r="D98" s="752"/>
      <c r="E98" s="754"/>
      <c r="F98" s="754"/>
      <c r="G98" s="656"/>
    </row>
    <row r="99" spans="1:7" s="638" customFormat="1" ht="65.5">
      <c r="A99" s="757">
        <v>18</v>
      </c>
      <c r="B99" s="779" t="s">
        <v>129</v>
      </c>
      <c r="C99" s="753"/>
      <c r="D99" s="752"/>
      <c r="E99" s="754"/>
      <c r="F99" s="754"/>
      <c r="G99" s="656"/>
    </row>
    <row r="100" spans="1:7" s="309" customFormat="1" ht="14.5">
      <c r="A100" s="649">
        <v>18.010000000000002</v>
      </c>
      <c r="B100" s="649" t="s">
        <v>513</v>
      </c>
      <c r="C100" s="645">
        <v>1</v>
      </c>
      <c r="D100" s="649">
        <v>2.8</v>
      </c>
      <c r="E100" s="647">
        <v>0.6</v>
      </c>
      <c r="F100" s="647"/>
      <c r="G100" s="648">
        <f>E100*D100*C100</f>
        <v>1.68</v>
      </c>
    </row>
    <row r="101" spans="1:7" s="309" customFormat="1" ht="14.5">
      <c r="A101" s="649">
        <v>18.02</v>
      </c>
      <c r="B101" s="649" t="s">
        <v>514</v>
      </c>
      <c r="C101" s="645">
        <v>1</v>
      </c>
      <c r="D101" s="649">
        <v>3.8</v>
      </c>
      <c r="E101" s="647">
        <v>0.6</v>
      </c>
      <c r="F101" s="647"/>
      <c r="G101" s="648">
        <f>E101*D101*C101</f>
        <v>2.2799999999999998</v>
      </c>
    </row>
    <row r="102" spans="1:7" s="309" customFormat="1" ht="14.5">
      <c r="A102" s="764"/>
      <c r="B102" s="783" t="s">
        <v>481</v>
      </c>
      <c r="C102" s="765"/>
      <c r="D102" s="764"/>
      <c r="E102" s="766"/>
      <c r="F102" s="766"/>
      <c r="G102" s="767">
        <f>SUM(G99:G101)</f>
        <v>3.96</v>
      </c>
    </row>
    <row r="103" spans="1:7" s="309" customFormat="1" ht="14.5">
      <c r="A103" s="752"/>
      <c r="B103" s="784"/>
      <c r="C103" s="753"/>
      <c r="D103" s="752"/>
      <c r="E103" s="754"/>
      <c r="F103" s="754"/>
      <c r="G103" s="656"/>
    </row>
    <row r="104" spans="1:7" s="638" customFormat="1" ht="65">
      <c r="A104" s="757">
        <v>19</v>
      </c>
      <c r="B104" s="756" t="s">
        <v>131</v>
      </c>
      <c r="C104" s="753"/>
      <c r="D104" s="752"/>
      <c r="E104" s="754"/>
      <c r="F104" s="754"/>
      <c r="G104" s="656"/>
    </row>
    <row r="105" spans="1:7" s="309" customFormat="1" ht="14.5">
      <c r="A105" s="649">
        <v>19.010000000000002</v>
      </c>
      <c r="B105" s="650" t="s">
        <v>515</v>
      </c>
      <c r="C105" s="645">
        <v>1</v>
      </c>
      <c r="D105" s="649">
        <v>4.7</v>
      </c>
      <c r="E105" s="647">
        <v>2.4</v>
      </c>
      <c r="F105" s="647"/>
      <c r="G105" s="648">
        <f>E105*D105*C105</f>
        <v>11.28</v>
      </c>
    </row>
    <row r="106" spans="1:7" s="309" customFormat="1" ht="14.5">
      <c r="A106" s="649">
        <v>19.02</v>
      </c>
      <c r="B106" s="762" t="s">
        <v>516</v>
      </c>
      <c r="C106" s="645">
        <v>1</v>
      </c>
      <c r="D106" s="649">
        <v>5.07</v>
      </c>
      <c r="E106" s="647">
        <v>2.4</v>
      </c>
      <c r="F106" s="647"/>
      <c r="G106" s="648">
        <f t="shared" ref="G106:G118" si="5">E106*D106*C106</f>
        <v>12.168000000000001</v>
      </c>
    </row>
    <row r="107" spans="1:7" s="309" customFormat="1" ht="14.5">
      <c r="A107" s="649">
        <v>19.03</v>
      </c>
      <c r="B107" s="762" t="s">
        <v>517</v>
      </c>
      <c r="C107" s="645">
        <v>1</v>
      </c>
      <c r="D107" s="649">
        <v>2.06</v>
      </c>
      <c r="E107" s="647">
        <v>2.4</v>
      </c>
      <c r="F107" s="647"/>
      <c r="G107" s="648">
        <f t="shared" si="5"/>
        <v>4.944</v>
      </c>
    </row>
    <row r="108" spans="1:7" s="309" customFormat="1" ht="14.5">
      <c r="A108" s="649">
        <v>19.04</v>
      </c>
      <c r="B108" s="762" t="s">
        <v>518</v>
      </c>
      <c r="C108" s="645">
        <v>1</v>
      </c>
      <c r="D108" s="649">
        <v>2.68</v>
      </c>
      <c r="E108" s="647">
        <v>2.4</v>
      </c>
      <c r="F108" s="647"/>
      <c r="G108" s="648">
        <f t="shared" si="5"/>
        <v>6.4320000000000004</v>
      </c>
    </row>
    <row r="109" spans="1:7" s="309" customFormat="1" ht="14.5">
      <c r="A109" s="649">
        <v>19.05</v>
      </c>
      <c r="B109" s="762" t="s">
        <v>519</v>
      </c>
      <c r="C109" s="645">
        <v>2</v>
      </c>
      <c r="D109" s="649">
        <v>2.4500000000000002</v>
      </c>
      <c r="E109" s="647">
        <v>2.4</v>
      </c>
      <c r="F109" s="647"/>
      <c r="G109" s="648">
        <f t="shared" si="5"/>
        <v>11.76</v>
      </c>
    </row>
    <row r="110" spans="1:7" s="309" customFormat="1" ht="14.5">
      <c r="A110" s="649">
        <v>19.059999999999999</v>
      </c>
      <c r="B110" s="762" t="s">
        <v>504</v>
      </c>
      <c r="C110" s="645">
        <v>1</v>
      </c>
      <c r="D110" s="649">
        <v>2.84</v>
      </c>
      <c r="E110" s="647">
        <v>2.4</v>
      </c>
      <c r="F110" s="647"/>
      <c r="G110" s="648">
        <f t="shared" si="5"/>
        <v>6.8159999999999998</v>
      </c>
    </row>
    <row r="111" spans="1:7" s="309" customFormat="1" ht="14.5">
      <c r="A111" s="649">
        <v>19.07</v>
      </c>
      <c r="B111" s="762" t="s">
        <v>488</v>
      </c>
      <c r="C111" s="645">
        <v>1</v>
      </c>
      <c r="D111" s="649">
        <v>1.88</v>
      </c>
      <c r="E111" s="647">
        <v>2.4</v>
      </c>
      <c r="F111" s="647"/>
      <c r="G111" s="648">
        <f t="shared" si="5"/>
        <v>4.5119999999999996</v>
      </c>
    </row>
    <row r="112" spans="1:7" s="309" customFormat="1" ht="14.5">
      <c r="A112" s="649">
        <v>19.079999999999998</v>
      </c>
      <c r="B112" s="762" t="s">
        <v>520</v>
      </c>
      <c r="C112" s="645">
        <v>2</v>
      </c>
      <c r="D112" s="649">
        <v>2.46</v>
      </c>
      <c r="E112" s="647">
        <v>2.4</v>
      </c>
      <c r="F112" s="647"/>
      <c r="G112" s="648">
        <f t="shared" si="5"/>
        <v>11.808</v>
      </c>
    </row>
    <row r="113" spans="1:7" s="309" customFormat="1" ht="14.5">
      <c r="A113" s="649">
        <v>19.09</v>
      </c>
      <c r="B113" s="762" t="s">
        <v>521</v>
      </c>
      <c r="C113" s="645">
        <v>1</v>
      </c>
      <c r="D113" s="649">
        <v>4.51</v>
      </c>
      <c r="E113" s="647">
        <v>2.4</v>
      </c>
      <c r="F113" s="647"/>
      <c r="G113" s="648">
        <f t="shared" si="5"/>
        <v>10.824</v>
      </c>
    </row>
    <row r="114" spans="1:7" s="309" customFormat="1" ht="14.5">
      <c r="A114" s="649">
        <v>19.100000000000001</v>
      </c>
      <c r="B114" s="762" t="s">
        <v>522</v>
      </c>
      <c r="C114" s="645">
        <v>1</v>
      </c>
      <c r="D114" s="1113">
        <v>1.284</v>
      </c>
      <c r="E114" s="1112">
        <v>2.4</v>
      </c>
      <c r="F114" s="647"/>
      <c r="G114" s="648"/>
    </row>
    <row r="115" spans="1:7" s="309" customFormat="1" ht="14.5">
      <c r="A115" s="649">
        <v>19.11</v>
      </c>
      <c r="B115" s="762" t="s">
        <v>523</v>
      </c>
      <c r="C115" s="645">
        <v>1</v>
      </c>
      <c r="D115" s="1113">
        <v>1.284</v>
      </c>
      <c r="E115" s="1112">
        <v>2.4</v>
      </c>
      <c r="F115" s="647"/>
      <c r="G115" s="648"/>
    </row>
    <row r="116" spans="1:7" s="309" customFormat="1" ht="14.5">
      <c r="A116" s="649"/>
      <c r="B116" s="769" t="s">
        <v>490</v>
      </c>
      <c r="C116" s="645"/>
      <c r="D116" s="649"/>
      <c r="E116" s="647"/>
      <c r="F116" s="647"/>
      <c r="G116" s="648">
        <f t="shared" si="5"/>
        <v>0</v>
      </c>
    </row>
    <row r="117" spans="1:7" s="309" customFormat="1" ht="14.5">
      <c r="A117" s="649"/>
      <c r="B117" s="769" t="s">
        <v>491</v>
      </c>
      <c r="C117" s="770">
        <v>-1</v>
      </c>
      <c r="D117" s="771">
        <v>1.2</v>
      </c>
      <c r="E117" s="772">
        <v>2.4</v>
      </c>
      <c r="F117" s="647"/>
      <c r="G117" s="648">
        <f t="shared" si="5"/>
        <v>-2.88</v>
      </c>
    </row>
    <row r="118" spans="1:7" s="309" customFormat="1" ht="14.5">
      <c r="A118" s="649"/>
      <c r="B118" s="769" t="s">
        <v>524</v>
      </c>
      <c r="C118" s="770">
        <v>-2</v>
      </c>
      <c r="D118" s="771">
        <v>0.9</v>
      </c>
      <c r="E118" s="772">
        <v>2.4</v>
      </c>
      <c r="F118" s="647"/>
      <c r="G118" s="648">
        <f t="shared" si="5"/>
        <v>-4.32</v>
      </c>
    </row>
    <row r="119" spans="1:7" s="309" customFormat="1" ht="14.5">
      <c r="A119" s="764"/>
      <c r="B119" s="783" t="s">
        <v>481</v>
      </c>
      <c r="C119" s="765"/>
      <c r="D119" s="764"/>
      <c r="E119" s="766"/>
      <c r="F119" s="766"/>
      <c r="G119" s="767">
        <f>SUM(G105:G118)</f>
        <v>73.343999999999994</v>
      </c>
    </row>
    <row r="120" spans="1:7" s="309" customFormat="1" ht="14.5">
      <c r="A120" s="752"/>
      <c r="B120" s="785"/>
      <c r="C120" s="753"/>
      <c r="D120" s="752"/>
      <c r="E120" s="754"/>
      <c r="F120" s="754"/>
      <c r="G120" s="656"/>
    </row>
    <row r="121" spans="1:7" s="309" customFormat="1" ht="26">
      <c r="A121" s="757">
        <v>21</v>
      </c>
      <c r="B121" s="756" t="s">
        <v>133</v>
      </c>
      <c r="C121" s="753"/>
      <c r="D121" s="752"/>
      <c r="E121" s="754"/>
      <c r="F121" s="754"/>
      <c r="G121" s="656"/>
    </row>
    <row r="122" spans="1:7" s="309" customFormat="1" ht="14.5">
      <c r="A122" s="649">
        <v>21.01</v>
      </c>
      <c r="B122" s="762" t="s">
        <v>525</v>
      </c>
      <c r="C122" s="645">
        <v>1</v>
      </c>
      <c r="D122" s="649">
        <v>2.9</v>
      </c>
      <c r="E122" s="647">
        <v>0.36</v>
      </c>
      <c r="F122" s="647"/>
      <c r="G122" s="648">
        <f>E122*D122*C122</f>
        <v>1.044</v>
      </c>
    </row>
    <row r="123" spans="1:7" s="309" customFormat="1" ht="14.5">
      <c r="A123" s="649">
        <v>21.02</v>
      </c>
      <c r="B123" s="762" t="s">
        <v>526</v>
      </c>
      <c r="C123" s="645">
        <v>1</v>
      </c>
      <c r="D123" s="649">
        <v>1.365</v>
      </c>
      <c r="E123" s="647">
        <v>0.86</v>
      </c>
      <c r="F123" s="647"/>
      <c r="G123" s="648">
        <f>E123*D123*C123</f>
        <v>1.1738999999999999</v>
      </c>
    </row>
    <row r="124" spans="1:7" s="309" customFormat="1" ht="14.5">
      <c r="A124" s="649">
        <v>21.03</v>
      </c>
      <c r="B124" s="762" t="s">
        <v>527</v>
      </c>
      <c r="C124" s="645">
        <v>1</v>
      </c>
      <c r="D124" s="649">
        <v>3.86</v>
      </c>
      <c r="E124" s="647">
        <v>1.83</v>
      </c>
      <c r="F124" s="647"/>
      <c r="G124" s="648">
        <f>E124*D124*C124</f>
        <v>7.0637999999999996</v>
      </c>
    </row>
    <row r="125" spans="1:7" s="309" customFormat="1" ht="13" customHeight="1">
      <c r="A125" s="649">
        <v>21.04</v>
      </c>
      <c r="B125" s="762" t="s">
        <v>528</v>
      </c>
      <c r="C125" s="645"/>
      <c r="D125" s="649"/>
      <c r="E125" s="647"/>
      <c r="F125" s="647"/>
      <c r="G125" s="648"/>
    </row>
    <row r="126" spans="1:7" s="309" customFormat="1" ht="14.5">
      <c r="A126" s="764"/>
      <c r="B126" s="783" t="s">
        <v>481</v>
      </c>
      <c r="C126" s="765"/>
      <c r="D126" s="764"/>
      <c r="E126" s="766"/>
      <c r="F126" s="766"/>
      <c r="G126" s="767">
        <f>SUM(G122:G125)</f>
        <v>9.2817000000000007</v>
      </c>
    </row>
    <row r="127" spans="1:7" s="309" customFormat="1" ht="14.5">
      <c r="A127" s="764"/>
      <c r="B127" s="764" t="s">
        <v>1897</v>
      </c>
      <c r="C127" s="765"/>
      <c r="D127" s="764"/>
      <c r="E127" s="766"/>
      <c r="F127" s="766"/>
      <c r="G127" s="767">
        <v>7.6</v>
      </c>
    </row>
    <row r="128" spans="1:7" s="309" customFormat="1" ht="14.5">
      <c r="A128" s="764"/>
      <c r="B128" s="764" t="s">
        <v>1898</v>
      </c>
      <c r="C128" s="765"/>
      <c r="D128" s="764"/>
      <c r="E128" s="766"/>
      <c r="F128" s="766"/>
      <c r="G128" s="767">
        <f>G126-G127</f>
        <v>1.6817000000000011</v>
      </c>
    </row>
    <row r="129" spans="1:7" s="309" customFormat="1" ht="14.5">
      <c r="A129" s="764"/>
      <c r="B129" s="764" t="s">
        <v>813</v>
      </c>
      <c r="C129" s="765"/>
      <c r="D129" s="764"/>
      <c r="E129" s="766"/>
      <c r="F129" s="766"/>
      <c r="G129" s="767">
        <f>SUM(G127:G128)</f>
        <v>9.2817000000000007</v>
      </c>
    </row>
    <row r="130" spans="1:7" s="309" customFormat="1" ht="14.5">
      <c r="A130" s="752"/>
      <c r="B130" s="785"/>
      <c r="C130" s="753"/>
      <c r="D130" s="752"/>
      <c r="E130" s="754"/>
      <c r="F130" s="754"/>
      <c r="G130" s="656"/>
    </row>
    <row r="131" spans="1:7" s="309" customFormat="1" ht="65">
      <c r="A131" s="757">
        <v>25</v>
      </c>
      <c r="B131" s="756" t="s">
        <v>142</v>
      </c>
      <c r="C131" s="753"/>
      <c r="D131" s="752"/>
      <c r="E131" s="754"/>
      <c r="F131" s="754"/>
      <c r="G131" s="656"/>
    </row>
    <row r="132" spans="1:7" s="309" customFormat="1" ht="14.5">
      <c r="A132" s="649">
        <v>24.01</v>
      </c>
      <c r="B132" s="762" t="s">
        <v>529</v>
      </c>
      <c r="C132" s="645">
        <v>3</v>
      </c>
      <c r="D132" s="649">
        <v>0.5</v>
      </c>
      <c r="E132" s="647">
        <v>0.48</v>
      </c>
      <c r="F132" s="647"/>
      <c r="G132" s="648">
        <f>E132*D132*C132</f>
        <v>0.72</v>
      </c>
    </row>
    <row r="133" spans="1:7" s="309" customFormat="1" ht="14.5">
      <c r="A133" s="649">
        <v>24.02</v>
      </c>
      <c r="B133" s="762" t="s">
        <v>530</v>
      </c>
      <c r="C133" s="645">
        <v>3</v>
      </c>
      <c r="D133" s="649">
        <v>0.48</v>
      </c>
      <c r="E133" s="647">
        <v>0.28000000000000003</v>
      </c>
      <c r="F133" s="647"/>
      <c r="G133" s="648">
        <f>E133*D133*C133</f>
        <v>0.40320000000000006</v>
      </c>
    </row>
    <row r="134" spans="1:7" s="309" customFormat="1" ht="14.5">
      <c r="A134" s="764"/>
      <c r="B134" s="783" t="s">
        <v>481</v>
      </c>
      <c r="C134" s="765"/>
      <c r="D134" s="764"/>
      <c r="E134" s="766"/>
      <c r="F134" s="766"/>
      <c r="G134" s="767">
        <f>SUM(G132:G133)</f>
        <v>1.1232</v>
      </c>
    </row>
    <row r="135" spans="1:7" s="309" customFormat="1" ht="14.5">
      <c r="A135" s="752"/>
      <c r="B135" s="785"/>
      <c r="C135" s="753"/>
      <c r="D135" s="752"/>
      <c r="E135" s="754"/>
      <c r="F135" s="754"/>
      <c r="G135" s="656"/>
    </row>
    <row r="136" spans="1:7" s="309" customFormat="1" ht="14.5">
      <c r="A136" s="755" t="s">
        <v>138</v>
      </c>
      <c r="B136" s="756" t="s">
        <v>139</v>
      </c>
      <c r="C136" s="753"/>
      <c r="D136" s="752"/>
      <c r="E136" s="754"/>
      <c r="F136" s="754"/>
      <c r="G136" s="656"/>
    </row>
    <row r="137" spans="1:7" s="309" customFormat="1" ht="52">
      <c r="A137" s="757">
        <v>24</v>
      </c>
      <c r="B137" s="644" t="s">
        <v>141</v>
      </c>
      <c r="C137" s="753"/>
      <c r="D137" s="752"/>
      <c r="E137" s="754"/>
      <c r="F137" s="754"/>
      <c r="G137" s="656"/>
    </row>
    <row r="138" spans="1:7" s="309" customFormat="1" ht="14.5">
      <c r="A138" s="649">
        <v>25.01</v>
      </c>
      <c r="B138" s="762" t="s">
        <v>531</v>
      </c>
      <c r="C138" s="645">
        <v>1</v>
      </c>
      <c r="D138" s="649">
        <v>9.9499999999999993</v>
      </c>
      <c r="E138" s="647">
        <v>1</v>
      </c>
      <c r="F138" s="647"/>
      <c r="G138" s="648">
        <f>E138*D138*C138</f>
        <v>9.9499999999999993</v>
      </c>
    </row>
    <row r="139" spans="1:7" s="309" customFormat="1" ht="14.5">
      <c r="A139" s="649">
        <v>25.02</v>
      </c>
      <c r="B139" s="762" t="s">
        <v>532</v>
      </c>
      <c r="C139" s="645">
        <v>1</v>
      </c>
      <c r="D139" s="649">
        <v>1.42</v>
      </c>
      <c r="E139" s="647">
        <v>1.0980000000000001</v>
      </c>
      <c r="F139" s="647"/>
      <c r="G139" s="648">
        <f>E139*D139*C139</f>
        <v>1.5591600000000001</v>
      </c>
    </row>
    <row r="140" spans="1:7" s="309" customFormat="1" ht="14.5">
      <c r="A140" s="752">
        <v>25.03</v>
      </c>
      <c r="B140" s="785" t="s">
        <v>1844</v>
      </c>
      <c r="C140" s="645"/>
      <c r="D140" s="649"/>
      <c r="E140" s="647"/>
      <c r="F140" s="647"/>
      <c r="G140" s="648"/>
    </row>
    <row r="141" spans="1:7" s="309" customFormat="1" ht="14.5">
      <c r="A141" s="647" t="s">
        <v>185</v>
      </c>
      <c r="B141" s="762" t="s">
        <v>723</v>
      </c>
      <c r="C141" s="645">
        <v>1</v>
      </c>
      <c r="D141" s="1130">
        <v>0.45</v>
      </c>
      <c r="E141" s="645">
        <v>1.6</v>
      </c>
      <c r="F141" s="647"/>
      <c r="G141" s="648">
        <f>E141*D141*C141</f>
        <v>0.72000000000000008</v>
      </c>
    </row>
    <row r="142" spans="1:7" s="309" customFormat="1" ht="14.5">
      <c r="A142" s="647" t="s">
        <v>195</v>
      </c>
      <c r="B142" s="762" t="s">
        <v>533</v>
      </c>
      <c r="C142" s="645">
        <v>1</v>
      </c>
      <c r="D142" s="1113">
        <v>2.94</v>
      </c>
      <c r="E142" s="786">
        <v>1</v>
      </c>
      <c r="F142" s="647"/>
      <c r="G142" s="648">
        <f>E142*D142*C142</f>
        <v>2.94</v>
      </c>
    </row>
    <row r="143" spans="1:7" s="309" customFormat="1" ht="14.5">
      <c r="A143" s="647" t="s">
        <v>536</v>
      </c>
      <c r="B143" s="762" t="s">
        <v>1843</v>
      </c>
      <c r="C143" s="645">
        <v>1</v>
      </c>
      <c r="D143" s="1113">
        <v>0.4</v>
      </c>
      <c r="E143" s="647">
        <v>2.46</v>
      </c>
      <c r="F143" s="647"/>
      <c r="G143" s="648">
        <f>E143*D143*C143</f>
        <v>0.98399999999999999</v>
      </c>
    </row>
    <row r="144" spans="1:7" s="309" customFormat="1" ht="14.5">
      <c r="A144" s="764"/>
      <c r="B144" s="783" t="s">
        <v>481</v>
      </c>
      <c r="C144" s="765"/>
      <c r="D144" s="764"/>
      <c r="E144" s="766"/>
      <c r="F144" s="766"/>
      <c r="G144" s="767">
        <f>SUM(G138:G143)</f>
        <v>16.15316</v>
      </c>
    </row>
    <row r="145" spans="1:7" s="309" customFormat="1" ht="14.5">
      <c r="A145" s="752"/>
      <c r="B145" s="785"/>
      <c r="C145" s="753"/>
      <c r="D145" s="752"/>
      <c r="E145" s="754"/>
      <c r="F145" s="754"/>
      <c r="G145" s="656"/>
    </row>
    <row r="146" spans="1:7" s="309" customFormat="1" ht="52">
      <c r="A146" s="757">
        <v>26</v>
      </c>
      <c r="B146" s="787" t="s">
        <v>144</v>
      </c>
      <c r="C146" s="753"/>
      <c r="D146" s="752"/>
      <c r="E146" s="754"/>
      <c r="F146" s="754"/>
      <c r="G146" s="656"/>
    </row>
    <row r="147" spans="1:7" s="309" customFormat="1" ht="14.5">
      <c r="A147" s="649">
        <v>26.01</v>
      </c>
      <c r="B147" s="762" t="s">
        <v>537</v>
      </c>
      <c r="C147" s="645">
        <v>1</v>
      </c>
      <c r="D147" s="649">
        <v>92.46</v>
      </c>
      <c r="E147" s="647">
        <v>1</v>
      </c>
      <c r="F147" s="647"/>
      <c r="G147" s="648">
        <f>E147*D147*C147</f>
        <v>92.46</v>
      </c>
    </row>
    <row r="148" spans="1:7" s="309" customFormat="1" ht="14.5">
      <c r="A148" s="752"/>
      <c r="B148" s="785" t="s">
        <v>481</v>
      </c>
      <c r="C148" s="753"/>
      <c r="D148" s="752"/>
      <c r="E148" s="754"/>
      <c r="F148" s="754"/>
      <c r="G148" s="656">
        <f>SUM(G147:G147)</f>
        <v>92.46</v>
      </c>
    </row>
    <row r="149" spans="1:7" s="309" customFormat="1" ht="14.5">
      <c r="A149" s="764"/>
      <c r="B149" s="764" t="s">
        <v>1897</v>
      </c>
      <c r="C149" s="765"/>
      <c r="D149" s="764"/>
      <c r="E149" s="766"/>
      <c r="F149" s="766"/>
      <c r="G149" s="767">
        <v>90.93</v>
      </c>
    </row>
    <row r="150" spans="1:7" s="309" customFormat="1" ht="14.5">
      <c r="A150" s="764"/>
      <c r="B150" s="764" t="s">
        <v>1898</v>
      </c>
      <c r="C150" s="765"/>
      <c r="D150" s="764"/>
      <c r="E150" s="766"/>
      <c r="F150" s="766"/>
      <c r="G150" s="767">
        <f>G148-G149</f>
        <v>1.5299999999999869</v>
      </c>
    </row>
    <row r="151" spans="1:7" s="309" customFormat="1" ht="14.5">
      <c r="A151" s="764"/>
      <c r="B151" s="764" t="s">
        <v>813</v>
      </c>
      <c r="C151" s="765"/>
      <c r="D151" s="764"/>
      <c r="E151" s="766"/>
      <c r="F151" s="766"/>
      <c r="G151" s="767">
        <f>SUM(G149:G150)</f>
        <v>92.46</v>
      </c>
    </row>
    <row r="152" spans="1:7" s="309" customFormat="1" ht="14.5">
      <c r="A152" s="752"/>
      <c r="B152" s="785"/>
      <c r="C152" s="753"/>
      <c r="D152" s="752"/>
      <c r="E152" s="754"/>
      <c r="F152" s="754"/>
      <c r="G152" s="656"/>
    </row>
    <row r="153" spans="1:7" s="309" customFormat="1" ht="14.5">
      <c r="A153" s="755" t="s">
        <v>145</v>
      </c>
      <c r="B153" s="788" t="s">
        <v>146</v>
      </c>
      <c r="C153" s="753"/>
      <c r="D153" s="752"/>
      <c r="E153" s="754"/>
      <c r="F153" s="754"/>
      <c r="G153" s="656"/>
    </row>
    <row r="154" spans="1:7" s="309" customFormat="1" ht="14.5">
      <c r="A154" s="773"/>
      <c r="B154" s="787"/>
      <c r="C154" s="753"/>
      <c r="D154" s="752"/>
      <c r="E154" s="754"/>
      <c r="F154" s="754"/>
      <c r="G154" s="656"/>
    </row>
    <row r="155" spans="1:7" s="638" customFormat="1" ht="26">
      <c r="A155" s="757">
        <v>27</v>
      </c>
      <c r="B155" s="756" t="s">
        <v>147</v>
      </c>
      <c r="C155" s="753"/>
      <c r="D155" s="752"/>
      <c r="E155" s="754"/>
      <c r="F155" s="754"/>
      <c r="G155" s="656"/>
    </row>
    <row r="156" spans="1:7" s="309" customFormat="1" ht="14.5">
      <c r="A156" s="649">
        <v>27.01</v>
      </c>
      <c r="B156" s="762" t="s">
        <v>538</v>
      </c>
      <c r="C156" s="645">
        <v>1</v>
      </c>
      <c r="D156" s="649">
        <v>3.15</v>
      </c>
      <c r="E156" s="647">
        <v>12.048</v>
      </c>
      <c r="F156" s="647"/>
      <c r="G156" s="648">
        <f>E156*D156*C156</f>
        <v>37.9512</v>
      </c>
    </row>
    <row r="157" spans="1:7" s="309" customFormat="1" ht="14.5">
      <c r="A157" s="649"/>
      <c r="B157" s="769" t="s">
        <v>490</v>
      </c>
      <c r="C157" s="312"/>
      <c r="D157" s="312"/>
      <c r="E157" s="312"/>
      <c r="F157" s="647"/>
      <c r="G157" s="648"/>
    </row>
    <row r="158" spans="1:7" s="309" customFormat="1" ht="14.5">
      <c r="A158" s="649"/>
      <c r="B158" s="769" t="s">
        <v>539</v>
      </c>
      <c r="C158" s="770">
        <v>-1</v>
      </c>
      <c r="D158" s="771">
        <v>0.84</v>
      </c>
      <c r="E158" s="772">
        <v>0.57999999999999996</v>
      </c>
      <c r="F158" s="647"/>
      <c r="G158" s="781">
        <f>E158*D158*C158</f>
        <v>-0.48719999999999997</v>
      </c>
    </row>
    <row r="159" spans="1:7" s="309" customFormat="1" ht="14.5">
      <c r="A159" s="649"/>
      <c r="B159" s="769" t="s">
        <v>540</v>
      </c>
      <c r="C159" s="770">
        <v>-1</v>
      </c>
      <c r="D159" s="771">
        <v>1.9</v>
      </c>
      <c r="E159" s="772">
        <v>0.2</v>
      </c>
      <c r="F159" s="647"/>
      <c r="G159" s="781">
        <f>E159*D159*C159</f>
        <v>-0.38</v>
      </c>
    </row>
    <row r="160" spans="1:7" s="309" customFormat="1" ht="14.5">
      <c r="A160" s="649"/>
      <c r="B160" s="762"/>
      <c r="C160" s="645"/>
      <c r="D160" s="649"/>
      <c r="E160" s="647"/>
      <c r="F160" s="647"/>
      <c r="G160" s="648"/>
    </row>
    <row r="161" spans="1:7" s="309" customFormat="1" ht="14.5">
      <c r="A161" s="764"/>
      <c r="B161" s="783" t="s">
        <v>481</v>
      </c>
      <c r="C161" s="765"/>
      <c r="D161" s="764"/>
      <c r="E161" s="766"/>
      <c r="F161" s="766"/>
      <c r="G161" s="767">
        <f>SUM(G155:G159)</f>
        <v>37.083999999999996</v>
      </c>
    </row>
    <row r="162" spans="1:7" s="309" customFormat="1" ht="14.5">
      <c r="A162" s="764"/>
      <c r="B162" s="764" t="s">
        <v>1897</v>
      </c>
      <c r="C162" s="765"/>
      <c r="D162" s="764"/>
      <c r="E162" s="766"/>
      <c r="F162" s="766"/>
      <c r="G162" s="767">
        <v>35</v>
      </c>
    </row>
    <row r="163" spans="1:7" s="309" customFormat="1" ht="14.5">
      <c r="A163" s="764"/>
      <c r="B163" s="764" t="s">
        <v>1898</v>
      </c>
      <c r="C163" s="765"/>
      <c r="D163" s="764"/>
      <c r="E163" s="766"/>
      <c r="F163" s="766"/>
      <c r="G163" s="767">
        <f>G161-G162</f>
        <v>2.0839999999999961</v>
      </c>
    </row>
    <row r="164" spans="1:7" s="309" customFormat="1" ht="14.5">
      <c r="A164" s="764"/>
      <c r="B164" s="764" t="s">
        <v>813</v>
      </c>
      <c r="C164" s="765"/>
      <c r="D164" s="764"/>
      <c r="E164" s="766"/>
      <c r="F164" s="766"/>
      <c r="G164" s="767">
        <f>SUM(G162:G163)</f>
        <v>37.083999999999996</v>
      </c>
    </row>
    <row r="165" spans="1:7" s="309" customFormat="1" ht="38">
      <c r="A165" s="775">
        <v>28</v>
      </c>
      <c r="B165" s="789" t="s">
        <v>349</v>
      </c>
      <c r="C165" s="753"/>
      <c r="D165" s="752"/>
      <c r="E165" s="754"/>
      <c r="F165" s="754"/>
      <c r="G165" s="656"/>
    </row>
    <row r="166" spans="1:7" s="309" customFormat="1" ht="14.5">
      <c r="A166" s="790"/>
      <c r="B166" s="791" t="s">
        <v>541</v>
      </c>
      <c r="C166" s="753">
        <v>2</v>
      </c>
      <c r="D166" s="752">
        <v>5.79</v>
      </c>
      <c r="E166" s="754"/>
      <c r="F166" s="754"/>
      <c r="G166" s="656">
        <f>D166*C166</f>
        <v>11.58</v>
      </c>
    </row>
    <row r="167" spans="1:7" s="309" customFormat="1" ht="14.5">
      <c r="A167" s="790"/>
      <c r="B167" s="791" t="s">
        <v>542</v>
      </c>
      <c r="C167" s="753">
        <v>2</v>
      </c>
      <c r="D167" s="752">
        <v>6.0970000000000004</v>
      </c>
      <c r="E167" s="754"/>
      <c r="F167" s="754"/>
      <c r="G167" s="656">
        <f>D167*C167</f>
        <v>12.194000000000001</v>
      </c>
    </row>
    <row r="168" spans="1:7" s="309" customFormat="1" ht="14.5">
      <c r="A168" s="752"/>
      <c r="B168" s="785" t="s">
        <v>481</v>
      </c>
      <c r="C168" s="753"/>
      <c r="D168" s="752"/>
      <c r="E168" s="754"/>
      <c r="F168" s="754"/>
      <c r="G168" s="656"/>
    </row>
    <row r="169" spans="1:7" s="309" customFormat="1" ht="14.5">
      <c r="A169" s="752"/>
      <c r="B169" s="785"/>
      <c r="C169" s="753"/>
      <c r="D169" s="752"/>
      <c r="E169" s="754"/>
      <c r="F169" s="754"/>
      <c r="G169" s="656"/>
    </row>
    <row r="170" spans="1:7" s="309" customFormat="1" ht="14.5">
      <c r="A170" s="752"/>
      <c r="B170" s="785"/>
      <c r="C170" s="753"/>
      <c r="D170" s="752"/>
      <c r="E170" s="754"/>
      <c r="F170" s="754"/>
      <c r="G170" s="656"/>
    </row>
    <row r="171" spans="1:7" s="309" customFormat="1" ht="14.5">
      <c r="A171" s="752"/>
      <c r="B171" s="785"/>
      <c r="C171" s="753"/>
      <c r="D171" s="752"/>
      <c r="E171" s="754"/>
      <c r="F171" s="754"/>
      <c r="G171" s="656"/>
    </row>
    <row r="172" spans="1:7" s="638" customFormat="1" ht="65">
      <c r="A172" s="757">
        <v>29</v>
      </c>
      <c r="B172" s="756" t="s">
        <v>153</v>
      </c>
      <c r="C172" s="753"/>
      <c r="D172" s="752"/>
      <c r="E172" s="754"/>
      <c r="F172" s="754"/>
      <c r="G172" s="656"/>
    </row>
    <row r="173" spans="1:7" s="309" customFormat="1" ht="14.5">
      <c r="A173" s="649">
        <v>29.01</v>
      </c>
      <c r="B173" s="762" t="s">
        <v>543</v>
      </c>
      <c r="C173" s="645">
        <v>1</v>
      </c>
      <c r="D173" s="649">
        <v>20</v>
      </c>
      <c r="E173" s="647">
        <v>1</v>
      </c>
      <c r="F173" s="647"/>
      <c r="G173" s="648">
        <f>E173*D173*C173</f>
        <v>20</v>
      </c>
    </row>
    <row r="174" spans="1:7" s="309" customFormat="1" ht="14.5">
      <c r="A174" s="649">
        <v>29.02</v>
      </c>
      <c r="B174" s="762" t="s">
        <v>544</v>
      </c>
      <c r="C174" s="645">
        <v>1</v>
      </c>
      <c r="D174" s="649">
        <v>19</v>
      </c>
      <c r="E174" s="647">
        <v>1</v>
      </c>
      <c r="F174" s="647"/>
      <c r="G174" s="648">
        <f>E174*D174*C174</f>
        <v>19</v>
      </c>
    </row>
    <row r="175" spans="1:7" s="309" customFormat="1" ht="14.5">
      <c r="A175" s="764"/>
      <c r="B175" s="783" t="s">
        <v>545</v>
      </c>
      <c r="C175" s="765"/>
      <c r="D175" s="764"/>
      <c r="E175" s="766"/>
      <c r="F175" s="766"/>
      <c r="G175" s="767">
        <f>SUM(G173:G174)</f>
        <v>39</v>
      </c>
    </row>
    <row r="176" spans="1:7" s="309" customFormat="1" ht="14.5">
      <c r="A176" s="752"/>
      <c r="B176" s="785" t="s">
        <v>546</v>
      </c>
      <c r="C176" s="753"/>
      <c r="D176" s="752"/>
      <c r="E176" s="754"/>
      <c r="F176" s="754"/>
      <c r="G176" s="656">
        <v>9.4999999999999998E-3</v>
      </c>
    </row>
    <row r="177" spans="1:7" s="309" customFormat="1" ht="14.5">
      <c r="A177" s="752"/>
      <c r="B177" s="785"/>
      <c r="C177" s="753"/>
      <c r="D177" s="752"/>
      <c r="E177" s="754"/>
      <c r="F177" s="754"/>
      <c r="G177" s="656"/>
    </row>
    <row r="178" spans="1:7" s="638" customFormat="1" ht="156">
      <c r="A178" s="757">
        <v>30</v>
      </c>
      <c r="B178" s="788" t="s">
        <v>154</v>
      </c>
      <c r="C178" s="753"/>
      <c r="D178" s="752"/>
      <c r="E178" s="754"/>
      <c r="F178" s="754"/>
      <c r="G178" s="656"/>
    </row>
    <row r="179" spans="1:7" s="309" customFormat="1" ht="14.5">
      <c r="A179" s="649">
        <v>30.01</v>
      </c>
      <c r="B179" s="762" t="s">
        <v>543</v>
      </c>
      <c r="C179" s="645">
        <v>1</v>
      </c>
      <c r="D179" s="649">
        <v>1.07</v>
      </c>
      <c r="E179" s="647">
        <v>2.3199999999999998</v>
      </c>
      <c r="F179" s="647"/>
      <c r="G179" s="648">
        <f>E179*D179*C179</f>
        <v>2.4824000000000002</v>
      </c>
    </row>
    <row r="180" spans="1:7" s="309" customFormat="1" ht="14.5">
      <c r="A180" s="649"/>
      <c r="B180" s="649"/>
      <c r="C180" s="645"/>
      <c r="D180" s="649"/>
      <c r="E180" s="647"/>
      <c r="F180" s="647"/>
      <c r="G180" s="648"/>
    </row>
    <row r="181" spans="1:7" s="309" customFormat="1" ht="14.5">
      <c r="A181" s="764"/>
      <c r="B181" s="783" t="s">
        <v>481</v>
      </c>
      <c r="C181" s="765"/>
      <c r="D181" s="764"/>
      <c r="E181" s="766"/>
      <c r="F181" s="766"/>
      <c r="G181" s="767">
        <f>SUM(G179)</f>
        <v>2.4824000000000002</v>
      </c>
    </row>
    <row r="182" spans="1:7" s="309" customFormat="1" ht="14.5">
      <c r="A182" s="752"/>
      <c r="B182" s="785"/>
      <c r="C182" s="753"/>
      <c r="D182" s="752"/>
      <c r="E182" s="754"/>
      <c r="F182" s="754"/>
      <c r="G182" s="656"/>
    </row>
    <row r="183" spans="1:7" s="309" customFormat="1" ht="78">
      <c r="A183" s="757">
        <v>31</v>
      </c>
      <c r="B183" s="792" t="s">
        <v>155</v>
      </c>
      <c r="C183" s="753"/>
      <c r="D183" s="752"/>
      <c r="E183" s="754"/>
      <c r="F183" s="754"/>
      <c r="G183" s="656"/>
    </row>
    <row r="184" spans="1:7" s="309" customFormat="1" ht="14.5">
      <c r="A184" s="649">
        <v>31.01</v>
      </c>
      <c r="B184" s="762" t="s">
        <v>544</v>
      </c>
      <c r="C184" s="645">
        <v>1</v>
      </c>
      <c r="D184" s="649">
        <v>0.8</v>
      </c>
      <c r="E184" s="647">
        <v>2.33</v>
      </c>
      <c r="F184" s="647"/>
      <c r="G184" s="648">
        <f>E184*D184*C184</f>
        <v>1.8640000000000001</v>
      </c>
    </row>
    <row r="185" spans="1:7" s="309" customFormat="1" ht="14.5">
      <c r="A185" s="649">
        <v>31.02</v>
      </c>
      <c r="B185" s="762" t="s">
        <v>547</v>
      </c>
      <c r="C185" s="645">
        <v>1</v>
      </c>
      <c r="D185" s="649">
        <v>0.86</v>
      </c>
      <c r="E185" s="647">
        <v>2.38</v>
      </c>
      <c r="F185" s="647"/>
      <c r="G185" s="648">
        <f>E185*D185*C185</f>
        <v>2.0467999999999997</v>
      </c>
    </row>
    <row r="186" spans="1:7" s="309" customFormat="1" ht="14.5">
      <c r="A186" s="764"/>
      <c r="B186" s="783" t="s">
        <v>481</v>
      </c>
      <c r="C186" s="765"/>
      <c r="D186" s="764"/>
      <c r="E186" s="766"/>
      <c r="F186" s="766"/>
      <c r="G186" s="767">
        <f>SUM(G184:G185)</f>
        <v>3.9108000000000001</v>
      </c>
    </row>
    <row r="187" spans="1:7" s="309" customFormat="1" ht="14.5">
      <c r="A187" s="752"/>
      <c r="B187" s="785"/>
      <c r="C187" s="753"/>
      <c r="D187" s="752"/>
      <c r="E187" s="754"/>
      <c r="F187" s="754"/>
      <c r="G187" s="656"/>
    </row>
    <row r="188" spans="1:7" s="309" customFormat="1" ht="14.5">
      <c r="A188" s="752"/>
      <c r="B188" s="785"/>
      <c r="C188" s="753"/>
      <c r="D188" s="752"/>
      <c r="E188" s="754"/>
      <c r="F188" s="754"/>
      <c r="G188" s="656"/>
    </row>
    <row r="189" spans="1:7" s="309" customFormat="1" ht="39">
      <c r="A189" s="757" t="s">
        <v>166</v>
      </c>
      <c r="B189" s="788" t="s">
        <v>167</v>
      </c>
      <c r="C189" s="654"/>
      <c r="D189" s="646"/>
      <c r="E189" s="754"/>
      <c r="F189" s="754"/>
      <c r="G189" s="656"/>
    </row>
    <row r="190" spans="1:7" s="309" customFormat="1" ht="14.5">
      <c r="A190" s="649">
        <v>34.01</v>
      </c>
      <c r="B190" s="762" t="s">
        <v>548</v>
      </c>
      <c r="C190" s="645">
        <v>1</v>
      </c>
      <c r="D190" s="649">
        <v>9.18</v>
      </c>
      <c r="E190" s="647">
        <v>2.4249999999999998</v>
      </c>
      <c r="F190" s="647"/>
      <c r="G190" s="648">
        <f>E190*D190*C190</f>
        <v>22.261499999999998</v>
      </c>
    </row>
    <row r="191" spans="1:7" s="309" customFormat="1" ht="14.5">
      <c r="A191" s="649">
        <v>34.020000000000003</v>
      </c>
      <c r="B191" s="762" t="s">
        <v>549</v>
      </c>
      <c r="C191" s="645">
        <v>1</v>
      </c>
      <c r="D191" s="649">
        <v>5.36</v>
      </c>
      <c r="E191" s="647">
        <v>2.605</v>
      </c>
      <c r="F191" s="647"/>
      <c r="G191" s="648">
        <f>E191*D191*C191</f>
        <v>13.962800000000001</v>
      </c>
    </row>
    <row r="192" spans="1:7" s="309" customFormat="1" ht="14.5">
      <c r="A192" s="793"/>
      <c r="B192" s="783" t="s">
        <v>481</v>
      </c>
      <c r="C192" s="794"/>
      <c r="D192" s="795"/>
      <c r="E192" s="766"/>
      <c r="F192" s="766"/>
      <c r="G192" s="767">
        <f>SUM(G190:G191)</f>
        <v>36.224299999999999</v>
      </c>
    </row>
    <row r="193" spans="1:7" s="309" customFormat="1" ht="14.5">
      <c r="A193" s="793"/>
      <c r="B193" s="764" t="s">
        <v>1897</v>
      </c>
      <c r="C193" s="794"/>
      <c r="D193" s="795"/>
      <c r="E193" s="766"/>
      <c r="F193" s="766"/>
      <c r="G193" s="767">
        <v>21.56</v>
      </c>
    </row>
    <row r="194" spans="1:7" s="309" customFormat="1" ht="14.5">
      <c r="A194" s="793"/>
      <c r="B194" s="764" t="s">
        <v>1898</v>
      </c>
      <c r="C194" s="794"/>
      <c r="D194" s="795"/>
      <c r="E194" s="766"/>
      <c r="F194" s="766"/>
      <c r="G194" s="767">
        <f>G192-G193</f>
        <v>14.664300000000001</v>
      </c>
    </row>
    <row r="195" spans="1:7" s="309" customFormat="1" ht="14.5">
      <c r="A195" s="793"/>
      <c r="B195" s="764" t="s">
        <v>813</v>
      </c>
      <c r="C195" s="794"/>
      <c r="D195" s="795"/>
      <c r="E195" s="766"/>
      <c r="F195" s="766"/>
      <c r="G195" s="767">
        <f>SUM(G193:G194)</f>
        <v>36.224299999999999</v>
      </c>
    </row>
    <row r="196" spans="1:7" s="309" customFormat="1" ht="14.5">
      <c r="A196" s="752"/>
      <c r="B196" s="785"/>
      <c r="C196" s="753"/>
      <c r="D196" s="752"/>
      <c r="E196" s="754"/>
      <c r="F196" s="754"/>
      <c r="G196" s="656"/>
    </row>
    <row r="197" spans="1:7" s="638" customFormat="1" ht="26">
      <c r="A197" s="757">
        <v>35</v>
      </c>
      <c r="B197" s="756" t="s">
        <v>168</v>
      </c>
      <c r="C197" s="796"/>
      <c r="D197" s="797"/>
      <c r="E197" s="754"/>
      <c r="F197" s="754"/>
      <c r="G197" s="656"/>
    </row>
    <row r="198" spans="1:7" s="309" customFormat="1" ht="14.5">
      <c r="A198" s="773">
        <v>35.01</v>
      </c>
      <c r="B198" s="644" t="s">
        <v>550</v>
      </c>
      <c r="C198" s="645">
        <v>1</v>
      </c>
      <c r="D198" s="646">
        <v>1</v>
      </c>
      <c r="E198" s="754"/>
      <c r="F198" s="754"/>
      <c r="G198" s="656">
        <f>D198</f>
        <v>1</v>
      </c>
    </row>
    <row r="199" spans="1:7" s="309" customFormat="1" ht="14.5">
      <c r="A199" s="773">
        <v>35.020000000000003</v>
      </c>
      <c r="B199" s="644" t="s">
        <v>551</v>
      </c>
      <c r="C199" s="645">
        <v>1</v>
      </c>
      <c r="D199" s="646">
        <v>1</v>
      </c>
      <c r="E199" s="754"/>
      <c r="F199" s="754"/>
      <c r="G199" s="656">
        <f t="shared" ref="G199:G206" si="6">D199</f>
        <v>1</v>
      </c>
    </row>
    <row r="200" spans="1:7" s="309" customFormat="1" ht="14.5">
      <c r="A200" s="773">
        <v>35.03</v>
      </c>
      <c r="B200" s="644" t="s">
        <v>552</v>
      </c>
      <c r="C200" s="645">
        <v>1</v>
      </c>
      <c r="D200" s="646">
        <v>1</v>
      </c>
      <c r="E200" s="754"/>
      <c r="F200" s="754"/>
      <c r="G200" s="656">
        <f t="shared" si="6"/>
        <v>1</v>
      </c>
    </row>
    <row r="201" spans="1:7" s="309" customFormat="1" ht="14.5">
      <c r="A201" s="793"/>
      <c r="B201" s="783" t="s">
        <v>481</v>
      </c>
      <c r="C201" s="794"/>
      <c r="D201" s="795"/>
      <c r="E201" s="766"/>
      <c r="F201" s="766"/>
      <c r="G201" s="767">
        <f>SUM(G198:G200)</f>
        <v>3</v>
      </c>
    </row>
    <row r="202" spans="1:7" s="309" customFormat="1" ht="14.5">
      <c r="A202" s="773"/>
      <c r="B202" s="644"/>
      <c r="C202" s="654"/>
      <c r="D202" s="646"/>
      <c r="E202" s="754"/>
      <c r="F202" s="754"/>
      <c r="G202" s="656"/>
    </row>
    <row r="203" spans="1:7" s="638" customFormat="1" ht="26">
      <c r="A203" s="757">
        <v>36</v>
      </c>
      <c r="B203" s="756" t="s">
        <v>170</v>
      </c>
      <c r="C203" s="798"/>
      <c r="D203" s="797"/>
      <c r="E203" s="754"/>
      <c r="F203" s="754"/>
      <c r="G203" s="656"/>
    </row>
    <row r="204" spans="1:7" s="309" customFormat="1" ht="14.5">
      <c r="A204" s="773">
        <v>36.01</v>
      </c>
      <c r="B204" s="644" t="s">
        <v>550</v>
      </c>
      <c r="C204" s="799">
        <v>1</v>
      </c>
      <c r="D204" s="646">
        <v>1</v>
      </c>
      <c r="E204" s="754"/>
      <c r="F204" s="754"/>
      <c r="G204" s="656">
        <f t="shared" si="6"/>
        <v>1</v>
      </c>
    </row>
    <row r="205" spans="1:7" s="309" customFormat="1" ht="14.5">
      <c r="A205" s="773">
        <v>36.020000000000003</v>
      </c>
      <c r="B205" s="644" t="s">
        <v>551</v>
      </c>
      <c r="C205" s="799">
        <v>1</v>
      </c>
      <c r="D205" s="646">
        <v>1</v>
      </c>
      <c r="E205" s="754"/>
      <c r="F205" s="754"/>
      <c r="G205" s="656">
        <f t="shared" si="6"/>
        <v>1</v>
      </c>
    </row>
    <row r="206" spans="1:7" s="309" customFormat="1" ht="14.5">
      <c r="A206" s="773">
        <v>36.03</v>
      </c>
      <c r="B206" s="644" t="s">
        <v>552</v>
      </c>
      <c r="C206" s="799">
        <v>1</v>
      </c>
      <c r="D206" s="646">
        <v>1</v>
      </c>
      <c r="E206" s="754"/>
      <c r="F206" s="754"/>
      <c r="G206" s="656">
        <f t="shared" si="6"/>
        <v>1</v>
      </c>
    </row>
    <row r="207" spans="1:7" s="309" customFormat="1" ht="14.5">
      <c r="A207" s="793"/>
      <c r="B207" s="783" t="s">
        <v>481</v>
      </c>
      <c r="C207" s="794"/>
      <c r="D207" s="795"/>
      <c r="E207" s="766"/>
      <c r="F207" s="766"/>
      <c r="G207" s="767">
        <f>SUM(G204:G206)</f>
        <v>3</v>
      </c>
    </row>
    <row r="208" spans="1:7" s="309" customFormat="1" ht="14.5">
      <c r="A208" s="773"/>
      <c r="B208" s="644"/>
      <c r="C208" s="800"/>
      <c r="D208" s="646"/>
      <c r="E208" s="754"/>
      <c r="F208" s="754"/>
      <c r="G208" s="656"/>
    </row>
    <row r="209" spans="1:7" s="309" customFormat="1" ht="14.5">
      <c r="A209" s="752"/>
      <c r="B209" s="785"/>
      <c r="C209" s="753"/>
      <c r="D209" s="752"/>
      <c r="E209" s="754"/>
      <c r="F209" s="754"/>
      <c r="G209" s="656"/>
    </row>
    <row r="210" spans="1:7" s="638" customFormat="1" ht="26">
      <c r="A210" s="67">
        <v>38</v>
      </c>
      <c r="B210" s="756" t="s">
        <v>172</v>
      </c>
      <c r="C210" s="753"/>
      <c r="D210" s="752"/>
      <c r="E210" s="754"/>
      <c r="F210" s="754"/>
      <c r="G210" s="656"/>
    </row>
    <row r="211" spans="1:7" s="309" customFormat="1" ht="14.5">
      <c r="A211" s="752"/>
      <c r="B211" s="644" t="s">
        <v>550</v>
      </c>
      <c r="C211" s="753">
        <v>1</v>
      </c>
      <c r="D211" s="752">
        <v>1</v>
      </c>
      <c r="E211" s="754"/>
      <c r="F211" s="754"/>
      <c r="G211" s="656">
        <f>D211*C211</f>
        <v>1</v>
      </c>
    </row>
    <row r="212" spans="1:7" s="309" customFormat="1" ht="14.5">
      <c r="A212" s="752"/>
      <c r="B212" s="644" t="s">
        <v>551</v>
      </c>
      <c r="C212" s="753">
        <v>1</v>
      </c>
      <c r="D212" s="752">
        <v>1</v>
      </c>
      <c r="E212" s="754"/>
      <c r="F212" s="754"/>
      <c r="G212" s="656">
        <f>D212*C212</f>
        <v>1</v>
      </c>
    </row>
    <row r="213" spans="1:7" s="309" customFormat="1" ht="14.5">
      <c r="A213" s="793"/>
      <c r="B213" s="783" t="s">
        <v>481</v>
      </c>
      <c r="C213" s="794"/>
      <c r="D213" s="795"/>
      <c r="E213" s="766"/>
      <c r="F213" s="766"/>
      <c r="G213" s="767">
        <f>SUM(G211:G212)</f>
        <v>2</v>
      </c>
    </row>
    <row r="214" spans="1:7" s="309" customFormat="1" ht="14.5">
      <c r="A214" s="752"/>
      <c r="B214" s="785"/>
      <c r="C214" s="753"/>
      <c r="D214" s="752"/>
      <c r="E214" s="754"/>
      <c r="F214" s="754"/>
      <c r="G214" s="656"/>
    </row>
    <row r="215" spans="1:7" s="309" customFormat="1" ht="22" customHeight="1">
      <c r="A215" s="801" t="s">
        <v>14</v>
      </c>
      <c r="B215" s="802" t="s">
        <v>15</v>
      </c>
      <c r="C215" s="753"/>
      <c r="D215" s="752"/>
      <c r="E215" s="754"/>
      <c r="F215" s="754"/>
      <c r="G215" s="656"/>
    </row>
    <row r="216" spans="1:7" s="638" customFormat="1" ht="78">
      <c r="A216" s="757">
        <v>39</v>
      </c>
      <c r="B216" s="756" t="s">
        <v>175</v>
      </c>
      <c r="C216" s="753"/>
      <c r="D216" s="752"/>
      <c r="E216" s="754"/>
      <c r="F216" s="754"/>
      <c r="G216" s="656"/>
    </row>
    <row r="217" spans="1:7" s="309" customFormat="1" ht="14.5">
      <c r="A217" s="803">
        <v>39.01</v>
      </c>
      <c r="B217" s="644" t="s">
        <v>553</v>
      </c>
      <c r="C217" s="645">
        <v>6</v>
      </c>
      <c r="D217" s="649"/>
      <c r="E217" s="1112">
        <v>4</v>
      </c>
      <c r="G217" s="648">
        <f>E217*C217</f>
        <v>24</v>
      </c>
    </row>
    <row r="218" spans="1:7" s="309" customFormat="1" ht="14.5">
      <c r="A218" s="803">
        <v>39.020000000000003</v>
      </c>
      <c r="B218" s="644" t="s">
        <v>554</v>
      </c>
      <c r="C218" s="645">
        <v>8</v>
      </c>
      <c r="D218" s="649"/>
      <c r="E218" s="647">
        <v>3.14</v>
      </c>
      <c r="F218" s="649"/>
      <c r="G218" s="648">
        <f t="shared" ref="G218:G239" si="7">E218*C218</f>
        <v>25.12</v>
      </c>
    </row>
    <row r="219" spans="1:7" s="309" customFormat="1" ht="14.5">
      <c r="A219" s="803">
        <v>39.03</v>
      </c>
      <c r="B219" s="644" t="s">
        <v>555</v>
      </c>
      <c r="C219" s="645">
        <v>7</v>
      </c>
      <c r="D219" s="649"/>
      <c r="E219" s="1112">
        <v>4</v>
      </c>
      <c r="F219" s="649"/>
      <c r="G219" s="648">
        <f t="shared" si="7"/>
        <v>28</v>
      </c>
    </row>
    <row r="220" spans="1:7" s="309" customFormat="1" ht="14.5">
      <c r="A220" s="803">
        <v>39.04</v>
      </c>
      <c r="B220" s="644" t="s">
        <v>556</v>
      </c>
      <c r="C220" s="645">
        <v>8</v>
      </c>
      <c r="D220" s="649"/>
      <c r="E220" s="647">
        <v>0.35</v>
      </c>
      <c r="F220" s="647"/>
      <c r="G220" s="648">
        <f t="shared" si="7"/>
        <v>2.8</v>
      </c>
    </row>
    <row r="221" spans="1:7" s="309" customFormat="1" ht="14.5">
      <c r="A221" s="803">
        <v>39.049999999999997</v>
      </c>
      <c r="B221" s="644" t="s">
        <v>557</v>
      </c>
      <c r="C221" s="645">
        <v>8</v>
      </c>
      <c r="D221" s="649"/>
      <c r="E221" s="1112">
        <v>4</v>
      </c>
      <c r="F221" s="647"/>
      <c r="G221" s="648">
        <f t="shared" si="7"/>
        <v>32</v>
      </c>
    </row>
    <row r="222" spans="1:7" s="309" customFormat="1" ht="14.5">
      <c r="A222" s="803">
        <v>39.06</v>
      </c>
      <c r="B222" s="644" t="s">
        <v>558</v>
      </c>
      <c r="C222" s="645">
        <v>8</v>
      </c>
      <c r="D222" s="647"/>
      <c r="E222" s="1112">
        <v>4</v>
      </c>
      <c r="F222" s="647"/>
      <c r="G222" s="648">
        <f t="shared" si="7"/>
        <v>32</v>
      </c>
    </row>
    <row r="223" spans="1:7" s="309" customFormat="1" ht="14.5">
      <c r="A223" s="803">
        <v>39.07</v>
      </c>
      <c r="B223" s="644" t="s">
        <v>559</v>
      </c>
      <c r="C223" s="645">
        <v>2</v>
      </c>
      <c r="D223" s="649"/>
      <c r="E223" s="1112">
        <v>4</v>
      </c>
      <c r="F223" s="647"/>
      <c r="G223" s="648">
        <f t="shared" si="7"/>
        <v>8</v>
      </c>
    </row>
    <row r="224" spans="1:7" s="309" customFormat="1" ht="14.5">
      <c r="A224" s="803">
        <v>39.08</v>
      </c>
      <c r="B224" s="644" t="s">
        <v>560</v>
      </c>
      <c r="C224" s="645">
        <v>8</v>
      </c>
      <c r="D224" s="647"/>
      <c r="E224" s="649">
        <v>1.17</v>
      </c>
      <c r="F224" s="647"/>
      <c r="G224" s="648">
        <f t="shared" si="7"/>
        <v>9.36</v>
      </c>
    </row>
    <row r="225" spans="1:7" customFormat="1" ht="14.5">
      <c r="A225" s="648">
        <v>39.090000000000003</v>
      </c>
      <c r="B225" s="650" t="s">
        <v>1845</v>
      </c>
      <c r="C225" s="1131">
        <v>6</v>
      </c>
      <c r="D225" s="649"/>
      <c r="E225" s="1112">
        <v>0.8</v>
      </c>
      <c r="F225" s="312"/>
      <c r="G225" s="648">
        <f t="shared" si="7"/>
        <v>4.8000000000000007</v>
      </c>
    </row>
    <row r="226" spans="1:7" customFormat="1" ht="14.5">
      <c r="A226" s="648">
        <v>39.1</v>
      </c>
      <c r="B226" s="650" t="s">
        <v>561</v>
      </c>
      <c r="C226" s="645">
        <v>3</v>
      </c>
      <c r="D226" s="649"/>
      <c r="E226" s="647">
        <v>9.17</v>
      </c>
      <c r="F226" s="312"/>
      <c r="G226" s="648">
        <f t="shared" si="7"/>
        <v>27.509999999999998</v>
      </c>
    </row>
    <row r="227" spans="1:7" customFormat="1" ht="14.5">
      <c r="A227" s="648">
        <v>39.11</v>
      </c>
      <c r="B227" s="650" t="s">
        <v>562</v>
      </c>
      <c r="C227" s="645">
        <v>1</v>
      </c>
      <c r="D227" s="649"/>
      <c r="E227" s="647">
        <v>9.17</v>
      </c>
      <c r="F227" s="312"/>
      <c r="G227" s="648">
        <f t="shared" si="7"/>
        <v>9.17</v>
      </c>
    </row>
    <row r="228" spans="1:7" customFormat="1" ht="14.5">
      <c r="A228" s="648">
        <v>39.119999999999997</v>
      </c>
      <c r="B228" s="650" t="s">
        <v>563</v>
      </c>
      <c r="C228" s="645">
        <v>7</v>
      </c>
      <c r="D228" s="649"/>
      <c r="E228" s="647">
        <v>1.3</v>
      </c>
      <c r="F228" s="312"/>
      <c r="G228" s="648">
        <f t="shared" si="7"/>
        <v>9.1</v>
      </c>
    </row>
    <row r="229" spans="1:7" customFormat="1" ht="14.5">
      <c r="A229" s="648">
        <v>39.130000000000003</v>
      </c>
      <c r="B229" s="650" t="s">
        <v>564</v>
      </c>
      <c r="C229" s="645">
        <v>3</v>
      </c>
      <c r="D229" s="649"/>
      <c r="E229" s="647">
        <v>3.78</v>
      </c>
      <c r="F229" s="312"/>
      <c r="G229" s="648">
        <f t="shared" si="7"/>
        <v>11.34</v>
      </c>
    </row>
    <row r="230" spans="1:7" customFormat="1" ht="14.5">
      <c r="A230" s="648">
        <v>39.14</v>
      </c>
      <c r="B230" s="650" t="s">
        <v>565</v>
      </c>
      <c r="C230" s="645">
        <v>4</v>
      </c>
      <c r="D230" s="804"/>
      <c r="E230" s="1112">
        <v>4</v>
      </c>
      <c r="F230" s="312"/>
      <c r="G230" s="648">
        <f t="shared" si="7"/>
        <v>16</v>
      </c>
    </row>
    <row r="231" spans="1:7" customFormat="1" ht="14.5">
      <c r="A231" s="648">
        <v>39.15</v>
      </c>
      <c r="B231" s="650" t="s">
        <v>566</v>
      </c>
      <c r="C231" s="645">
        <v>8</v>
      </c>
      <c r="D231" s="649"/>
      <c r="E231" s="805">
        <v>2.0350000000000001</v>
      </c>
      <c r="F231" s="312"/>
      <c r="G231" s="648">
        <f t="shared" si="7"/>
        <v>16.28</v>
      </c>
    </row>
    <row r="232" spans="1:7" s="309" customFormat="1" ht="14.5">
      <c r="A232" s="647">
        <v>39.159999999999997</v>
      </c>
      <c r="B232" s="762" t="s">
        <v>567</v>
      </c>
      <c r="C232" s="645">
        <v>8</v>
      </c>
      <c r="D232" s="649"/>
      <c r="E232" s="1112">
        <v>4</v>
      </c>
      <c r="F232" s="312"/>
      <c r="G232" s="648">
        <f t="shared" si="7"/>
        <v>32</v>
      </c>
    </row>
    <row r="233" spans="1:7" s="309" customFormat="1" ht="14.5">
      <c r="A233" s="647">
        <v>39.17</v>
      </c>
      <c r="B233" s="762" t="s">
        <v>568</v>
      </c>
      <c r="C233" s="645">
        <v>8</v>
      </c>
      <c r="D233" s="649"/>
      <c r="E233" s="647">
        <v>3.93</v>
      </c>
      <c r="F233" s="312"/>
      <c r="G233" s="648">
        <f t="shared" si="7"/>
        <v>31.44</v>
      </c>
    </row>
    <row r="234" spans="1:7" s="309" customFormat="1" ht="14.5">
      <c r="A234" s="647">
        <v>39.18</v>
      </c>
      <c r="B234" s="762" t="s">
        <v>569</v>
      </c>
      <c r="C234" s="645">
        <v>4</v>
      </c>
      <c r="D234" s="649"/>
      <c r="E234" s="647">
        <v>1.73</v>
      </c>
      <c r="F234" s="312"/>
      <c r="G234" s="648">
        <f t="shared" si="7"/>
        <v>6.92</v>
      </c>
    </row>
    <row r="235" spans="1:7" s="309" customFormat="1" ht="14.5">
      <c r="A235" s="647">
        <v>39.19</v>
      </c>
      <c r="B235" s="762" t="s">
        <v>1852</v>
      </c>
      <c r="C235" s="645">
        <v>8</v>
      </c>
      <c r="D235" s="649"/>
      <c r="E235" s="647">
        <v>4</v>
      </c>
      <c r="F235" s="312"/>
      <c r="G235" s="648">
        <f t="shared" si="7"/>
        <v>32</v>
      </c>
    </row>
    <row r="236" spans="1:7" ht="14.5">
      <c r="A236" s="806">
        <v>39.200000000000003</v>
      </c>
      <c r="B236" s="734" t="s">
        <v>570</v>
      </c>
      <c r="C236" s="807">
        <v>4</v>
      </c>
      <c r="D236" s="808"/>
      <c r="E236" s="734">
        <v>1.73</v>
      </c>
      <c r="F236" s="734"/>
      <c r="G236" s="648">
        <f t="shared" si="7"/>
        <v>6.92</v>
      </c>
    </row>
    <row r="237" spans="1:7" ht="14.5">
      <c r="A237" s="735">
        <v>39.21</v>
      </c>
      <c r="B237" s="734" t="s">
        <v>571</v>
      </c>
      <c r="C237" s="807">
        <v>8</v>
      </c>
      <c r="D237" s="808"/>
      <c r="E237" s="1132">
        <v>5.25</v>
      </c>
      <c r="F237" s="734"/>
      <c r="G237" s="648">
        <f t="shared" si="7"/>
        <v>42</v>
      </c>
    </row>
    <row r="238" spans="1:7" s="309" customFormat="1" ht="14.5">
      <c r="A238" s="773">
        <v>39.22</v>
      </c>
      <c r="B238" s="644" t="s">
        <v>572</v>
      </c>
      <c r="C238" s="654">
        <v>12</v>
      </c>
      <c r="D238" s="646"/>
      <c r="E238" s="647">
        <v>4</v>
      </c>
      <c r="F238" s="754"/>
      <c r="G238" s="648">
        <f t="shared" si="7"/>
        <v>48</v>
      </c>
    </row>
    <row r="239" spans="1:7" s="309" customFormat="1" ht="14.5">
      <c r="A239" s="647">
        <v>39.229999999999997</v>
      </c>
      <c r="B239" s="762" t="s">
        <v>573</v>
      </c>
      <c r="C239" s="645">
        <v>8</v>
      </c>
      <c r="D239" s="649"/>
      <c r="E239" s="1112">
        <v>6.9</v>
      </c>
      <c r="F239" s="312"/>
      <c r="G239" s="648">
        <f t="shared" si="7"/>
        <v>55.2</v>
      </c>
    </row>
    <row r="240" spans="1:7" s="309" customFormat="1" ht="14.5">
      <c r="A240" s="649"/>
      <c r="B240" s="769" t="s">
        <v>490</v>
      </c>
      <c r="C240" s="312"/>
      <c r="D240" s="645"/>
      <c r="E240" s="649"/>
      <c r="F240" s="647"/>
      <c r="G240" s="648"/>
    </row>
    <row r="241" spans="1:7" s="309" customFormat="1" ht="14.5">
      <c r="A241" s="649"/>
      <c r="B241" s="769" t="s">
        <v>574</v>
      </c>
      <c r="C241" s="770">
        <v>-2</v>
      </c>
      <c r="D241" s="771">
        <v>1.4650000000000001</v>
      </c>
      <c r="E241" s="772">
        <v>2.4</v>
      </c>
      <c r="F241" s="312"/>
      <c r="G241" s="781">
        <f>E241*C241</f>
        <v>-4.8</v>
      </c>
    </row>
    <row r="242" spans="1:7" s="309" customFormat="1" ht="14.5">
      <c r="A242" s="649"/>
      <c r="B242" s="769" t="s">
        <v>575</v>
      </c>
      <c r="C242" s="770">
        <v>-4</v>
      </c>
      <c r="D242" s="771">
        <v>2.4</v>
      </c>
      <c r="E242" s="772">
        <v>1.4650000000000001</v>
      </c>
      <c r="F242" s="312"/>
      <c r="G242" s="781">
        <f>E242*C242</f>
        <v>-5.86</v>
      </c>
    </row>
    <row r="243" spans="1:7" s="309" customFormat="1" ht="14.5">
      <c r="A243" s="649"/>
      <c r="B243" s="769" t="s">
        <v>576</v>
      </c>
      <c r="C243" s="770">
        <v>-2</v>
      </c>
      <c r="D243" s="771">
        <v>1.4650000000000001</v>
      </c>
      <c r="E243" s="772">
        <v>2.4</v>
      </c>
      <c r="F243" s="312"/>
      <c r="G243" s="781">
        <f>E243*C243</f>
        <v>-4.8</v>
      </c>
    </row>
    <row r="244" spans="1:7" s="309" customFormat="1" ht="14.5">
      <c r="A244" s="649"/>
      <c r="B244" s="769" t="s">
        <v>577</v>
      </c>
      <c r="C244" s="770">
        <v>-4</v>
      </c>
      <c r="D244" s="771">
        <v>2.4</v>
      </c>
      <c r="E244" s="772">
        <v>1.4650000000000001</v>
      </c>
      <c r="F244" s="312"/>
      <c r="G244" s="781">
        <f>E244*C244</f>
        <v>-5.86</v>
      </c>
    </row>
    <row r="245" spans="1:7" s="309" customFormat="1" ht="14.5">
      <c r="A245" s="773"/>
      <c r="B245" s="785" t="s">
        <v>481</v>
      </c>
      <c r="C245" s="312"/>
      <c r="D245" s="654"/>
      <c r="E245" s="646"/>
      <c r="F245" s="754"/>
      <c r="G245" s="656">
        <f>SUM(G217:G244)</f>
        <v>488.64</v>
      </c>
    </row>
    <row r="246" spans="1:7" s="309" customFormat="1" ht="29">
      <c r="A246" s="773"/>
      <c r="B246" s="658" t="s">
        <v>578</v>
      </c>
      <c r="C246" s="312"/>
      <c r="D246" s="654"/>
      <c r="E246" s="646"/>
      <c r="F246" s="754"/>
      <c r="G246" s="656">
        <v>4.4000000000000004</v>
      </c>
    </row>
    <row r="247" spans="1:7" s="309" customFormat="1" ht="14.5">
      <c r="A247" s="752"/>
      <c r="B247" s="658"/>
      <c r="C247" s="809"/>
      <c r="D247" s="810"/>
      <c r="E247" s="811"/>
      <c r="F247" s="647"/>
      <c r="G247" s="647"/>
    </row>
    <row r="248" spans="1:7" s="309" customFormat="1" ht="14.5">
      <c r="A248" s="773"/>
      <c r="B248" s="785" t="s">
        <v>579</v>
      </c>
      <c r="C248" s="654"/>
      <c r="D248" s="646"/>
      <c r="E248" s="754"/>
      <c r="F248" s="754"/>
      <c r="G248" s="656">
        <f>G245*G246</f>
        <v>2150.0160000000001</v>
      </c>
    </row>
    <row r="249" spans="1:7" s="309" customFormat="1" ht="14.5">
      <c r="A249" s="793"/>
      <c r="B249" s="764" t="s">
        <v>1897</v>
      </c>
      <c r="C249" s="794"/>
      <c r="D249" s="795"/>
      <c r="E249" s="766"/>
      <c r="F249" s="766"/>
      <c r="G249" s="767">
        <v>1351.44</v>
      </c>
    </row>
    <row r="250" spans="1:7" s="309" customFormat="1" ht="14.5">
      <c r="A250" s="793"/>
      <c r="B250" s="764" t="s">
        <v>1898</v>
      </c>
      <c r="C250" s="794"/>
      <c r="D250" s="795"/>
      <c r="E250" s="766"/>
      <c r="F250" s="766"/>
      <c r="G250" s="767">
        <f>G248-G249</f>
        <v>798.57600000000002</v>
      </c>
    </row>
    <row r="251" spans="1:7" s="309" customFormat="1" ht="14.5">
      <c r="A251" s="793"/>
      <c r="B251" s="764" t="s">
        <v>813</v>
      </c>
      <c r="C251" s="794"/>
      <c r="D251" s="795"/>
      <c r="E251" s="766"/>
      <c r="F251" s="766"/>
      <c r="G251" s="767">
        <f>SUM(G249:G250)</f>
        <v>2150.0160000000001</v>
      </c>
    </row>
    <row r="252" spans="1:7">
      <c r="A252" s="734"/>
      <c r="B252" s="734"/>
      <c r="C252" s="807"/>
      <c r="D252" s="808"/>
      <c r="E252" s="734"/>
      <c r="F252" s="734"/>
      <c r="G252" s="734"/>
    </row>
    <row r="253" spans="1:7" s="309" customFormat="1" ht="14.5">
      <c r="A253" s="752"/>
      <c r="B253" s="785"/>
      <c r="C253" s="753"/>
      <c r="D253" s="752"/>
      <c r="E253" s="754"/>
      <c r="F253" s="754"/>
      <c r="G253" s="656"/>
    </row>
    <row r="254" spans="1:7" s="309" customFormat="1" ht="39">
      <c r="A254" s="757">
        <v>40</v>
      </c>
      <c r="B254" s="756" t="s">
        <v>177</v>
      </c>
      <c r="C254" s="753"/>
      <c r="D254" s="752"/>
      <c r="E254" s="754"/>
      <c r="F254" s="754"/>
      <c r="G254" s="656"/>
    </row>
    <row r="255" spans="1:7" s="309" customFormat="1" ht="14.5">
      <c r="A255" s="693">
        <v>40.01</v>
      </c>
      <c r="B255" s="644" t="s">
        <v>580</v>
      </c>
      <c r="C255" s="654">
        <v>1</v>
      </c>
      <c r="D255" s="1111">
        <v>6.88</v>
      </c>
      <c r="E255" s="1112">
        <v>2.9</v>
      </c>
      <c r="F255" s="754"/>
      <c r="G255" s="648">
        <f t="shared" ref="G255:G262" si="8">E255*D255*C255</f>
        <v>19.951999999999998</v>
      </c>
    </row>
    <row r="256" spans="1:7" s="309" customFormat="1" ht="14.5">
      <c r="A256" s="691">
        <v>40.020000000000003</v>
      </c>
      <c r="B256" s="787" t="s">
        <v>581</v>
      </c>
      <c r="C256" s="812">
        <v>1</v>
      </c>
      <c r="D256" s="649">
        <v>6.85</v>
      </c>
      <c r="E256" s="647">
        <v>2.82</v>
      </c>
      <c r="F256" s="647"/>
      <c r="G256" s="648">
        <f t="shared" si="8"/>
        <v>19.316999999999997</v>
      </c>
    </row>
    <row r="257" spans="1:7" s="309" customFormat="1" ht="14.5">
      <c r="A257" s="647">
        <v>40.1</v>
      </c>
      <c r="B257" s="762" t="s">
        <v>582</v>
      </c>
      <c r="C257" s="645">
        <v>1</v>
      </c>
      <c r="D257" s="649">
        <v>1.1000000000000001</v>
      </c>
      <c r="E257" s="647">
        <v>2.9</v>
      </c>
      <c r="F257" s="647"/>
      <c r="G257" s="648">
        <f t="shared" si="8"/>
        <v>3.19</v>
      </c>
    </row>
    <row r="258" spans="1:7" s="309" customFormat="1" ht="14.5">
      <c r="A258" s="647">
        <v>40.1</v>
      </c>
      <c r="B258" s="762" t="s">
        <v>583</v>
      </c>
      <c r="C258" s="645">
        <v>1</v>
      </c>
      <c r="D258" s="649">
        <v>0.58499999999999996</v>
      </c>
      <c r="E258" s="647">
        <v>2.9</v>
      </c>
      <c r="F258" s="647"/>
      <c r="G258" s="648">
        <f t="shared" si="8"/>
        <v>1.6964999999999999</v>
      </c>
    </row>
    <row r="259" spans="1:7" s="309" customFormat="1" ht="14.5">
      <c r="A259" s="691">
        <v>40.03</v>
      </c>
      <c r="B259" s="787" t="s">
        <v>584</v>
      </c>
      <c r="C259" s="812">
        <v>1</v>
      </c>
      <c r="D259" s="649">
        <v>3.55</v>
      </c>
      <c r="E259" s="647">
        <v>2.82</v>
      </c>
      <c r="F259" s="647"/>
      <c r="G259" s="648">
        <f t="shared" si="8"/>
        <v>10.010999999999999</v>
      </c>
    </row>
    <row r="260" spans="1:7" s="309" customFormat="1" ht="14.5">
      <c r="A260" s="691">
        <v>40.04</v>
      </c>
      <c r="B260" s="787" t="s">
        <v>585</v>
      </c>
      <c r="C260" s="812">
        <v>1</v>
      </c>
      <c r="D260" s="649">
        <v>3.835</v>
      </c>
      <c r="E260" s="647">
        <v>2.82</v>
      </c>
      <c r="F260" s="647"/>
      <c r="G260" s="648">
        <f t="shared" si="8"/>
        <v>10.814699999999998</v>
      </c>
    </row>
    <row r="261" spans="1:7" s="309" customFormat="1" ht="14.5">
      <c r="A261" s="691">
        <v>40.049999999999997</v>
      </c>
      <c r="B261" s="787" t="s">
        <v>586</v>
      </c>
      <c r="C261" s="812">
        <v>1</v>
      </c>
      <c r="D261" s="649">
        <v>5.3449999999999998</v>
      </c>
      <c r="E261" s="1112">
        <v>0.3</v>
      </c>
      <c r="F261" s="647"/>
      <c r="G261" s="648">
        <f t="shared" si="8"/>
        <v>1.6034999999999999</v>
      </c>
    </row>
    <row r="262" spans="1:7" s="309" customFormat="1" ht="14.5">
      <c r="A262" s="691">
        <v>40.06</v>
      </c>
      <c r="B262" s="787" t="s">
        <v>587</v>
      </c>
      <c r="C262" s="812">
        <v>1</v>
      </c>
      <c r="D262" s="649">
        <v>5.3449999999999998</v>
      </c>
      <c r="E262" s="1112">
        <v>0.3</v>
      </c>
      <c r="F262" s="647"/>
      <c r="G262" s="648">
        <f t="shared" si="8"/>
        <v>1.6034999999999999</v>
      </c>
    </row>
    <row r="263" spans="1:7" s="309" customFormat="1" ht="14.5">
      <c r="A263" s="691">
        <v>40.07</v>
      </c>
      <c r="B263" s="787" t="s">
        <v>588</v>
      </c>
      <c r="C263" s="812">
        <v>1</v>
      </c>
      <c r="D263" s="1113">
        <v>5.2</v>
      </c>
      <c r="E263" s="1112">
        <v>0.3</v>
      </c>
      <c r="F263" s="647"/>
      <c r="G263" s="648">
        <f t="shared" ref="G263:G266" si="9">E263*D263*C263</f>
        <v>1.56</v>
      </c>
    </row>
    <row r="264" spans="1:7" s="309" customFormat="1" ht="14.5">
      <c r="A264" s="691">
        <v>40.08</v>
      </c>
      <c r="B264" s="787" t="s">
        <v>589</v>
      </c>
      <c r="C264" s="812">
        <v>1</v>
      </c>
      <c r="D264" s="1113">
        <v>5</v>
      </c>
      <c r="E264" s="1112">
        <v>0.3</v>
      </c>
      <c r="F264" s="647"/>
      <c r="G264" s="648">
        <f t="shared" si="9"/>
        <v>1.5</v>
      </c>
    </row>
    <row r="265" spans="1:7" s="309" customFormat="1" ht="14.5">
      <c r="A265" s="691">
        <v>40.090000000000003</v>
      </c>
      <c r="B265" s="787" t="s">
        <v>590</v>
      </c>
      <c r="C265" s="812">
        <v>1</v>
      </c>
      <c r="D265" s="649">
        <v>1.95</v>
      </c>
      <c r="E265" s="647">
        <v>2.82</v>
      </c>
      <c r="F265" s="647"/>
      <c r="G265" s="648">
        <f t="shared" si="9"/>
        <v>5.4989999999999997</v>
      </c>
    </row>
    <row r="266" spans="1:7" s="309" customFormat="1" ht="14.5">
      <c r="A266" s="1090">
        <v>40.1</v>
      </c>
      <c r="B266" s="787" t="s">
        <v>591</v>
      </c>
      <c r="C266" s="812">
        <v>1</v>
      </c>
      <c r="D266" s="649">
        <v>1.95</v>
      </c>
      <c r="E266" s="647">
        <v>2.82</v>
      </c>
      <c r="F266" s="647"/>
      <c r="G266" s="648">
        <f t="shared" si="9"/>
        <v>5.4989999999999997</v>
      </c>
    </row>
    <row r="267" spans="1:7" s="309" customFormat="1" ht="18" customHeight="1">
      <c r="A267" s="1090">
        <v>40.11</v>
      </c>
      <c r="B267" s="649" t="s">
        <v>592</v>
      </c>
      <c r="C267" s="645">
        <v>1</v>
      </c>
      <c r="D267" s="649">
        <v>11.95</v>
      </c>
      <c r="E267" s="647">
        <v>0.9</v>
      </c>
      <c r="F267" s="647"/>
      <c r="G267" s="648">
        <f t="shared" ref="G267:G273" si="10">E267*D267*C267</f>
        <v>10.754999999999999</v>
      </c>
    </row>
    <row r="268" spans="1:7" s="309" customFormat="1" ht="18" customHeight="1">
      <c r="A268" s="1090">
        <v>40.119999999999997</v>
      </c>
      <c r="B268" s="649" t="s">
        <v>593</v>
      </c>
      <c r="C268" s="645">
        <v>1</v>
      </c>
      <c r="D268" s="649">
        <v>11.95</v>
      </c>
      <c r="E268" s="647">
        <v>0.9</v>
      </c>
      <c r="F268" s="647"/>
      <c r="G268" s="648">
        <f t="shared" si="10"/>
        <v>10.754999999999999</v>
      </c>
    </row>
    <row r="269" spans="1:7" s="309" customFormat="1" ht="18" customHeight="1">
      <c r="A269" s="1090">
        <v>40.130000000000003</v>
      </c>
      <c r="B269" s="650" t="s">
        <v>594</v>
      </c>
      <c r="C269" s="645">
        <v>1</v>
      </c>
      <c r="D269" s="649">
        <v>9.17</v>
      </c>
      <c r="E269" s="1112">
        <v>0.5</v>
      </c>
      <c r="F269" s="647"/>
      <c r="G269" s="648">
        <f t="shared" si="10"/>
        <v>4.585</v>
      </c>
    </row>
    <row r="270" spans="1:7" ht="14.5">
      <c r="A270" s="1090">
        <v>40.14</v>
      </c>
      <c r="B270" s="650" t="s">
        <v>595</v>
      </c>
      <c r="C270" s="645">
        <v>1</v>
      </c>
      <c r="D270" s="649">
        <v>9.17</v>
      </c>
      <c r="E270" s="1112">
        <v>0.5</v>
      </c>
      <c r="F270" s="734"/>
      <c r="G270" s="648">
        <f t="shared" si="10"/>
        <v>4.585</v>
      </c>
    </row>
    <row r="271" spans="1:7" s="309" customFormat="1" ht="14.5">
      <c r="A271" s="1090">
        <v>40.15</v>
      </c>
      <c r="B271" s="650" t="s">
        <v>596</v>
      </c>
      <c r="C271" s="645">
        <v>1</v>
      </c>
      <c r="D271" s="649">
        <v>9.17</v>
      </c>
      <c r="E271" s="647">
        <v>1</v>
      </c>
      <c r="F271" s="647"/>
      <c r="G271" s="648">
        <f t="shared" si="10"/>
        <v>9.17</v>
      </c>
    </row>
    <row r="272" spans="1:7" s="309" customFormat="1" ht="14.5">
      <c r="A272" s="1090">
        <v>40.159999999999997</v>
      </c>
      <c r="B272" s="650" t="s">
        <v>597</v>
      </c>
      <c r="C272" s="645">
        <v>1</v>
      </c>
      <c r="D272" s="649">
        <v>9.17</v>
      </c>
      <c r="E272" s="647">
        <v>1</v>
      </c>
      <c r="F272" s="647"/>
      <c r="G272" s="648">
        <f t="shared" si="10"/>
        <v>9.17</v>
      </c>
    </row>
    <row r="273" spans="1:7" s="309" customFormat="1" ht="14.5">
      <c r="A273" s="691">
        <v>40.17</v>
      </c>
      <c r="B273" s="650" t="s">
        <v>598</v>
      </c>
      <c r="C273" s="1114">
        <v>6</v>
      </c>
      <c r="D273" s="1115">
        <v>1.8</v>
      </c>
      <c r="E273" s="1116">
        <v>0.6</v>
      </c>
      <c r="F273" s="734"/>
      <c r="G273" s="648">
        <f t="shared" si="10"/>
        <v>6.48</v>
      </c>
    </row>
    <row r="274" spans="1:7" s="309" customFormat="1" ht="14.5">
      <c r="A274" s="786">
        <v>40.18</v>
      </c>
      <c r="B274" s="650" t="s">
        <v>599</v>
      </c>
      <c r="C274" s="645">
        <v>1</v>
      </c>
      <c r="D274" s="1113">
        <v>3.9</v>
      </c>
      <c r="E274" s="1112">
        <v>2.6</v>
      </c>
      <c r="F274" s="647"/>
      <c r="G274" s="648">
        <f>E274*D274*C274</f>
        <v>10.14</v>
      </c>
    </row>
    <row r="275" spans="1:7" s="309" customFormat="1" ht="14.5">
      <c r="A275" s="1091">
        <v>40.19</v>
      </c>
      <c r="B275" s="815" t="s">
        <v>1847</v>
      </c>
      <c r="C275" s="645">
        <v>1</v>
      </c>
      <c r="D275" s="649">
        <v>0.8</v>
      </c>
      <c r="E275" s="647">
        <v>0.27</v>
      </c>
      <c r="F275" s="647"/>
      <c r="G275" s="648">
        <f t="shared" ref="G275" si="11">E275*D275*C275</f>
        <v>0.21600000000000003</v>
      </c>
    </row>
    <row r="276" spans="1:7" s="309" customFormat="1" ht="14.5">
      <c r="A276" s="814">
        <v>40.200000000000003</v>
      </c>
      <c r="B276" s="815" t="s">
        <v>600</v>
      </c>
      <c r="C276" s="645">
        <v>1</v>
      </c>
      <c r="D276" s="649">
        <v>3.14</v>
      </c>
      <c r="E276" s="647">
        <v>2.82</v>
      </c>
      <c r="F276" s="647"/>
      <c r="G276" s="648">
        <f>E276*D276*C276</f>
        <v>8.8547999999999991</v>
      </c>
    </row>
    <row r="277" spans="1:7" s="309" customFormat="1" ht="14.5">
      <c r="A277" s="814">
        <v>40.21</v>
      </c>
      <c r="B277" s="815" t="s">
        <v>1846</v>
      </c>
      <c r="C277" s="645">
        <v>4</v>
      </c>
      <c r="D277" s="649">
        <v>0.6</v>
      </c>
      <c r="E277" s="647">
        <v>0.91</v>
      </c>
      <c r="F277" s="647"/>
      <c r="G277" s="648">
        <f>E277*D277*C277</f>
        <v>2.1840000000000002</v>
      </c>
    </row>
    <row r="278" spans="1:7" s="309" customFormat="1" ht="14.5">
      <c r="A278" s="649"/>
      <c r="B278" s="769" t="s">
        <v>490</v>
      </c>
      <c r="C278" s="645"/>
      <c r="D278" s="649"/>
      <c r="E278" s="647"/>
      <c r="F278" s="647"/>
      <c r="G278" s="648"/>
    </row>
    <row r="279" spans="1:7" s="748" customFormat="1" ht="14.5">
      <c r="A279" s="771"/>
      <c r="B279" s="769" t="s">
        <v>601</v>
      </c>
      <c r="C279" s="770">
        <v>-3</v>
      </c>
      <c r="D279" s="771">
        <v>1.4650000000000001</v>
      </c>
      <c r="E279" s="772">
        <v>2.4</v>
      </c>
      <c r="F279" s="772"/>
      <c r="G279" s="781">
        <f>E279*D279*C279</f>
        <v>-10.548</v>
      </c>
    </row>
    <row r="280" spans="1:7" s="309" customFormat="1" ht="14.5">
      <c r="A280" s="773"/>
      <c r="B280" s="785" t="s">
        <v>602</v>
      </c>
      <c r="C280" s="654"/>
      <c r="D280" s="646"/>
      <c r="E280" s="754"/>
      <c r="F280" s="754"/>
      <c r="G280" s="656">
        <f>SUM(G255:G279)</f>
        <v>148.59299999999993</v>
      </c>
    </row>
    <row r="281" spans="1:7" s="309" customFormat="1" ht="14.5">
      <c r="A281" s="773"/>
      <c r="B281" s="785"/>
      <c r="C281" s="654"/>
      <c r="D281" s="646"/>
      <c r="E281" s="754"/>
      <c r="F281" s="754"/>
      <c r="G281" s="656"/>
    </row>
    <row r="282" spans="1:7" s="638" customFormat="1" ht="39">
      <c r="A282" s="757">
        <v>41</v>
      </c>
      <c r="B282" s="756" t="s">
        <v>178</v>
      </c>
      <c r="C282" s="816"/>
      <c r="D282" s="797"/>
      <c r="E282" s="754"/>
      <c r="F282" s="754"/>
      <c r="G282" s="656"/>
    </row>
    <row r="283" spans="1:7" s="309" customFormat="1" ht="14.5">
      <c r="A283" s="773">
        <v>41.01</v>
      </c>
      <c r="B283" s="762" t="s">
        <v>603</v>
      </c>
      <c r="C283" s="654">
        <v>1</v>
      </c>
      <c r="D283" s="1111">
        <v>3.72</v>
      </c>
      <c r="E283" s="1112">
        <v>2.8</v>
      </c>
      <c r="F283" s="647"/>
      <c r="G283" s="648">
        <f>E283*D283*C283</f>
        <v>10.416</v>
      </c>
    </row>
    <row r="284" spans="1:7" s="309" customFormat="1" ht="14.5">
      <c r="A284" s="773">
        <v>41.02</v>
      </c>
      <c r="B284" s="762" t="s">
        <v>604</v>
      </c>
      <c r="C284" s="654">
        <v>1</v>
      </c>
      <c r="D284" s="817">
        <v>2.66</v>
      </c>
      <c r="E284" s="1112">
        <v>2.8</v>
      </c>
      <c r="F284" s="647"/>
      <c r="G284" s="648">
        <f>E284*D284*C284</f>
        <v>7.4479999999999995</v>
      </c>
    </row>
    <row r="285" spans="1:7" s="309" customFormat="1" ht="14.5">
      <c r="A285" s="773">
        <v>41.03</v>
      </c>
      <c r="B285" s="762" t="s">
        <v>605</v>
      </c>
      <c r="C285" s="654">
        <v>1</v>
      </c>
      <c r="D285" s="312">
        <v>3.7749999999999999</v>
      </c>
      <c r="E285" s="646">
        <v>1.35</v>
      </c>
      <c r="F285" s="754"/>
      <c r="G285" s="648">
        <f>E285*D285*C285</f>
        <v>5.0962500000000004</v>
      </c>
    </row>
    <row r="286" spans="1:7" s="309" customFormat="1" ht="14.5">
      <c r="A286" s="773">
        <v>41.03</v>
      </c>
      <c r="B286" s="762" t="s">
        <v>606</v>
      </c>
      <c r="C286" s="654">
        <v>1</v>
      </c>
      <c r="D286" s="312">
        <v>3.7749999999999999</v>
      </c>
      <c r="E286" s="646">
        <v>1.35</v>
      </c>
      <c r="F286" s="754"/>
      <c r="G286" s="648">
        <f>E286*D286*C286</f>
        <v>5.0962500000000004</v>
      </c>
    </row>
    <row r="287" spans="1:7" s="309" customFormat="1" ht="14.5">
      <c r="A287" s="773">
        <v>41.04</v>
      </c>
      <c r="B287" s="762" t="s">
        <v>607</v>
      </c>
      <c r="C287" s="654">
        <v>1</v>
      </c>
      <c r="D287" s="312">
        <v>3.86</v>
      </c>
      <c r="E287" s="1111">
        <v>1.9</v>
      </c>
      <c r="F287" s="754"/>
      <c r="G287" s="648">
        <f>E287*D287*C287</f>
        <v>7.3339999999999996</v>
      </c>
    </row>
    <row r="288" spans="1:7" s="309" customFormat="1" ht="14.5">
      <c r="A288" s="773"/>
      <c r="B288" s="785" t="s">
        <v>602</v>
      </c>
      <c r="C288" s="654"/>
      <c r="D288" s="646"/>
      <c r="E288" s="754"/>
      <c r="F288" s="754"/>
      <c r="G288" s="656">
        <f>SUM(G283:G287)</f>
        <v>35.390500000000003</v>
      </c>
    </row>
    <row r="289" spans="1:7" s="309" customFormat="1" ht="14.5">
      <c r="A289" s="793"/>
      <c r="B289" s="764" t="s">
        <v>1897</v>
      </c>
      <c r="C289" s="794"/>
      <c r="D289" s="795"/>
      <c r="E289" s="766"/>
      <c r="F289" s="766"/>
      <c r="G289" s="767">
        <v>21.48</v>
      </c>
    </row>
    <row r="290" spans="1:7" s="309" customFormat="1" ht="14.5">
      <c r="A290" s="793"/>
      <c r="B290" s="764" t="s">
        <v>1898</v>
      </c>
      <c r="C290" s="794"/>
      <c r="D290" s="795"/>
      <c r="E290" s="766"/>
      <c r="F290" s="766"/>
      <c r="G290" s="767">
        <f>G288-G289</f>
        <v>13.910500000000003</v>
      </c>
    </row>
    <row r="291" spans="1:7" s="309" customFormat="1" ht="14.5">
      <c r="A291" s="793"/>
      <c r="B291" s="764" t="s">
        <v>813</v>
      </c>
      <c r="C291" s="794"/>
      <c r="D291" s="795"/>
      <c r="E291" s="766"/>
      <c r="F291" s="766"/>
      <c r="G291" s="767">
        <f>SUM(G289:G290)</f>
        <v>35.390500000000003</v>
      </c>
    </row>
    <row r="292" spans="1:7" s="309" customFormat="1" ht="14.5">
      <c r="A292" s="752"/>
      <c r="B292" s="785"/>
      <c r="C292" s="753"/>
      <c r="D292" s="752"/>
      <c r="E292" s="754"/>
      <c r="F292" s="754"/>
      <c r="G292" s="656"/>
    </row>
    <row r="293" spans="1:7" s="309" customFormat="1" ht="39">
      <c r="A293" s="757">
        <v>43</v>
      </c>
      <c r="B293" s="788" t="s">
        <v>181</v>
      </c>
      <c r="C293" s="753"/>
      <c r="D293" s="752"/>
      <c r="E293" s="754"/>
      <c r="F293" s="754"/>
      <c r="G293" s="656"/>
    </row>
    <row r="294" spans="1:7" s="309" customFormat="1" ht="14.5">
      <c r="A294" s="773">
        <v>43.01</v>
      </c>
      <c r="B294" s="644" t="s">
        <v>608</v>
      </c>
      <c r="C294" s="654">
        <v>1</v>
      </c>
      <c r="D294" s="646">
        <v>2.536</v>
      </c>
      <c r="E294" s="647">
        <v>0.9</v>
      </c>
      <c r="F294" s="754"/>
      <c r="G294" s="648">
        <f t="shared" ref="G294:G300" si="12">E294*D294*C294</f>
        <v>2.2824</v>
      </c>
    </row>
    <row r="295" spans="1:7" s="309" customFormat="1" ht="14.5">
      <c r="A295" s="773">
        <v>43.02</v>
      </c>
      <c r="B295" s="644" t="s">
        <v>609</v>
      </c>
      <c r="C295" s="654">
        <v>1</v>
      </c>
      <c r="D295" s="646">
        <v>2.19</v>
      </c>
      <c r="E295" s="647">
        <v>0.9</v>
      </c>
      <c r="F295" s="754"/>
      <c r="G295" s="648">
        <f t="shared" si="12"/>
        <v>1.9710000000000001</v>
      </c>
    </row>
    <row r="296" spans="1:7" s="309" customFormat="1" ht="14.5">
      <c r="A296" s="773">
        <v>43.03</v>
      </c>
      <c r="B296" s="644" t="s">
        <v>610</v>
      </c>
      <c r="C296" s="654">
        <v>1</v>
      </c>
      <c r="D296" s="646">
        <v>0.98499999999999999</v>
      </c>
      <c r="E296" s="647">
        <v>0.9</v>
      </c>
      <c r="F296" s="754"/>
      <c r="G296" s="648">
        <f t="shared" si="12"/>
        <v>0.88649999999999995</v>
      </c>
    </row>
    <row r="297" spans="1:7" s="309" customFormat="1" ht="14.5">
      <c r="A297" s="773">
        <v>43.04</v>
      </c>
      <c r="B297" s="644" t="s">
        <v>611</v>
      </c>
      <c r="C297" s="654">
        <v>1</v>
      </c>
      <c r="D297" s="646">
        <v>3.88</v>
      </c>
      <c r="E297" s="647">
        <v>0.9</v>
      </c>
      <c r="F297" s="754"/>
      <c r="G297" s="648">
        <f t="shared" si="12"/>
        <v>3.492</v>
      </c>
    </row>
    <row r="298" spans="1:7" s="309" customFormat="1" ht="14.5">
      <c r="A298" s="773">
        <v>43.05</v>
      </c>
      <c r="B298" s="644" t="s">
        <v>612</v>
      </c>
      <c r="C298" s="654">
        <v>1</v>
      </c>
      <c r="D298" s="1111">
        <v>0.72</v>
      </c>
      <c r="E298" s="647">
        <v>0.9</v>
      </c>
      <c r="F298" s="754"/>
      <c r="G298" s="648">
        <f t="shared" si="12"/>
        <v>0.64800000000000002</v>
      </c>
    </row>
    <row r="299" spans="1:7" s="309" customFormat="1" ht="14.5">
      <c r="A299" s="773">
        <v>43.06</v>
      </c>
      <c r="B299" s="644" t="s">
        <v>613</v>
      </c>
      <c r="C299" s="654">
        <v>1</v>
      </c>
      <c r="D299" s="1111">
        <v>1.4</v>
      </c>
      <c r="E299" s="647">
        <v>0.9</v>
      </c>
      <c r="F299" s="754"/>
      <c r="G299" s="648">
        <f t="shared" si="12"/>
        <v>1.26</v>
      </c>
    </row>
    <row r="300" spans="1:7" s="309" customFormat="1" ht="14.5">
      <c r="A300" s="773">
        <v>43.07</v>
      </c>
      <c r="B300" s="644" t="s">
        <v>614</v>
      </c>
      <c r="C300" s="654">
        <v>1</v>
      </c>
      <c r="D300" s="646">
        <v>0.873</v>
      </c>
      <c r="E300" s="647">
        <v>0.9</v>
      </c>
      <c r="F300" s="754"/>
      <c r="G300" s="648">
        <f t="shared" si="12"/>
        <v>0.78570000000000007</v>
      </c>
    </row>
    <row r="301" spans="1:7" s="309" customFormat="1" ht="14.5">
      <c r="A301" s="773">
        <v>43.08</v>
      </c>
      <c r="B301" s="787" t="s">
        <v>615</v>
      </c>
      <c r="C301" s="645">
        <v>1</v>
      </c>
      <c r="D301" s="649">
        <v>0.77</v>
      </c>
      <c r="E301" s="647">
        <v>2.82</v>
      </c>
      <c r="F301" s="647"/>
      <c r="G301" s="648">
        <f t="shared" ref="G301:G316" si="13">E301*D301*C301</f>
        <v>2.1713999999999998</v>
      </c>
    </row>
    <row r="302" spans="1:7" s="309" customFormat="1" ht="14.5">
      <c r="A302" s="773">
        <v>43.09</v>
      </c>
      <c r="B302" s="787" t="s">
        <v>616</v>
      </c>
      <c r="C302" s="645">
        <v>1</v>
      </c>
      <c r="D302" s="649">
        <v>1.325</v>
      </c>
      <c r="E302" s="647">
        <v>2.82</v>
      </c>
      <c r="F302" s="647"/>
      <c r="G302" s="648">
        <f t="shared" si="13"/>
        <v>3.7364999999999995</v>
      </c>
    </row>
    <row r="303" spans="1:7" s="309" customFormat="1" ht="14.5">
      <c r="A303" s="818">
        <v>43.1</v>
      </c>
      <c r="B303" s="787" t="s">
        <v>617</v>
      </c>
      <c r="C303" s="645">
        <v>1</v>
      </c>
      <c r="D303" s="649">
        <v>0.77</v>
      </c>
      <c r="E303" s="647">
        <v>2.82</v>
      </c>
      <c r="F303" s="647"/>
      <c r="G303" s="648">
        <f t="shared" si="13"/>
        <v>2.1713999999999998</v>
      </c>
    </row>
    <row r="304" spans="1:7" s="309" customFormat="1" ht="14.5">
      <c r="A304" s="773">
        <v>43.11</v>
      </c>
      <c r="B304" s="787" t="s">
        <v>618</v>
      </c>
      <c r="C304" s="645">
        <v>1</v>
      </c>
      <c r="D304" s="649">
        <v>3.98</v>
      </c>
      <c r="E304" s="647">
        <v>2.82</v>
      </c>
      <c r="F304" s="647"/>
      <c r="G304" s="648">
        <f t="shared" si="13"/>
        <v>11.223599999999999</v>
      </c>
    </row>
    <row r="305" spans="1:7" s="309" customFormat="1" ht="14.5">
      <c r="A305" s="773">
        <v>43.12</v>
      </c>
      <c r="B305" s="787" t="s">
        <v>619</v>
      </c>
      <c r="C305" s="645">
        <v>1</v>
      </c>
      <c r="D305" s="1113">
        <v>1.45</v>
      </c>
      <c r="E305" s="647">
        <v>2.82</v>
      </c>
      <c r="F305" s="647"/>
      <c r="G305" s="648">
        <f t="shared" si="13"/>
        <v>4.0889999999999995</v>
      </c>
    </row>
    <row r="306" spans="1:7" s="309" customFormat="1" ht="14.5">
      <c r="A306" s="773">
        <v>43.13</v>
      </c>
      <c r="B306" s="787" t="s">
        <v>620</v>
      </c>
      <c r="C306" s="645">
        <v>1</v>
      </c>
      <c r="D306" s="649">
        <v>1.6850000000000001</v>
      </c>
      <c r="E306" s="647">
        <v>2.82</v>
      </c>
      <c r="F306" s="647"/>
      <c r="G306" s="648">
        <f t="shared" si="13"/>
        <v>4.7516999999999996</v>
      </c>
    </row>
    <row r="307" spans="1:7" s="309" customFormat="1" ht="14.5">
      <c r="A307" s="773">
        <v>43.14</v>
      </c>
      <c r="B307" s="787" t="s">
        <v>584</v>
      </c>
      <c r="C307" s="645">
        <v>1</v>
      </c>
      <c r="D307" s="649">
        <v>3.55</v>
      </c>
      <c r="E307" s="647">
        <v>2.82</v>
      </c>
      <c r="F307" s="647"/>
      <c r="G307" s="648">
        <f t="shared" si="13"/>
        <v>10.010999999999999</v>
      </c>
    </row>
    <row r="308" spans="1:7" s="309" customFormat="1" ht="14.5">
      <c r="A308" s="773">
        <v>43.15</v>
      </c>
      <c r="B308" s="787" t="s">
        <v>585</v>
      </c>
      <c r="C308" s="645">
        <v>1</v>
      </c>
      <c r="D308" s="649">
        <v>3.835</v>
      </c>
      <c r="E308" s="647">
        <v>2.82</v>
      </c>
      <c r="F308" s="647"/>
      <c r="G308" s="648">
        <f t="shared" si="13"/>
        <v>10.814699999999998</v>
      </c>
    </row>
    <row r="309" spans="1:7" s="309" customFormat="1" ht="14.5">
      <c r="A309" s="773">
        <v>43.16</v>
      </c>
      <c r="B309" s="787" t="s">
        <v>621</v>
      </c>
      <c r="C309" s="645">
        <v>1</v>
      </c>
      <c r="D309" s="649">
        <v>3.7749999999999999</v>
      </c>
      <c r="E309" s="647">
        <v>1.35</v>
      </c>
      <c r="F309" s="647"/>
      <c r="G309" s="648">
        <f t="shared" si="13"/>
        <v>5.0962500000000004</v>
      </c>
    </row>
    <row r="310" spans="1:7" s="309" customFormat="1" ht="14.5">
      <c r="A310" s="773">
        <v>43.17</v>
      </c>
      <c r="B310" s="787" t="s">
        <v>622</v>
      </c>
      <c r="C310" s="645">
        <v>2</v>
      </c>
      <c r="D310" s="649">
        <v>5.3449999999999998</v>
      </c>
      <c r="E310" s="1112">
        <v>0.3</v>
      </c>
      <c r="F310" s="647"/>
      <c r="G310" s="648">
        <f t="shared" si="13"/>
        <v>3.2069999999999999</v>
      </c>
    </row>
    <row r="311" spans="1:7" s="309" customFormat="1" ht="14.5">
      <c r="A311" s="773">
        <v>43.18</v>
      </c>
      <c r="B311" s="787" t="s">
        <v>623</v>
      </c>
      <c r="C311" s="645">
        <v>2</v>
      </c>
      <c r="D311" s="649">
        <v>5.25</v>
      </c>
      <c r="E311" s="1112">
        <v>0.3</v>
      </c>
      <c r="F311" s="647"/>
      <c r="G311" s="648">
        <f t="shared" si="13"/>
        <v>3.15</v>
      </c>
    </row>
    <row r="312" spans="1:7" s="309" customFormat="1" ht="14.5">
      <c r="A312" s="773">
        <v>43.19</v>
      </c>
      <c r="B312" s="787" t="s">
        <v>624</v>
      </c>
      <c r="C312" s="645">
        <v>2</v>
      </c>
      <c r="D312" s="649">
        <v>1.95</v>
      </c>
      <c r="E312" s="647">
        <v>2.82</v>
      </c>
      <c r="F312" s="647"/>
      <c r="G312" s="648">
        <f t="shared" si="13"/>
        <v>10.997999999999999</v>
      </c>
    </row>
    <row r="313" spans="1:7" s="309" customFormat="1" ht="14.5">
      <c r="A313" s="818">
        <v>43.2</v>
      </c>
      <c r="B313" s="787" t="s">
        <v>625</v>
      </c>
      <c r="C313" s="645"/>
      <c r="D313" s="649"/>
      <c r="E313" s="647"/>
      <c r="F313" s="647"/>
      <c r="G313" s="648">
        <f t="shared" si="13"/>
        <v>0</v>
      </c>
    </row>
    <row r="314" spans="1:7" s="309" customFormat="1" ht="14.5">
      <c r="A314" s="818">
        <v>43.21</v>
      </c>
      <c r="B314" s="787" t="s">
        <v>1847</v>
      </c>
      <c r="C314" s="645"/>
      <c r="D314" s="649"/>
      <c r="E314" s="647"/>
      <c r="F314" s="647"/>
      <c r="G314" s="648">
        <f t="shared" si="13"/>
        <v>0</v>
      </c>
    </row>
    <row r="315" spans="1:7" s="638" customFormat="1" ht="14.5">
      <c r="A315" s="803">
        <v>43.22</v>
      </c>
      <c r="B315" s="644" t="s">
        <v>626</v>
      </c>
      <c r="C315" s="645">
        <v>1</v>
      </c>
      <c r="D315" s="646">
        <v>14.1</v>
      </c>
      <c r="E315" s="647">
        <v>1.19</v>
      </c>
      <c r="F315" s="647"/>
      <c r="G315" s="648">
        <f t="shared" si="13"/>
        <v>16.779</v>
      </c>
    </row>
    <row r="316" spans="1:7" s="309" customFormat="1" ht="14.5">
      <c r="A316" s="819">
        <v>43.23</v>
      </c>
      <c r="B316" s="787" t="s">
        <v>600</v>
      </c>
      <c r="C316" s="645">
        <v>1</v>
      </c>
      <c r="D316" s="649">
        <v>3.14</v>
      </c>
      <c r="E316" s="647">
        <v>2.82</v>
      </c>
      <c r="F316" s="647"/>
      <c r="G316" s="648">
        <f t="shared" si="13"/>
        <v>8.8547999999999991</v>
      </c>
    </row>
    <row r="317" spans="1:7" customFormat="1" ht="14.5">
      <c r="A317" s="648">
        <v>43.24</v>
      </c>
      <c r="B317" s="650" t="s">
        <v>627</v>
      </c>
      <c r="C317" s="645">
        <v>1</v>
      </c>
      <c r="D317" s="649">
        <v>9.17</v>
      </c>
      <c r="E317" s="647">
        <v>0.3</v>
      </c>
      <c r="F317" s="312"/>
      <c r="G317" s="648">
        <f>E317*C317</f>
        <v>0.3</v>
      </c>
    </row>
    <row r="318" spans="1:7" customFormat="1" ht="14.5">
      <c r="A318" s="648">
        <v>43.25</v>
      </c>
      <c r="B318" s="650" t="s">
        <v>628</v>
      </c>
      <c r="C318" s="645">
        <v>1</v>
      </c>
      <c r="D318" s="649">
        <v>9.17</v>
      </c>
      <c r="E318" s="647">
        <v>0.6</v>
      </c>
      <c r="F318" s="312"/>
      <c r="G318" s="648">
        <f>E318*C318</f>
        <v>0.6</v>
      </c>
    </row>
    <row r="319" spans="1:7" s="309" customFormat="1" ht="14.5">
      <c r="A319" s="803">
        <v>43.26</v>
      </c>
      <c r="B319" s="650" t="s">
        <v>598</v>
      </c>
      <c r="C319" s="1087">
        <v>6</v>
      </c>
      <c r="D319" s="1088">
        <v>1.835</v>
      </c>
      <c r="E319" s="708">
        <v>0.65</v>
      </c>
      <c r="F319" s="734"/>
      <c r="G319" s="648">
        <f>E319*D319*C319</f>
        <v>7.1564999999999994</v>
      </c>
    </row>
    <row r="320" spans="1:7" s="309" customFormat="1" ht="14.5">
      <c r="A320" s="649"/>
      <c r="B320" s="769" t="s">
        <v>490</v>
      </c>
      <c r="C320" s="645"/>
      <c r="D320" s="649"/>
      <c r="E320" s="647"/>
      <c r="F320" s="647"/>
      <c r="G320" s="648"/>
    </row>
    <row r="321" spans="1:7" s="748" customFormat="1" ht="14.5">
      <c r="A321" s="771"/>
      <c r="B321" s="769" t="s">
        <v>601</v>
      </c>
      <c r="C321" s="770">
        <v>-2</v>
      </c>
      <c r="D321" s="771">
        <v>1.4650000000000001</v>
      </c>
      <c r="E321" s="772">
        <v>2.4</v>
      </c>
      <c r="F321" s="772"/>
      <c r="G321" s="781">
        <f>E321*D321*C321</f>
        <v>-7.032</v>
      </c>
    </row>
    <row r="322" spans="1:7" ht="14.5">
      <c r="A322" s="734"/>
      <c r="B322" s="1092" t="s">
        <v>629</v>
      </c>
      <c r="C322" s="1133">
        <v>-2</v>
      </c>
      <c r="D322" s="1094">
        <v>1.1000000000000001</v>
      </c>
      <c r="E322" s="1093">
        <v>2.4</v>
      </c>
      <c r="F322" s="1095"/>
      <c r="G322" s="781">
        <f>E322*D322*C322</f>
        <v>-5.28</v>
      </c>
    </row>
    <row r="323" spans="1:7" s="309" customFormat="1" ht="13.5" customHeight="1">
      <c r="A323" s="773"/>
      <c r="B323" s="785" t="s">
        <v>602</v>
      </c>
      <c r="C323" s="654"/>
      <c r="D323" s="646"/>
      <c r="E323" s="754"/>
      <c r="F323" s="754"/>
      <c r="G323" s="656">
        <f>SUM(G294:G322)</f>
        <v>104.12444999999998</v>
      </c>
    </row>
    <row r="324" spans="1:7" s="309" customFormat="1" ht="13.5" customHeight="1">
      <c r="A324" s="793"/>
      <c r="B324" s="764" t="s">
        <v>1897</v>
      </c>
      <c r="C324" s="794"/>
      <c r="D324" s="795"/>
      <c r="E324" s="766"/>
      <c r="F324" s="766"/>
      <c r="G324" s="767">
        <v>90.53</v>
      </c>
    </row>
    <row r="325" spans="1:7" s="309" customFormat="1" ht="13.5" customHeight="1">
      <c r="A325" s="793"/>
      <c r="B325" s="764" t="s">
        <v>1898</v>
      </c>
      <c r="C325" s="794"/>
      <c r="D325" s="795"/>
      <c r="E325" s="766"/>
      <c r="F325" s="766"/>
      <c r="G325" s="767">
        <f>G323-G324</f>
        <v>13.594449999999981</v>
      </c>
    </row>
    <row r="326" spans="1:7" s="309" customFormat="1" ht="13.5" customHeight="1">
      <c r="A326" s="793"/>
      <c r="B326" s="764" t="s">
        <v>813</v>
      </c>
      <c r="C326" s="794"/>
      <c r="D326" s="795"/>
      <c r="E326" s="766"/>
      <c r="F326" s="766"/>
      <c r="G326" s="767">
        <f>SUM(G324:G325)</f>
        <v>104.12444999999998</v>
      </c>
    </row>
    <row r="327" spans="1:7" s="309" customFormat="1" ht="14.5">
      <c r="A327" s="773"/>
      <c r="B327" s="785"/>
      <c r="C327" s="654"/>
      <c r="D327" s="646"/>
      <c r="E327" s="754"/>
      <c r="F327" s="754"/>
      <c r="G327" s="656"/>
    </row>
    <row r="328" spans="1:7" s="309" customFormat="1" ht="72.5">
      <c r="A328" s="757">
        <v>44</v>
      </c>
      <c r="B328" s="802" t="s">
        <v>182</v>
      </c>
      <c r="C328" s="654"/>
      <c r="D328" s="646"/>
      <c r="E328" s="754"/>
      <c r="F328" s="754"/>
      <c r="G328" s="656"/>
    </row>
    <row r="329" spans="1:7" s="309" customFormat="1" ht="14.5">
      <c r="A329" s="704">
        <v>44.01</v>
      </c>
      <c r="B329" s="762" t="s">
        <v>630</v>
      </c>
      <c r="C329" s="654">
        <v>1</v>
      </c>
      <c r="D329" s="646">
        <v>3.335</v>
      </c>
      <c r="E329" s="647">
        <v>1.421</v>
      </c>
      <c r="F329" s="754"/>
      <c r="G329" s="648">
        <f>E329*D329*C329</f>
        <v>4.7390350000000003</v>
      </c>
    </row>
    <row r="330" spans="1:7" s="309" customFormat="1" ht="14.5">
      <c r="A330" s="786">
        <v>44.02</v>
      </c>
      <c r="B330" s="650" t="s">
        <v>631</v>
      </c>
      <c r="C330" s="645">
        <v>1</v>
      </c>
      <c r="D330" s="649">
        <v>1.48</v>
      </c>
      <c r="E330" s="647">
        <v>2.82</v>
      </c>
      <c r="F330" s="647"/>
      <c r="G330" s="648">
        <f>E330*D330*C330</f>
        <v>4.1735999999999995</v>
      </c>
    </row>
    <row r="331" spans="1:7" s="638" customFormat="1" ht="14.5">
      <c r="A331" s="704">
        <v>44.03</v>
      </c>
      <c r="B331" s="644" t="s">
        <v>632</v>
      </c>
      <c r="C331" s="645">
        <v>1</v>
      </c>
      <c r="D331" s="646">
        <v>15.233000000000001</v>
      </c>
      <c r="E331" s="647">
        <v>1.19</v>
      </c>
      <c r="F331" s="647"/>
      <c r="G331" s="648">
        <f>E331*D331*C331</f>
        <v>18.127269999999999</v>
      </c>
    </row>
    <row r="332" spans="1:7" s="309" customFormat="1" ht="14.5">
      <c r="A332" s="786">
        <v>44.04</v>
      </c>
      <c r="B332" s="650" t="s">
        <v>633</v>
      </c>
      <c r="C332" s="645">
        <v>1</v>
      </c>
      <c r="D332" s="649">
        <v>11.95</v>
      </c>
      <c r="E332" s="647">
        <v>0.9</v>
      </c>
      <c r="F332" s="647"/>
      <c r="G332" s="648">
        <f>E332*D332*C332</f>
        <v>10.754999999999999</v>
      </c>
    </row>
    <row r="333" spans="1:7" s="309" customFormat="1" ht="14.5">
      <c r="A333" s="704">
        <v>44.05</v>
      </c>
      <c r="B333" s="644" t="s">
        <v>634</v>
      </c>
      <c r="C333" s="654">
        <v>1</v>
      </c>
      <c r="D333" s="654">
        <v>10.225</v>
      </c>
      <c r="E333" s="647">
        <v>0.9</v>
      </c>
      <c r="F333" s="647"/>
      <c r="G333" s="648">
        <f>D333*C333</f>
        <v>10.225</v>
      </c>
    </row>
    <row r="334" spans="1:7" s="309" customFormat="1" ht="14.5">
      <c r="A334" s="1096"/>
      <c r="B334" s="785" t="s">
        <v>602</v>
      </c>
      <c r="C334" s="654"/>
      <c r="D334" s="646"/>
      <c r="E334" s="754"/>
      <c r="F334" s="754"/>
      <c r="G334" s="656">
        <f>SUM(G329:G333)</f>
        <v>48.019905000000001</v>
      </c>
    </row>
    <row r="335" spans="1:7" s="309" customFormat="1" ht="14.5">
      <c r="A335" s="793"/>
      <c r="B335" s="764" t="s">
        <v>1897</v>
      </c>
      <c r="C335" s="794"/>
      <c r="D335" s="795"/>
      <c r="E335" s="766"/>
      <c r="F335" s="766"/>
      <c r="G335" s="767">
        <v>22.42</v>
      </c>
    </row>
    <row r="336" spans="1:7" s="309" customFormat="1" ht="14.5">
      <c r="A336" s="793"/>
      <c r="B336" s="764" t="s">
        <v>1898</v>
      </c>
      <c r="C336" s="794"/>
      <c r="D336" s="795"/>
      <c r="E336" s="766"/>
      <c r="F336" s="766"/>
      <c r="G336" s="767">
        <f>G334-G335</f>
        <v>25.599905</v>
      </c>
    </row>
    <row r="337" spans="1:7" s="309" customFormat="1" ht="14.5">
      <c r="A337" s="793"/>
      <c r="B337" s="764" t="s">
        <v>813</v>
      </c>
      <c r="C337" s="794"/>
      <c r="D337" s="795"/>
      <c r="E337" s="766"/>
      <c r="F337" s="766"/>
      <c r="G337" s="767">
        <f>SUM(G335:G336)</f>
        <v>48.019905000000001</v>
      </c>
    </row>
    <row r="338" spans="1:7" s="309" customFormat="1" ht="14.5">
      <c r="A338" s="773"/>
      <c r="B338" s="785"/>
      <c r="C338" s="654"/>
      <c r="D338" s="646"/>
      <c r="E338" s="754"/>
      <c r="F338" s="754"/>
      <c r="G338" s="656"/>
    </row>
    <row r="339" spans="1:7" s="309" customFormat="1" ht="39">
      <c r="A339" s="757">
        <v>45</v>
      </c>
      <c r="B339" s="756" t="s">
        <v>183</v>
      </c>
      <c r="C339" s="654"/>
      <c r="D339" s="646"/>
      <c r="E339" s="754"/>
      <c r="F339" s="754"/>
      <c r="G339" s="656"/>
    </row>
    <row r="340" spans="1:7" s="309" customFormat="1" ht="14.5">
      <c r="A340" s="757"/>
      <c r="B340" s="756" t="s">
        <v>1919</v>
      </c>
      <c r="C340" s="654"/>
      <c r="D340" s="646"/>
      <c r="E340" s="754"/>
      <c r="F340" s="754"/>
      <c r="G340" s="656"/>
    </row>
    <row r="341" spans="1:7" s="309" customFormat="1" ht="14.5">
      <c r="A341" s="803">
        <v>1</v>
      </c>
      <c r="B341" s="644" t="s">
        <v>635</v>
      </c>
      <c r="C341" s="654">
        <v>1</v>
      </c>
      <c r="D341" s="646">
        <v>3.4449999999999998</v>
      </c>
      <c r="E341" s="754"/>
      <c r="F341" s="754"/>
      <c r="G341" s="648">
        <f t="shared" ref="G341:G348" si="14">D341*C341</f>
        <v>3.4449999999999998</v>
      </c>
    </row>
    <row r="342" spans="1:7" s="309" customFormat="1" ht="14.5">
      <c r="A342" s="803">
        <v>2</v>
      </c>
      <c r="B342" s="644" t="s">
        <v>636</v>
      </c>
      <c r="C342" s="654">
        <v>1</v>
      </c>
      <c r="D342" s="646">
        <v>0.35</v>
      </c>
      <c r="E342" s="754"/>
      <c r="F342" s="754"/>
      <c r="G342" s="648">
        <f t="shared" si="14"/>
        <v>0.35</v>
      </c>
    </row>
    <row r="343" spans="1:7" s="309" customFormat="1" ht="14.5">
      <c r="A343" s="803">
        <v>3</v>
      </c>
      <c r="B343" s="644" t="s">
        <v>637</v>
      </c>
      <c r="C343" s="654">
        <v>1</v>
      </c>
      <c r="D343" s="1117">
        <v>4.8</v>
      </c>
      <c r="E343" s="754"/>
      <c r="F343" s="754"/>
      <c r="G343" s="648">
        <f t="shared" si="14"/>
        <v>4.8</v>
      </c>
    </row>
    <row r="344" spans="1:7" s="309" customFormat="1" ht="14.5">
      <c r="A344" s="803">
        <v>4</v>
      </c>
      <c r="B344" s="644" t="s">
        <v>638</v>
      </c>
      <c r="C344" s="654">
        <v>1</v>
      </c>
      <c r="D344" s="654">
        <v>9.17</v>
      </c>
      <c r="E344" s="754"/>
      <c r="F344" s="754"/>
      <c r="G344" s="648">
        <f t="shared" si="14"/>
        <v>9.17</v>
      </c>
    </row>
    <row r="345" spans="1:7" s="309" customFormat="1" ht="14.5">
      <c r="A345" s="803">
        <v>5</v>
      </c>
      <c r="B345" s="644" t="s">
        <v>639</v>
      </c>
      <c r="C345" s="654">
        <v>1</v>
      </c>
      <c r="D345" s="654">
        <v>2.5</v>
      </c>
      <c r="E345" s="754"/>
      <c r="F345" s="754"/>
      <c r="G345" s="648">
        <f t="shared" si="14"/>
        <v>2.5</v>
      </c>
    </row>
    <row r="346" spans="1:7" s="309" customFormat="1" ht="14.5">
      <c r="A346" s="803">
        <v>6</v>
      </c>
      <c r="B346" s="644" t="s">
        <v>640</v>
      </c>
      <c r="C346" s="654">
        <v>1</v>
      </c>
      <c r="D346" s="1117">
        <v>9.6</v>
      </c>
      <c r="E346" s="754"/>
      <c r="F346" s="754"/>
      <c r="G346" s="648">
        <f t="shared" si="14"/>
        <v>9.6</v>
      </c>
    </row>
    <row r="347" spans="1:7" s="309" customFormat="1" ht="14.5">
      <c r="A347" s="803">
        <v>7</v>
      </c>
      <c r="B347" s="644" t="s">
        <v>641</v>
      </c>
      <c r="C347" s="654">
        <v>1</v>
      </c>
      <c r="D347" s="1134">
        <v>7.84</v>
      </c>
      <c r="E347" s="754"/>
      <c r="F347" s="754"/>
      <c r="G347" s="648">
        <f t="shared" si="14"/>
        <v>7.84</v>
      </c>
    </row>
    <row r="348" spans="1:7" s="309" customFormat="1" ht="14.5">
      <c r="A348" s="803">
        <v>9</v>
      </c>
      <c r="B348" s="644" t="s">
        <v>642</v>
      </c>
      <c r="C348" s="654">
        <v>1</v>
      </c>
      <c r="D348" s="654">
        <v>1.1000000000000001</v>
      </c>
      <c r="E348" s="754"/>
      <c r="F348" s="754"/>
      <c r="G348" s="648">
        <f t="shared" si="14"/>
        <v>1.1000000000000001</v>
      </c>
    </row>
    <row r="349" spans="1:7" s="309" customFormat="1" ht="14.5">
      <c r="A349" s="803">
        <v>9</v>
      </c>
      <c r="B349" s="644" t="s">
        <v>643</v>
      </c>
      <c r="C349" s="654">
        <v>1</v>
      </c>
      <c r="D349" s="1117">
        <v>4.33</v>
      </c>
      <c r="E349" s="754"/>
      <c r="F349" s="754"/>
      <c r="G349" s="648">
        <f t="shared" ref="G349:G358" si="15">D349*C349</f>
        <v>4.33</v>
      </c>
    </row>
    <row r="350" spans="1:7" s="309" customFormat="1" ht="14.5">
      <c r="A350" s="803">
        <v>10</v>
      </c>
      <c r="B350" s="644" t="s">
        <v>644</v>
      </c>
      <c r="C350" s="654">
        <v>1</v>
      </c>
      <c r="D350" s="1117">
        <v>3.95</v>
      </c>
      <c r="E350" s="754"/>
      <c r="F350" s="754"/>
      <c r="G350" s="648">
        <f t="shared" si="15"/>
        <v>3.95</v>
      </c>
    </row>
    <row r="351" spans="1:7" s="309" customFormat="1" ht="14.5">
      <c r="A351" s="803">
        <v>11</v>
      </c>
      <c r="B351" s="644" t="s">
        <v>645</v>
      </c>
      <c r="C351" s="654">
        <v>1</v>
      </c>
      <c r="D351" s="654">
        <v>3.7749999999999999</v>
      </c>
      <c r="E351" s="754"/>
      <c r="F351" s="754"/>
      <c r="G351" s="648">
        <f t="shared" si="15"/>
        <v>3.7749999999999999</v>
      </c>
    </row>
    <row r="352" spans="1:7" s="309" customFormat="1" ht="14.5">
      <c r="A352" s="803">
        <v>12</v>
      </c>
      <c r="B352" s="644" t="s">
        <v>646</v>
      </c>
      <c r="C352" s="654">
        <v>1</v>
      </c>
      <c r="D352" s="1117">
        <v>1</v>
      </c>
      <c r="E352" s="754"/>
      <c r="F352" s="754"/>
      <c r="G352" s="648">
        <f t="shared" si="15"/>
        <v>1</v>
      </c>
    </row>
    <row r="353" spans="1:7" s="309" customFormat="1" ht="14.5">
      <c r="A353" s="803">
        <v>13</v>
      </c>
      <c r="B353" s="644" t="s">
        <v>647</v>
      </c>
      <c r="C353" s="654">
        <v>1</v>
      </c>
      <c r="D353" s="654">
        <v>2.33</v>
      </c>
      <c r="E353" s="754"/>
      <c r="F353" s="754"/>
      <c r="G353" s="648">
        <f t="shared" si="15"/>
        <v>2.33</v>
      </c>
    </row>
    <row r="354" spans="1:7" s="309" customFormat="1" ht="14.5">
      <c r="A354" s="803">
        <v>14</v>
      </c>
      <c r="B354" s="644" t="s">
        <v>648</v>
      </c>
      <c r="C354" s="654">
        <v>1</v>
      </c>
      <c r="D354" s="654">
        <v>3.1</v>
      </c>
      <c r="E354" s="754"/>
      <c r="F354" s="754"/>
      <c r="G354" s="648">
        <f t="shared" si="15"/>
        <v>3.1</v>
      </c>
    </row>
    <row r="355" spans="1:7" s="309" customFormat="1" ht="14.5">
      <c r="A355" s="803">
        <v>15</v>
      </c>
      <c r="B355" s="644" t="s">
        <v>649</v>
      </c>
      <c r="C355" s="654">
        <v>1</v>
      </c>
      <c r="D355" s="654">
        <v>11.95</v>
      </c>
      <c r="E355" s="754"/>
      <c r="F355" s="754"/>
      <c r="G355" s="648">
        <f t="shared" si="15"/>
        <v>11.95</v>
      </c>
    </row>
    <row r="356" spans="1:7" s="309" customFormat="1" ht="14.5">
      <c r="A356" s="803">
        <v>16</v>
      </c>
      <c r="B356" s="644" t="s">
        <v>650</v>
      </c>
      <c r="C356" s="654">
        <v>2</v>
      </c>
      <c r="D356" s="1117">
        <v>1.95</v>
      </c>
      <c r="E356" s="754"/>
      <c r="F356" s="754"/>
      <c r="G356" s="648">
        <f t="shared" si="15"/>
        <v>3.9</v>
      </c>
    </row>
    <row r="357" spans="1:7" s="309" customFormat="1" ht="14.5">
      <c r="A357" s="803">
        <v>17</v>
      </c>
      <c r="B357" s="644" t="s">
        <v>651</v>
      </c>
      <c r="C357" s="654">
        <v>1</v>
      </c>
      <c r="D357" s="654">
        <v>6.8</v>
      </c>
      <c r="E357" s="754"/>
      <c r="F357" s="754"/>
      <c r="G357" s="648">
        <f t="shared" si="15"/>
        <v>6.8</v>
      </c>
    </row>
    <row r="358" spans="1:7" s="309" customFormat="1" ht="14.5">
      <c r="A358" s="803">
        <v>18</v>
      </c>
      <c r="B358" s="644" t="s">
        <v>652</v>
      </c>
      <c r="C358" s="654">
        <v>1</v>
      </c>
      <c r="D358" s="654">
        <v>3.77</v>
      </c>
      <c r="E358" s="754"/>
      <c r="F358" s="754"/>
      <c r="G358" s="648">
        <f t="shared" si="15"/>
        <v>3.77</v>
      </c>
    </row>
    <row r="359" spans="1:7" s="309" customFormat="1" ht="14.5">
      <c r="A359" s="803"/>
      <c r="B359" s="644" t="s">
        <v>1920</v>
      </c>
      <c r="C359" s="654"/>
      <c r="D359" s="654"/>
      <c r="E359" s="754"/>
      <c r="F359" s="754"/>
      <c r="G359" s="648"/>
    </row>
    <row r="360" spans="1:7" s="309" customFormat="1" ht="14.5">
      <c r="A360" s="803"/>
      <c r="B360" s="644"/>
      <c r="C360" s="654"/>
      <c r="D360" s="654"/>
      <c r="E360" s="754"/>
      <c r="F360" s="754"/>
      <c r="G360" s="648"/>
    </row>
    <row r="361" spans="1:7" s="309" customFormat="1" ht="14.5">
      <c r="A361" s="773"/>
      <c r="B361" s="785" t="s">
        <v>481</v>
      </c>
      <c r="C361" s="654"/>
      <c r="D361" s="646"/>
      <c r="E361" s="754"/>
      <c r="F361" s="754"/>
      <c r="G361" s="656">
        <f>SUM(G341:G358)</f>
        <v>83.71</v>
      </c>
    </row>
    <row r="362" spans="1:7" s="309" customFormat="1" ht="14.5">
      <c r="A362" s="793"/>
      <c r="B362" s="764" t="s">
        <v>1897</v>
      </c>
      <c r="C362" s="794"/>
      <c r="D362" s="795"/>
      <c r="E362" s="766"/>
      <c r="F362" s="766"/>
      <c r="G362" s="767">
        <v>67.02</v>
      </c>
    </row>
    <row r="363" spans="1:7" s="309" customFormat="1" ht="14.5">
      <c r="A363" s="793"/>
      <c r="B363" s="764" t="s">
        <v>1898</v>
      </c>
      <c r="C363" s="794"/>
      <c r="D363" s="795"/>
      <c r="E363" s="766"/>
      <c r="F363" s="766"/>
      <c r="G363" s="767">
        <f>G361-G362</f>
        <v>16.689999999999998</v>
      </c>
    </row>
    <row r="364" spans="1:7" s="309" customFormat="1" ht="14.5">
      <c r="A364" s="793"/>
      <c r="B364" s="764" t="s">
        <v>813</v>
      </c>
      <c r="C364" s="794"/>
      <c r="D364" s="795"/>
      <c r="E364" s="766"/>
      <c r="F364" s="766"/>
      <c r="G364" s="767">
        <f>SUM(G362:G363)</f>
        <v>83.71</v>
      </c>
    </row>
    <row r="365" spans="1:7" s="309" customFormat="1" ht="14.5">
      <c r="A365" s="773"/>
      <c r="B365" s="785"/>
      <c r="C365" s="654"/>
      <c r="D365" s="646"/>
      <c r="E365" s="754"/>
      <c r="F365" s="754"/>
      <c r="G365" s="656"/>
    </row>
    <row r="366" spans="1:7" s="638" customFormat="1" ht="78">
      <c r="A366" s="757">
        <v>46</v>
      </c>
      <c r="B366" s="756" t="s">
        <v>653</v>
      </c>
      <c r="C366" s="816"/>
      <c r="D366" s="797"/>
      <c r="E366" s="754"/>
      <c r="F366" s="754"/>
      <c r="G366" s="656"/>
    </row>
    <row r="367" spans="1:7" s="309" customFormat="1" ht="14.5">
      <c r="A367" s="773">
        <v>46.01</v>
      </c>
      <c r="B367" s="762" t="s">
        <v>654</v>
      </c>
      <c r="C367" s="654">
        <v>1</v>
      </c>
      <c r="D367" s="646">
        <v>2.62</v>
      </c>
      <c r="E367" s="647">
        <v>0.9</v>
      </c>
      <c r="F367" s="647"/>
      <c r="G367" s="648">
        <f>E367*D367*C367</f>
        <v>2.3580000000000001</v>
      </c>
    </row>
    <row r="368" spans="1:7" s="309" customFormat="1" ht="14.5">
      <c r="A368" s="773"/>
      <c r="B368" s="785"/>
      <c r="C368" s="654"/>
      <c r="D368" s="646"/>
      <c r="E368" s="754"/>
      <c r="F368" s="754"/>
      <c r="G368" s="656"/>
    </row>
    <row r="369" spans="1:7" s="309" customFormat="1" ht="14.5">
      <c r="A369" s="793"/>
      <c r="B369" s="783" t="s">
        <v>602</v>
      </c>
      <c r="C369" s="794"/>
      <c r="D369" s="795"/>
      <c r="E369" s="766"/>
      <c r="F369" s="766"/>
      <c r="G369" s="767">
        <f>SUM(G367:G368)</f>
        <v>2.3580000000000001</v>
      </c>
    </row>
    <row r="370" spans="1:7" s="309" customFormat="1" ht="14.5">
      <c r="A370" s="773"/>
      <c r="B370" s="785"/>
      <c r="C370" s="654"/>
      <c r="D370" s="646"/>
      <c r="E370" s="754"/>
      <c r="F370" s="754"/>
      <c r="G370" s="656"/>
    </row>
    <row r="371" spans="1:7" s="309" customFormat="1" ht="130">
      <c r="A371" s="757">
        <v>48</v>
      </c>
      <c r="B371" s="756" t="s">
        <v>435</v>
      </c>
      <c r="C371" s="654"/>
      <c r="D371" s="646"/>
      <c r="E371" s="754"/>
      <c r="F371" s="754"/>
      <c r="G371" s="656"/>
    </row>
    <row r="372" spans="1:7" s="309" customFormat="1" ht="14.5">
      <c r="A372" s="773">
        <v>48.01</v>
      </c>
      <c r="B372" s="762" t="s">
        <v>655</v>
      </c>
      <c r="C372" s="654">
        <v>1</v>
      </c>
      <c r="D372" s="646">
        <v>2.65</v>
      </c>
      <c r="E372" s="312">
        <v>0.83</v>
      </c>
      <c r="F372" s="647"/>
      <c r="G372" s="648">
        <f>E372*D372*C372</f>
        <v>2.1995</v>
      </c>
    </row>
    <row r="373" spans="1:7" s="309" customFormat="1" ht="14.5">
      <c r="A373" s="773">
        <v>48.02</v>
      </c>
      <c r="B373" s="762" t="s">
        <v>643</v>
      </c>
      <c r="C373" s="654">
        <v>1</v>
      </c>
      <c r="D373" s="646">
        <v>4.8769999999999998</v>
      </c>
      <c r="E373" s="312">
        <v>0.83</v>
      </c>
      <c r="F373" s="647"/>
      <c r="G373" s="648">
        <f>E373*D373*C373</f>
        <v>4.0479099999999999</v>
      </c>
    </row>
    <row r="374" spans="1:7" s="309" customFormat="1" ht="14.5">
      <c r="A374" s="793"/>
      <c r="B374" s="783" t="s">
        <v>602</v>
      </c>
      <c r="C374" s="794"/>
      <c r="D374" s="795"/>
      <c r="E374" s="766"/>
      <c r="F374" s="766"/>
      <c r="G374" s="767">
        <f>SUM(G372:G373)</f>
        <v>6.2474100000000004</v>
      </c>
    </row>
    <row r="375" spans="1:7" s="309" customFormat="1" ht="14.5">
      <c r="A375" s="773"/>
      <c r="B375" s="785"/>
      <c r="C375" s="654"/>
      <c r="D375" s="646"/>
      <c r="E375" s="754"/>
      <c r="F375" s="754"/>
      <c r="G375" s="656"/>
    </row>
    <row r="376" spans="1:7" s="309" customFormat="1" ht="130">
      <c r="A376" s="757">
        <v>49</v>
      </c>
      <c r="B376" s="644" t="s">
        <v>191</v>
      </c>
      <c r="C376" s="654"/>
      <c r="D376" s="646"/>
      <c r="E376" s="754"/>
      <c r="F376" s="754"/>
      <c r="G376" s="656"/>
    </row>
    <row r="377" spans="1:7" s="309" customFormat="1" ht="14.5">
      <c r="A377" s="773">
        <v>49.01</v>
      </c>
      <c r="B377" s="762" t="s">
        <v>656</v>
      </c>
      <c r="C377" s="654" t="s">
        <v>657</v>
      </c>
      <c r="D377" s="646"/>
      <c r="E377" s="647"/>
      <c r="F377" s="647"/>
      <c r="G377" s="648">
        <v>1</v>
      </c>
    </row>
    <row r="378" spans="1:7" s="309" customFormat="1" ht="14.5">
      <c r="A378" s="773"/>
      <c r="B378" s="762"/>
      <c r="C378" s="654"/>
      <c r="D378" s="646"/>
      <c r="E378" s="647"/>
      <c r="F378" s="647"/>
      <c r="G378" s="648"/>
    </row>
    <row r="379" spans="1:7" s="309" customFormat="1" ht="14.5">
      <c r="A379" s="793"/>
      <c r="B379" s="783" t="s">
        <v>602</v>
      </c>
      <c r="C379" s="794"/>
      <c r="D379" s="795"/>
      <c r="E379" s="766"/>
      <c r="F379" s="766"/>
      <c r="G379" s="767">
        <f>G377</f>
        <v>1</v>
      </c>
    </row>
    <row r="380" spans="1:7" s="309" customFormat="1" ht="14.5">
      <c r="A380" s="773"/>
      <c r="B380" s="785"/>
      <c r="C380" s="654"/>
      <c r="D380" s="646"/>
      <c r="E380" s="754"/>
      <c r="F380" s="754"/>
      <c r="G380" s="656"/>
    </row>
    <row r="381" spans="1:7" s="309" customFormat="1" ht="52">
      <c r="A381" s="757">
        <v>50</v>
      </c>
      <c r="B381" s="644" t="s">
        <v>192</v>
      </c>
      <c r="C381" s="654"/>
      <c r="D381" s="646"/>
      <c r="E381" s="754"/>
      <c r="F381" s="754"/>
      <c r="G381" s="656"/>
    </row>
    <row r="382" spans="1:7" s="309" customFormat="1" ht="14.5">
      <c r="A382" s="773">
        <v>50.01</v>
      </c>
      <c r="B382" s="762" t="s">
        <v>635</v>
      </c>
      <c r="C382" s="654" t="s">
        <v>657</v>
      </c>
      <c r="D382" s="646"/>
      <c r="E382" s="647"/>
      <c r="F382" s="647"/>
      <c r="G382" s="648">
        <v>1</v>
      </c>
    </row>
    <row r="383" spans="1:7" s="309" customFormat="1" ht="14.5">
      <c r="A383" s="793"/>
      <c r="B383" s="783" t="s">
        <v>602</v>
      </c>
      <c r="C383" s="794"/>
      <c r="D383" s="795"/>
      <c r="E383" s="766"/>
      <c r="F383" s="766"/>
      <c r="G383" s="767">
        <f>G382</f>
        <v>1</v>
      </c>
    </row>
    <row r="384" spans="1:7" s="309" customFormat="1" ht="14.5">
      <c r="A384" s="773"/>
      <c r="B384" s="785"/>
      <c r="C384" s="654"/>
      <c r="D384" s="646"/>
      <c r="E384" s="754"/>
      <c r="F384" s="754"/>
      <c r="G384" s="656"/>
    </row>
    <row r="385" spans="1:8" s="309" customFormat="1" ht="260">
      <c r="A385" s="757">
        <v>51</v>
      </c>
      <c r="B385" s="756" t="s">
        <v>193</v>
      </c>
      <c r="C385" s="654"/>
      <c r="D385" s="646"/>
      <c r="E385" s="754"/>
      <c r="F385" s="754"/>
      <c r="G385" s="656"/>
    </row>
    <row r="386" spans="1:8" s="309" customFormat="1" ht="39">
      <c r="A386" s="773">
        <v>51.01</v>
      </c>
      <c r="B386" s="644" t="s">
        <v>196</v>
      </c>
      <c r="C386" s="654">
        <v>1</v>
      </c>
      <c r="D386" s="646">
        <v>3</v>
      </c>
      <c r="E386" s="754"/>
      <c r="F386" s="754"/>
      <c r="G386" s="656">
        <f>D386*C386</f>
        <v>3</v>
      </c>
    </row>
    <row r="387" spans="1:8" s="309" customFormat="1" ht="14.5">
      <c r="A387" s="793"/>
      <c r="B387" s="783" t="s">
        <v>602</v>
      </c>
      <c r="C387" s="794"/>
      <c r="D387" s="795"/>
      <c r="E387" s="766"/>
      <c r="F387" s="766"/>
      <c r="G387" s="767">
        <f>G386</f>
        <v>3</v>
      </c>
    </row>
    <row r="388" spans="1:8" s="309" customFormat="1" ht="14.5">
      <c r="A388" s="773"/>
      <c r="B388" s="785"/>
      <c r="C388" s="654"/>
      <c r="D388" s="646"/>
      <c r="E388" s="754"/>
      <c r="F388" s="754"/>
      <c r="G388" s="656"/>
    </row>
    <row r="389" spans="1:8" s="309" customFormat="1" ht="14.5">
      <c r="A389" s="773"/>
      <c r="B389" s="785"/>
      <c r="C389" s="654"/>
      <c r="D389" s="646"/>
      <c r="E389" s="754"/>
      <c r="F389" s="754"/>
      <c r="G389" s="656"/>
    </row>
    <row r="390" spans="1:8" s="309" customFormat="1" ht="14.5">
      <c r="A390" s="773"/>
      <c r="B390" s="785"/>
      <c r="C390" s="654"/>
      <c r="D390" s="646"/>
      <c r="E390" s="754"/>
      <c r="F390" s="754"/>
      <c r="G390" s="656"/>
    </row>
    <row r="391" spans="1:8" s="309" customFormat="1" ht="14.5">
      <c r="A391" s="755" t="s">
        <v>16</v>
      </c>
      <c r="B391" s="820" t="s">
        <v>200</v>
      </c>
      <c r="C391" s="654"/>
      <c r="D391" s="646"/>
      <c r="E391" s="754"/>
      <c r="F391" s="754"/>
      <c r="G391" s="656"/>
    </row>
    <row r="392" spans="1:8" s="309" customFormat="1" ht="130">
      <c r="A392" s="757">
        <v>53</v>
      </c>
      <c r="B392" s="768" t="s">
        <v>201</v>
      </c>
      <c r="C392" s="654"/>
      <c r="D392" s="646"/>
      <c r="E392" s="754"/>
      <c r="F392" s="754"/>
      <c r="G392" s="656"/>
    </row>
    <row r="393" spans="1:8" s="309" customFormat="1" ht="14.5">
      <c r="A393" s="773">
        <v>53.01</v>
      </c>
      <c r="B393" s="821" t="s">
        <v>658</v>
      </c>
      <c r="C393" s="654">
        <v>1</v>
      </c>
      <c r="D393" s="646">
        <v>14.07</v>
      </c>
      <c r="E393" s="647">
        <v>1.3</v>
      </c>
      <c r="F393" s="647"/>
      <c r="G393" s="648">
        <f>E393*D393</f>
        <v>18.291</v>
      </c>
    </row>
    <row r="394" spans="1:8" s="309" customFormat="1" ht="14.5">
      <c r="A394" s="793"/>
      <c r="B394" s="783" t="s">
        <v>602</v>
      </c>
      <c r="C394" s="794"/>
      <c r="D394" s="795"/>
      <c r="E394" s="766"/>
      <c r="F394" s="766"/>
      <c r="G394" s="767">
        <f>SUM(G392:G393)</f>
        <v>18.291</v>
      </c>
    </row>
    <row r="395" spans="1:8" s="309" customFormat="1" ht="14.5">
      <c r="A395" s="755"/>
      <c r="B395" s="820"/>
      <c r="C395" s="654"/>
      <c r="D395" s="646"/>
      <c r="E395" s="754"/>
      <c r="F395" s="754"/>
      <c r="G395" s="656"/>
    </row>
    <row r="396" spans="1:8" s="309" customFormat="1" ht="143">
      <c r="A396" s="757">
        <v>54</v>
      </c>
      <c r="B396" s="756" t="s">
        <v>202</v>
      </c>
      <c r="C396" s="654"/>
      <c r="D396" s="646"/>
      <c r="E396" s="754"/>
      <c r="F396" s="754"/>
      <c r="G396" s="656"/>
      <c r="H396" s="822" t="s">
        <v>659</v>
      </c>
    </row>
    <row r="397" spans="1:8" s="309" customFormat="1" ht="14.5">
      <c r="A397" s="773">
        <v>54.01</v>
      </c>
      <c r="B397" s="644" t="s">
        <v>660</v>
      </c>
      <c r="C397" s="654">
        <v>1</v>
      </c>
      <c r="D397" s="646">
        <v>31.91</v>
      </c>
      <c r="E397" s="647">
        <v>1</v>
      </c>
      <c r="F397" s="647"/>
      <c r="G397" s="648">
        <f>E397*D397</f>
        <v>31.91</v>
      </c>
    </row>
    <row r="398" spans="1:8" s="309" customFormat="1" ht="14.5">
      <c r="A398" s="773">
        <v>54.02</v>
      </c>
      <c r="B398" s="644" t="s">
        <v>661</v>
      </c>
      <c r="C398" s="654">
        <v>1</v>
      </c>
      <c r="D398" s="646">
        <v>9.9499999999999993</v>
      </c>
      <c r="E398" s="647">
        <v>1</v>
      </c>
      <c r="F398" s="647"/>
      <c r="G398" s="648">
        <f>E398*D398</f>
        <v>9.9499999999999993</v>
      </c>
    </row>
    <row r="399" spans="1:8" s="309" customFormat="1" ht="14.5">
      <c r="A399" s="773">
        <v>54.03</v>
      </c>
      <c r="B399" s="644" t="s">
        <v>662</v>
      </c>
      <c r="C399" s="654">
        <v>1</v>
      </c>
      <c r="D399" s="646">
        <v>5.32</v>
      </c>
      <c r="E399" s="647">
        <v>1</v>
      </c>
      <c r="F399" s="647"/>
      <c r="G399" s="648">
        <f>E399*D399</f>
        <v>5.32</v>
      </c>
    </row>
    <row r="400" spans="1:8" s="309" customFormat="1" ht="14.5">
      <c r="A400" s="773">
        <v>54.04</v>
      </c>
      <c r="B400" s="644" t="s">
        <v>663</v>
      </c>
      <c r="C400" s="654">
        <v>1</v>
      </c>
      <c r="D400" s="646">
        <v>68</v>
      </c>
      <c r="E400" s="647">
        <v>1</v>
      </c>
      <c r="F400" s="647"/>
      <c r="G400" s="648">
        <f>E400*D400</f>
        <v>68</v>
      </c>
    </row>
    <row r="401" spans="1:7" s="309" customFormat="1" ht="14.5">
      <c r="A401" s="773">
        <v>54.05</v>
      </c>
      <c r="B401" s="644" t="s">
        <v>664</v>
      </c>
      <c r="C401" s="654">
        <v>1</v>
      </c>
      <c r="D401" s="646">
        <v>44.77</v>
      </c>
      <c r="E401" s="647">
        <v>1</v>
      </c>
      <c r="F401" s="647"/>
      <c r="G401" s="648">
        <f>E401*D401</f>
        <v>44.77</v>
      </c>
    </row>
    <row r="402" spans="1:7" s="309" customFormat="1" ht="14.5">
      <c r="A402" s="773"/>
      <c r="B402" s="785" t="s">
        <v>602</v>
      </c>
      <c r="C402" s="654"/>
      <c r="D402" s="646"/>
      <c r="E402" s="754"/>
      <c r="F402" s="754"/>
      <c r="G402" s="656">
        <f>SUM(G397:G401)</f>
        <v>159.95000000000002</v>
      </c>
    </row>
    <row r="403" spans="1:7" s="309" customFormat="1" ht="14.5">
      <c r="A403" s="793"/>
      <c r="B403" s="764" t="s">
        <v>1897</v>
      </c>
      <c r="C403" s="794"/>
      <c r="D403" s="795"/>
      <c r="E403" s="766"/>
      <c r="F403" s="766"/>
      <c r="G403" s="767">
        <v>140</v>
      </c>
    </row>
    <row r="404" spans="1:7" s="309" customFormat="1" ht="14.5">
      <c r="A404" s="793"/>
      <c r="B404" s="764" t="s">
        <v>1898</v>
      </c>
      <c r="C404" s="794"/>
      <c r="D404" s="795"/>
      <c r="E404" s="766"/>
      <c r="F404" s="766"/>
      <c r="G404" s="767">
        <f>G402-G403</f>
        <v>19.950000000000017</v>
      </c>
    </row>
    <row r="405" spans="1:7" s="309" customFormat="1" ht="14.5">
      <c r="A405" s="793"/>
      <c r="B405" s="764" t="s">
        <v>813</v>
      </c>
      <c r="C405" s="794"/>
      <c r="D405" s="795"/>
      <c r="E405" s="766"/>
      <c r="F405" s="766"/>
      <c r="G405" s="767">
        <f>SUM(G403:G404)</f>
        <v>159.95000000000002</v>
      </c>
    </row>
    <row r="406" spans="1:7" s="309" customFormat="1" ht="14.5">
      <c r="A406" s="773"/>
      <c r="B406" s="785"/>
      <c r="C406" s="654"/>
      <c r="D406" s="646"/>
      <c r="E406" s="754"/>
      <c r="F406" s="754"/>
      <c r="G406" s="656"/>
    </row>
    <row r="407" spans="1:7" s="309" customFormat="1" ht="130">
      <c r="A407" s="757">
        <v>55</v>
      </c>
      <c r="B407" s="756" t="s">
        <v>203</v>
      </c>
      <c r="C407" s="654"/>
      <c r="D407" s="646"/>
      <c r="E407" s="754"/>
      <c r="F407" s="754"/>
      <c r="G407" s="656"/>
    </row>
    <row r="408" spans="1:7" s="309" customFormat="1" ht="14.5">
      <c r="A408" s="649">
        <v>55.01</v>
      </c>
      <c r="B408" s="649" t="s">
        <v>506</v>
      </c>
      <c r="C408" s="645">
        <v>1</v>
      </c>
      <c r="D408" s="649">
        <v>9.5</v>
      </c>
      <c r="E408" s="647">
        <v>2.48</v>
      </c>
      <c r="F408" s="647"/>
      <c r="G408" s="648">
        <f t="shared" ref="G408:G409" si="16">E408*D408*C408</f>
        <v>23.56</v>
      </c>
    </row>
    <row r="409" spans="1:7" s="309" customFormat="1" ht="14.5">
      <c r="A409" s="649">
        <v>55.02</v>
      </c>
      <c r="B409" s="649" t="s">
        <v>507</v>
      </c>
      <c r="C409" s="645">
        <v>1</v>
      </c>
      <c r="D409" s="649">
        <v>3</v>
      </c>
      <c r="E409" s="1112">
        <v>1.78</v>
      </c>
      <c r="F409" s="647"/>
      <c r="G409" s="648">
        <f t="shared" si="16"/>
        <v>5.34</v>
      </c>
    </row>
    <row r="410" spans="1:7" s="309" customFormat="1" ht="14.5">
      <c r="A410" s="649">
        <v>55.03</v>
      </c>
      <c r="B410" s="649" t="s">
        <v>508</v>
      </c>
      <c r="C410" s="645"/>
      <c r="D410" s="649"/>
      <c r="E410" s="647"/>
      <c r="F410" s="647"/>
      <c r="G410" s="648"/>
    </row>
    <row r="411" spans="1:7" s="309" customFormat="1" ht="14.5">
      <c r="A411" s="649"/>
      <c r="B411" s="769" t="s">
        <v>490</v>
      </c>
      <c r="C411" s="645"/>
      <c r="D411" s="649"/>
      <c r="E411" s="647"/>
      <c r="F411" s="647"/>
      <c r="G411" s="648"/>
    </row>
    <row r="412" spans="1:7" s="309" customFormat="1" ht="14.5">
      <c r="A412" s="649"/>
      <c r="B412" s="769" t="s">
        <v>509</v>
      </c>
      <c r="C412" s="770">
        <v>-1</v>
      </c>
      <c r="D412" s="771">
        <v>0.95</v>
      </c>
      <c r="E412" s="772">
        <v>0.15</v>
      </c>
      <c r="F412" s="772"/>
      <c r="G412" s="781">
        <f t="shared" ref="G412:G416" si="17">E412*D412*C412</f>
        <v>-0.14249999999999999</v>
      </c>
    </row>
    <row r="413" spans="1:7" s="309" customFormat="1" ht="14.5">
      <c r="A413" s="649"/>
      <c r="B413" s="769" t="s">
        <v>509</v>
      </c>
      <c r="C413" s="770">
        <v>-1</v>
      </c>
      <c r="D413" s="771">
        <v>0.3</v>
      </c>
      <c r="E413" s="772">
        <v>0.8</v>
      </c>
      <c r="F413" s="772"/>
      <c r="G413" s="781">
        <f t="shared" si="17"/>
        <v>-0.24</v>
      </c>
    </row>
    <row r="414" spans="1:7" s="309" customFormat="1" ht="14.5">
      <c r="A414" s="649"/>
      <c r="B414" s="769" t="s">
        <v>510</v>
      </c>
      <c r="C414" s="770">
        <v>-1</v>
      </c>
      <c r="D414" s="771">
        <v>0.9</v>
      </c>
      <c r="E414" s="772">
        <v>0.15</v>
      </c>
      <c r="F414" s="772"/>
      <c r="G414" s="781">
        <f t="shared" si="17"/>
        <v>-0.13500000000000001</v>
      </c>
    </row>
    <row r="415" spans="1:7" s="309" customFormat="1" ht="14.5">
      <c r="A415" s="649"/>
      <c r="B415" s="769" t="s">
        <v>511</v>
      </c>
      <c r="C415" s="770">
        <v>-1</v>
      </c>
      <c r="D415" s="771">
        <v>0.73</v>
      </c>
      <c r="E415" s="772">
        <v>0.15</v>
      </c>
      <c r="F415" s="772"/>
      <c r="G415" s="781">
        <f t="shared" si="17"/>
        <v>-0.1095</v>
      </c>
    </row>
    <row r="416" spans="1:7" s="309" customFormat="1" ht="14.5">
      <c r="A416" s="649"/>
      <c r="B416" s="769" t="s">
        <v>512</v>
      </c>
      <c r="C416" s="770">
        <v>-1</v>
      </c>
      <c r="D416" s="771">
        <v>0.59</v>
      </c>
      <c r="E416" s="772">
        <v>0.72</v>
      </c>
      <c r="F416" s="772"/>
      <c r="G416" s="781">
        <f t="shared" si="17"/>
        <v>-0.42479999999999996</v>
      </c>
    </row>
    <row r="417" spans="1:7" s="309" customFormat="1" ht="14.5">
      <c r="A417" s="649"/>
      <c r="B417" s="649"/>
      <c r="C417" s="645"/>
      <c r="D417" s="649"/>
      <c r="E417" s="647"/>
      <c r="F417" s="647"/>
      <c r="G417" s="648"/>
    </row>
    <row r="418" spans="1:7" s="309" customFormat="1" ht="14.5">
      <c r="A418" s="764"/>
      <c r="B418" s="782" t="s">
        <v>481</v>
      </c>
      <c r="C418" s="765"/>
      <c r="D418" s="764"/>
      <c r="E418" s="766"/>
      <c r="F418" s="766"/>
      <c r="G418" s="767">
        <f>SUM(G408:G416)</f>
        <v>27.848199999999999</v>
      </c>
    </row>
    <row r="419" spans="1:7" s="309" customFormat="1" ht="14.5">
      <c r="A419" s="793"/>
      <c r="B419" s="764" t="s">
        <v>1897</v>
      </c>
      <c r="C419" s="794"/>
      <c r="D419" s="795"/>
      <c r="E419" s="766"/>
      <c r="F419" s="766"/>
      <c r="G419" s="767">
        <v>21.5</v>
      </c>
    </row>
    <row r="420" spans="1:7" s="309" customFormat="1" ht="14.5">
      <c r="A420" s="793"/>
      <c r="B420" s="764" t="s">
        <v>1898</v>
      </c>
      <c r="C420" s="794"/>
      <c r="D420" s="795"/>
      <c r="E420" s="766"/>
      <c r="F420" s="766"/>
      <c r="G420" s="767">
        <f>G418-G419</f>
        <v>6.3481999999999985</v>
      </c>
    </row>
    <row r="421" spans="1:7" s="309" customFormat="1" ht="14.5">
      <c r="A421" s="793"/>
      <c r="B421" s="764" t="s">
        <v>813</v>
      </c>
      <c r="C421" s="794"/>
      <c r="D421" s="795"/>
      <c r="E421" s="766"/>
      <c r="F421" s="766"/>
      <c r="G421" s="767">
        <f>SUM(G419:G420)</f>
        <v>27.848199999999999</v>
      </c>
    </row>
    <row r="422" spans="1:7" s="309" customFormat="1" ht="14.5">
      <c r="A422" s="773"/>
      <c r="B422" s="644"/>
      <c r="C422" s="654"/>
      <c r="D422" s="646"/>
      <c r="E422" s="754"/>
      <c r="F422" s="754"/>
      <c r="G422" s="656"/>
    </row>
    <row r="423" spans="1:7" s="309" customFormat="1" ht="26">
      <c r="A423" s="755">
        <v>56</v>
      </c>
      <c r="B423" s="756" t="s">
        <v>207</v>
      </c>
      <c r="C423" s="654"/>
      <c r="D423" s="646"/>
      <c r="E423" s="754"/>
      <c r="F423" s="754"/>
      <c r="G423" s="656"/>
    </row>
    <row r="424" spans="1:7" s="309" customFormat="1" ht="14.5">
      <c r="A424" s="773">
        <v>56.01</v>
      </c>
      <c r="B424" s="650" t="s">
        <v>668</v>
      </c>
      <c r="C424" s="654">
        <v>1</v>
      </c>
      <c r="D424" s="646">
        <v>2.21</v>
      </c>
      <c r="E424" s="647">
        <v>5.75</v>
      </c>
      <c r="F424" s="647"/>
      <c r="G424" s="648">
        <f>E424*D424</f>
        <v>12.7075</v>
      </c>
    </row>
    <row r="425" spans="1:7" s="309" customFormat="1" ht="14.5">
      <c r="A425" s="773">
        <v>56.03</v>
      </c>
      <c r="B425" s="650" t="s">
        <v>669</v>
      </c>
      <c r="C425" s="654">
        <v>1</v>
      </c>
      <c r="D425" s="646">
        <v>6.76</v>
      </c>
      <c r="E425" s="647">
        <v>2.8</v>
      </c>
      <c r="F425" s="647"/>
      <c r="G425" s="648">
        <f>E425*D425</f>
        <v>18.927999999999997</v>
      </c>
    </row>
    <row r="426" spans="1:7" s="309" customFormat="1" ht="14.5">
      <c r="A426" s="773">
        <v>56.04</v>
      </c>
      <c r="B426" s="650" t="s">
        <v>648</v>
      </c>
      <c r="C426" s="654">
        <v>1</v>
      </c>
      <c r="D426" s="646">
        <v>3.17</v>
      </c>
      <c r="E426" s="647">
        <v>2.8</v>
      </c>
      <c r="F426" s="647"/>
      <c r="G426" s="648">
        <f>E426*D426</f>
        <v>8.8759999999999994</v>
      </c>
    </row>
    <row r="427" spans="1:7" s="309" customFormat="1" ht="14.5">
      <c r="A427" s="793"/>
      <c r="B427" s="783" t="s">
        <v>602</v>
      </c>
      <c r="C427" s="794"/>
      <c r="D427" s="795"/>
      <c r="E427" s="766"/>
      <c r="F427" s="766"/>
      <c r="G427" s="767">
        <f>SUM(G424:G426)</f>
        <v>40.511499999999998</v>
      </c>
    </row>
    <row r="428" spans="1:7" s="309" customFormat="1" ht="14.5">
      <c r="A428" s="773"/>
      <c r="B428" s="785"/>
      <c r="C428" s="654"/>
      <c r="D428" s="646"/>
      <c r="E428" s="754"/>
      <c r="F428" s="754"/>
      <c r="G428" s="656"/>
    </row>
    <row r="429" spans="1:7" s="309" customFormat="1" ht="26">
      <c r="A429" s="755">
        <v>57</v>
      </c>
      <c r="B429" s="644" t="s">
        <v>208</v>
      </c>
      <c r="C429" s="654"/>
      <c r="D429" s="646"/>
      <c r="E429" s="754"/>
      <c r="F429" s="754"/>
      <c r="G429" s="656"/>
    </row>
    <row r="430" spans="1:7" s="309" customFormat="1" ht="14.5">
      <c r="A430" s="773"/>
      <c r="B430" s="785" t="s">
        <v>670</v>
      </c>
      <c r="C430" s="654"/>
      <c r="D430" s="646"/>
      <c r="E430" s="754"/>
      <c r="F430" s="754"/>
      <c r="G430" s="656"/>
    </row>
    <row r="431" spans="1:7" s="309" customFormat="1" ht="14.5">
      <c r="A431" s="773">
        <v>57.01</v>
      </c>
      <c r="B431" s="644" t="s">
        <v>671</v>
      </c>
      <c r="C431" s="654">
        <v>1</v>
      </c>
      <c r="D431" s="646">
        <v>31.91</v>
      </c>
      <c r="E431" s="647">
        <v>1</v>
      </c>
      <c r="F431" s="647"/>
      <c r="G431" s="648">
        <f t="shared" ref="G431:G435" si="18">E431*D431</f>
        <v>31.91</v>
      </c>
    </row>
    <row r="432" spans="1:7" s="309" customFormat="1" ht="14.5">
      <c r="A432" s="773">
        <v>57.02</v>
      </c>
      <c r="B432" s="644" t="s">
        <v>672</v>
      </c>
      <c r="C432" s="654">
        <v>1</v>
      </c>
      <c r="D432" s="646">
        <v>9.9499999999999993</v>
      </c>
      <c r="E432" s="647">
        <v>1</v>
      </c>
      <c r="F432" s="647"/>
      <c r="G432" s="648">
        <f t="shared" si="18"/>
        <v>9.9499999999999993</v>
      </c>
    </row>
    <row r="433" spans="1:7" s="309" customFormat="1" ht="14.5">
      <c r="A433" s="773">
        <v>57.03</v>
      </c>
      <c r="B433" s="644" t="s">
        <v>673</v>
      </c>
      <c r="C433" s="654">
        <v>1</v>
      </c>
      <c r="D433" s="646">
        <v>5.32</v>
      </c>
      <c r="E433" s="647">
        <v>1</v>
      </c>
      <c r="F433" s="647"/>
      <c r="G433" s="648">
        <f t="shared" si="18"/>
        <v>5.32</v>
      </c>
    </row>
    <row r="434" spans="1:7" s="309" customFormat="1" ht="14.5">
      <c r="A434" s="773">
        <v>57.04</v>
      </c>
      <c r="B434" s="644" t="s">
        <v>674</v>
      </c>
      <c r="C434" s="654">
        <v>1</v>
      </c>
      <c r="D434" s="646">
        <v>68</v>
      </c>
      <c r="E434" s="647">
        <v>1</v>
      </c>
      <c r="F434" s="647"/>
      <c r="G434" s="648">
        <f t="shared" si="18"/>
        <v>68</v>
      </c>
    </row>
    <row r="435" spans="1:7" s="309" customFormat="1" ht="14.5">
      <c r="A435" s="773">
        <v>57.05</v>
      </c>
      <c r="B435" s="644" t="s">
        <v>500</v>
      </c>
      <c r="C435" s="654">
        <v>1</v>
      </c>
      <c r="D435" s="646">
        <v>44.77</v>
      </c>
      <c r="E435" s="647">
        <v>1</v>
      </c>
      <c r="F435" s="647"/>
      <c r="G435" s="648">
        <f t="shared" si="18"/>
        <v>44.77</v>
      </c>
    </row>
    <row r="436" spans="1:7" s="309" customFormat="1" ht="14.5">
      <c r="A436" s="773">
        <v>57.06</v>
      </c>
      <c r="B436" s="644" t="s">
        <v>608</v>
      </c>
      <c r="C436" s="654">
        <v>1</v>
      </c>
      <c r="D436" s="646">
        <v>2.536</v>
      </c>
      <c r="E436" s="647">
        <v>1.9</v>
      </c>
      <c r="F436" s="754"/>
      <c r="G436" s="648">
        <f t="shared" ref="G436:G446" si="19">E436*D436*C436</f>
        <v>4.8183999999999996</v>
      </c>
    </row>
    <row r="437" spans="1:7" s="309" customFormat="1" ht="14.5">
      <c r="A437" s="773">
        <v>57.07</v>
      </c>
      <c r="B437" s="644" t="s">
        <v>609</v>
      </c>
      <c r="C437" s="654">
        <v>1</v>
      </c>
      <c r="D437" s="646">
        <v>2.19</v>
      </c>
      <c r="E437" s="647">
        <v>1.9</v>
      </c>
      <c r="F437" s="754"/>
      <c r="G437" s="648">
        <f t="shared" si="19"/>
        <v>4.1609999999999996</v>
      </c>
    </row>
    <row r="438" spans="1:7" s="309" customFormat="1" ht="14.5">
      <c r="A438" s="773">
        <v>57.08</v>
      </c>
      <c r="B438" s="644" t="s">
        <v>610</v>
      </c>
      <c r="C438" s="654">
        <v>1</v>
      </c>
      <c r="D438" s="646">
        <v>0.98499999999999999</v>
      </c>
      <c r="E438" s="647">
        <v>1.9</v>
      </c>
      <c r="F438" s="754"/>
      <c r="G438" s="648">
        <f t="shared" si="19"/>
        <v>1.8714999999999999</v>
      </c>
    </row>
    <row r="439" spans="1:7" s="309" customFormat="1" ht="14.5">
      <c r="A439" s="773">
        <v>57.09</v>
      </c>
      <c r="B439" s="644" t="s">
        <v>611</v>
      </c>
      <c r="C439" s="654">
        <v>1</v>
      </c>
      <c r="D439" s="646">
        <v>3.88</v>
      </c>
      <c r="E439" s="647">
        <v>1.9</v>
      </c>
      <c r="F439" s="754"/>
      <c r="G439" s="648">
        <f t="shared" si="19"/>
        <v>7.3719999999999999</v>
      </c>
    </row>
    <row r="440" spans="1:7" s="309" customFormat="1" ht="14.5">
      <c r="A440" s="818">
        <v>57.1</v>
      </c>
      <c r="B440" s="644" t="s">
        <v>612</v>
      </c>
      <c r="C440" s="654">
        <v>1</v>
      </c>
      <c r="D440" s="646">
        <v>0.77100000000000002</v>
      </c>
      <c r="E440" s="647">
        <v>1.9</v>
      </c>
      <c r="F440" s="754"/>
      <c r="G440" s="648">
        <f t="shared" si="19"/>
        <v>1.4648999999999999</v>
      </c>
    </row>
    <row r="441" spans="1:7" s="309" customFormat="1" ht="14.5">
      <c r="A441" s="773">
        <v>57.11</v>
      </c>
      <c r="B441" s="644" t="s">
        <v>613</v>
      </c>
      <c r="C441" s="654">
        <v>1</v>
      </c>
      <c r="D441" s="646">
        <v>1.5249999999999999</v>
      </c>
      <c r="E441" s="647">
        <v>1.9</v>
      </c>
      <c r="F441" s="754"/>
      <c r="G441" s="648">
        <f t="shared" si="19"/>
        <v>2.8974999999999995</v>
      </c>
    </row>
    <row r="442" spans="1:7" s="309" customFormat="1" ht="14.5">
      <c r="A442" s="773">
        <v>57.12</v>
      </c>
      <c r="B442" s="644" t="s">
        <v>614</v>
      </c>
      <c r="C442" s="654">
        <v>1</v>
      </c>
      <c r="D442" s="646">
        <v>0.873</v>
      </c>
      <c r="E442" s="647">
        <v>1.9</v>
      </c>
      <c r="F442" s="754"/>
      <c r="G442" s="648">
        <f t="shared" si="19"/>
        <v>1.6586999999999998</v>
      </c>
    </row>
    <row r="443" spans="1:7" s="309" customFormat="1" ht="14.5">
      <c r="A443" s="773">
        <v>57.13</v>
      </c>
      <c r="B443" s="762" t="s">
        <v>675</v>
      </c>
      <c r="C443" s="654">
        <v>1</v>
      </c>
      <c r="D443" s="646">
        <v>1.145</v>
      </c>
      <c r="E443" s="647">
        <v>2.91</v>
      </c>
      <c r="F443" s="647"/>
      <c r="G443" s="648">
        <f t="shared" si="19"/>
        <v>3.3319500000000004</v>
      </c>
    </row>
    <row r="444" spans="1:7" s="309" customFormat="1" ht="14.5">
      <c r="A444" s="773">
        <v>57.14</v>
      </c>
      <c r="B444" s="762" t="s">
        <v>676</v>
      </c>
      <c r="C444" s="654">
        <v>1</v>
      </c>
      <c r="D444" s="646">
        <v>4.2</v>
      </c>
      <c r="E444" s="647">
        <v>2.91</v>
      </c>
      <c r="F444" s="647"/>
      <c r="G444" s="648">
        <f t="shared" si="19"/>
        <v>12.222000000000001</v>
      </c>
    </row>
    <row r="445" spans="1:7" s="309" customFormat="1" ht="14.5">
      <c r="A445" s="818">
        <v>57.15</v>
      </c>
      <c r="B445" s="762" t="s">
        <v>677</v>
      </c>
      <c r="C445" s="654">
        <v>1</v>
      </c>
      <c r="D445" s="646">
        <v>0.49</v>
      </c>
      <c r="E445" s="647">
        <v>2.91</v>
      </c>
      <c r="F445" s="647"/>
      <c r="G445" s="648">
        <f t="shared" si="19"/>
        <v>1.4258999999999999</v>
      </c>
    </row>
    <row r="446" spans="1:7" s="309" customFormat="1" ht="14.5">
      <c r="A446" s="773">
        <v>57.16</v>
      </c>
      <c r="B446" s="762" t="s">
        <v>678</v>
      </c>
      <c r="C446" s="654">
        <v>1</v>
      </c>
      <c r="D446" s="646">
        <v>3.58</v>
      </c>
      <c r="E446" s="647">
        <v>2.91</v>
      </c>
      <c r="F446" s="647"/>
      <c r="G446" s="648">
        <f t="shared" si="19"/>
        <v>10.417800000000002</v>
      </c>
    </row>
    <row r="447" spans="1:7" ht="14.5">
      <c r="A447" s="735">
        <v>57.17</v>
      </c>
      <c r="B447" s="734" t="s">
        <v>679</v>
      </c>
      <c r="C447" s="813">
        <v>1</v>
      </c>
      <c r="D447" s="808">
        <v>7.1059999999999999</v>
      </c>
      <c r="E447" s="647">
        <v>2.91</v>
      </c>
      <c r="F447" s="734"/>
      <c r="G447" s="648">
        <f t="shared" ref="G447:G454" si="20">E447*D447*C447</f>
        <v>20.678460000000001</v>
      </c>
    </row>
    <row r="448" spans="1:7" s="309" customFormat="1" ht="14.5">
      <c r="A448" s="773">
        <v>57.18</v>
      </c>
      <c r="B448" s="650" t="s">
        <v>680</v>
      </c>
      <c r="C448" s="654">
        <v>1</v>
      </c>
      <c r="D448" s="646">
        <v>3.7109999999999999</v>
      </c>
      <c r="E448" s="647">
        <v>2.91</v>
      </c>
      <c r="F448" s="647"/>
      <c r="G448" s="648">
        <f t="shared" si="20"/>
        <v>10.799010000000001</v>
      </c>
    </row>
    <row r="449" spans="1:7" s="309" customFormat="1" ht="14.5">
      <c r="A449" s="818">
        <v>57.19</v>
      </c>
      <c r="B449" s="650" t="s">
        <v>681</v>
      </c>
      <c r="C449" s="654">
        <v>1</v>
      </c>
      <c r="D449" s="646">
        <v>2.875</v>
      </c>
      <c r="E449" s="647">
        <v>2.82</v>
      </c>
      <c r="F449" s="647"/>
      <c r="G449" s="648">
        <f t="shared" si="20"/>
        <v>8.1074999999999999</v>
      </c>
    </row>
    <row r="450" spans="1:7" s="309" customFormat="1" ht="14.5">
      <c r="A450" s="818">
        <v>57.2</v>
      </c>
      <c r="B450" s="650" t="s">
        <v>682</v>
      </c>
      <c r="C450" s="654">
        <v>1</v>
      </c>
      <c r="D450" s="646">
        <v>0.63</v>
      </c>
      <c r="E450" s="647">
        <v>2.82</v>
      </c>
      <c r="F450" s="647"/>
      <c r="G450" s="648">
        <f t="shared" si="20"/>
        <v>1.7766</v>
      </c>
    </row>
    <row r="451" spans="1:7" s="309" customFormat="1" ht="14.5">
      <c r="A451" s="773">
        <v>57.21</v>
      </c>
      <c r="B451" s="650" t="s">
        <v>683</v>
      </c>
      <c r="C451" s="654">
        <v>1</v>
      </c>
      <c r="D451" s="646">
        <v>2.4</v>
      </c>
      <c r="E451" s="647">
        <v>2.82</v>
      </c>
      <c r="F451" s="647"/>
      <c r="G451" s="648">
        <f t="shared" si="20"/>
        <v>6.7679999999999998</v>
      </c>
    </row>
    <row r="452" spans="1:7" s="309" customFormat="1" ht="14.5">
      <c r="A452" s="773">
        <v>57.22</v>
      </c>
      <c r="B452" s="650" t="s">
        <v>684</v>
      </c>
      <c r="C452" s="654">
        <v>1</v>
      </c>
      <c r="D452" s="646">
        <v>1.6</v>
      </c>
      <c r="E452" s="647">
        <v>2.82</v>
      </c>
      <c r="F452" s="647"/>
      <c r="G452" s="648">
        <f t="shared" si="20"/>
        <v>4.5119999999999996</v>
      </c>
    </row>
    <row r="453" spans="1:7" s="309" customFormat="1" ht="14.5">
      <c r="A453" s="773">
        <v>57.23</v>
      </c>
      <c r="B453" s="644" t="s">
        <v>665</v>
      </c>
      <c r="C453" s="654">
        <v>4</v>
      </c>
      <c r="D453" s="646">
        <v>8.8350000000000009</v>
      </c>
      <c r="E453" s="647">
        <v>0.3</v>
      </c>
      <c r="F453" s="647"/>
      <c r="G453" s="648">
        <f t="shared" si="20"/>
        <v>10.602</v>
      </c>
    </row>
    <row r="454" spans="1:7" s="309" customFormat="1" ht="14.5">
      <c r="A454" s="773">
        <v>57.24</v>
      </c>
      <c r="B454" s="644" t="s">
        <v>666</v>
      </c>
      <c r="C454" s="654">
        <v>1</v>
      </c>
      <c r="D454" s="646">
        <v>8.6479999999999997</v>
      </c>
      <c r="E454" s="647">
        <v>0.3</v>
      </c>
      <c r="F454" s="647"/>
      <c r="G454" s="648">
        <f t="shared" si="20"/>
        <v>2.5943999999999998</v>
      </c>
    </row>
    <row r="455" spans="1:7" s="309" customFormat="1" ht="14.5">
      <c r="A455" s="773">
        <v>57.25</v>
      </c>
      <c r="B455" s="650" t="s">
        <v>667</v>
      </c>
      <c r="C455" s="654">
        <v>1</v>
      </c>
      <c r="D455" s="646">
        <v>67.537999999999997</v>
      </c>
      <c r="E455" s="647">
        <v>0.3</v>
      </c>
      <c r="F455" s="647"/>
      <c r="G455" s="648">
        <f>E455*D455*C455</f>
        <v>20.261399999999998</v>
      </c>
    </row>
    <row r="456" spans="1:7" s="309" customFormat="1" ht="14.5">
      <c r="A456" s="773"/>
      <c r="B456" s="785" t="s">
        <v>602</v>
      </c>
      <c r="C456" s="654"/>
      <c r="D456" s="646"/>
      <c r="E456" s="754"/>
      <c r="F456" s="754"/>
      <c r="G456" s="656"/>
    </row>
    <row r="457" spans="1:7" s="309" customFormat="1" ht="14.5">
      <c r="A457" s="773"/>
      <c r="B457" s="785"/>
      <c r="C457" s="654"/>
      <c r="D457" s="646"/>
      <c r="E457" s="754"/>
      <c r="F457" s="754"/>
      <c r="G457" s="656"/>
    </row>
    <row r="458" spans="1:7" s="309" customFormat="1" ht="39">
      <c r="A458" s="755">
        <v>58</v>
      </c>
      <c r="B458" s="644" t="s">
        <v>209</v>
      </c>
      <c r="C458" s="654"/>
      <c r="D458" s="646"/>
      <c r="E458" s="754"/>
      <c r="F458" s="754"/>
      <c r="G458" s="656"/>
    </row>
    <row r="459" spans="1:7" s="309" customFormat="1" ht="14.5">
      <c r="A459" s="773">
        <v>58.01</v>
      </c>
      <c r="B459" s="644" t="s">
        <v>608</v>
      </c>
      <c r="C459" s="1099">
        <v>1</v>
      </c>
      <c r="D459" s="1135">
        <v>2.5</v>
      </c>
      <c r="E459" s="1112">
        <v>1.94</v>
      </c>
      <c r="F459" s="754"/>
      <c r="G459" s="648">
        <f>E459*D459*C459</f>
        <v>4.8499999999999996</v>
      </c>
    </row>
    <row r="460" spans="1:7" s="309" customFormat="1" ht="14.5">
      <c r="A460" s="773">
        <v>58.02</v>
      </c>
      <c r="B460" s="644" t="s">
        <v>609</v>
      </c>
      <c r="C460" s="1099">
        <v>1</v>
      </c>
      <c r="D460" s="1135">
        <v>2.2000000000000002</v>
      </c>
      <c r="E460" s="1112">
        <v>1.94</v>
      </c>
      <c r="F460" s="754"/>
      <c r="G460" s="648">
        <f t="shared" ref="G460:G475" si="21">E460*D460*C460</f>
        <v>4.2679999999999998</v>
      </c>
    </row>
    <row r="461" spans="1:7" s="309" customFormat="1" ht="14.5">
      <c r="A461" s="773">
        <v>58.03</v>
      </c>
      <c r="B461" s="644" t="s">
        <v>610</v>
      </c>
      <c r="C461" s="1099">
        <v>1</v>
      </c>
      <c r="D461" s="1135">
        <v>0.98499999999999999</v>
      </c>
      <c r="E461" s="1112">
        <v>1.94</v>
      </c>
      <c r="F461" s="754"/>
      <c r="G461" s="648">
        <f t="shared" si="21"/>
        <v>1.9108999999999998</v>
      </c>
    </row>
    <row r="462" spans="1:7" s="309" customFormat="1" ht="14.5">
      <c r="A462" s="773">
        <v>58.04</v>
      </c>
      <c r="B462" s="644" t="s">
        <v>611</v>
      </c>
      <c r="C462" s="1099">
        <v>1</v>
      </c>
      <c r="D462" s="1135">
        <v>3.88</v>
      </c>
      <c r="E462" s="1112">
        <v>1.94</v>
      </c>
      <c r="F462" s="754"/>
      <c r="G462" s="648">
        <f t="shared" si="21"/>
        <v>7.5271999999999997</v>
      </c>
    </row>
    <row r="463" spans="1:7" s="309" customFormat="1" ht="14.5">
      <c r="A463" s="773">
        <v>58.05</v>
      </c>
      <c r="B463" s="644" t="s">
        <v>612</v>
      </c>
      <c r="C463" s="1099">
        <v>1</v>
      </c>
      <c r="D463" s="1135">
        <v>0.77100000000000002</v>
      </c>
      <c r="E463" s="1112">
        <v>1.94</v>
      </c>
      <c r="F463" s="754"/>
      <c r="G463" s="648">
        <f t="shared" si="21"/>
        <v>1.4957400000000001</v>
      </c>
    </row>
    <row r="464" spans="1:7" s="309" customFormat="1" ht="14.5">
      <c r="A464" s="773">
        <v>58.06</v>
      </c>
      <c r="B464" s="644" t="s">
        <v>613</v>
      </c>
      <c r="C464" s="1099">
        <v>1</v>
      </c>
      <c r="D464" s="1135">
        <v>1.42</v>
      </c>
      <c r="E464" s="1112">
        <v>1.94</v>
      </c>
      <c r="F464" s="754"/>
      <c r="G464" s="648">
        <f t="shared" si="21"/>
        <v>2.7547999999999999</v>
      </c>
    </row>
    <row r="465" spans="1:7" s="309" customFormat="1" ht="14.5">
      <c r="A465" s="773">
        <v>58.07</v>
      </c>
      <c r="B465" s="644" t="s">
        <v>614</v>
      </c>
      <c r="C465" s="1099">
        <v>1</v>
      </c>
      <c r="D465" s="1135">
        <v>0.873</v>
      </c>
      <c r="E465" s="1112">
        <v>1.94</v>
      </c>
      <c r="F465" s="754"/>
      <c r="G465" s="648">
        <f t="shared" si="21"/>
        <v>1.6936199999999999</v>
      </c>
    </row>
    <row r="466" spans="1:7" s="309" customFormat="1" ht="14.5">
      <c r="A466" s="773">
        <v>58.08</v>
      </c>
      <c r="B466" s="762" t="s">
        <v>675</v>
      </c>
      <c r="C466" s="1099">
        <v>1</v>
      </c>
      <c r="D466" s="1135">
        <v>1.145</v>
      </c>
      <c r="E466" s="1112">
        <v>2.7</v>
      </c>
      <c r="F466" s="647"/>
      <c r="G466" s="648">
        <f t="shared" si="21"/>
        <v>3.0915000000000004</v>
      </c>
    </row>
    <row r="467" spans="1:7" s="309" customFormat="1" ht="14.5">
      <c r="A467" s="773">
        <v>58.09</v>
      </c>
      <c r="B467" s="762" t="s">
        <v>676</v>
      </c>
      <c r="C467" s="1099">
        <v>1</v>
      </c>
      <c r="D467" s="1135">
        <v>3.5</v>
      </c>
      <c r="E467" s="1112">
        <v>2.7</v>
      </c>
      <c r="F467" s="647"/>
      <c r="G467" s="648">
        <f t="shared" si="21"/>
        <v>9.4500000000000011</v>
      </c>
    </row>
    <row r="468" spans="1:7" s="309" customFormat="1" ht="14.5">
      <c r="A468" s="818">
        <v>58.1</v>
      </c>
      <c r="B468" s="762" t="s">
        <v>677</v>
      </c>
      <c r="C468" s="1099">
        <v>1</v>
      </c>
      <c r="D468" s="1136">
        <v>3.9E-2</v>
      </c>
      <c r="E468" s="1112">
        <v>2.2999999999999998</v>
      </c>
      <c r="F468" s="647"/>
      <c r="G468" s="648">
        <f t="shared" si="21"/>
        <v>8.9699999999999988E-2</v>
      </c>
    </row>
    <row r="469" spans="1:7" s="309" customFormat="1" ht="14.5">
      <c r="A469" s="773">
        <v>58.11</v>
      </c>
      <c r="B469" s="762" t="s">
        <v>678</v>
      </c>
      <c r="C469" s="1099">
        <v>1</v>
      </c>
      <c r="D469" s="1135">
        <v>3.5</v>
      </c>
      <c r="E469" s="1112">
        <v>2.5</v>
      </c>
      <c r="F469" s="647"/>
      <c r="G469" s="648">
        <f t="shared" si="21"/>
        <v>8.75</v>
      </c>
    </row>
    <row r="470" spans="1:7" ht="14.5">
      <c r="A470" s="735">
        <v>58.12</v>
      </c>
      <c r="B470" s="734" t="s">
        <v>685</v>
      </c>
      <c r="C470" s="1087">
        <v>1</v>
      </c>
      <c r="D470" s="1137">
        <v>2.5750000000000002</v>
      </c>
      <c r="E470" s="1112">
        <v>2.7</v>
      </c>
      <c r="F470" s="734"/>
      <c r="G470" s="648">
        <f t="shared" si="21"/>
        <v>6.9525000000000006</v>
      </c>
    </row>
    <row r="471" spans="1:7" ht="14.5">
      <c r="A471" s="735">
        <v>58.13</v>
      </c>
      <c r="B471" s="734" t="s">
        <v>679</v>
      </c>
      <c r="C471" s="1087">
        <v>1</v>
      </c>
      <c r="D471" s="1137">
        <v>6.8</v>
      </c>
      <c r="E471" s="1112">
        <v>2.7</v>
      </c>
      <c r="F471" s="734"/>
      <c r="G471" s="648">
        <f t="shared" si="21"/>
        <v>18.36</v>
      </c>
    </row>
    <row r="472" spans="1:7" s="309" customFormat="1" ht="14.5">
      <c r="A472" s="773">
        <v>58.14</v>
      </c>
      <c r="B472" s="650" t="s">
        <v>680</v>
      </c>
      <c r="C472" s="1099">
        <v>1</v>
      </c>
      <c r="D472" s="1135">
        <v>3.2</v>
      </c>
      <c r="E472" s="1112">
        <v>2.7</v>
      </c>
      <c r="F472" s="647"/>
      <c r="G472" s="648">
        <f t="shared" si="21"/>
        <v>8.64</v>
      </c>
    </row>
    <row r="473" spans="1:7" s="309" customFormat="1" ht="14.5">
      <c r="A473" s="803">
        <v>58.15</v>
      </c>
      <c r="B473" s="650" t="s">
        <v>598</v>
      </c>
      <c r="C473" s="1087">
        <v>2</v>
      </c>
      <c r="D473" s="1137">
        <v>1.835</v>
      </c>
      <c r="E473" s="1138">
        <v>1.6</v>
      </c>
      <c r="F473" s="734"/>
      <c r="G473" s="648">
        <f t="shared" si="21"/>
        <v>5.8719999999999999</v>
      </c>
    </row>
    <row r="474" spans="1:7" s="309" customFormat="1" ht="14.5">
      <c r="A474" s="803"/>
      <c r="B474" s="1098" t="s">
        <v>1848</v>
      </c>
      <c r="C474" s="813"/>
      <c r="D474" s="808"/>
      <c r="E474" s="734"/>
      <c r="F474" s="734"/>
      <c r="G474" s="648"/>
    </row>
    <row r="475" spans="1:7" s="748" customFormat="1" ht="14.5">
      <c r="A475" s="1097"/>
      <c r="B475" s="1098" t="s">
        <v>1849</v>
      </c>
      <c r="C475" s="1100">
        <v>-2</v>
      </c>
      <c r="D475" s="1094">
        <v>0.3</v>
      </c>
      <c r="E475" s="772">
        <v>0.45</v>
      </c>
      <c r="F475" s="772"/>
      <c r="G475" s="781">
        <f t="shared" si="21"/>
        <v>-0.27</v>
      </c>
    </row>
    <row r="476" spans="1:7" s="309" customFormat="1" ht="14.5">
      <c r="A476" s="773"/>
      <c r="B476" s="785" t="s">
        <v>602</v>
      </c>
      <c r="C476" s="654"/>
      <c r="D476" s="646"/>
      <c r="E476" s="754"/>
      <c r="F476" s="754"/>
      <c r="G476" s="656">
        <f>SUM(G459:G472)</f>
        <v>79.833960000000005</v>
      </c>
    </row>
    <row r="477" spans="1:7" s="309" customFormat="1" ht="14.5">
      <c r="A477" s="773"/>
      <c r="B477" s="785"/>
      <c r="C477" s="654"/>
      <c r="D477" s="646"/>
      <c r="E477" s="754"/>
      <c r="F477" s="754"/>
      <c r="G477" s="656"/>
    </row>
    <row r="478" spans="1:7" s="309" customFormat="1" ht="14.5">
      <c r="A478" s="755" t="s">
        <v>20</v>
      </c>
      <c r="B478" s="756" t="s">
        <v>211</v>
      </c>
      <c r="C478" s="654"/>
      <c r="D478" s="646"/>
      <c r="E478" s="754"/>
      <c r="F478" s="754"/>
      <c r="G478" s="656"/>
    </row>
    <row r="479" spans="1:7" s="309" customFormat="1" ht="14.5">
      <c r="A479" s="773"/>
      <c r="B479" s="644"/>
      <c r="C479" s="654"/>
      <c r="D479" s="646"/>
      <c r="E479" s="754"/>
      <c r="F479" s="754"/>
      <c r="G479" s="656"/>
    </row>
    <row r="480" spans="1:7" s="638" customFormat="1" ht="26">
      <c r="A480" s="755">
        <v>59</v>
      </c>
      <c r="B480" s="756" t="s">
        <v>686</v>
      </c>
      <c r="C480" s="816"/>
      <c r="D480" s="797"/>
      <c r="E480" s="754"/>
      <c r="F480" s="754"/>
      <c r="G480" s="656"/>
    </row>
    <row r="481" spans="1:7" s="309" customFormat="1" ht="14.5">
      <c r="A481" s="691">
        <v>59.01</v>
      </c>
      <c r="B481" s="644" t="s">
        <v>687</v>
      </c>
      <c r="C481" s="645">
        <v>1</v>
      </c>
      <c r="D481" s="649">
        <v>3.14</v>
      </c>
      <c r="E481" s="647">
        <v>4.26</v>
      </c>
      <c r="G481" s="648">
        <f>E481*D481*C481</f>
        <v>13.3764</v>
      </c>
    </row>
    <row r="482" spans="1:7" s="309" customFormat="1" ht="14.5">
      <c r="A482" s="691">
        <v>59.02</v>
      </c>
      <c r="B482" s="644" t="s">
        <v>688</v>
      </c>
      <c r="C482" s="645">
        <v>1</v>
      </c>
      <c r="D482" s="649">
        <v>3.4449999999999998</v>
      </c>
      <c r="E482" s="647">
        <v>4.26</v>
      </c>
      <c r="F482" s="649"/>
      <c r="G482" s="648">
        <f t="shared" ref="G482:G490" si="22">E482*D482*C482</f>
        <v>14.675699999999999</v>
      </c>
    </row>
    <row r="483" spans="1:7" s="309" customFormat="1" ht="14.5">
      <c r="A483" s="691">
        <v>59.03</v>
      </c>
      <c r="B483" s="644" t="s">
        <v>689</v>
      </c>
      <c r="C483" s="645">
        <v>1</v>
      </c>
      <c r="D483" s="647">
        <v>0.35</v>
      </c>
      <c r="E483" s="309">
        <v>4.26</v>
      </c>
      <c r="F483" s="647"/>
      <c r="G483" s="648">
        <f t="shared" si="22"/>
        <v>1.4909999999999999</v>
      </c>
    </row>
    <row r="484" spans="1:7" s="309" customFormat="1" ht="14.5">
      <c r="A484" s="691">
        <v>59.04</v>
      </c>
      <c r="B484" s="644" t="s">
        <v>690</v>
      </c>
      <c r="C484" s="645">
        <v>1</v>
      </c>
      <c r="D484" s="649">
        <v>4.2</v>
      </c>
      <c r="E484" s="647">
        <v>4.26</v>
      </c>
      <c r="F484" s="647"/>
      <c r="G484" s="648">
        <f t="shared" si="22"/>
        <v>17.891999999999999</v>
      </c>
    </row>
    <row r="485" spans="1:7" s="309" customFormat="1" ht="14.5">
      <c r="A485" s="691">
        <v>59.05</v>
      </c>
      <c r="B485" s="644" t="s">
        <v>691</v>
      </c>
      <c r="C485" s="645">
        <v>1</v>
      </c>
      <c r="D485" s="649">
        <v>1.17</v>
      </c>
      <c r="E485" s="647">
        <v>4.2</v>
      </c>
      <c r="F485" s="647"/>
      <c r="G485" s="648">
        <f t="shared" si="22"/>
        <v>4.9139999999999997</v>
      </c>
    </row>
    <row r="486" spans="1:7" customFormat="1" ht="14.5">
      <c r="A486" s="648">
        <v>59.06</v>
      </c>
      <c r="B486" s="650" t="s">
        <v>627</v>
      </c>
      <c r="C486" s="645">
        <v>1</v>
      </c>
      <c r="D486" s="649">
        <v>9.17</v>
      </c>
      <c r="E486" s="647">
        <v>1.8</v>
      </c>
      <c r="F486" s="312"/>
      <c r="G486" s="648">
        <f t="shared" si="22"/>
        <v>16.506</v>
      </c>
    </row>
    <row r="487" spans="1:7" s="309" customFormat="1" ht="14.5">
      <c r="A487" s="647">
        <v>59.07</v>
      </c>
      <c r="B487" s="762" t="s">
        <v>692</v>
      </c>
      <c r="C487" s="645">
        <v>1</v>
      </c>
      <c r="D487" s="649">
        <v>3.93</v>
      </c>
      <c r="E487" s="647">
        <v>4.2</v>
      </c>
      <c r="F487" s="312"/>
      <c r="G487" s="648">
        <f t="shared" si="22"/>
        <v>16.506</v>
      </c>
    </row>
    <row r="488" spans="1:7" s="309" customFormat="1" ht="14.5">
      <c r="A488" s="647">
        <v>59.08</v>
      </c>
      <c r="B488" s="762" t="s">
        <v>693</v>
      </c>
      <c r="C488" s="645">
        <v>1</v>
      </c>
      <c r="D488" s="649">
        <v>5.3449999999999998</v>
      </c>
      <c r="E488" s="647">
        <v>1.73</v>
      </c>
      <c r="F488" s="312"/>
      <c r="G488" s="648">
        <f t="shared" si="22"/>
        <v>9.2468500000000002</v>
      </c>
    </row>
    <row r="489" spans="1:7" s="309" customFormat="1" ht="14.5">
      <c r="A489" s="1089">
        <v>59.09</v>
      </c>
      <c r="B489" s="734" t="s">
        <v>694</v>
      </c>
      <c r="C489" s="645">
        <v>1</v>
      </c>
      <c r="D489" s="808">
        <v>5.25</v>
      </c>
      <c r="E489" s="734">
        <v>1.73</v>
      </c>
      <c r="F489" s="734"/>
      <c r="G489" s="648">
        <f t="shared" si="22"/>
        <v>9.0824999999999996</v>
      </c>
    </row>
    <row r="490" spans="1:7" s="309" customFormat="1" ht="14.5">
      <c r="A490" s="1101">
        <v>59.1</v>
      </c>
      <c r="B490" s="644" t="s">
        <v>695</v>
      </c>
      <c r="C490" s="645">
        <v>1</v>
      </c>
      <c r="D490" s="646">
        <v>7.05</v>
      </c>
      <c r="E490" s="647">
        <v>4.2</v>
      </c>
      <c r="F490" s="754"/>
      <c r="G490" s="648">
        <f t="shared" si="22"/>
        <v>29.61</v>
      </c>
    </row>
    <row r="491" spans="1:7" s="309" customFormat="1" ht="14.5">
      <c r="A491" s="649"/>
      <c r="B491" s="769" t="s">
        <v>490</v>
      </c>
      <c r="C491" s="312"/>
      <c r="D491" s="645"/>
      <c r="E491" s="649"/>
      <c r="F491" s="647"/>
      <c r="G491" s="648"/>
    </row>
    <row r="492" spans="1:7" s="309" customFormat="1" ht="14.5">
      <c r="A492" s="649"/>
      <c r="B492" s="769" t="s">
        <v>696</v>
      </c>
      <c r="C492" s="770">
        <v>-1</v>
      </c>
      <c r="D492" s="771">
        <v>1.4650000000000001</v>
      </c>
      <c r="E492" s="772">
        <v>2.4</v>
      </c>
      <c r="F492" s="312"/>
      <c r="G492" s="781">
        <f>E492*D492*C492</f>
        <v>-3.516</v>
      </c>
    </row>
    <row r="493" spans="1:7" s="309" customFormat="1" ht="14.5">
      <c r="A493" s="649"/>
      <c r="B493" s="769" t="s">
        <v>697</v>
      </c>
      <c r="C493" s="770">
        <v>-1</v>
      </c>
      <c r="D493" s="771">
        <v>1.4650000000000001</v>
      </c>
      <c r="E493" s="772">
        <v>2.4</v>
      </c>
      <c r="F493" s="312"/>
      <c r="G493" s="781">
        <f>E493*D493*C493</f>
        <v>-3.516</v>
      </c>
    </row>
    <row r="494" spans="1:7" s="309" customFormat="1" ht="14.5">
      <c r="A494" s="773"/>
      <c r="B494" s="785" t="s">
        <v>602</v>
      </c>
      <c r="C494" s="654"/>
      <c r="D494" s="646"/>
      <c r="E494" s="754"/>
      <c r="F494" s="754"/>
      <c r="G494" s="656"/>
    </row>
    <row r="495" spans="1:7" s="309" customFormat="1" ht="14.5">
      <c r="A495" s="773"/>
      <c r="B495" s="785"/>
      <c r="C495" s="654"/>
      <c r="D495" s="646"/>
      <c r="E495" s="754"/>
      <c r="F495" s="754"/>
      <c r="G495" s="656"/>
    </row>
    <row r="496" spans="1:7" s="309" customFormat="1" ht="39">
      <c r="A496" s="755">
        <v>60</v>
      </c>
      <c r="B496" s="644" t="s">
        <v>213</v>
      </c>
      <c r="C496" s="654"/>
      <c r="D496" s="646"/>
      <c r="E496" s="754"/>
      <c r="F496" s="754"/>
      <c r="G496" s="656"/>
    </row>
    <row r="497" spans="1:7" s="309" customFormat="1" ht="14.5">
      <c r="A497" s="755">
        <v>60.01</v>
      </c>
      <c r="B497" s="644" t="s">
        <v>698</v>
      </c>
      <c r="C497" s="654">
        <v>1</v>
      </c>
      <c r="D497" s="1111">
        <v>13.7</v>
      </c>
      <c r="E497" s="754"/>
      <c r="F497" s="754"/>
      <c r="G497" s="656">
        <f>D497*C497</f>
        <v>13.7</v>
      </c>
    </row>
    <row r="498" spans="1:7" s="309" customFormat="1" ht="14.5">
      <c r="A498" s="773"/>
      <c r="B498" s="785" t="s">
        <v>602</v>
      </c>
      <c r="C498" s="654"/>
      <c r="D498" s="646"/>
      <c r="E498" s="754"/>
      <c r="F498" s="754"/>
      <c r="G498" s="656"/>
    </row>
    <row r="499" spans="1:7" s="309" customFormat="1" ht="14.5">
      <c r="A499" s="773"/>
      <c r="B499" s="785"/>
      <c r="C499" s="654"/>
      <c r="D499" s="646"/>
      <c r="E499" s="754"/>
      <c r="F499" s="754"/>
      <c r="G499" s="656"/>
    </row>
    <row r="500" spans="1:7" s="309" customFormat="1" ht="39">
      <c r="A500" s="757">
        <v>61</v>
      </c>
      <c r="B500" s="644" t="s">
        <v>214</v>
      </c>
      <c r="C500" s="654"/>
      <c r="D500" s="646"/>
      <c r="E500" s="754"/>
      <c r="F500" s="754"/>
      <c r="G500" s="656"/>
    </row>
    <row r="501" spans="1:7" s="309" customFormat="1" ht="14.5">
      <c r="A501" s="773">
        <v>61.01</v>
      </c>
      <c r="B501" s="762" t="s">
        <v>699</v>
      </c>
      <c r="C501" s="1117">
        <v>4</v>
      </c>
      <c r="D501" s="1111">
        <v>2.5</v>
      </c>
      <c r="E501" s="647"/>
      <c r="F501" s="647"/>
      <c r="G501" s="648">
        <f t="shared" ref="G501:G509" si="23">D501*C501</f>
        <v>10</v>
      </c>
    </row>
    <row r="502" spans="1:7" s="309" customFormat="1" ht="29">
      <c r="A502" s="773">
        <v>61.02</v>
      </c>
      <c r="B502" s="650" t="s">
        <v>700</v>
      </c>
      <c r="C502" s="654">
        <v>7</v>
      </c>
      <c r="D502" s="646">
        <v>2.7</v>
      </c>
      <c r="E502" s="754"/>
      <c r="F502" s="754"/>
      <c r="G502" s="648">
        <f t="shared" si="23"/>
        <v>18.900000000000002</v>
      </c>
    </row>
    <row r="503" spans="1:7" s="309" customFormat="1" ht="14.5">
      <c r="A503" s="773">
        <v>61.03</v>
      </c>
      <c r="B503" s="762" t="s">
        <v>701</v>
      </c>
      <c r="C503" s="654">
        <v>2</v>
      </c>
      <c r="D503" s="646">
        <v>2.7</v>
      </c>
      <c r="E503" s="647"/>
      <c r="F503" s="647"/>
      <c r="G503" s="648">
        <f t="shared" si="23"/>
        <v>5.4</v>
      </c>
    </row>
    <row r="504" spans="1:7" s="309" customFormat="1" ht="14.5">
      <c r="A504" s="773">
        <v>61.04</v>
      </c>
      <c r="B504" s="762" t="s">
        <v>702</v>
      </c>
      <c r="C504" s="654">
        <v>3</v>
      </c>
      <c r="D504" s="646">
        <v>2.5</v>
      </c>
      <c r="E504" s="647"/>
      <c r="F504" s="647"/>
      <c r="G504" s="648">
        <f t="shared" si="23"/>
        <v>7.5</v>
      </c>
    </row>
    <row r="505" spans="1:7" s="309" customFormat="1" ht="14.5">
      <c r="A505" s="773">
        <v>61.05</v>
      </c>
      <c r="B505" s="762" t="s">
        <v>703</v>
      </c>
      <c r="C505" s="654">
        <v>2</v>
      </c>
      <c r="D505" s="1111">
        <v>2.5</v>
      </c>
      <c r="E505" s="647"/>
      <c r="F505" s="647"/>
      <c r="G505" s="648">
        <f t="shared" si="23"/>
        <v>5</v>
      </c>
    </row>
    <row r="506" spans="1:7" s="309" customFormat="1" ht="14.5">
      <c r="A506" s="773">
        <v>61.06</v>
      </c>
      <c r="B506" s="762" t="s">
        <v>704</v>
      </c>
      <c r="C506" s="654">
        <v>1</v>
      </c>
      <c r="D506" s="654">
        <v>10.119</v>
      </c>
      <c r="E506" s="647"/>
      <c r="F506" s="647"/>
      <c r="G506" s="648">
        <f t="shared" si="23"/>
        <v>10.119</v>
      </c>
    </row>
    <row r="507" spans="1:7" s="309" customFormat="1" ht="14.5">
      <c r="A507" s="773">
        <v>60.01</v>
      </c>
      <c r="B507" s="762" t="s">
        <v>705</v>
      </c>
      <c r="C507" s="654">
        <v>1</v>
      </c>
      <c r="D507" s="646">
        <v>2.0110000000000001</v>
      </c>
      <c r="E507" s="754"/>
      <c r="F507" s="754"/>
      <c r="G507" s="648">
        <f t="shared" si="23"/>
        <v>2.0110000000000001</v>
      </c>
    </row>
    <row r="508" spans="1:7" s="309" customFormat="1" ht="29">
      <c r="A508" s="773">
        <v>60.02</v>
      </c>
      <c r="B508" s="650" t="s">
        <v>706</v>
      </c>
      <c r="C508" s="654">
        <v>1</v>
      </c>
      <c r="D508" s="646">
        <v>2.6669999999999998</v>
      </c>
      <c r="E508" s="754"/>
      <c r="F508" s="754"/>
      <c r="G508" s="648">
        <f t="shared" si="23"/>
        <v>2.6669999999999998</v>
      </c>
    </row>
    <row r="509" spans="1:7" s="309" customFormat="1" ht="29">
      <c r="A509" s="773">
        <v>60.03</v>
      </c>
      <c r="B509" s="650" t="s">
        <v>707</v>
      </c>
      <c r="C509" s="654">
        <v>1</v>
      </c>
      <c r="D509" s="646">
        <v>1.522</v>
      </c>
      <c r="E509" s="754"/>
      <c r="F509" s="754"/>
      <c r="G509" s="648">
        <f t="shared" si="23"/>
        <v>1.522</v>
      </c>
    </row>
    <row r="510" spans="1:7" s="309" customFormat="1" ht="14.5">
      <c r="A510" s="773">
        <v>60.04</v>
      </c>
      <c r="B510" s="762" t="s">
        <v>708</v>
      </c>
      <c r="C510" s="1117"/>
      <c r="D510" s="1111"/>
      <c r="E510" s="754"/>
      <c r="F510" s="754"/>
      <c r="G510" s="648"/>
    </row>
    <row r="511" spans="1:7" s="309" customFormat="1" ht="14.5">
      <c r="A511" s="773"/>
      <c r="B511" s="762"/>
      <c r="C511" s="654"/>
      <c r="D511" s="646"/>
      <c r="E511" s="647"/>
      <c r="F511" s="647"/>
      <c r="G511" s="648"/>
    </row>
    <row r="512" spans="1:7" s="309" customFormat="1" ht="14.5">
      <c r="A512" s="773"/>
      <c r="B512" s="785" t="s">
        <v>602</v>
      </c>
      <c r="C512" s="654"/>
      <c r="D512" s="646"/>
      <c r="E512" s="754"/>
      <c r="F512" s="754"/>
      <c r="G512" s="656">
        <f>SUM(G501:G511)</f>
        <v>63.119000000000007</v>
      </c>
    </row>
    <row r="513" spans="1:7" s="309" customFormat="1" ht="14.5">
      <c r="A513" s="793"/>
      <c r="B513" s="764" t="s">
        <v>1897</v>
      </c>
      <c r="C513" s="794"/>
      <c r="D513" s="795"/>
      <c r="E513" s="766"/>
      <c r="F513" s="766"/>
      <c r="G513" s="767">
        <v>24.6</v>
      </c>
    </row>
    <row r="514" spans="1:7" s="309" customFormat="1" ht="14.5">
      <c r="A514" s="793"/>
      <c r="B514" s="764" t="s">
        <v>1898</v>
      </c>
      <c r="C514" s="794"/>
      <c r="D514" s="795"/>
      <c r="E514" s="766"/>
      <c r="F514" s="766"/>
      <c r="G514" s="767">
        <f>G512-G513</f>
        <v>38.519000000000005</v>
      </c>
    </row>
    <row r="515" spans="1:7" s="309" customFormat="1" ht="14.5">
      <c r="A515" s="793"/>
      <c r="B515" s="764" t="s">
        <v>813</v>
      </c>
      <c r="C515" s="794"/>
      <c r="D515" s="795"/>
      <c r="E515" s="766"/>
      <c r="F515" s="766"/>
      <c r="G515" s="767">
        <f>SUM(G513:G514)</f>
        <v>63.119000000000007</v>
      </c>
    </row>
    <row r="516" spans="1:7" s="309" customFormat="1" ht="14.5">
      <c r="A516" s="773"/>
      <c r="B516" s="785"/>
      <c r="C516" s="654"/>
      <c r="D516" s="646"/>
      <c r="E516" s="754"/>
      <c r="F516" s="754"/>
      <c r="G516" s="648">
        <f>D516*C516</f>
        <v>0</v>
      </c>
    </row>
    <row r="517" spans="1:7" s="309" customFormat="1" ht="26">
      <c r="A517" s="757">
        <v>62</v>
      </c>
      <c r="B517" s="644" t="s">
        <v>216</v>
      </c>
      <c r="C517" s="654"/>
      <c r="D517" s="646"/>
      <c r="E517" s="754"/>
      <c r="F517" s="754"/>
      <c r="G517" s="656"/>
    </row>
    <row r="518" spans="1:7" s="749" customFormat="1">
      <c r="A518" s="773">
        <v>62.01</v>
      </c>
      <c r="B518" s="823" t="s">
        <v>709</v>
      </c>
      <c r="C518" s="654">
        <v>1</v>
      </c>
      <c r="D518" s="1111">
        <v>6.3</v>
      </c>
      <c r="E518" s="1139">
        <v>0.13</v>
      </c>
      <c r="F518" s="825"/>
      <c r="G518" s="826">
        <f t="shared" ref="G518:G523" si="24">D518*C518*E518</f>
        <v>0.81899999999999995</v>
      </c>
    </row>
    <row r="519" spans="1:7" s="749" customFormat="1">
      <c r="A519" s="773">
        <v>62.02</v>
      </c>
      <c r="B519" s="644" t="s">
        <v>710</v>
      </c>
      <c r="C519" s="654">
        <v>1</v>
      </c>
      <c r="D519" s="1111">
        <v>5.1020000000000003</v>
      </c>
      <c r="E519" s="1139">
        <v>0.13</v>
      </c>
      <c r="F519" s="825"/>
      <c r="G519" s="826">
        <f t="shared" si="24"/>
        <v>0.66326000000000007</v>
      </c>
    </row>
    <row r="520" spans="1:7" s="309" customFormat="1" ht="14.5">
      <c r="A520" s="773">
        <v>62.03</v>
      </c>
      <c r="B520" s="644" t="s">
        <v>711</v>
      </c>
      <c r="C520" s="654">
        <v>3</v>
      </c>
      <c r="D520" s="1111">
        <v>1.5</v>
      </c>
      <c r="E520" s="1139">
        <v>0.5</v>
      </c>
      <c r="F520" s="754"/>
      <c r="G520" s="826">
        <f t="shared" si="24"/>
        <v>2.25</v>
      </c>
    </row>
    <row r="521" spans="1:7" s="309" customFormat="1" ht="14.5">
      <c r="A521" s="773">
        <v>6.04</v>
      </c>
      <c r="B521" s="644" t="s">
        <v>712</v>
      </c>
      <c r="C521" s="654">
        <v>3</v>
      </c>
      <c r="D521" s="1111">
        <v>0.86</v>
      </c>
      <c r="E521" s="1139">
        <v>0.34499999999999997</v>
      </c>
      <c r="F521" s="754"/>
      <c r="G521" s="826">
        <f t="shared" si="24"/>
        <v>0.8901</v>
      </c>
    </row>
    <row r="522" spans="1:7" s="309" customFormat="1" ht="14.5">
      <c r="A522" s="773">
        <v>62.05</v>
      </c>
      <c r="B522" s="644" t="s">
        <v>713</v>
      </c>
      <c r="C522" s="654">
        <v>6</v>
      </c>
      <c r="D522" s="1111">
        <v>1.58</v>
      </c>
      <c r="E522" s="1139">
        <v>0.05</v>
      </c>
      <c r="F522" s="754"/>
      <c r="G522" s="826">
        <f t="shared" si="24"/>
        <v>0.47400000000000003</v>
      </c>
    </row>
    <row r="523" spans="1:7" s="309" customFormat="1" ht="14.5">
      <c r="A523" s="773">
        <v>62.06</v>
      </c>
      <c r="B523" s="644" t="s">
        <v>714</v>
      </c>
      <c r="C523" s="654">
        <v>6</v>
      </c>
      <c r="D523" s="1111">
        <v>0.65</v>
      </c>
      <c r="E523" s="1139">
        <v>1.9</v>
      </c>
      <c r="F523" s="754"/>
      <c r="G523" s="826">
        <f t="shared" si="24"/>
        <v>7.41</v>
      </c>
    </row>
    <row r="524" spans="1:7" s="309" customFormat="1" ht="14.5">
      <c r="A524" s="773"/>
      <c r="B524" s="644"/>
      <c r="C524" s="654"/>
      <c r="D524" s="646"/>
      <c r="E524" s="824"/>
      <c r="F524" s="754"/>
      <c r="G524" s="826"/>
    </row>
    <row r="525" spans="1:7" s="309" customFormat="1" ht="14.5">
      <c r="A525" s="773"/>
      <c r="B525" s="785" t="s">
        <v>602</v>
      </c>
      <c r="C525" s="654"/>
      <c r="D525" s="646"/>
      <c r="E525" s="754"/>
      <c r="F525" s="754"/>
      <c r="G525" s="656">
        <f>SUM(G518:G523)</f>
        <v>12.506360000000001</v>
      </c>
    </row>
    <row r="526" spans="1:7" s="309" customFormat="1" ht="14.5">
      <c r="A526" s="773"/>
      <c r="B526" s="785"/>
      <c r="C526" s="654"/>
      <c r="D526" s="646"/>
      <c r="E526" s="754"/>
      <c r="F526" s="754"/>
      <c r="G526" s="656"/>
    </row>
    <row r="527" spans="1:7" s="638" customFormat="1" ht="169.5">
      <c r="A527" s="757">
        <v>63</v>
      </c>
      <c r="B527" s="779" t="s">
        <v>217</v>
      </c>
      <c r="C527" s="816"/>
      <c r="D527" s="797"/>
      <c r="E527" s="754"/>
      <c r="F527" s="754"/>
      <c r="G527" s="656"/>
    </row>
    <row r="528" spans="1:7" s="309" customFormat="1" ht="14.5">
      <c r="A528" s="649">
        <v>63.01</v>
      </c>
      <c r="B528" s="649" t="s">
        <v>715</v>
      </c>
      <c r="C528" s="645">
        <v>1</v>
      </c>
      <c r="D528" s="649">
        <v>9.5</v>
      </c>
      <c r="E528" s="647">
        <v>2.48</v>
      </c>
      <c r="F528" s="647"/>
      <c r="G528" s="648">
        <f>E528*D528*C528</f>
        <v>23.56</v>
      </c>
    </row>
    <row r="529" spans="1:7" s="309" customFormat="1" ht="14.5">
      <c r="A529" s="649">
        <v>63.02</v>
      </c>
      <c r="B529" s="649" t="s">
        <v>716</v>
      </c>
      <c r="C529" s="645">
        <v>1</v>
      </c>
      <c r="D529" s="649">
        <v>3.45</v>
      </c>
      <c r="E529" s="647">
        <v>2.1</v>
      </c>
      <c r="F529" s="647"/>
      <c r="G529" s="648">
        <f>E529*D529*C529</f>
        <v>7.245000000000001</v>
      </c>
    </row>
    <row r="530" spans="1:7" s="309" customFormat="1" ht="14.5">
      <c r="A530" s="649"/>
      <c r="B530" s="769" t="s">
        <v>490</v>
      </c>
      <c r="C530" s="645"/>
      <c r="D530" s="649"/>
      <c r="E530" s="647"/>
      <c r="F530" s="647"/>
      <c r="G530" s="648"/>
    </row>
    <row r="531" spans="1:7" s="309" customFormat="1" ht="14.5">
      <c r="A531" s="649"/>
      <c r="B531" s="769" t="s">
        <v>509</v>
      </c>
      <c r="C531" s="770">
        <v>-1</v>
      </c>
      <c r="D531" s="771">
        <v>0.95</v>
      </c>
      <c r="E531" s="772">
        <v>0.15</v>
      </c>
      <c r="F531" s="772"/>
      <c r="G531" s="781">
        <f t="shared" ref="G531:G535" si="25">E531*D531*C531</f>
        <v>-0.14249999999999999</v>
      </c>
    </row>
    <row r="532" spans="1:7" s="309" customFormat="1" ht="14.5">
      <c r="A532" s="649"/>
      <c r="B532" s="769" t="s">
        <v>509</v>
      </c>
      <c r="C532" s="770">
        <v>-1</v>
      </c>
      <c r="D532" s="771">
        <v>0.3</v>
      </c>
      <c r="E532" s="772">
        <v>0.8</v>
      </c>
      <c r="F532" s="772"/>
      <c r="G532" s="781">
        <f t="shared" si="25"/>
        <v>-0.24</v>
      </c>
    </row>
    <row r="533" spans="1:7" s="309" customFormat="1" ht="14.5">
      <c r="A533" s="649"/>
      <c r="B533" s="769" t="s">
        <v>510</v>
      </c>
      <c r="C533" s="770">
        <v>-1</v>
      </c>
      <c r="D533" s="771">
        <v>0.9</v>
      </c>
      <c r="E533" s="772">
        <v>0.15</v>
      </c>
      <c r="F533" s="772"/>
      <c r="G533" s="781">
        <f t="shared" si="25"/>
        <v>-0.13500000000000001</v>
      </c>
    </row>
    <row r="534" spans="1:7" s="309" customFormat="1" ht="14.5">
      <c r="A534" s="649"/>
      <c r="B534" s="769" t="s">
        <v>511</v>
      </c>
      <c r="C534" s="770">
        <v>-1</v>
      </c>
      <c r="D534" s="771">
        <v>0.73</v>
      </c>
      <c r="E534" s="772">
        <v>0.15</v>
      </c>
      <c r="F534" s="772"/>
      <c r="G534" s="781">
        <f t="shared" si="25"/>
        <v>-0.1095</v>
      </c>
    </row>
    <row r="535" spans="1:7" s="309" customFormat="1" ht="14.5">
      <c r="A535" s="649"/>
      <c r="B535" s="769" t="s">
        <v>512</v>
      </c>
      <c r="C535" s="770">
        <v>-1</v>
      </c>
      <c r="D535" s="771">
        <v>0.59</v>
      </c>
      <c r="E535" s="772">
        <v>0.72</v>
      </c>
      <c r="F535" s="772"/>
      <c r="G535" s="781">
        <f t="shared" si="25"/>
        <v>-0.42479999999999996</v>
      </c>
    </row>
    <row r="536" spans="1:7" s="309" customFormat="1" ht="14.5">
      <c r="A536" s="755">
        <v>63.02</v>
      </c>
      <c r="B536" s="779" t="s">
        <v>717</v>
      </c>
      <c r="C536" s="645"/>
      <c r="D536" s="649"/>
      <c r="E536" s="647"/>
      <c r="F536" s="647"/>
      <c r="G536" s="648"/>
    </row>
    <row r="537" spans="1:7" s="309" customFormat="1" ht="14.5">
      <c r="A537" s="647" t="s">
        <v>185</v>
      </c>
      <c r="B537" s="650" t="s">
        <v>515</v>
      </c>
      <c r="C537" s="645">
        <v>1</v>
      </c>
      <c r="D537" s="649">
        <v>4.51</v>
      </c>
      <c r="E537" s="1112">
        <v>0.3</v>
      </c>
      <c r="F537" s="647"/>
      <c r="G537" s="648">
        <f t="shared" ref="G537:G546" si="26">E537*D537*C537</f>
        <v>1.353</v>
      </c>
    </row>
    <row r="538" spans="1:7" s="309" customFormat="1" ht="14.5">
      <c r="A538" s="647" t="s">
        <v>195</v>
      </c>
      <c r="B538" s="762" t="s">
        <v>516</v>
      </c>
      <c r="C538" s="645">
        <v>1</v>
      </c>
      <c r="D538" s="649">
        <v>5.07</v>
      </c>
      <c r="E538" s="1112">
        <v>0.3</v>
      </c>
      <c r="F538" s="647"/>
      <c r="G538" s="648">
        <f t="shared" si="26"/>
        <v>1.5210000000000001</v>
      </c>
    </row>
    <row r="539" spans="1:7" s="309" customFormat="1" ht="14.5">
      <c r="A539" s="647" t="s">
        <v>534</v>
      </c>
      <c r="B539" s="762" t="s">
        <v>517</v>
      </c>
      <c r="C539" s="645">
        <v>1</v>
      </c>
      <c r="D539" s="649">
        <v>2.06</v>
      </c>
      <c r="E539" s="1112">
        <v>0.3</v>
      </c>
      <c r="F539" s="647"/>
      <c r="G539" s="648">
        <f t="shared" si="26"/>
        <v>0.61799999999999999</v>
      </c>
    </row>
    <row r="540" spans="1:7" s="309" customFormat="1" ht="14.5">
      <c r="A540" s="647" t="s">
        <v>535</v>
      </c>
      <c r="B540" s="762" t="s">
        <v>518</v>
      </c>
      <c r="C540" s="645">
        <v>1</v>
      </c>
      <c r="D540" s="649">
        <v>2.66</v>
      </c>
      <c r="E540" s="1112">
        <v>0.3</v>
      </c>
      <c r="F540" s="647"/>
      <c r="G540" s="648">
        <f t="shared" si="26"/>
        <v>0.79800000000000004</v>
      </c>
    </row>
    <row r="541" spans="1:7" s="309" customFormat="1" ht="14.5">
      <c r="A541" s="647" t="s">
        <v>536</v>
      </c>
      <c r="B541" s="762" t="s">
        <v>519</v>
      </c>
      <c r="C541" s="645">
        <v>2</v>
      </c>
      <c r="D541" s="649">
        <v>2.4500000000000002</v>
      </c>
      <c r="E541" s="1112">
        <v>0.3</v>
      </c>
      <c r="F541" s="647"/>
      <c r="G541" s="648">
        <f t="shared" si="26"/>
        <v>1.47</v>
      </c>
    </row>
    <row r="542" spans="1:7" s="309" customFormat="1" ht="14.5">
      <c r="A542" s="647" t="s">
        <v>718</v>
      </c>
      <c r="B542" s="762" t="s">
        <v>504</v>
      </c>
      <c r="C542" s="645">
        <v>1</v>
      </c>
      <c r="D542" s="649">
        <v>2.84</v>
      </c>
      <c r="E542" s="1112">
        <v>0.3</v>
      </c>
      <c r="F542" s="647"/>
      <c r="G542" s="648">
        <f t="shared" si="26"/>
        <v>0.85199999999999998</v>
      </c>
    </row>
    <row r="543" spans="1:7" s="309" customFormat="1" ht="14.5">
      <c r="A543" s="647" t="s">
        <v>719</v>
      </c>
      <c r="B543" s="762" t="s">
        <v>488</v>
      </c>
      <c r="C543" s="645">
        <v>1</v>
      </c>
      <c r="D543" s="649">
        <v>1.88</v>
      </c>
      <c r="E543" s="1112">
        <v>0.3</v>
      </c>
      <c r="F543" s="647"/>
      <c r="G543" s="648">
        <f t="shared" si="26"/>
        <v>0.56399999999999995</v>
      </c>
    </row>
    <row r="544" spans="1:7" s="309" customFormat="1" ht="14.5">
      <c r="A544" s="647" t="s">
        <v>720</v>
      </c>
      <c r="B544" s="762" t="s">
        <v>520</v>
      </c>
      <c r="C544" s="645">
        <v>1</v>
      </c>
      <c r="D544" s="649">
        <v>2.29</v>
      </c>
      <c r="E544" s="1112">
        <v>0.3</v>
      </c>
      <c r="F544" s="647"/>
      <c r="G544" s="648">
        <f t="shared" si="26"/>
        <v>0.68699999999999994</v>
      </c>
    </row>
    <row r="545" spans="1:8" s="309" customFormat="1" ht="14.5">
      <c r="A545" s="647" t="s">
        <v>721</v>
      </c>
      <c r="B545" s="762" t="s">
        <v>521</v>
      </c>
      <c r="C545" s="645">
        <v>1</v>
      </c>
      <c r="D545" s="649">
        <v>4.51</v>
      </c>
      <c r="E545" s="1112">
        <v>0.3</v>
      </c>
      <c r="F545" s="647"/>
      <c r="G545" s="648">
        <f t="shared" si="26"/>
        <v>1.353</v>
      </c>
    </row>
    <row r="546" spans="1:8" s="309" customFormat="1" ht="14.5">
      <c r="A546" s="649"/>
      <c r="B546" s="769" t="s">
        <v>490</v>
      </c>
      <c r="C546" s="645"/>
      <c r="D546" s="649"/>
      <c r="E546" s="647"/>
      <c r="F546" s="647"/>
      <c r="G546" s="648">
        <f t="shared" si="26"/>
        <v>0</v>
      </c>
    </row>
    <row r="547" spans="1:8" s="309" customFormat="1" ht="14.5">
      <c r="A547" s="649"/>
      <c r="B547" s="769" t="s">
        <v>491</v>
      </c>
      <c r="C547" s="770">
        <v>-1</v>
      </c>
      <c r="D547" s="771">
        <v>1.2</v>
      </c>
      <c r="E547" s="1112">
        <v>0.3</v>
      </c>
      <c r="F547" s="647"/>
      <c r="G547" s="648">
        <f t="shared" ref="G547:G556" si="27">E547*D547*C547</f>
        <v>-0.36</v>
      </c>
    </row>
    <row r="548" spans="1:8" s="309" customFormat="1" ht="14.5">
      <c r="A548" s="649"/>
      <c r="B548" s="769" t="s">
        <v>524</v>
      </c>
      <c r="C548" s="770">
        <v>-2</v>
      </c>
      <c r="D548" s="771">
        <v>0.9</v>
      </c>
      <c r="E548" s="1112">
        <v>0.3</v>
      </c>
      <c r="F548" s="647"/>
      <c r="G548" s="648">
        <f t="shared" si="27"/>
        <v>-0.54</v>
      </c>
    </row>
    <row r="549" spans="1:8" s="309" customFormat="1" ht="14.5">
      <c r="A549" s="793"/>
      <c r="B549" s="783" t="s">
        <v>602</v>
      </c>
      <c r="C549" s="794"/>
      <c r="D549" s="795"/>
      <c r="E549" s="766"/>
      <c r="F549" s="766"/>
      <c r="G549" s="767">
        <f>SUM(G528:G548)</f>
        <v>38.069200000000002</v>
      </c>
    </row>
    <row r="550" spans="1:8" s="309" customFormat="1" ht="14.5">
      <c r="A550" s="793"/>
      <c r="B550" s="764" t="s">
        <v>1897</v>
      </c>
      <c r="C550" s="794"/>
      <c r="D550" s="795"/>
      <c r="E550" s="766"/>
      <c r="F550" s="766"/>
      <c r="G550" s="767">
        <v>19.66</v>
      </c>
    </row>
    <row r="551" spans="1:8" s="309" customFormat="1" ht="14.5">
      <c r="A551" s="793"/>
      <c r="B551" s="764" t="s">
        <v>1898</v>
      </c>
      <c r="C551" s="794"/>
      <c r="D551" s="795"/>
      <c r="E551" s="766"/>
      <c r="F551" s="766"/>
      <c r="G551" s="767">
        <f>G549-G550</f>
        <v>18.409200000000002</v>
      </c>
    </row>
    <row r="552" spans="1:8" s="309" customFormat="1" ht="14.5">
      <c r="A552" s="793"/>
      <c r="B552" s="764" t="s">
        <v>813</v>
      </c>
      <c r="C552" s="794"/>
      <c r="D552" s="795"/>
      <c r="E552" s="766"/>
      <c r="F552" s="766"/>
      <c r="G552" s="767">
        <f>SUM(G550:G551)</f>
        <v>38.069200000000002</v>
      </c>
    </row>
    <row r="553" spans="1:8" s="309" customFormat="1" ht="14.5">
      <c r="A553" s="773"/>
      <c r="B553" s="774"/>
      <c r="C553" s="654"/>
      <c r="D553" s="646"/>
      <c r="E553" s="754"/>
      <c r="F553" s="754"/>
      <c r="G553" s="656"/>
    </row>
    <row r="554" spans="1:8" s="638" customFormat="1" ht="14.5">
      <c r="A554" s="755">
        <v>64</v>
      </c>
      <c r="B554" s="779" t="s">
        <v>219</v>
      </c>
      <c r="C554" s="816"/>
      <c r="D554" s="797"/>
      <c r="E554" s="754"/>
      <c r="F554" s="754"/>
      <c r="G554" s="656"/>
    </row>
    <row r="555" spans="1:8" s="309" customFormat="1" ht="14.5">
      <c r="A555" s="649">
        <v>63.01</v>
      </c>
      <c r="B555" s="649" t="s">
        <v>715</v>
      </c>
      <c r="C555" s="645">
        <v>1</v>
      </c>
      <c r="D555" s="649">
        <v>9.5</v>
      </c>
      <c r="E555" s="647">
        <v>2.48</v>
      </c>
      <c r="F555" s="647">
        <v>0.2</v>
      </c>
      <c r="G555" s="648">
        <f t="shared" si="27"/>
        <v>23.56</v>
      </c>
      <c r="H555" s="1102"/>
    </row>
    <row r="556" spans="1:8" s="309" customFormat="1" ht="14.5">
      <c r="A556" s="649">
        <v>63.02</v>
      </c>
      <c r="B556" s="649" t="s">
        <v>716</v>
      </c>
      <c r="C556" s="645">
        <v>1</v>
      </c>
      <c r="D556" s="649">
        <v>3.45</v>
      </c>
      <c r="E556" s="647">
        <v>2.1</v>
      </c>
      <c r="F556" s="647">
        <v>0.2</v>
      </c>
      <c r="G556" s="648">
        <f t="shared" si="27"/>
        <v>7.245000000000001</v>
      </c>
      <c r="H556" s="1102"/>
    </row>
    <row r="557" spans="1:8" s="309" customFormat="1" ht="14.5">
      <c r="A557" s="649"/>
      <c r="B557" s="769" t="s">
        <v>490</v>
      </c>
      <c r="C557" s="645"/>
      <c r="D557" s="649"/>
      <c r="E557" s="647"/>
      <c r="F557" s="647"/>
      <c r="G557" s="648"/>
      <c r="H557" s="1102"/>
    </row>
    <row r="558" spans="1:8" s="309" customFormat="1" ht="14.5">
      <c r="A558" s="649"/>
      <c r="B558" s="769" t="s">
        <v>509</v>
      </c>
      <c r="C558" s="770">
        <v>-1</v>
      </c>
      <c r="D558" s="771">
        <v>0.95</v>
      </c>
      <c r="E558" s="772">
        <v>0.15</v>
      </c>
      <c r="F558" s="772">
        <v>0.2</v>
      </c>
      <c r="G558" s="781">
        <f t="shared" ref="G558:G562" si="28">E558*D558*C558</f>
        <v>-0.14249999999999999</v>
      </c>
      <c r="H558" s="1102"/>
    </row>
    <row r="559" spans="1:8" s="309" customFormat="1" ht="14.5">
      <c r="A559" s="649"/>
      <c r="B559" s="769" t="s">
        <v>509</v>
      </c>
      <c r="C559" s="770">
        <v>-1</v>
      </c>
      <c r="D559" s="771">
        <v>0.3</v>
      </c>
      <c r="E559" s="772">
        <v>0.8</v>
      </c>
      <c r="F559" s="772">
        <v>0.2</v>
      </c>
      <c r="G559" s="781">
        <f t="shared" si="28"/>
        <v>-0.24</v>
      </c>
      <c r="H559" s="1102"/>
    </row>
    <row r="560" spans="1:8" s="309" customFormat="1" ht="14.5">
      <c r="A560" s="649"/>
      <c r="B560" s="769" t="s">
        <v>510</v>
      </c>
      <c r="C560" s="770">
        <v>-1</v>
      </c>
      <c r="D560" s="771">
        <v>0.9</v>
      </c>
      <c r="E560" s="772">
        <v>0.15</v>
      </c>
      <c r="F560" s="772">
        <v>0.2</v>
      </c>
      <c r="G560" s="781">
        <f t="shared" si="28"/>
        <v>-0.13500000000000001</v>
      </c>
      <c r="H560" s="1102"/>
    </row>
    <row r="561" spans="1:8" s="309" customFormat="1" ht="14.5">
      <c r="A561" s="649"/>
      <c r="B561" s="769" t="s">
        <v>511</v>
      </c>
      <c r="C561" s="770">
        <v>-1</v>
      </c>
      <c r="D561" s="771">
        <v>0.73</v>
      </c>
      <c r="E561" s="772">
        <v>0.15</v>
      </c>
      <c r="F561" s="772">
        <v>0.2</v>
      </c>
      <c r="G561" s="781">
        <f t="shared" si="28"/>
        <v>-0.1095</v>
      </c>
      <c r="H561" s="1102"/>
    </row>
    <row r="562" spans="1:8" s="309" customFormat="1" ht="14.5">
      <c r="A562" s="649"/>
      <c r="B562" s="769" t="s">
        <v>512</v>
      </c>
      <c r="C562" s="770">
        <v>-1</v>
      </c>
      <c r="D562" s="771">
        <v>0.59</v>
      </c>
      <c r="E562" s="772">
        <v>0.72</v>
      </c>
      <c r="F562" s="772">
        <v>0.2</v>
      </c>
      <c r="G562" s="781">
        <f t="shared" si="28"/>
        <v>-0.42479999999999996</v>
      </c>
      <c r="H562" s="1102"/>
    </row>
    <row r="563" spans="1:8" s="309" customFormat="1" ht="14.5">
      <c r="A563" s="773"/>
      <c r="B563" s="309" t="s">
        <v>1850</v>
      </c>
      <c r="C563" s="654"/>
      <c r="D563" s="656"/>
      <c r="E563" s="656"/>
      <c r="F563" s="656"/>
      <c r="G563" s="1103">
        <f>SUM(G555:G562)</f>
        <v>29.7532</v>
      </c>
      <c r="H563" s="1104"/>
    </row>
    <row r="564" spans="1:8" s="309" customFormat="1" ht="14.5">
      <c r="A564" s="793"/>
      <c r="B564" s="783" t="s">
        <v>546</v>
      </c>
      <c r="C564" s="794"/>
      <c r="D564" s="795"/>
      <c r="E564" s="766"/>
      <c r="F564" s="766"/>
      <c r="G564" s="767">
        <f>G563*0.2</f>
        <v>5.9506399999999999</v>
      </c>
    </row>
    <row r="565" spans="1:8" s="309" customFormat="1" ht="14.5">
      <c r="A565" s="793"/>
      <c r="B565" s="764" t="s">
        <v>1897</v>
      </c>
      <c r="C565" s="794"/>
      <c r="D565" s="795"/>
      <c r="E565" s="766"/>
      <c r="F565" s="766"/>
      <c r="G565" s="767">
        <v>1</v>
      </c>
    </row>
    <row r="566" spans="1:8" s="309" customFormat="1" ht="14.5">
      <c r="A566" s="793"/>
      <c r="B566" s="764" t="s">
        <v>1898</v>
      </c>
      <c r="C566" s="794"/>
      <c r="D566" s="795"/>
      <c r="E566" s="766"/>
      <c r="F566" s="766"/>
      <c r="G566" s="767">
        <f>G564-G565</f>
        <v>4.9506399999999999</v>
      </c>
    </row>
    <row r="567" spans="1:8" s="309" customFormat="1" ht="14.5">
      <c r="A567" s="793"/>
      <c r="B567" s="764" t="s">
        <v>813</v>
      </c>
      <c r="C567" s="794"/>
      <c r="D567" s="795"/>
      <c r="E567" s="766"/>
      <c r="F567" s="766"/>
      <c r="G567" s="767">
        <f>SUM(G565:G566)</f>
        <v>5.9506399999999999</v>
      </c>
    </row>
    <row r="568" spans="1:8" s="309" customFormat="1" ht="14.5">
      <c r="A568" s="773"/>
      <c r="B568" s="774"/>
      <c r="C568" s="654"/>
      <c r="D568" s="646"/>
      <c r="E568" s="754"/>
      <c r="F568" s="754"/>
      <c r="G568" s="656"/>
    </row>
    <row r="569" spans="1:8" s="638" customFormat="1" ht="39">
      <c r="A569" s="757">
        <v>65</v>
      </c>
      <c r="B569" s="756" t="s">
        <v>220</v>
      </c>
      <c r="C569" s="816"/>
      <c r="D569" s="797"/>
      <c r="E569" s="754"/>
      <c r="F569" s="754"/>
      <c r="G569" s="656"/>
    </row>
    <row r="570" spans="1:8" s="309" customFormat="1" ht="14.5">
      <c r="A570" s="755">
        <v>1</v>
      </c>
      <c r="B570" s="785" t="s">
        <v>722</v>
      </c>
      <c r="C570" s="654"/>
      <c r="D570" s="646"/>
      <c r="E570" s="647"/>
      <c r="F570" s="647"/>
      <c r="G570" s="648"/>
    </row>
    <row r="571" spans="1:8" s="309" customFormat="1" ht="14.5">
      <c r="A571" s="773">
        <v>1.01</v>
      </c>
      <c r="B571" s="762" t="s">
        <v>723</v>
      </c>
      <c r="C571" s="654">
        <v>1</v>
      </c>
      <c r="D571" s="654">
        <v>2.88</v>
      </c>
      <c r="E571" s="647">
        <v>0.69</v>
      </c>
      <c r="F571" s="647"/>
      <c r="G571" s="648">
        <f t="shared" ref="G571:G576" si="29">E571*D571*C571</f>
        <v>1.9871999999999999</v>
      </c>
    </row>
    <row r="572" spans="1:8" s="309" customFormat="1" ht="14.5">
      <c r="A572" s="773">
        <v>1.02</v>
      </c>
      <c r="B572" s="762" t="s">
        <v>724</v>
      </c>
      <c r="C572" s="654">
        <v>1</v>
      </c>
      <c r="D572" s="654">
        <v>3.64</v>
      </c>
      <c r="E572" s="646">
        <v>0.73</v>
      </c>
      <c r="F572" s="647"/>
      <c r="G572" s="648">
        <f t="shared" si="29"/>
        <v>2.6572</v>
      </c>
    </row>
    <row r="573" spans="1:8" s="309" customFormat="1" ht="14.5">
      <c r="A573" s="773">
        <v>1.03</v>
      </c>
      <c r="B573" s="762" t="s">
        <v>725</v>
      </c>
      <c r="C573" s="654">
        <v>1</v>
      </c>
      <c r="D573" s="1111">
        <v>2.88</v>
      </c>
      <c r="E573" s="647">
        <v>0.15</v>
      </c>
      <c r="F573" s="647"/>
      <c r="G573" s="648">
        <f t="shared" si="29"/>
        <v>0.432</v>
      </c>
    </row>
    <row r="574" spans="1:8" s="309" customFormat="1" ht="14.5">
      <c r="A574" s="773">
        <v>1.04</v>
      </c>
      <c r="B574" s="762" t="s">
        <v>726</v>
      </c>
      <c r="C574" s="654">
        <v>12</v>
      </c>
      <c r="D574" s="646">
        <v>0.54</v>
      </c>
      <c r="E574" s="647">
        <v>0.25</v>
      </c>
      <c r="F574" s="647"/>
      <c r="G574" s="648">
        <f t="shared" si="29"/>
        <v>1.62</v>
      </c>
    </row>
    <row r="575" spans="1:8" s="309" customFormat="1" ht="14.5">
      <c r="A575" s="773">
        <v>1.05</v>
      </c>
      <c r="B575" s="762" t="s">
        <v>727</v>
      </c>
      <c r="C575" s="654">
        <v>4</v>
      </c>
      <c r="D575" s="646">
        <v>0.54</v>
      </c>
      <c r="E575" s="827">
        <v>0.56499999999999995</v>
      </c>
      <c r="F575" s="647"/>
      <c r="G575" s="648">
        <f t="shared" si="29"/>
        <v>1.2203999999999999</v>
      </c>
    </row>
    <row r="576" spans="1:8" s="309" customFormat="1" ht="14.5">
      <c r="A576" s="773">
        <v>1.06</v>
      </c>
      <c r="B576" s="762" t="s">
        <v>728</v>
      </c>
      <c r="C576" s="654">
        <v>2</v>
      </c>
      <c r="D576" s="646">
        <v>0.76</v>
      </c>
      <c r="E576" s="647">
        <v>0.49</v>
      </c>
      <c r="F576" s="647"/>
      <c r="G576" s="648">
        <f t="shared" si="29"/>
        <v>0.74480000000000002</v>
      </c>
    </row>
    <row r="577" spans="1:7" s="309" customFormat="1" ht="14.5">
      <c r="A577" s="755">
        <v>2</v>
      </c>
      <c r="B577" s="785" t="s">
        <v>729</v>
      </c>
      <c r="C577" s="654"/>
      <c r="D577" s="646"/>
      <c r="E577" s="647"/>
      <c r="F577" s="647"/>
      <c r="G577" s="648"/>
    </row>
    <row r="578" spans="1:7" s="309" customFormat="1" ht="14.5">
      <c r="A578" s="773">
        <v>2.0099999999999998</v>
      </c>
      <c r="B578" s="762" t="s">
        <v>723</v>
      </c>
      <c r="C578" s="654">
        <v>1</v>
      </c>
      <c r="D578" s="1117">
        <v>3.86</v>
      </c>
      <c r="E578" s="1112">
        <v>0.73</v>
      </c>
      <c r="F578" s="647"/>
      <c r="G578" s="648">
        <f>E578*D578*C578</f>
        <v>2.8177999999999996</v>
      </c>
    </row>
    <row r="579" spans="1:7" s="309" customFormat="1" ht="14.5">
      <c r="A579" s="773">
        <v>2.02</v>
      </c>
      <c r="B579" s="762" t="s">
        <v>724</v>
      </c>
      <c r="C579" s="654">
        <v>1</v>
      </c>
      <c r="D579" s="654">
        <v>4.9450000000000003</v>
      </c>
      <c r="E579" s="646">
        <v>0.73</v>
      </c>
      <c r="F579" s="647"/>
      <c r="G579" s="648">
        <f>E579*C579*D579</f>
        <v>3.6098500000000002</v>
      </c>
    </row>
    <row r="580" spans="1:7" s="309" customFormat="1" ht="14.5">
      <c r="A580" s="773">
        <v>2.0299999999999998</v>
      </c>
      <c r="B580" s="762" t="s">
        <v>725</v>
      </c>
      <c r="C580" s="654">
        <v>1</v>
      </c>
      <c r="D580" s="646">
        <v>3.86</v>
      </c>
      <c r="E580" s="647">
        <v>0.155</v>
      </c>
      <c r="F580" s="647"/>
      <c r="G580" s="648">
        <f>E580*D580*C580</f>
        <v>0.59829999999999994</v>
      </c>
    </row>
    <row r="581" spans="1:7" s="309" customFormat="1" ht="14.5">
      <c r="A581" s="773">
        <v>2.04</v>
      </c>
      <c r="B581" s="762" t="s">
        <v>726</v>
      </c>
      <c r="C581" s="654">
        <v>12</v>
      </c>
      <c r="D581" s="646">
        <v>0.55000000000000004</v>
      </c>
      <c r="E581" s="647">
        <v>0.25</v>
      </c>
      <c r="F581" s="647"/>
      <c r="G581" s="648">
        <f>E581*D581*C581</f>
        <v>1.6500000000000001</v>
      </c>
    </row>
    <row r="582" spans="1:7" s="309" customFormat="1" ht="14.5">
      <c r="A582" s="773">
        <v>2.0499999999999998</v>
      </c>
      <c r="B582" s="762" t="s">
        <v>727</v>
      </c>
      <c r="C582" s="654">
        <v>4</v>
      </c>
      <c r="D582" s="646">
        <v>0.56999999999999995</v>
      </c>
      <c r="E582" s="647">
        <v>0.55000000000000004</v>
      </c>
      <c r="F582" s="647"/>
      <c r="G582" s="648">
        <f>E582*D582*C582</f>
        <v>1.254</v>
      </c>
    </row>
    <row r="583" spans="1:7" s="309" customFormat="1" ht="14.5">
      <c r="A583" s="773">
        <v>2.06</v>
      </c>
      <c r="B583" s="762" t="s">
        <v>728</v>
      </c>
      <c r="C583" s="654">
        <v>2</v>
      </c>
      <c r="D583" s="646">
        <v>0.76</v>
      </c>
      <c r="E583" s="647">
        <v>0.505</v>
      </c>
      <c r="F583" s="647"/>
      <c r="G583" s="648">
        <f>E583*D583*C583</f>
        <v>0.76760000000000006</v>
      </c>
    </row>
    <row r="585" spans="1:7" s="309" customFormat="1" ht="14.5">
      <c r="A585" s="793"/>
      <c r="B585" s="783" t="s">
        <v>602</v>
      </c>
      <c r="C585" s="794"/>
      <c r="D585" s="795"/>
      <c r="E585" s="766"/>
      <c r="F585" s="766"/>
      <c r="G585" s="767">
        <f>SUM(G571:G583)</f>
        <v>19.359150000000003</v>
      </c>
    </row>
    <row r="586" spans="1:7" s="309" customFormat="1" ht="14.5">
      <c r="A586" s="793"/>
      <c r="B586" s="764" t="s">
        <v>1897</v>
      </c>
      <c r="C586" s="794"/>
      <c r="D586" s="795"/>
      <c r="E586" s="766"/>
      <c r="F586" s="766"/>
      <c r="G586" s="767">
        <v>13.65</v>
      </c>
    </row>
    <row r="587" spans="1:7" s="309" customFormat="1" ht="14.5">
      <c r="A587" s="793"/>
      <c r="B587" s="764" t="s">
        <v>1898</v>
      </c>
      <c r="C587" s="794"/>
      <c r="D587" s="795"/>
      <c r="E587" s="766"/>
      <c r="F587" s="766"/>
      <c r="G587" s="767">
        <f>G585-G586</f>
        <v>5.7091500000000028</v>
      </c>
    </row>
    <row r="588" spans="1:7" s="309" customFormat="1" ht="14.5">
      <c r="A588" s="793"/>
      <c r="B588" s="764" t="s">
        <v>813</v>
      </c>
      <c r="C588" s="794"/>
      <c r="D588" s="795"/>
      <c r="E588" s="766"/>
      <c r="F588" s="766"/>
      <c r="G588" s="767">
        <f>SUM(G586:G587)</f>
        <v>19.359150000000003</v>
      </c>
    </row>
    <row r="589" spans="1:7" s="309" customFormat="1" ht="14.5">
      <c r="A589" s="773"/>
      <c r="B589" s="785"/>
      <c r="C589" s="654"/>
      <c r="D589" s="646"/>
      <c r="E589" s="754"/>
      <c r="F589" s="754"/>
      <c r="G589" s="656"/>
    </row>
    <row r="590" spans="1:7" s="309" customFormat="1" ht="14.5">
      <c r="A590" s="755" t="s">
        <v>23</v>
      </c>
      <c r="B590" s="788" t="s">
        <v>223</v>
      </c>
      <c r="C590" s="654"/>
      <c r="D590" s="646"/>
      <c r="E590" s="754"/>
      <c r="F590" s="754"/>
      <c r="G590" s="656"/>
    </row>
    <row r="591" spans="1:7" s="309" customFormat="1" ht="14.5">
      <c r="A591" s="773"/>
      <c r="B591" s="787"/>
      <c r="C591" s="654"/>
      <c r="D591" s="646"/>
      <c r="E591" s="754"/>
      <c r="F591" s="754"/>
      <c r="G591" s="656"/>
    </row>
    <row r="592" spans="1:7" s="638" customFormat="1" ht="26.5">
      <c r="A592" s="755">
        <v>66</v>
      </c>
      <c r="B592" s="779" t="s">
        <v>224</v>
      </c>
      <c r="C592" s="828">
        <v>4</v>
      </c>
      <c r="D592" s="797"/>
      <c r="E592" s="754"/>
      <c r="F592" s="754"/>
      <c r="G592" s="656">
        <v>9</v>
      </c>
    </row>
    <row r="593" spans="1:7" s="309" customFormat="1" ht="14.5">
      <c r="A593" s="793"/>
      <c r="B593" s="783" t="s">
        <v>602</v>
      </c>
      <c r="C593" s="794"/>
      <c r="D593" s="795"/>
      <c r="E593" s="766"/>
      <c r="F593" s="766"/>
      <c r="G593" s="767">
        <f>SUM(G592)</f>
        <v>9</v>
      </c>
    </row>
    <row r="594" spans="1:7" s="309" customFormat="1" ht="14.5">
      <c r="A594" s="793"/>
      <c r="B594" s="764" t="s">
        <v>1897</v>
      </c>
      <c r="C594" s="794"/>
      <c r="D594" s="795"/>
      <c r="E594" s="766"/>
      <c r="F594" s="766"/>
      <c r="G594" s="767">
        <v>4</v>
      </c>
    </row>
    <row r="595" spans="1:7" s="309" customFormat="1" ht="14.5">
      <c r="A595" s="793"/>
      <c r="B595" s="764" t="s">
        <v>1898</v>
      </c>
      <c r="C595" s="794"/>
      <c r="D595" s="795"/>
      <c r="E595" s="766"/>
      <c r="F595" s="766"/>
      <c r="G595" s="767">
        <f>G593-G594</f>
        <v>5</v>
      </c>
    </row>
    <row r="596" spans="1:7" s="309" customFormat="1" ht="14.5">
      <c r="A596" s="793"/>
      <c r="B596" s="764" t="s">
        <v>813</v>
      </c>
      <c r="C596" s="794"/>
      <c r="D596" s="795"/>
      <c r="E596" s="766"/>
      <c r="F596" s="766"/>
      <c r="G596" s="767">
        <f>SUM(G594:G595)</f>
        <v>9</v>
      </c>
    </row>
    <row r="597" spans="1:7" s="309" customFormat="1" ht="14.5">
      <c r="A597" s="773"/>
      <c r="B597" s="644"/>
      <c r="C597" s="763"/>
      <c r="D597" s="646"/>
      <c r="E597" s="754"/>
      <c r="F597" s="754"/>
      <c r="G597" s="656"/>
    </row>
    <row r="598" spans="1:7" s="638" customFormat="1" ht="26.5">
      <c r="A598" s="755">
        <v>67</v>
      </c>
      <c r="B598" s="779" t="s">
        <v>225</v>
      </c>
      <c r="C598" s="828">
        <v>8</v>
      </c>
      <c r="D598" s="797"/>
      <c r="E598" s="754"/>
      <c r="F598" s="754"/>
      <c r="G598" s="656"/>
    </row>
    <row r="599" spans="1:7" s="309" customFormat="1" ht="14.5">
      <c r="A599" s="793"/>
      <c r="B599" s="783" t="s">
        <v>602</v>
      </c>
      <c r="C599" s="794"/>
      <c r="D599" s="795"/>
      <c r="E599" s="766"/>
      <c r="F599" s="766"/>
      <c r="G599" s="767"/>
    </row>
    <row r="600" spans="1:7" s="309" customFormat="1" ht="14.5">
      <c r="A600" s="773"/>
      <c r="B600" s="644"/>
      <c r="C600" s="763"/>
      <c r="D600" s="646"/>
      <c r="E600" s="754"/>
      <c r="F600" s="754"/>
      <c r="G600" s="656"/>
    </row>
    <row r="601" spans="1:7" s="638" customFormat="1" ht="14.5">
      <c r="A601" s="755">
        <v>68</v>
      </c>
      <c r="B601" s="779" t="s">
        <v>226</v>
      </c>
      <c r="C601" s="828">
        <v>4</v>
      </c>
      <c r="D601" s="797"/>
      <c r="E601" s="754"/>
      <c r="F601" s="754"/>
      <c r="G601" s="656"/>
    </row>
    <row r="602" spans="1:7" s="309" customFormat="1" ht="14.5">
      <c r="A602" s="793"/>
      <c r="B602" s="783" t="s">
        <v>602</v>
      </c>
      <c r="C602" s="794"/>
      <c r="D602" s="795"/>
      <c r="E602" s="766"/>
      <c r="F602" s="766"/>
      <c r="G602" s="767"/>
    </row>
    <row r="603" spans="1:7" s="309" customFormat="1" ht="14.5">
      <c r="A603" s="773"/>
      <c r="B603" s="644"/>
      <c r="C603" s="763"/>
      <c r="D603" s="646"/>
      <c r="E603" s="754"/>
      <c r="F603" s="754"/>
      <c r="G603" s="656"/>
    </row>
    <row r="604" spans="1:7" s="638" customFormat="1" ht="39">
      <c r="A604" s="755">
        <v>69</v>
      </c>
      <c r="B604" s="756" t="s">
        <v>227</v>
      </c>
      <c r="C604" s="828">
        <v>8</v>
      </c>
      <c r="D604" s="797"/>
      <c r="E604" s="754"/>
      <c r="F604" s="754"/>
      <c r="G604" s="656"/>
    </row>
    <row r="605" spans="1:7" s="309" customFormat="1" ht="14.5">
      <c r="A605" s="793"/>
      <c r="B605" s="783" t="s">
        <v>602</v>
      </c>
      <c r="C605" s="794"/>
      <c r="D605" s="795"/>
      <c r="E605" s="766"/>
      <c r="F605" s="766"/>
      <c r="G605" s="767"/>
    </row>
    <row r="606" spans="1:7" s="309" customFormat="1" ht="14.5">
      <c r="A606" s="773"/>
      <c r="B606" s="644"/>
      <c r="C606" s="763"/>
      <c r="D606" s="646"/>
      <c r="E606" s="754"/>
      <c r="F606" s="754"/>
      <c r="G606" s="656"/>
    </row>
    <row r="607" spans="1:7" s="638" customFormat="1" ht="26.5">
      <c r="A607" s="755">
        <v>70</v>
      </c>
      <c r="B607" s="779" t="s">
        <v>228</v>
      </c>
      <c r="C607" s="828">
        <v>1</v>
      </c>
      <c r="D607" s="797"/>
      <c r="E607" s="754"/>
      <c r="F607" s="754"/>
      <c r="G607" s="656">
        <v>2</v>
      </c>
    </row>
    <row r="608" spans="1:7" s="309" customFormat="1" ht="14.5">
      <c r="A608" s="793"/>
      <c r="B608" s="783" t="s">
        <v>602</v>
      </c>
      <c r="C608" s="794"/>
      <c r="D608" s="795"/>
      <c r="E608" s="766"/>
      <c r="F608" s="766"/>
      <c r="G608" s="767">
        <f>SUM(G607)</f>
        <v>2</v>
      </c>
    </row>
    <row r="609" spans="1:7" s="309" customFormat="1" ht="14.5">
      <c r="A609" s="793"/>
      <c r="B609" s="764" t="s">
        <v>1897</v>
      </c>
      <c r="C609" s="794"/>
      <c r="D609" s="795"/>
      <c r="E609" s="766"/>
      <c r="F609" s="766"/>
      <c r="G609" s="767">
        <v>1</v>
      </c>
    </row>
    <row r="610" spans="1:7" s="309" customFormat="1" ht="14.5">
      <c r="A610" s="793"/>
      <c r="B610" s="764" t="s">
        <v>1898</v>
      </c>
      <c r="C610" s="794"/>
      <c r="D610" s="795"/>
      <c r="E610" s="766"/>
      <c r="F610" s="766"/>
      <c r="G610" s="767">
        <f>G608-G609</f>
        <v>1</v>
      </c>
    </row>
    <row r="611" spans="1:7" s="309" customFormat="1" ht="14.5">
      <c r="A611" s="793"/>
      <c r="B611" s="764" t="s">
        <v>813</v>
      </c>
      <c r="C611" s="794"/>
      <c r="D611" s="795"/>
      <c r="E611" s="766"/>
      <c r="F611" s="766"/>
      <c r="G611" s="767">
        <f>SUM(G609:G610)</f>
        <v>2</v>
      </c>
    </row>
    <row r="612" spans="1:7" s="309" customFormat="1" ht="14.5">
      <c r="A612" s="773"/>
      <c r="B612" s="644"/>
      <c r="C612" s="763"/>
      <c r="D612" s="646"/>
      <c r="E612" s="754"/>
      <c r="F612" s="754"/>
      <c r="G612" s="656"/>
    </row>
    <row r="613" spans="1:7" s="638" customFormat="1" ht="39.5">
      <c r="A613" s="755">
        <v>71</v>
      </c>
      <c r="B613" s="779" t="s">
        <v>229</v>
      </c>
      <c r="C613" s="828">
        <v>1</v>
      </c>
      <c r="D613" s="797"/>
      <c r="E613" s="754"/>
      <c r="F613" s="754"/>
      <c r="G613" s="656"/>
    </row>
    <row r="614" spans="1:7" s="309" customFormat="1" ht="14.5">
      <c r="A614" s="793"/>
      <c r="B614" s="783" t="s">
        <v>602</v>
      </c>
      <c r="C614" s="794"/>
      <c r="D614" s="795"/>
      <c r="E614" s="766"/>
      <c r="F614" s="766"/>
      <c r="G614" s="767"/>
    </row>
    <row r="615" spans="1:7" s="309" customFormat="1" ht="14.5">
      <c r="A615" s="773"/>
      <c r="B615" s="644"/>
      <c r="C615" s="763"/>
      <c r="D615" s="646"/>
      <c r="E615" s="754"/>
      <c r="F615" s="754"/>
      <c r="G615" s="656"/>
    </row>
    <row r="616" spans="1:7" s="638" customFormat="1" ht="65">
      <c r="A616" s="755">
        <v>72</v>
      </c>
      <c r="B616" s="756" t="s">
        <v>230</v>
      </c>
      <c r="C616" s="828">
        <v>1</v>
      </c>
      <c r="D616" s="797"/>
      <c r="E616" s="754"/>
      <c r="F616" s="754"/>
      <c r="G616" s="656"/>
    </row>
    <row r="617" spans="1:7" s="309" customFormat="1" ht="14.5">
      <c r="A617" s="793"/>
      <c r="B617" s="783" t="s">
        <v>23</v>
      </c>
      <c r="C617" s="794"/>
      <c r="D617" s="795"/>
      <c r="E617" s="766"/>
      <c r="F617" s="766"/>
      <c r="G617" s="767"/>
    </row>
    <row r="618" spans="1:7" s="309" customFormat="1" ht="14.5">
      <c r="A618" s="773"/>
      <c r="B618" s="644"/>
      <c r="C618" s="763"/>
      <c r="D618" s="646"/>
      <c r="E618" s="754"/>
      <c r="F618" s="754"/>
      <c r="G618" s="656"/>
    </row>
    <row r="619" spans="1:7" s="638" customFormat="1" ht="26">
      <c r="A619" s="755">
        <v>73</v>
      </c>
      <c r="B619" s="756" t="s">
        <v>231</v>
      </c>
      <c r="C619" s="828">
        <v>1</v>
      </c>
      <c r="D619" s="797"/>
      <c r="E619" s="754"/>
      <c r="F619" s="754"/>
      <c r="G619" s="656"/>
    </row>
    <row r="620" spans="1:7" s="309" customFormat="1" ht="14.5">
      <c r="A620" s="793"/>
      <c r="B620" s="783" t="s">
        <v>602</v>
      </c>
      <c r="C620" s="794"/>
      <c r="D620" s="795"/>
      <c r="E620" s="766"/>
      <c r="F620" s="766"/>
      <c r="G620" s="767"/>
    </row>
    <row r="621" spans="1:7" s="309" customFormat="1" ht="14.5">
      <c r="A621" s="773"/>
      <c r="B621" s="785"/>
      <c r="C621" s="654"/>
      <c r="D621" s="646"/>
      <c r="E621" s="754"/>
      <c r="F621" s="754"/>
      <c r="G621" s="656"/>
    </row>
    <row r="622" spans="1:7" s="638" customFormat="1" ht="26">
      <c r="A622" s="775">
        <v>75</v>
      </c>
      <c r="B622" s="50" t="s">
        <v>730</v>
      </c>
      <c r="C622" s="816"/>
      <c r="D622" s="797"/>
      <c r="E622" s="754"/>
      <c r="F622" s="754"/>
      <c r="G622" s="656"/>
    </row>
    <row r="623" spans="1:7" s="309" customFormat="1" ht="29">
      <c r="A623" s="786">
        <v>75.010000000000005</v>
      </c>
      <c r="B623" s="650" t="s">
        <v>731</v>
      </c>
      <c r="C623" s="645">
        <v>1</v>
      </c>
      <c r="D623" s="649">
        <v>7.17</v>
      </c>
      <c r="E623" s="649">
        <v>0.9</v>
      </c>
      <c r="F623" s="647"/>
      <c r="G623" s="648">
        <f>E623*D623*C623</f>
        <v>6.4530000000000003</v>
      </c>
    </row>
    <row r="624" spans="1:7" s="309" customFormat="1" ht="14.5">
      <c r="A624" s="818">
        <v>75.02</v>
      </c>
      <c r="B624" s="650" t="s">
        <v>681</v>
      </c>
      <c r="C624" s="654">
        <v>1</v>
      </c>
      <c r="D624" s="646">
        <v>2.875</v>
      </c>
      <c r="E624" s="647">
        <v>2.82</v>
      </c>
      <c r="F624" s="647"/>
      <c r="G624" s="648">
        <f>E624*D624*C624</f>
        <v>8.1074999999999999</v>
      </c>
    </row>
    <row r="625" spans="1:7" s="309" customFormat="1" ht="14.5">
      <c r="A625" s="773">
        <v>75.03</v>
      </c>
      <c r="B625" s="650" t="s">
        <v>682</v>
      </c>
      <c r="C625" s="654">
        <v>1</v>
      </c>
      <c r="D625" s="646">
        <v>0.63</v>
      </c>
      <c r="E625" s="647">
        <v>2.82</v>
      </c>
      <c r="F625" s="647"/>
      <c r="G625" s="648">
        <f>E625*D625*C625</f>
        <v>1.7766</v>
      </c>
    </row>
    <row r="626" spans="1:7" s="309" customFormat="1" ht="14.5">
      <c r="A626" s="773">
        <v>75.040000000000006</v>
      </c>
      <c r="B626" s="650" t="s">
        <v>683</v>
      </c>
      <c r="C626" s="654">
        <v>1</v>
      </c>
      <c r="D626" s="646">
        <v>2.4</v>
      </c>
      <c r="E626" s="647">
        <v>2.82</v>
      </c>
      <c r="F626" s="647"/>
      <c r="G626" s="648">
        <f>E626*D626*C626</f>
        <v>6.7679999999999998</v>
      </c>
    </row>
    <row r="627" spans="1:7" s="309" customFormat="1" ht="14.5">
      <c r="A627" s="773">
        <v>75.05</v>
      </c>
      <c r="B627" s="650" t="s">
        <v>684</v>
      </c>
      <c r="C627" s="654">
        <v>1</v>
      </c>
      <c r="D627" s="646">
        <v>1.6</v>
      </c>
      <c r="E627" s="647">
        <v>2.82</v>
      </c>
      <c r="F627" s="647"/>
      <c r="G627" s="648">
        <f>E627*D627*C627</f>
        <v>4.5119999999999996</v>
      </c>
    </row>
    <row r="628" spans="1:7" s="309" customFormat="1" ht="14.5">
      <c r="A628" s="773"/>
      <c r="B628" s="769" t="s">
        <v>490</v>
      </c>
      <c r="C628" s="654"/>
      <c r="D628" s="646"/>
      <c r="E628" s="754"/>
      <c r="F628" s="754"/>
      <c r="G628" s="656"/>
    </row>
    <row r="629" spans="1:7" s="748" customFormat="1" ht="14.5">
      <c r="A629" s="771"/>
      <c r="B629" s="769" t="s">
        <v>547</v>
      </c>
      <c r="C629" s="829">
        <v>-1</v>
      </c>
      <c r="D629" s="771">
        <v>0.86</v>
      </c>
      <c r="E629" s="772">
        <v>2.4</v>
      </c>
      <c r="F629" s="772"/>
      <c r="G629" s="781">
        <f>E629*D629*C629</f>
        <v>-2.0640000000000001</v>
      </c>
    </row>
    <row r="630" spans="1:7" s="748" customFormat="1" ht="14.5">
      <c r="A630" s="771"/>
      <c r="B630" s="769"/>
      <c r="C630" s="829"/>
      <c r="D630" s="771"/>
      <c r="E630" s="772"/>
      <c r="F630" s="772"/>
      <c r="G630" s="781">
        <f>E630*D630*C630</f>
        <v>0</v>
      </c>
    </row>
    <row r="631" spans="1:7" s="309" customFormat="1" ht="14.5">
      <c r="A631" s="773"/>
      <c r="B631" s="785"/>
      <c r="C631" s="654"/>
      <c r="D631" s="646"/>
      <c r="E631" s="754"/>
      <c r="F631" s="754"/>
      <c r="G631" s="656"/>
    </row>
    <row r="632" spans="1:7" s="309" customFormat="1" ht="14.5">
      <c r="A632" s="793"/>
      <c r="B632" s="783" t="s">
        <v>602</v>
      </c>
      <c r="C632" s="794"/>
      <c r="D632" s="795"/>
      <c r="E632" s="766"/>
      <c r="F632" s="766"/>
      <c r="G632" s="767">
        <f>SUM(G623:G631)</f>
        <v>25.553100000000001</v>
      </c>
    </row>
    <row r="633" spans="1:7" s="309" customFormat="1" ht="14.5">
      <c r="A633" s="773"/>
      <c r="B633" s="785"/>
      <c r="C633" s="654"/>
      <c r="D633" s="646"/>
      <c r="E633" s="754"/>
      <c r="F633" s="754"/>
      <c r="G633" s="656"/>
    </row>
    <row r="634" spans="1:7" s="309" customFormat="1" ht="14.5">
      <c r="A634" s="752"/>
      <c r="B634" s="785"/>
      <c r="C634" s="753"/>
      <c r="D634" s="752"/>
      <c r="E634" s="754"/>
      <c r="F634" s="754"/>
      <c r="G634" s="656"/>
    </row>
    <row r="635" spans="1:7" s="309" customFormat="1" ht="14.5">
      <c r="A635" s="752"/>
      <c r="B635" s="785"/>
      <c r="C635" s="753"/>
      <c r="D635" s="752"/>
      <c r="E635" s="754"/>
      <c r="F635" s="754"/>
      <c r="G635" s="656"/>
    </row>
    <row r="636" spans="1:7" s="309" customFormat="1" ht="14.5">
      <c r="A636" s="752"/>
      <c r="B636" s="785"/>
      <c r="C636" s="753"/>
      <c r="D636" s="752"/>
      <c r="E636" s="754"/>
      <c r="F636" s="754"/>
      <c r="G636" s="656"/>
    </row>
    <row r="637" spans="1:7" s="309" customFormat="1" ht="14.5">
      <c r="A637" s="830"/>
      <c r="B637" s="831"/>
      <c r="C637" s="832"/>
      <c r="D637" s="649"/>
      <c r="E637" s="830"/>
      <c r="F637" s="830"/>
      <c r="G637" s="830"/>
    </row>
    <row r="638" spans="1:7" s="309" customFormat="1" ht="14.5">
      <c r="A638" s="1245" t="s">
        <v>732</v>
      </c>
      <c r="B638" s="1245"/>
      <c r="C638" s="1246"/>
      <c r="D638" s="1247"/>
      <c r="E638" s="1245"/>
      <c r="F638" s="1245"/>
      <c r="G638" s="1245"/>
    </row>
    <row r="639" spans="1:7" s="309" customFormat="1" ht="14.5">
      <c r="A639" s="833"/>
      <c r="B639" s="833"/>
      <c r="C639" s="834"/>
      <c r="D639" s="835"/>
      <c r="E639" s="833"/>
      <c r="F639" s="833"/>
      <c r="G639" s="833"/>
    </row>
    <row r="640" spans="1:7" s="309" customFormat="1" ht="37.5">
      <c r="A640" s="41">
        <v>1</v>
      </c>
      <c r="B640" s="42" t="s">
        <v>236</v>
      </c>
      <c r="C640" s="834">
        <v>1</v>
      </c>
      <c r="D640" s="1140">
        <v>11.6</v>
      </c>
      <c r="E640" s="833">
        <v>0.9</v>
      </c>
      <c r="F640" s="833"/>
      <c r="G640" s="833">
        <f>E640*D640*C640</f>
        <v>10.44</v>
      </c>
    </row>
    <row r="641" spans="1:7" s="309" customFormat="1" ht="14.5">
      <c r="A641" s="793"/>
      <c r="B641" s="783" t="s">
        <v>481</v>
      </c>
      <c r="C641" s="794"/>
      <c r="D641" s="795"/>
      <c r="E641" s="766"/>
      <c r="F641" s="766"/>
      <c r="G641" s="767">
        <f>SUM(G640)</f>
        <v>10.44</v>
      </c>
    </row>
    <row r="642" spans="1:7" s="309" customFormat="1" ht="14.5">
      <c r="A642" s="41"/>
      <c r="B642" s="42"/>
      <c r="C642" s="834"/>
      <c r="D642" s="833"/>
      <c r="E642" s="833"/>
      <c r="F642" s="833"/>
      <c r="G642" s="833"/>
    </row>
    <row r="643" spans="1:7" s="309" customFormat="1" ht="25">
      <c r="A643" s="43">
        <v>2</v>
      </c>
      <c r="B643" s="49" t="s">
        <v>733</v>
      </c>
      <c r="C643" s="834">
        <v>1</v>
      </c>
      <c r="D643" s="752">
        <v>9.18</v>
      </c>
      <c r="E643" s="754">
        <v>2.4249999999999998</v>
      </c>
      <c r="F643" s="833"/>
      <c r="G643" s="833">
        <f>E643*D643*C643</f>
        <v>22.261499999999998</v>
      </c>
    </row>
    <row r="644" spans="1:7" s="309" customFormat="1" ht="14.5">
      <c r="A644" s="793"/>
      <c r="B644" s="783" t="s">
        <v>481</v>
      </c>
      <c r="C644" s="794"/>
      <c r="D644" s="795"/>
      <c r="E644" s="766"/>
      <c r="F644" s="766"/>
      <c r="G644" s="767"/>
    </row>
    <row r="645" spans="1:7" s="309" customFormat="1" ht="14.5">
      <c r="A645" s="43"/>
      <c r="B645" s="49"/>
      <c r="C645" s="834"/>
      <c r="D645" s="752"/>
      <c r="E645" s="754"/>
      <c r="F645" s="833"/>
      <c r="G645" s="833"/>
    </row>
    <row r="646" spans="1:7" s="309" customFormat="1" ht="14.5">
      <c r="A646" s="43">
        <v>3</v>
      </c>
      <c r="B646" s="49" t="s">
        <v>734</v>
      </c>
      <c r="C646" s="834"/>
      <c r="D646" s="835"/>
      <c r="E646" s="833"/>
      <c r="F646" s="833"/>
      <c r="G646" s="833"/>
    </row>
    <row r="647" spans="1:7" s="309" customFormat="1" ht="14.5">
      <c r="A647" s="793"/>
      <c r="B647" s="783" t="s">
        <v>481</v>
      </c>
      <c r="C647" s="794"/>
      <c r="D647" s="795"/>
      <c r="E647" s="766"/>
      <c r="F647" s="766"/>
      <c r="G647" s="767">
        <f>SUM(G646)</f>
        <v>0</v>
      </c>
    </row>
    <row r="648" spans="1:7" s="309" customFormat="1" ht="14.5">
      <c r="A648" s="43"/>
      <c r="B648" s="49"/>
      <c r="C648" s="834"/>
      <c r="D648" s="835"/>
      <c r="E648" s="833"/>
      <c r="F648" s="833"/>
      <c r="G648" s="833"/>
    </row>
    <row r="649" spans="1:7" s="309" customFormat="1" ht="14.5">
      <c r="A649" s="43">
        <v>4</v>
      </c>
      <c r="B649" s="42" t="s">
        <v>735</v>
      </c>
      <c r="C649" s="834">
        <v>26</v>
      </c>
      <c r="D649" s="835">
        <v>2.6</v>
      </c>
      <c r="E649" s="833"/>
      <c r="F649" s="833"/>
      <c r="G649" s="833">
        <f>D649*C649</f>
        <v>67.600000000000009</v>
      </c>
    </row>
    <row r="650" spans="1:7" s="309" customFormat="1" ht="14.5">
      <c r="A650" s="793"/>
      <c r="B650" s="783" t="s">
        <v>481</v>
      </c>
      <c r="C650" s="794"/>
      <c r="D650" s="795"/>
      <c r="E650" s="766"/>
      <c r="F650" s="766"/>
      <c r="G650" s="767">
        <f>SUM(G649)</f>
        <v>67.600000000000009</v>
      </c>
    </row>
    <row r="651" spans="1:7" s="309" customFormat="1" ht="14.5">
      <c r="A651" s="43"/>
      <c r="B651" s="42"/>
      <c r="C651" s="834"/>
      <c r="D651" s="835"/>
      <c r="E651" s="833"/>
      <c r="F651" s="833"/>
      <c r="G651" s="833"/>
    </row>
    <row r="652" spans="1:7" s="309" customFormat="1" ht="25">
      <c r="A652" s="43">
        <v>5</v>
      </c>
      <c r="B652" s="42" t="s">
        <v>736</v>
      </c>
      <c r="C652" s="834"/>
      <c r="D652" s="835"/>
      <c r="E652" s="833"/>
      <c r="F652" s="833"/>
      <c r="G652" s="833"/>
    </row>
    <row r="653" spans="1:7" s="309" customFormat="1" ht="14.5">
      <c r="A653" s="836">
        <v>5.01</v>
      </c>
      <c r="B653" s="762" t="s">
        <v>737</v>
      </c>
      <c r="C653" s="654">
        <v>1</v>
      </c>
      <c r="D653" s="646">
        <v>2.6</v>
      </c>
      <c r="E653" s="647"/>
      <c r="F653" s="647"/>
      <c r="G653" s="648">
        <f>D653*C653</f>
        <v>2.6</v>
      </c>
    </row>
    <row r="654" spans="1:7" s="309" customFormat="1" ht="14.5">
      <c r="A654" s="836">
        <v>5.0199999999999996</v>
      </c>
      <c r="B654" s="762" t="s">
        <v>738</v>
      </c>
      <c r="C654" s="654">
        <v>1</v>
      </c>
      <c r="D654" s="646">
        <v>5.7270000000000003</v>
      </c>
      <c r="E654" s="647"/>
      <c r="F654" s="647"/>
      <c r="G654" s="648">
        <f>D654*C654</f>
        <v>5.7270000000000003</v>
      </c>
    </row>
    <row r="655" spans="1:7" s="309" customFormat="1" ht="14.5">
      <c r="A655" s="836">
        <v>5.03</v>
      </c>
      <c r="B655" s="837" t="s">
        <v>739</v>
      </c>
      <c r="C655" s="838">
        <v>1</v>
      </c>
      <c r="D655" s="839">
        <v>12.55</v>
      </c>
      <c r="E655" s="836"/>
      <c r="F655" s="836"/>
      <c r="G655" s="648">
        <f>D655*C655</f>
        <v>12.55</v>
      </c>
    </row>
    <row r="656" spans="1:7" s="309" customFormat="1" ht="14.5">
      <c r="A656" s="840"/>
      <c r="B656" s="783" t="s">
        <v>481</v>
      </c>
      <c r="C656" s="841"/>
      <c r="D656" s="842"/>
      <c r="E656" s="766"/>
      <c r="F656" s="766"/>
      <c r="G656" s="767"/>
    </row>
    <row r="657" spans="1:7" s="309" customFormat="1" ht="14.5">
      <c r="A657" s="773"/>
      <c r="B657" s="312"/>
      <c r="C657" s="312"/>
      <c r="D657" s="312"/>
      <c r="E657" s="312"/>
      <c r="F657" s="312"/>
      <c r="G657" s="312"/>
    </row>
    <row r="658" spans="1:7" s="309" customFormat="1" ht="14.5">
      <c r="A658" s="773"/>
      <c r="B658" s="312"/>
      <c r="C658" s="312"/>
      <c r="D658" s="312"/>
      <c r="E658" s="312"/>
      <c r="F658" s="312"/>
      <c r="G658" s="312"/>
    </row>
    <row r="659" spans="1:7" s="309" customFormat="1" ht="14.5">
      <c r="A659" s="793"/>
      <c r="B659" s="783" t="s">
        <v>481</v>
      </c>
      <c r="C659" s="794"/>
      <c r="D659" s="795"/>
      <c r="E659" s="766"/>
      <c r="F659" s="766"/>
      <c r="G659" s="767">
        <f>SUM(G190:G191)</f>
        <v>36.224299999999999</v>
      </c>
    </row>
    <row r="660" spans="1:7">
      <c r="A660" s="734"/>
      <c r="B660" s="734"/>
      <c r="C660" s="807"/>
      <c r="D660" s="808"/>
      <c r="E660" s="734"/>
      <c r="F660" s="734"/>
      <c r="G660" s="734"/>
    </row>
    <row r="661" spans="1:7">
      <c r="A661" s="734"/>
      <c r="B661" s="734"/>
      <c r="C661" s="807"/>
      <c r="D661" s="808"/>
      <c r="E661" s="734"/>
      <c r="F661" s="734"/>
      <c r="G661" s="734"/>
    </row>
    <row r="662" spans="1:7">
      <c r="A662" s="734"/>
      <c r="B662" s="734"/>
      <c r="C662" s="807"/>
      <c r="D662" s="808"/>
      <c r="E662" s="734"/>
      <c r="F662" s="734"/>
      <c r="G662" s="734"/>
    </row>
    <row r="663" spans="1:7">
      <c r="A663" s="734"/>
      <c r="B663" s="734"/>
      <c r="C663" s="807"/>
      <c r="D663" s="808"/>
      <c r="E663" s="734"/>
      <c r="F663" s="734"/>
      <c r="G663" s="734"/>
    </row>
    <row r="664" spans="1:7">
      <c r="A664" s="734"/>
      <c r="B664" s="734"/>
      <c r="C664" s="807"/>
      <c r="D664" s="808"/>
      <c r="E664" s="734"/>
      <c r="F664" s="734"/>
      <c r="G664" s="734"/>
    </row>
    <row r="665" spans="1:7">
      <c r="A665" s="734"/>
      <c r="B665" s="734"/>
      <c r="C665" s="807"/>
      <c r="D665" s="808"/>
      <c r="E665" s="734"/>
      <c r="F665" s="734"/>
      <c r="G665" s="734"/>
    </row>
    <row r="666" spans="1:7">
      <c r="A666" s="734"/>
      <c r="B666" s="734"/>
      <c r="C666" s="807"/>
      <c r="D666" s="808"/>
      <c r="E666" s="734"/>
      <c r="F666" s="734"/>
      <c r="G666" s="734"/>
    </row>
  </sheetData>
  <mergeCells count="3">
    <mergeCell ref="A1:G1"/>
    <mergeCell ref="A2:G2"/>
    <mergeCell ref="A638:G638"/>
  </mergeCells>
  <conditionalFormatting sqref="B55 B62 B590">
    <cfRule type="cellIs" dxfId="0" priority="3" stopIfTrue="1" operator="equal">
      <formula>0</formula>
    </cfRule>
  </conditionalFormatting>
  <pageMargins left="0.75" right="0.75" top="1" bottom="1" header="0.5" footer="0.5"/>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
  <sheetViews>
    <sheetView view="pageBreakPreview" zoomScale="60" zoomScaleNormal="80" workbookViewId="0">
      <pane ySplit="4" topLeftCell="A83" activePane="bottomLeft" state="frozen"/>
      <selection pane="bottomLeft" activeCell="L12" sqref="L12:L13"/>
    </sheetView>
  </sheetViews>
  <sheetFormatPr defaultColWidth="8.90625" defaultRowHeight="14" outlineLevelRow="1"/>
  <cols>
    <col min="1" max="1" width="4.453125" style="675" customWidth="1"/>
    <col min="2" max="2" width="91.6328125" style="676" customWidth="1"/>
    <col min="3" max="3" width="6.90625" style="675" customWidth="1"/>
    <col min="4" max="4" width="14.36328125" style="677" customWidth="1"/>
    <col min="5" max="5" width="13" style="678" customWidth="1"/>
    <col min="6" max="6" width="13.36328125" style="678" customWidth="1"/>
    <col min="7" max="8" width="13.36328125" style="678" hidden="1" customWidth="1"/>
    <col min="9" max="9" width="12.90625" style="679" customWidth="1"/>
    <col min="10" max="10" width="14.1796875" style="680" customWidth="1"/>
    <col min="11" max="16384" width="8.90625" style="679"/>
  </cols>
  <sheetData>
    <row r="1" spans="1:10">
      <c r="A1" s="1248" t="s">
        <v>740</v>
      </c>
      <c r="B1" s="1248"/>
      <c r="C1" s="1248"/>
      <c r="D1" s="1248"/>
      <c r="E1" s="1248"/>
      <c r="F1" s="1248"/>
      <c r="G1" s="1248"/>
      <c r="H1" s="1248"/>
      <c r="I1" s="1248"/>
      <c r="J1" s="1248"/>
    </row>
    <row r="2" spans="1:10">
      <c r="A2" s="1249"/>
      <c r="B2" s="1249"/>
      <c r="C2" s="1249"/>
      <c r="D2" s="1249"/>
      <c r="E2" s="1249"/>
      <c r="F2" s="1249"/>
      <c r="G2" s="1249"/>
      <c r="H2" s="1249"/>
      <c r="I2" s="1249"/>
      <c r="J2" s="1249"/>
    </row>
    <row r="3" spans="1:10" ht="21">
      <c r="A3" s="681"/>
      <c r="B3" s="682"/>
      <c r="C3" s="682"/>
      <c r="D3" s="683"/>
      <c r="E3" s="684"/>
      <c r="F3" s="685"/>
      <c r="G3" s="685"/>
      <c r="H3" s="685"/>
      <c r="I3" s="686"/>
      <c r="J3" s="687"/>
    </row>
    <row r="4" spans="1:10" s="668" customFormat="1" ht="84">
      <c r="A4" s="688" t="s">
        <v>741</v>
      </c>
      <c r="B4" s="689" t="s">
        <v>2</v>
      </c>
      <c r="C4" s="688" t="s">
        <v>742</v>
      </c>
      <c r="D4" s="690" t="s">
        <v>743</v>
      </c>
      <c r="E4" s="690" t="s">
        <v>744</v>
      </c>
      <c r="F4" s="690" t="s">
        <v>745</v>
      </c>
      <c r="G4" s="690" t="s">
        <v>1876</v>
      </c>
      <c r="H4" s="690" t="s">
        <v>1877</v>
      </c>
      <c r="I4" s="688" t="s">
        <v>1923</v>
      </c>
      <c r="J4" s="688" t="s">
        <v>1924</v>
      </c>
    </row>
    <row r="5" spans="1:10" s="669" customFormat="1" ht="14.5">
      <c r="A5" s="691"/>
      <c r="B5" s="692" t="s">
        <v>746</v>
      </c>
      <c r="C5" s="693"/>
      <c r="D5" s="694"/>
      <c r="E5" s="695"/>
      <c r="F5" s="695"/>
      <c r="G5" s="695"/>
      <c r="H5" s="695"/>
      <c r="I5" s="696"/>
      <c r="J5" s="697"/>
    </row>
    <row r="6" spans="1:10" s="670" customFormat="1" ht="14.5" outlineLevel="1">
      <c r="A6" s="691"/>
      <c r="B6" s="698"/>
      <c r="C6" s="693"/>
      <c r="D6" s="699"/>
      <c r="E6" s="700"/>
      <c r="F6" s="700"/>
      <c r="G6" s="700"/>
      <c r="H6" s="700"/>
      <c r="I6" s="701"/>
      <c r="J6" s="702"/>
    </row>
    <row r="7" spans="1:10" s="670" customFormat="1" ht="14.5" outlineLevel="1">
      <c r="A7" s="691"/>
      <c r="B7" s="703" t="s">
        <v>747</v>
      </c>
      <c r="C7" s="693"/>
      <c r="D7" s="699"/>
      <c r="E7" s="700"/>
      <c r="F7" s="700"/>
      <c r="G7" s="700"/>
      <c r="H7" s="700"/>
      <c r="I7" s="701"/>
      <c r="J7" s="702"/>
    </row>
    <row r="8" spans="1:10" s="670" customFormat="1" ht="14.5" outlineLevel="1">
      <c r="A8" s="691"/>
      <c r="B8" s="698"/>
      <c r="C8" s="693"/>
      <c r="D8" s="699"/>
      <c r="E8" s="700"/>
      <c r="F8" s="700"/>
      <c r="G8" s="700"/>
      <c r="H8" s="700"/>
      <c r="I8" s="701"/>
      <c r="J8" s="702"/>
    </row>
    <row r="9" spans="1:10" s="670" customFormat="1" ht="43.5" outlineLevel="1">
      <c r="A9" s="704" t="s">
        <v>185</v>
      </c>
      <c r="B9" s="1083" t="s">
        <v>748</v>
      </c>
      <c r="C9" s="693" t="s">
        <v>749</v>
      </c>
      <c r="D9" s="699"/>
      <c r="E9" s="700"/>
      <c r="F9" s="700"/>
      <c r="G9" s="700"/>
      <c r="H9" s="700"/>
      <c r="I9" s="701"/>
      <c r="J9" s="702"/>
    </row>
    <row r="10" spans="1:10" s="670" customFormat="1" ht="14.5" outlineLevel="1">
      <c r="A10" s="704"/>
      <c r="B10" s="698"/>
      <c r="C10" s="693"/>
      <c r="D10" s="699"/>
      <c r="E10" s="700"/>
      <c r="F10" s="700"/>
      <c r="G10" s="700"/>
      <c r="H10" s="700"/>
      <c r="I10" s="701"/>
      <c r="J10" s="702"/>
    </row>
    <row r="11" spans="1:10" s="670" customFormat="1" ht="14.5" outlineLevel="1">
      <c r="A11" s="704"/>
      <c r="B11" s="703" t="s">
        <v>750</v>
      </c>
      <c r="C11" s="693"/>
      <c r="D11" s="699"/>
      <c r="E11" s="700"/>
      <c r="F11" s="700"/>
      <c r="G11" s="700"/>
      <c r="H11" s="700"/>
      <c r="I11" s="701"/>
      <c r="J11" s="702"/>
    </row>
    <row r="12" spans="1:10" s="670" customFormat="1" ht="14.5" outlineLevel="1">
      <c r="A12" s="704"/>
      <c r="B12" s="698"/>
      <c r="C12" s="693"/>
      <c r="D12" s="699"/>
      <c r="E12" s="700"/>
      <c r="F12" s="700"/>
      <c r="G12" s="700"/>
      <c r="H12" s="700"/>
      <c r="I12" s="701"/>
      <c r="J12" s="702"/>
    </row>
    <row r="13" spans="1:10" s="670" customFormat="1" ht="29" outlineLevel="1">
      <c r="A13" s="704" t="s">
        <v>195</v>
      </c>
      <c r="B13" s="1083" t="s">
        <v>751</v>
      </c>
      <c r="C13" s="693" t="s">
        <v>749</v>
      </c>
      <c r="D13" s="699"/>
      <c r="E13" s="700"/>
      <c r="F13" s="700"/>
      <c r="G13" s="700"/>
      <c r="H13" s="700"/>
      <c r="I13" s="701"/>
      <c r="J13" s="702"/>
    </row>
    <row r="14" spans="1:10" s="670" customFormat="1" ht="14.5" outlineLevel="1">
      <c r="A14" s="704"/>
      <c r="B14" s="698"/>
      <c r="C14" s="693"/>
      <c r="D14" s="699"/>
      <c r="E14" s="700"/>
      <c r="F14" s="700"/>
      <c r="G14" s="700"/>
      <c r="H14" s="700"/>
      <c r="I14" s="701"/>
      <c r="J14" s="702"/>
    </row>
    <row r="15" spans="1:10" s="670" customFormat="1" ht="72.5" outlineLevel="1">
      <c r="A15" s="704" t="s">
        <v>534</v>
      </c>
      <c r="B15" s="1083" t="s">
        <v>752</v>
      </c>
      <c r="C15" s="693" t="s">
        <v>749</v>
      </c>
      <c r="D15" s="699"/>
      <c r="E15" s="700"/>
      <c r="F15" s="700"/>
      <c r="G15" s="700"/>
      <c r="H15" s="700"/>
      <c r="I15" s="701"/>
      <c r="J15" s="702"/>
    </row>
    <row r="16" spans="1:10" s="670" customFormat="1" ht="14.5" outlineLevel="1">
      <c r="A16" s="704"/>
      <c r="B16" s="698"/>
      <c r="C16" s="693"/>
      <c r="D16" s="699"/>
      <c r="E16" s="700"/>
      <c r="F16" s="700"/>
      <c r="G16" s="700"/>
      <c r="H16" s="700"/>
      <c r="I16" s="701"/>
      <c r="J16" s="702"/>
    </row>
    <row r="17" spans="1:10" s="670" customFormat="1" ht="29" outlineLevel="1">
      <c r="A17" s="704" t="s">
        <v>535</v>
      </c>
      <c r="B17" s="1083" t="s">
        <v>753</v>
      </c>
      <c r="C17" s="693" t="s">
        <v>749</v>
      </c>
      <c r="D17" s="699"/>
      <c r="E17" s="700"/>
      <c r="F17" s="700"/>
      <c r="G17" s="700"/>
      <c r="H17" s="700"/>
      <c r="I17" s="701"/>
      <c r="J17" s="702"/>
    </row>
    <row r="18" spans="1:10" s="670" customFormat="1" ht="14.5" outlineLevel="1">
      <c r="A18" s="704"/>
      <c r="B18" s="706"/>
      <c r="C18" s="693"/>
      <c r="D18" s="699"/>
      <c r="E18" s="700"/>
      <c r="F18" s="700"/>
      <c r="G18" s="700"/>
      <c r="H18" s="700"/>
      <c r="I18" s="701"/>
      <c r="J18" s="702"/>
    </row>
    <row r="19" spans="1:10" s="670" customFormat="1" ht="14.5" outlineLevel="1">
      <c r="A19" s="704"/>
      <c r="B19" s="703" t="s">
        <v>754</v>
      </c>
      <c r="C19" s="693"/>
      <c r="D19" s="699"/>
      <c r="E19" s="700"/>
      <c r="F19" s="700"/>
      <c r="G19" s="700"/>
      <c r="H19" s="700"/>
      <c r="I19" s="701"/>
      <c r="J19" s="702"/>
    </row>
    <row r="20" spans="1:10" s="670" customFormat="1" ht="14.5" outlineLevel="1">
      <c r="A20" s="704"/>
      <c r="B20" s="698"/>
      <c r="C20" s="693"/>
      <c r="D20" s="699"/>
      <c r="E20" s="700"/>
      <c r="F20" s="700"/>
      <c r="G20" s="700"/>
      <c r="H20" s="700"/>
      <c r="I20" s="701"/>
      <c r="J20" s="702"/>
    </row>
    <row r="21" spans="1:10" s="670" customFormat="1" ht="14.5" outlineLevel="1">
      <c r="A21" s="704" t="s">
        <v>536</v>
      </c>
      <c r="B21" s="705" t="s">
        <v>755</v>
      </c>
      <c r="C21" s="693" t="s">
        <v>749</v>
      </c>
      <c r="D21" s="699"/>
      <c r="E21" s="700"/>
      <c r="F21" s="700"/>
      <c r="G21" s="700"/>
      <c r="H21" s="700"/>
      <c r="I21" s="701"/>
      <c r="J21" s="702"/>
    </row>
    <row r="22" spans="1:10" s="670" customFormat="1" ht="14.5" outlineLevel="1">
      <c r="A22" s="704"/>
      <c r="B22" s="698"/>
      <c r="C22" s="693"/>
      <c r="D22" s="699"/>
      <c r="E22" s="700"/>
      <c r="F22" s="700"/>
      <c r="G22" s="700"/>
      <c r="H22" s="700"/>
      <c r="I22" s="701"/>
      <c r="J22" s="702"/>
    </row>
    <row r="23" spans="1:10" s="670" customFormat="1" ht="29" outlineLevel="1">
      <c r="A23" s="704" t="s">
        <v>718</v>
      </c>
      <c r="B23" s="1083" t="s">
        <v>756</v>
      </c>
      <c r="C23" s="693" t="s">
        <v>749</v>
      </c>
      <c r="D23" s="699"/>
      <c r="E23" s="700"/>
      <c r="F23" s="700"/>
      <c r="G23" s="700"/>
      <c r="H23" s="700"/>
      <c r="I23" s="701"/>
      <c r="J23" s="702"/>
    </row>
    <row r="24" spans="1:10" s="670" customFormat="1" ht="14.5" outlineLevel="1">
      <c r="A24" s="704"/>
      <c r="B24" s="707"/>
      <c r="C24" s="708"/>
      <c r="D24" s="699"/>
      <c r="E24" s="700"/>
      <c r="F24" s="700"/>
      <c r="G24" s="700"/>
      <c r="H24" s="700"/>
      <c r="I24" s="701"/>
      <c r="J24" s="702"/>
    </row>
    <row r="25" spans="1:10" s="670" customFormat="1" ht="14.5" outlineLevel="1">
      <c r="A25" s="704"/>
      <c r="B25" s="692" t="s">
        <v>757</v>
      </c>
      <c r="C25" s="693"/>
      <c r="D25" s="699"/>
      <c r="E25" s="700"/>
      <c r="F25" s="700"/>
      <c r="G25" s="700"/>
      <c r="H25" s="700"/>
      <c r="I25" s="701"/>
      <c r="J25" s="702"/>
    </row>
    <row r="26" spans="1:10" s="670" customFormat="1" ht="43.5" outlineLevel="1">
      <c r="A26" s="704" t="s">
        <v>719</v>
      </c>
      <c r="B26" s="698" t="s">
        <v>758</v>
      </c>
      <c r="C26" s="693" t="s">
        <v>749</v>
      </c>
      <c r="D26" s="699"/>
      <c r="E26" s="700"/>
      <c r="F26" s="700"/>
      <c r="G26" s="700"/>
      <c r="H26" s="700"/>
      <c r="I26" s="701"/>
      <c r="J26" s="702"/>
    </row>
    <row r="27" spans="1:10" s="670" customFormat="1" ht="14.5" outlineLevel="1">
      <c r="A27" s="704"/>
      <c r="B27" s="705"/>
      <c r="C27" s="693"/>
      <c r="D27" s="699"/>
      <c r="E27" s="700"/>
      <c r="F27" s="700"/>
      <c r="G27" s="700"/>
      <c r="H27" s="700"/>
      <c r="I27" s="701"/>
      <c r="J27" s="702"/>
    </row>
    <row r="28" spans="1:10" s="670" customFormat="1" ht="43.5" outlineLevel="1">
      <c r="A28" s="704" t="s">
        <v>720</v>
      </c>
      <c r="B28" s="1083" t="s">
        <v>759</v>
      </c>
      <c r="C28" s="693" t="s">
        <v>749</v>
      </c>
      <c r="D28" s="699"/>
      <c r="E28" s="700"/>
      <c r="F28" s="700"/>
      <c r="G28" s="700"/>
      <c r="H28" s="700"/>
      <c r="I28" s="701"/>
      <c r="J28" s="702"/>
    </row>
    <row r="29" spans="1:10" s="670" customFormat="1" ht="14.5" outlineLevel="1">
      <c r="A29" s="704"/>
      <c r="B29" s="706"/>
      <c r="C29" s="693"/>
      <c r="D29" s="699"/>
      <c r="E29" s="700"/>
      <c r="F29" s="700"/>
      <c r="G29" s="700"/>
      <c r="H29" s="700"/>
      <c r="I29" s="701"/>
      <c r="J29" s="702"/>
    </row>
    <row r="30" spans="1:10" s="670" customFormat="1" ht="29" outlineLevel="1">
      <c r="A30" s="704" t="s">
        <v>721</v>
      </c>
      <c r="B30" s="1084" t="s">
        <v>760</v>
      </c>
      <c r="C30" s="693" t="s">
        <v>749</v>
      </c>
      <c r="D30" s="699"/>
      <c r="E30" s="700"/>
      <c r="F30" s="700"/>
      <c r="G30" s="700"/>
      <c r="H30" s="700"/>
      <c r="I30" s="701"/>
      <c r="J30" s="702"/>
    </row>
    <row r="31" spans="1:10" s="670" customFormat="1" ht="14.5" outlineLevel="1">
      <c r="A31" s="704"/>
      <c r="B31" s="706"/>
      <c r="C31" s="693"/>
      <c r="D31" s="699"/>
      <c r="E31" s="700"/>
      <c r="F31" s="700"/>
      <c r="G31" s="700"/>
      <c r="H31" s="700"/>
      <c r="I31" s="701"/>
      <c r="J31" s="702"/>
    </row>
    <row r="32" spans="1:10" s="670" customFormat="1" ht="29" outlineLevel="1">
      <c r="A32" s="704" t="s">
        <v>761</v>
      </c>
      <c r="B32" s="1083" t="s">
        <v>762</v>
      </c>
      <c r="C32" s="693" t="s">
        <v>749</v>
      </c>
      <c r="D32" s="699"/>
      <c r="E32" s="700"/>
      <c r="F32" s="700"/>
      <c r="G32" s="700"/>
      <c r="H32" s="700"/>
      <c r="I32" s="701"/>
      <c r="J32" s="702"/>
    </row>
    <row r="33" spans="1:10" s="670" customFormat="1" ht="14.5" outlineLevel="1">
      <c r="A33" s="704"/>
      <c r="B33" s="706"/>
      <c r="C33" s="693"/>
      <c r="D33" s="699"/>
      <c r="E33" s="700"/>
      <c r="F33" s="700"/>
      <c r="G33" s="700"/>
      <c r="H33" s="700"/>
      <c r="I33" s="701"/>
      <c r="J33" s="702"/>
    </row>
    <row r="34" spans="1:10" s="670" customFormat="1" ht="29" outlineLevel="1">
      <c r="A34" s="704" t="s">
        <v>763</v>
      </c>
      <c r="B34" s="1083" t="s">
        <v>764</v>
      </c>
      <c r="C34" s="693" t="s">
        <v>749</v>
      </c>
      <c r="D34" s="699"/>
      <c r="E34" s="700"/>
      <c r="F34" s="700"/>
      <c r="G34" s="700"/>
      <c r="H34" s="700"/>
      <c r="I34" s="701"/>
      <c r="J34" s="702"/>
    </row>
    <row r="35" spans="1:10" s="670" customFormat="1" ht="14.5" outlineLevel="1">
      <c r="A35" s="704"/>
      <c r="B35" s="698"/>
      <c r="C35" s="693"/>
      <c r="D35" s="699"/>
      <c r="E35" s="700"/>
      <c r="F35" s="700"/>
      <c r="G35" s="700"/>
      <c r="H35" s="700"/>
      <c r="I35" s="701"/>
      <c r="J35" s="702"/>
    </row>
    <row r="36" spans="1:10" s="670" customFormat="1" ht="14.5" outlineLevel="1">
      <c r="A36" s="704" t="s">
        <v>765</v>
      </c>
      <c r="B36" s="706" t="s">
        <v>766</v>
      </c>
      <c r="C36" s="693" t="s">
        <v>749</v>
      </c>
      <c r="D36" s="699"/>
      <c r="E36" s="700"/>
      <c r="F36" s="700"/>
      <c r="G36" s="700"/>
      <c r="H36" s="700"/>
      <c r="I36" s="701"/>
      <c r="J36" s="702"/>
    </row>
    <row r="37" spans="1:10" s="670" customFormat="1" ht="14.5" outlineLevel="1">
      <c r="A37" s="704"/>
      <c r="B37" s="706"/>
      <c r="C37" s="693"/>
      <c r="D37" s="699"/>
      <c r="E37" s="700"/>
      <c r="F37" s="700"/>
      <c r="G37" s="700"/>
      <c r="H37" s="700"/>
      <c r="I37" s="701"/>
      <c r="J37" s="702"/>
    </row>
    <row r="38" spans="1:10" s="670" customFormat="1" ht="29" outlineLevel="1">
      <c r="A38" s="704" t="s">
        <v>767</v>
      </c>
      <c r="B38" s="705" t="s">
        <v>768</v>
      </c>
      <c r="C38" s="693" t="s">
        <v>749</v>
      </c>
      <c r="D38" s="699"/>
      <c r="E38" s="700"/>
      <c r="F38" s="700"/>
      <c r="G38" s="700"/>
      <c r="H38" s="700"/>
      <c r="I38" s="701"/>
      <c r="J38" s="702"/>
    </row>
    <row r="39" spans="1:10" s="670" customFormat="1" ht="14.5" outlineLevel="1">
      <c r="A39" s="704"/>
      <c r="B39" s="706"/>
      <c r="C39" s="693"/>
      <c r="D39" s="699"/>
      <c r="E39" s="700"/>
      <c r="F39" s="700"/>
      <c r="G39" s="700"/>
      <c r="H39" s="700"/>
      <c r="I39" s="701"/>
      <c r="J39" s="702"/>
    </row>
    <row r="40" spans="1:10" s="670" customFormat="1" ht="43.5" outlineLevel="1">
      <c r="A40" s="704" t="s">
        <v>769</v>
      </c>
      <c r="B40" s="705" t="s">
        <v>770</v>
      </c>
      <c r="C40" s="693" t="s">
        <v>749</v>
      </c>
      <c r="D40" s="699"/>
      <c r="E40" s="700"/>
      <c r="F40" s="700"/>
      <c r="G40" s="700"/>
      <c r="H40" s="700"/>
      <c r="I40" s="701"/>
      <c r="J40" s="702"/>
    </row>
    <row r="41" spans="1:10" s="670" customFormat="1" ht="14.5" outlineLevel="1">
      <c r="A41" s="704"/>
      <c r="B41" s="708"/>
      <c r="C41" s="693"/>
      <c r="D41" s="699"/>
      <c r="E41" s="700"/>
      <c r="F41" s="700"/>
      <c r="G41" s="700"/>
      <c r="H41" s="700"/>
      <c r="I41" s="701"/>
      <c r="J41" s="702"/>
    </row>
    <row r="42" spans="1:10" s="670" customFormat="1" ht="14.5" outlineLevel="1">
      <c r="A42" s="704" t="s">
        <v>771</v>
      </c>
      <c r="B42" s="709" t="s">
        <v>772</v>
      </c>
      <c r="C42" s="693" t="s">
        <v>749</v>
      </c>
      <c r="D42" s="699"/>
      <c r="E42" s="700"/>
      <c r="F42" s="700"/>
      <c r="G42" s="700"/>
      <c r="H42" s="700"/>
      <c r="I42" s="701"/>
      <c r="J42" s="702"/>
    </row>
    <row r="43" spans="1:10" s="670" customFormat="1" ht="14.5" outlineLevel="1">
      <c r="A43" s="704"/>
      <c r="B43" s="709"/>
      <c r="C43" s="693"/>
      <c r="D43" s="699"/>
      <c r="E43" s="700"/>
      <c r="F43" s="700"/>
      <c r="G43" s="700"/>
      <c r="H43" s="700"/>
      <c r="I43" s="701"/>
      <c r="J43" s="702"/>
    </row>
    <row r="44" spans="1:10" s="670" customFormat="1" ht="14.5" outlineLevel="1">
      <c r="A44" s="704" t="s">
        <v>773</v>
      </c>
      <c r="B44" s="1084" t="s">
        <v>774</v>
      </c>
      <c r="C44" s="693" t="s">
        <v>749</v>
      </c>
      <c r="D44" s="699"/>
      <c r="E44" s="700"/>
      <c r="F44" s="700"/>
      <c r="G44" s="700"/>
      <c r="H44" s="700"/>
      <c r="I44" s="701"/>
      <c r="J44" s="702"/>
    </row>
    <row r="45" spans="1:10" s="670" customFormat="1" ht="14.5" outlineLevel="1">
      <c r="A45" s="704"/>
      <c r="B45" s="706"/>
      <c r="C45" s="693"/>
      <c r="D45" s="699"/>
      <c r="E45" s="700"/>
      <c r="F45" s="700"/>
      <c r="G45" s="700"/>
      <c r="H45" s="700"/>
      <c r="I45" s="701"/>
      <c r="J45" s="702"/>
    </row>
    <row r="46" spans="1:10" s="670" customFormat="1" ht="29" outlineLevel="1">
      <c r="A46" s="704" t="s">
        <v>775</v>
      </c>
      <c r="B46" s="706" t="s">
        <v>776</v>
      </c>
      <c r="C46" s="693" t="s">
        <v>749</v>
      </c>
      <c r="D46" s="699"/>
      <c r="E46" s="700"/>
      <c r="F46" s="700"/>
      <c r="G46" s="700"/>
      <c r="H46" s="700"/>
      <c r="I46" s="701"/>
      <c r="J46" s="702"/>
    </row>
    <row r="47" spans="1:10" s="670" customFormat="1" ht="14.5" outlineLevel="1">
      <c r="A47" s="704"/>
      <c r="B47" s="706"/>
      <c r="C47" s="693"/>
      <c r="D47" s="699"/>
      <c r="E47" s="700"/>
      <c r="F47" s="700"/>
      <c r="G47" s="700"/>
      <c r="H47" s="700"/>
      <c r="I47" s="701"/>
      <c r="J47" s="702"/>
    </row>
    <row r="48" spans="1:10" s="670" customFormat="1" ht="29" outlineLevel="1">
      <c r="A48" s="704" t="s">
        <v>777</v>
      </c>
      <c r="B48" s="1084" t="s">
        <v>778</v>
      </c>
      <c r="C48" s="693" t="s">
        <v>749</v>
      </c>
      <c r="D48" s="699"/>
      <c r="E48" s="700"/>
      <c r="F48" s="700"/>
      <c r="G48" s="700"/>
      <c r="H48" s="700"/>
      <c r="I48" s="701"/>
      <c r="J48" s="702"/>
    </row>
    <row r="49" spans="1:10" s="670" customFormat="1" ht="14.5" outlineLevel="1">
      <c r="A49" s="704"/>
      <c r="B49" s="706"/>
      <c r="C49" s="693"/>
      <c r="D49" s="699"/>
      <c r="E49" s="700"/>
      <c r="F49" s="700"/>
      <c r="G49" s="700"/>
      <c r="H49" s="700"/>
      <c r="I49" s="701"/>
      <c r="J49" s="702"/>
    </row>
    <row r="50" spans="1:10" s="670" customFormat="1" ht="29" outlineLevel="1">
      <c r="A50" s="704" t="s">
        <v>779</v>
      </c>
      <c r="B50" s="698" t="s">
        <v>780</v>
      </c>
      <c r="C50" s="693" t="s">
        <v>749</v>
      </c>
      <c r="D50" s="699"/>
      <c r="E50" s="700"/>
      <c r="F50" s="700"/>
      <c r="G50" s="700"/>
      <c r="H50" s="700"/>
      <c r="I50" s="701"/>
      <c r="J50" s="702"/>
    </row>
    <row r="51" spans="1:10" s="670" customFormat="1" ht="14.5" outlineLevel="1">
      <c r="A51" s="704"/>
      <c r="B51" s="705"/>
      <c r="C51" s="693"/>
      <c r="D51" s="699"/>
      <c r="E51" s="700"/>
      <c r="F51" s="700"/>
      <c r="G51" s="700"/>
      <c r="H51" s="700"/>
      <c r="I51" s="701"/>
      <c r="J51" s="702"/>
    </row>
    <row r="52" spans="1:10" s="670" customFormat="1" ht="14.5" outlineLevel="1">
      <c r="A52" s="704" t="s">
        <v>781</v>
      </c>
      <c r="B52" s="706" t="s">
        <v>782</v>
      </c>
      <c r="C52" s="693" t="s">
        <v>749</v>
      </c>
      <c r="D52" s="699"/>
      <c r="E52" s="700"/>
      <c r="F52" s="700"/>
      <c r="G52" s="700"/>
      <c r="H52" s="700"/>
      <c r="I52" s="701"/>
      <c r="J52" s="702"/>
    </row>
    <row r="53" spans="1:10" s="670" customFormat="1" ht="14.5" outlineLevel="1">
      <c r="A53" s="704"/>
      <c r="B53" s="706"/>
      <c r="C53" s="693"/>
      <c r="D53" s="699"/>
      <c r="E53" s="700"/>
      <c r="F53" s="700"/>
      <c r="G53" s="700"/>
      <c r="H53" s="700"/>
      <c r="I53" s="701"/>
      <c r="J53" s="702"/>
    </row>
    <row r="54" spans="1:10" s="670" customFormat="1" ht="29" outlineLevel="1">
      <c r="A54" s="704" t="s">
        <v>783</v>
      </c>
      <c r="B54" s="698" t="s">
        <v>784</v>
      </c>
      <c r="C54" s="693" t="s">
        <v>749</v>
      </c>
      <c r="D54" s="699"/>
      <c r="E54" s="700"/>
      <c r="F54" s="700"/>
      <c r="G54" s="700"/>
      <c r="H54" s="700"/>
      <c r="I54" s="701"/>
      <c r="J54" s="702"/>
    </row>
    <row r="55" spans="1:10" s="670" customFormat="1" ht="14.5" outlineLevel="1">
      <c r="A55" s="704"/>
      <c r="B55" s="706"/>
      <c r="C55" s="693"/>
      <c r="D55" s="699"/>
      <c r="E55" s="700"/>
      <c r="F55" s="700"/>
      <c r="G55" s="700"/>
      <c r="H55" s="700"/>
      <c r="I55" s="701"/>
      <c r="J55" s="702"/>
    </row>
    <row r="56" spans="1:10" s="670" customFormat="1" ht="14.5" outlineLevel="1">
      <c r="A56" s="704" t="s">
        <v>785</v>
      </c>
      <c r="B56" s="706" t="s">
        <v>786</v>
      </c>
      <c r="C56" s="693" t="s">
        <v>749</v>
      </c>
      <c r="D56" s="699"/>
      <c r="E56" s="700"/>
      <c r="F56" s="700"/>
      <c r="G56" s="700"/>
      <c r="H56" s="700"/>
      <c r="I56" s="701"/>
      <c r="J56" s="702"/>
    </row>
    <row r="57" spans="1:10" s="670" customFormat="1" ht="14.5" outlineLevel="1">
      <c r="A57" s="704"/>
      <c r="B57" s="698"/>
      <c r="C57" s="693"/>
      <c r="D57" s="699"/>
      <c r="E57" s="700"/>
      <c r="F57" s="700"/>
      <c r="G57" s="700"/>
      <c r="H57" s="700"/>
      <c r="I57" s="701"/>
      <c r="J57" s="702"/>
    </row>
    <row r="58" spans="1:10" s="670" customFormat="1" ht="29" outlineLevel="1">
      <c r="A58" s="704" t="s">
        <v>787</v>
      </c>
      <c r="B58" s="1084" t="s">
        <v>788</v>
      </c>
      <c r="C58" s="693" t="s">
        <v>789</v>
      </c>
      <c r="D58" s="699"/>
      <c r="E58" s="700"/>
      <c r="F58" s="700"/>
      <c r="G58" s="700"/>
      <c r="H58" s="700"/>
      <c r="I58" s="701"/>
      <c r="J58" s="702"/>
    </row>
    <row r="59" spans="1:10" s="670" customFormat="1" ht="14.5">
      <c r="A59" s="691"/>
      <c r="B59" s="698"/>
      <c r="C59" s="693"/>
      <c r="D59" s="699"/>
      <c r="E59" s="700"/>
      <c r="F59" s="700"/>
      <c r="G59" s="700"/>
      <c r="H59" s="700"/>
      <c r="I59" s="701"/>
      <c r="J59" s="702"/>
    </row>
    <row r="60" spans="1:10" ht="14.5">
      <c r="A60" s="710">
        <v>1</v>
      </c>
      <c r="B60" s="711" t="s">
        <v>790</v>
      </c>
      <c r="C60" s="712"/>
      <c r="D60" s="713"/>
      <c r="E60" s="714"/>
      <c r="F60" s="714"/>
      <c r="G60" s="714"/>
      <c r="H60" s="714"/>
      <c r="I60" s="715"/>
      <c r="J60" s="716"/>
    </row>
    <row r="61" spans="1:10" ht="29" outlineLevel="1">
      <c r="A61" s="717" t="s">
        <v>185</v>
      </c>
      <c r="B61" s="705" t="s">
        <v>791</v>
      </c>
      <c r="C61" s="712"/>
      <c r="D61" s="713"/>
      <c r="E61" s="718"/>
      <c r="F61" s="718"/>
      <c r="G61" s="718"/>
      <c r="H61" s="718"/>
      <c r="I61" s="715"/>
      <c r="J61" s="716"/>
    </row>
    <row r="62" spans="1:10" ht="29" outlineLevel="1">
      <c r="A62" s="717" t="s">
        <v>195</v>
      </c>
      <c r="B62" s="705" t="s">
        <v>792</v>
      </c>
      <c r="C62" s="712"/>
      <c r="D62" s="713"/>
      <c r="E62" s="718"/>
      <c r="F62" s="718"/>
      <c r="G62" s="718"/>
      <c r="H62" s="718"/>
      <c r="I62" s="715"/>
      <c r="J62" s="716"/>
    </row>
    <row r="63" spans="1:10" ht="29" outlineLevel="1">
      <c r="A63" s="717" t="s">
        <v>534</v>
      </c>
      <c r="B63" s="705" t="s">
        <v>793</v>
      </c>
      <c r="C63" s="712"/>
      <c r="D63" s="713"/>
      <c r="E63" s="718"/>
      <c r="F63" s="718"/>
      <c r="G63" s="718"/>
      <c r="H63" s="718"/>
      <c r="I63" s="715"/>
      <c r="J63" s="716"/>
    </row>
    <row r="64" spans="1:10" ht="29" outlineLevel="1">
      <c r="A64" s="717" t="s">
        <v>535</v>
      </c>
      <c r="B64" s="705" t="s">
        <v>794</v>
      </c>
      <c r="C64" s="712"/>
      <c r="D64" s="713"/>
      <c r="E64" s="718"/>
      <c r="F64" s="718"/>
      <c r="G64" s="718"/>
      <c r="H64" s="718"/>
      <c r="I64" s="715"/>
      <c r="J64" s="716"/>
    </row>
    <row r="65" spans="1:10" ht="29" outlineLevel="1">
      <c r="A65" s="717" t="s">
        <v>536</v>
      </c>
      <c r="B65" s="705" t="s">
        <v>795</v>
      </c>
      <c r="C65" s="712"/>
      <c r="D65" s="713"/>
      <c r="E65" s="718"/>
      <c r="F65" s="718"/>
      <c r="G65" s="718"/>
      <c r="H65" s="718"/>
      <c r="I65" s="715"/>
      <c r="J65" s="716"/>
    </row>
    <row r="66" spans="1:10" ht="14.5" outlineLevel="1">
      <c r="A66" s="717" t="s">
        <v>718</v>
      </c>
      <c r="B66" s="705" t="s">
        <v>796</v>
      </c>
      <c r="C66" s="712"/>
      <c r="D66" s="713"/>
      <c r="E66" s="718"/>
      <c r="F66" s="718"/>
      <c r="G66" s="718"/>
      <c r="H66" s="718"/>
      <c r="I66" s="715"/>
      <c r="J66" s="716"/>
    </row>
    <row r="67" spans="1:10" ht="29" outlineLevel="1">
      <c r="A67" s="717" t="s">
        <v>719</v>
      </c>
      <c r="B67" s="705" t="s">
        <v>797</v>
      </c>
      <c r="C67" s="712"/>
      <c r="D67" s="713"/>
      <c r="E67" s="718"/>
      <c r="F67" s="718"/>
      <c r="G67" s="718"/>
      <c r="H67" s="718"/>
      <c r="I67" s="715"/>
      <c r="J67" s="716"/>
    </row>
    <row r="68" spans="1:10" ht="29" outlineLevel="1">
      <c r="A68" s="717" t="s">
        <v>720</v>
      </c>
      <c r="B68" s="705" t="s">
        <v>798</v>
      </c>
      <c r="C68" s="712"/>
      <c r="D68" s="713"/>
      <c r="E68" s="718"/>
      <c r="F68" s="718"/>
      <c r="G68" s="718"/>
      <c r="H68" s="718"/>
      <c r="I68" s="715"/>
      <c r="J68" s="716"/>
    </row>
    <row r="69" spans="1:10" ht="29" outlineLevel="1">
      <c r="A69" s="717" t="s">
        <v>721</v>
      </c>
      <c r="B69" s="719" t="s">
        <v>799</v>
      </c>
      <c r="C69" s="712"/>
      <c r="D69" s="713"/>
      <c r="E69" s="718"/>
      <c r="F69" s="718"/>
      <c r="G69" s="718"/>
      <c r="H69" s="718"/>
      <c r="I69" s="715"/>
      <c r="J69" s="716"/>
    </row>
    <row r="70" spans="1:10" ht="43.5" outlineLevel="1">
      <c r="A70" s="717" t="s">
        <v>761</v>
      </c>
      <c r="B70" s="719" t="s">
        <v>800</v>
      </c>
      <c r="C70" s="712"/>
      <c r="D70" s="713"/>
      <c r="E70" s="718"/>
      <c r="F70" s="718"/>
      <c r="G70" s="718"/>
      <c r="H70" s="718"/>
      <c r="I70" s="715"/>
      <c r="J70" s="716"/>
    </row>
    <row r="71" spans="1:10" ht="29" outlineLevel="1">
      <c r="A71" s="717" t="s">
        <v>763</v>
      </c>
      <c r="B71" s="719" t="s">
        <v>801</v>
      </c>
      <c r="C71" s="712"/>
      <c r="D71" s="713"/>
      <c r="E71" s="720"/>
      <c r="F71" s="720"/>
      <c r="G71" s="720"/>
      <c r="H71" s="720"/>
      <c r="I71" s="715"/>
      <c r="J71" s="716"/>
    </row>
    <row r="72" spans="1:10" ht="14.5" outlineLevel="1">
      <c r="A72" s="717" t="s">
        <v>765</v>
      </c>
      <c r="B72" s="719" t="s">
        <v>802</v>
      </c>
      <c r="C72" s="712"/>
      <c r="D72" s="713"/>
      <c r="E72" s="720"/>
      <c r="F72" s="720"/>
      <c r="G72" s="720"/>
      <c r="H72" s="720"/>
      <c r="I72" s="715"/>
      <c r="J72" s="716"/>
    </row>
    <row r="73" spans="1:10" ht="14.5" outlineLevel="1">
      <c r="A73" s="717" t="s">
        <v>767</v>
      </c>
      <c r="B73" s="719" t="s">
        <v>803</v>
      </c>
      <c r="C73" s="712"/>
      <c r="D73" s="713"/>
      <c r="E73" s="720"/>
      <c r="F73" s="720"/>
      <c r="G73" s="720"/>
      <c r="H73" s="720"/>
      <c r="I73" s="715"/>
      <c r="J73" s="716"/>
    </row>
    <row r="74" spans="1:10" ht="14.5" outlineLevel="1">
      <c r="A74" s="717" t="s">
        <v>769</v>
      </c>
      <c r="B74" s="719" t="s">
        <v>804</v>
      </c>
      <c r="C74" s="712"/>
      <c r="D74" s="713"/>
      <c r="E74" s="720"/>
      <c r="F74" s="720"/>
      <c r="G74" s="720"/>
      <c r="H74" s="720"/>
      <c r="I74" s="715"/>
      <c r="J74" s="716"/>
    </row>
    <row r="75" spans="1:10" ht="159.5">
      <c r="A75" s="717">
        <v>1.1000000000000001</v>
      </c>
      <c r="B75" s="719" t="s">
        <v>805</v>
      </c>
      <c r="C75" s="712"/>
      <c r="D75" s="721"/>
      <c r="E75" s="722"/>
      <c r="F75" s="723"/>
      <c r="G75" s="723"/>
      <c r="H75" s="723"/>
      <c r="I75" s="715"/>
      <c r="J75" s="716"/>
    </row>
    <row r="76" spans="1:10" ht="14.5">
      <c r="A76" s="717"/>
      <c r="B76" s="719"/>
      <c r="C76" s="712"/>
      <c r="D76" s="721"/>
      <c r="E76" s="724"/>
      <c r="F76" s="723"/>
      <c r="G76" s="723"/>
      <c r="H76" s="723"/>
      <c r="I76" s="715"/>
      <c r="J76" s="716"/>
    </row>
    <row r="77" spans="1:10" s="671" customFormat="1" ht="14.5">
      <c r="A77" s="717" t="s">
        <v>185</v>
      </c>
      <c r="B77" s="725" t="s">
        <v>806</v>
      </c>
      <c r="C77" s="712" t="s">
        <v>807</v>
      </c>
      <c r="D77" s="663">
        <v>2.15</v>
      </c>
      <c r="E77" s="726">
        <v>177674</v>
      </c>
      <c r="F77" s="723">
        <f>+E77*D77</f>
        <v>381999.1</v>
      </c>
      <c r="G77" s="1160">
        <v>1.55</v>
      </c>
      <c r="H77" s="723">
        <f>G77*E77</f>
        <v>275394.7</v>
      </c>
      <c r="I77" s="727">
        <f>'Structural Steel Work M.B'!H15</f>
        <v>0.83230399999999993</v>
      </c>
      <c r="J77" s="728">
        <f>I77*E77</f>
        <v>147878.78089599998</v>
      </c>
    </row>
    <row r="78" spans="1:10" s="672" customFormat="1" ht="14.5">
      <c r="A78" s="717" t="s">
        <v>195</v>
      </c>
      <c r="B78" s="725" t="s">
        <v>808</v>
      </c>
      <c r="C78" s="712" t="s">
        <v>807</v>
      </c>
      <c r="D78" s="663">
        <v>0.09</v>
      </c>
      <c r="E78" s="726">
        <v>216090</v>
      </c>
      <c r="F78" s="723">
        <f>+E78*D78</f>
        <v>19448.099999999999</v>
      </c>
      <c r="G78" s="723"/>
      <c r="H78" s="723"/>
      <c r="I78" s="729"/>
      <c r="J78" s="730"/>
    </row>
    <row r="79" spans="1:10" s="673" customFormat="1" ht="14.5">
      <c r="A79" s="717"/>
      <c r="B79" s="725"/>
      <c r="C79" s="712"/>
      <c r="D79" s="721"/>
      <c r="E79" s="722"/>
      <c r="F79" s="723"/>
      <c r="G79" s="723"/>
      <c r="H79" s="723"/>
      <c r="I79" s="731"/>
      <c r="J79" s="732"/>
    </row>
    <row r="80" spans="1:10" customFormat="1" ht="14.5">
      <c r="A80" s="710">
        <v>2</v>
      </c>
      <c r="B80" s="711" t="s">
        <v>809</v>
      </c>
      <c r="C80" s="730"/>
      <c r="D80" s="663"/>
      <c r="E80" s="733"/>
      <c r="F80" s="723"/>
      <c r="G80" s="723"/>
      <c r="H80" s="723"/>
      <c r="I80" s="734"/>
      <c r="J80" s="735"/>
    </row>
    <row r="81" spans="1:10" customFormat="1" ht="58">
      <c r="A81" s="736"/>
      <c r="B81" s="737" t="s">
        <v>810</v>
      </c>
      <c r="C81" s="733"/>
      <c r="D81" s="738"/>
      <c r="E81" s="733"/>
      <c r="F81" s="733"/>
      <c r="G81" s="733"/>
      <c r="H81" s="733"/>
      <c r="I81" s="734"/>
      <c r="J81" s="735"/>
    </row>
    <row r="82" spans="1:10" customFormat="1" ht="14.5">
      <c r="A82" s="736" t="s">
        <v>185</v>
      </c>
      <c r="B82" s="739" t="s">
        <v>811</v>
      </c>
      <c r="C82" s="730" t="s">
        <v>390</v>
      </c>
      <c r="D82" s="740">
        <v>96</v>
      </c>
      <c r="E82" s="733">
        <v>720.3</v>
      </c>
      <c r="F82" s="723">
        <f>D82*E82</f>
        <v>69148.799999999988</v>
      </c>
      <c r="G82" s="723">
        <v>96</v>
      </c>
      <c r="H82" s="723">
        <f>G82*E82</f>
        <v>69148.799999999988</v>
      </c>
      <c r="I82" s="734"/>
      <c r="J82" s="728">
        <f>I82*E82</f>
        <v>0</v>
      </c>
    </row>
    <row r="83" spans="1:10" customFormat="1" ht="14.5">
      <c r="A83" s="736" t="s">
        <v>195</v>
      </c>
      <c r="B83" s="739" t="s">
        <v>812</v>
      </c>
      <c r="C83" s="730" t="s">
        <v>390</v>
      </c>
      <c r="D83" s="740"/>
      <c r="E83" s="733">
        <v>750</v>
      </c>
      <c r="F83" s="723">
        <f>D83*E83</f>
        <v>0</v>
      </c>
      <c r="G83" s="723"/>
      <c r="H83" s="723"/>
      <c r="I83" s="734"/>
      <c r="J83" s="735"/>
    </row>
    <row r="84" spans="1:10" customFormat="1" ht="14.5">
      <c r="A84" s="736"/>
      <c r="B84" s="739"/>
      <c r="C84" s="733"/>
      <c r="D84" s="738"/>
      <c r="E84" s="733"/>
      <c r="F84" s="733"/>
      <c r="G84" s="733"/>
      <c r="H84" s="733"/>
      <c r="I84" s="734"/>
      <c r="J84" s="735"/>
    </row>
    <row r="85" spans="1:10" s="674" customFormat="1" ht="15.5">
      <c r="A85" s="741"/>
      <c r="B85" s="742" t="s">
        <v>813</v>
      </c>
      <c r="C85" s="741"/>
      <c r="D85" s="743"/>
      <c r="E85" s="744"/>
      <c r="F85" s="745">
        <f>SUM(F62:F83)</f>
        <v>470595.99999999994</v>
      </c>
      <c r="G85" s="745"/>
      <c r="H85" s="745">
        <f>SUM(H62:H83)</f>
        <v>344543.5</v>
      </c>
      <c r="I85" s="746"/>
      <c r="J85" s="745">
        <f>SUM(J62:J83)</f>
        <v>147878.78089599998</v>
      </c>
    </row>
    <row r="86" spans="1:10">
      <c r="E86" s="747"/>
    </row>
    <row r="88" spans="1:10">
      <c r="E88" s="747"/>
    </row>
  </sheetData>
  <mergeCells count="1">
    <mergeCell ref="A1:J2"/>
  </mergeCell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view="pageBreakPreview" zoomScaleNormal="100" workbookViewId="0">
      <selection activeCell="H17" sqref="H17"/>
    </sheetView>
  </sheetViews>
  <sheetFormatPr defaultColWidth="8.90625" defaultRowHeight="12.5"/>
  <cols>
    <col min="2" max="2" width="57.81640625" customWidth="1"/>
    <col min="3" max="3" width="8.90625" hidden="1" customWidth="1"/>
    <col min="4" max="4" width="8.90625" customWidth="1"/>
    <col min="8" max="8" width="9.6328125"/>
  </cols>
  <sheetData>
    <row r="1" spans="1:8" s="309" customFormat="1" ht="27" customHeight="1">
      <c r="A1" s="639" t="s">
        <v>476</v>
      </c>
      <c r="B1" s="639" t="s">
        <v>477</v>
      </c>
      <c r="C1" s="640" t="s">
        <v>390</v>
      </c>
      <c r="D1" s="640" t="s">
        <v>390</v>
      </c>
      <c r="E1" s="639" t="s">
        <v>241</v>
      </c>
      <c r="F1" s="641" t="s">
        <v>478</v>
      </c>
      <c r="G1" s="641" t="s">
        <v>242</v>
      </c>
      <c r="H1" s="642" t="s">
        <v>479</v>
      </c>
    </row>
    <row r="2" spans="1:8" s="638" customFormat="1" ht="14.5">
      <c r="A2" s="643">
        <v>1</v>
      </c>
      <c r="B2" s="644" t="s">
        <v>814</v>
      </c>
      <c r="C2" s="645">
        <v>21</v>
      </c>
      <c r="D2" s="645">
        <v>21</v>
      </c>
      <c r="E2" s="646"/>
      <c r="F2" s="1112">
        <v>1.19</v>
      </c>
      <c r="G2" s="647"/>
      <c r="H2" s="648">
        <f>F2*D2</f>
        <v>24.99</v>
      </c>
    </row>
    <row r="3" spans="1:8" s="638" customFormat="1" ht="14.5">
      <c r="A3" s="643">
        <v>2</v>
      </c>
      <c r="B3" s="644" t="s">
        <v>815</v>
      </c>
      <c r="C3" s="645">
        <v>3</v>
      </c>
      <c r="D3" s="645">
        <v>3</v>
      </c>
      <c r="E3" s="649"/>
      <c r="F3" s="1112">
        <v>14</v>
      </c>
      <c r="G3" s="647"/>
      <c r="H3" s="648">
        <f t="shared" ref="H3:H7" si="0">F3*D3</f>
        <v>42</v>
      </c>
    </row>
    <row r="4" spans="1:8" s="638" customFormat="1" ht="14.5">
      <c r="A4" s="643">
        <v>3</v>
      </c>
      <c r="B4" s="644" t="s">
        <v>816</v>
      </c>
      <c r="C4" s="645">
        <v>21</v>
      </c>
      <c r="D4" s="645">
        <v>21</v>
      </c>
      <c r="E4" s="646"/>
      <c r="F4" s="1112">
        <v>1.1000000000000001</v>
      </c>
      <c r="G4" s="647"/>
      <c r="H4" s="648">
        <f t="shared" si="0"/>
        <v>23.1</v>
      </c>
    </row>
    <row r="5" spans="1:8" s="638" customFormat="1" ht="14.5">
      <c r="A5" s="643">
        <v>5</v>
      </c>
      <c r="B5" s="644" t="s">
        <v>817</v>
      </c>
      <c r="C5" s="645"/>
      <c r="D5" s="645">
        <v>13</v>
      </c>
      <c r="E5" s="646"/>
      <c r="F5" s="1112">
        <v>1.1000000000000001</v>
      </c>
      <c r="G5" s="647"/>
      <c r="H5" s="648">
        <f t="shared" si="0"/>
        <v>14.3</v>
      </c>
    </row>
    <row r="6" spans="1:8" ht="14.5">
      <c r="A6" s="648">
        <v>5</v>
      </c>
      <c r="B6" s="650" t="s">
        <v>818</v>
      </c>
      <c r="C6" s="645">
        <v>7</v>
      </c>
      <c r="D6" s="2">
        <v>6</v>
      </c>
      <c r="E6" s="649"/>
      <c r="F6" s="1112">
        <v>4</v>
      </c>
      <c r="G6" s="2"/>
      <c r="H6" s="648">
        <f t="shared" si="0"/>
        <v>24</v>
      </c>
    </row>
    <row r="7" spans="1:8" ht="14.5">
      <c r="A7" s="648">
        <v>6</v>
      </c>
      <c r="B7" s="650" t="s">
        <v>819</v>
      </c>
      <c r="C7" s="645">
        <v>8</v>
      </c>
      <c r="D7" s="649">
        <v>8</v>
      </c>
      <c r="E7" s="649"/>
      <c r="F7" s="1112">
        <v>3.67</v>
      </c>
      <c r="G7" s="2"/>
      <c r="H7" s="648">
        <f t="shared" si="0"/>
        <v>29.36</v>
      </c>
    </row>
    <row r="8" spans="1:8" ht="14.5">
      <c r="A8" s="651"/>
      <c r="B8" s="652" t="s">
        <v>481</v>
      </c>
      <c r="C8" s="653"/>
      <c r="D8" s="653"/>
      <c r="E8" s="654"/>
      <c r="F8" s="655"/>
      <c r="G8" s="656"/>
      <c r="H8" s="656">
        <f>SUM(H2:H7)</f>
        <v>157.75</v>
      </c>
    </row>
    <row r="9" spans="1:8" ht="14.5">
      <c r="A9" s="657"/>
      <c r="B9" s="658" t="s">
        <v>820</v>
      </c>
      <c r="C9" s="659"/>
      <c r="D9" s="659"/>
      <c r="E9" s="660"/>
      <c r="F9" s="661"/>
      <c r="G9" s="648"/>
      <c r="H9" s="648">
        <v>4.4000000000000004</v>
      </c>
    </row>
    <row r="10" spans="1:8" ht="14.5">
      <c r="A10" s="651"/>
      <c r="B10" s="652" t="s">
        <v>579</v>
      </c>
      <c r="C10" s="654"/>
      <c r="D10" s="654"/>
      <c r="E10" s="655"/>
      <c r="F10" s="656"/>
      <c r="G10" s="656"/>
      <c r="H10" s="656">
        <f>H9*H8</f>
        <v>694.1</v>
      </c>
    </row>
    <row r="11" spans="1:8" ht="14.5">
      <c r="A11" s="660">
        <v>7</v>
      </c>
      <c r="B11" s="662" t="s">
        <v>821</v>
      </c>
      <c r="C11" s="663"/>
      <c r="D11" s="660"/>
      <c r="E11" s="661">
        <v>6</v>
      </c>
      <c r="G11" s="664"/>
      <c r="H11" s="661">
        <f>E11*D11*5.71</f>
        <v>0</v>
      </c>
    </row>
    <row r="12" spans="1:8" ht="29">
      <c r="A12" s="643">
        <v>8</v>
      </c>
      <c r="B12" s="650" t="s">
        <v>822</v>
      </c>
      <c r="C12" s="665">
        <v>1</v>
      </c>
      <c r="D12" s="665">
        <v>1</v>
      </c>
      <c r="E12" s="1149">
        <v>18</v>
      </c>
      <c r="F12" s="648"/>
      <c r="G12" s="653"/>
      <c r="H12" s="648">
        <f>E12*D12*5.71</f>
        <v>102.78</v>
      </c>
    </row>
    <row r="13" spans="1:8" ht="14.5">
      <c r="A13" s="643">
        <v>9</v>
      </c>
      <c r="B13" s="650" t="s">
        <v>823</v>
      </c>
      <c r="C13" s="665"/>
      <c r="D13" s="665">
        <v>4</v>
      </c>
      <c r="E13" s="1149">
        <v>1.8</v>
      </c>
      <c r="F13" s="648"/>
      <c r="G13" s="653"/>
      <c r="H13" s="648">
        <f>E13*D13*4.92</f>
        <v>35.423999999999999</v>
      </c>
    </row>
    <row r="14" spans="1:8" ht="14.5">
      <c r="A14" s="651"/>
      <c r="B14" s="652" t="s">
        <v>824</v>
      </c>
      <c r="C14" s="654"/>
      <c r="D14" s="654"/>
      <c r="E14" s="655"/>
      <c r="F14" s="656"/>
      <c r="G14" s="656"/>
      <c r="H14" s="656">
        <f>SUM(H10:H13)</f>
        <v>832.30399999999997</v>
      </c>
    </row>
    <row r="15" spans="1:8">
      <c r="A15" s="666"/>
      <c r="B15" s="666" t="s">
        <v>825</v>
      </c>
      <c r="C15" s="666"/>
      <c r="D15" s="666"/>
      <c r="E15" s="666"/>
      <c r="F15" s="666"/>
      <c r="G15" s="666"/>
      <c r="H15" s="667">
        <f>H14/1000</f>
        <v>0.83230399999999993</v>
      </c>
    </row>
  </sheetData>
  <pageMargins left="0.75" right="0.75" top="1" bottom="1" header="0.5" footer="0.5"/>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topLeftCell="A10" zoomScale="60" zoomScaleNormal="100" workbookViewId="0">
      <selection activeCell="Q49" sqref="Q49"/>
    </sheetView>
  </sheetViews>
  <sheetFormatPr defaultColWidth="9.08984375" defaultRowHeight="12.5"/>
  <cols>
    <col min="1" max="1" width="11.6328125" style="578" customWidth="1"/>
    <col min="2" max="2" width="47.1796875" style="578" customWidth="1"/>
    <col min="3" max="3" width="9.90625" style="578" customWidth="1"/>
    <col min="4" max="4" width="16.36328125" style="578" customWidth="1"/>
    <col min="5" max="5" width="21.453125" style="578" customWidth="1"/>
    <col min="6" max="6" width="15.6328125" style="578" hidden="1" customWidth="1"/>
    <col min="7" max="7" width="15.1796875" style="578" hidden="1" customWidth="1"/>
    <col min="8" max="8" width="15.90625" style="578" customWidth="1"/>
    <col min="9" max="9" width="16.6328125" style="578" customWidth="1"/>
    <col min="10" max="16384" width="9.08984375" style="578"/>
  </cols>
  <sheetData>
    <row r="1" spans="1:7" ht="40" customHeight="1">
      <c r="A1" s="1250" t="s">
        <v>826</v>
      </c>
      <c r="B1" s="1250"/>
      <c r="C1" s="1250"/>
      <c r="D1" s="1250"/>
      <c r="E1" s="1250"/>
      <c r="F1" s="1188"/>
      <c r="G1" s="1188"/>
    </row>
    <row r="2" spans="1:7" ht="29.5" customHeight="1">
      <c r="A2" s="579" t="s">
        <v>827</v>
      </c>
      <c r="B2" s="579" t="s">
        <v>477</v>
      </c>
      <c r="C2" s="580"/>
      <c r="D2" s="581" t="s">
        <v>828</v>
      </c>
      <c r="E2" s="1185" t="s">
        <v>1925</v>
      </c>
      <c r="F2" s="1162" t="s">
        <v>1899</v>
      </c>
      <c r="G2" s="1162" t="s">
        <v>1909</v>
      </c>
    </row>
    <row r="3" spans="1:7" ht="13.5" customHeight="1">
      <c r="A3" s="582" t="s">
        <v>829</v>
      </c>
      <c r="B3" s="583" t="s">
        <v>830</v>
      </c>
      <c r="C3" s="584"/>
      <c r="D3" s="584"/>
      <c r="E3" s="1186"/>
      <c r="F3" s="585"/>
      <c r="G3" s="588"/>
    </row>
    <row r="4" spans="1:7" ht="13.5" customHeight="1">
      <c r="A4" s="586"/>
      <c r="B4" s="587"/>
      <c r="C4" s="587"/>
      <c r="D4" s="587"/>
      <c r="E4" s="594"/>
      <c r="F4" s="588"/>
      <c r="G4" s="588"/>
    </row>
    <row r="5" spans="1:7" ht="13.5" customHeight="1">
      <c r="A5" s="589" t="s">
        <v>4</v>
      </c>
      <c r="B5" s="590" t="str">
        <f>[5]Electrical!B56</f>
        <v>TOTAL SUB-HEAD I carried over to Summary</v>
      </c>
      <c r="C5" s="584" t="s">
        <v>831</v>
      </c>
      <c r="D5" s="591">
        <f>ELECTRICAL!F56</f>
        <v>628725.86</v>
      </c>
      <c r="E5" s="595">
        <f>ELECTRICAL!J56</f>
        <v>192079.99999999997</v>
      </c>
      <c r="F5" s="1189">
        <f>ELECTRICAL!L56</f>
        <v>54646.76</v>
      </c>
      <c r="G5" s="1189">
        <f>F5+E5</f>
        <v>246726.75999999998</v>
      </c>
    </row>
    <row r="6" spans="1:7" ht="13.5" customHeight="1">
      <c r="A6" s="592"/>
      <c r="B6" s="590"/>
      <c r="C6" s="584"/>
      <c r="D6" s="593"/>
      <c r="E6" s="594"/>
      <c r="F6" s="588"/>
      <c r="G6" s="588"/>
    </row>
    <row r="7" spans="1:7" ht="13.5" customHeight="1">
      <c r="A7" s="592" t="s">
        <v>10</v>
      </c>
      <c r="B7" s="590" t="str">
        <f>[5]Electrical!B84</f>
        <v>TOTAL SUB-HEAD II carried over to Summary</v>
      </c>
      <c r="C7" s="584" t="s">
        <v>831</v>
      </c>
      <c r="D7" s="593">
        <f>[5]Electrical!F84</f>
        <v>232680.91</v>
      </c>
      <c r="E7" s="595">
        <f>ELECTRICAL!J84</f>
        <v>0</v>
      </c>
      <c r="F7" s="588"/>
      <c r="G7" s="588"/>
    </row>
    <row r="8" spans="1:7" ht="13.5" customHeight="1">
      <c r="A8" s="592"/>
      <c r="B8" s="590"/>
      <c r="C8" s="584"/>
      <c r="D8" s="593"/>
      <c r="E8" s="594"/>
      <c r="F8" s="588"/>
      <c r="G8" s="588"/>
    </row>
    <row r="9" spans="1:7" ht="13.5" customHeight="1">
      <c r="A9" s="592" t="s">
        <v>138</v>
      </c>
      <c r="B9" s="590" t="str">
        <f>[5]Electrical!B139</f>
        <v>TOTAL SUB-HEAD III carried over to Summary</v>
      </c>
      <c r="C9" s="584" t="s">
        <v>831</v>
      </c>
      <c r="D9" s="593">
        <f>[5]Electrical!F139</f>
        <v>520056.6</v>
      </c>
      <c r="E9" s="595">
        <f>ELECTRICAL!J139</f>
        <v>480200</v>
      </c>
      <c r="F9" s="588">
        <f>ELECTRICAL!L84</f>
        <v>0</v>
      </c>
      <c r="G9" s="1189">
        <f>F9+E9</f>
        <v>480200</v>
      </c>
    </row>
    <row r="10" spans="1:7" ht="13.5" customHeight="1">
      <c r="A10" s="592"/>
      <c r="B10" s="590"/>
      <c r="C10" s="584"/>
      <c r="D10" s="593"/>
      <c r="E10" s="594"/>
      <c r="F10" s="588"/>
      <c r="G10" s="588"/>
    </row>
    <row r="11" spans="1:7" ht="13.5" customHeight="1">
      <c r="A11" s="592" t="s">
        <v>23</v>
      </c>
      <c r="B11" s="590" t="str">
        <f>[5]Electrical!B167</f>
        <v>TOTAL SUB-HEAD IV carried over to Summary</v>
      </c>
      <c r="C11" s="584" t="s">
        <v>831</v>
      </c>
      <c r="D11" s="593">
        <f>[5]Electrical!F167</f>
        <v>467858.86</v>
      </c>
      <c r="E11" s="595">
        <f>ELECTRICAL!J167</f>
        <v>266414.95999999996</v>
      </c>
      <c r="F11" s="1189">
        <f>ELECTRICAL!L167</f>
        <v>16518.88</v>
      </c>
      <c r="G11" s="1189">
        <f>F11+E11</f>
        <v>282933.83999999997</v>
      </c>
    </row>
    <row r="12" spans="1:7" ht="13.5" customHeight="1">
      <c r="A12" s="592"/>
      <c r="B12" s="590"/>
      <c r="C12" s="584"/>
      <c r="D12" s="593"/>
      <c r="E12" s="594"/>
      <c r="F12" s="588"/>
      <c r="G12" s="588"/>
    </row>
    <row r="13" spans="1:7" ht="13.5" customHeight="1">
      <c r="A13" s="592" t="s">
        <v>145</v>
      </c>
      <c r="B13" s="590" t="str">
        <f>[5]Electrical!B175</f>
        <v>TOTAL SUB-HEAD V carried over to Summary</v>
      </c>
      <c r="C13" s="584" t="s">
        <v>831</v>
      </c>
      <c r="D13" s="593">
        <f>[5]Electrical!F175</f>
        <v>62426</v>
      </c>
      <c r="E13" s="595">
        <f>ELECTRICAL!J175</f>
        <v>28812</v>
      </c>
      <c r="F13" s="588">
        <f>ELECTRICAL!L175</f>
        <v>28812</v>
      </c>
      <c r="G13" s="1189">
        <f>F13+E13</f>
        <v>57624</v>
      </c>
    </row>
    <row r="14" spans="1:7" ht="13.5" customHeight="1">
      <c r="A14" s="592"/>
      <c r="B14" s="590"/>
      <c r="C14" s="584"/>
      <c r="D14" s="596"/>
      <c r="E14" s="594"/>
      <c r="F14" s="588"/>
      <c r="G14" s="588"/>
    </row>
    <row r="15" spans="1:7" ht="20.25" customHeight="1">
      <c r="A15" s="597"/>
      <c r="B15" s="598" t="s">
        <v>832</v>
      </c>
      <c r="C15" s="599"/>
      <c r="D15" s="600">
        <f t="shared" ref="D15:G15" si="0">D5+D7+D9+D11+D13</f>
        <v>1911748.23</v>
      </c>
      <c r="E15" s="1187">
        <f t="shared" si="0"/>
        <v>967506.96</v>
      </c>
      <c r="F15" s="1187">
        <f t="shared" si="0"/>
        <v>99977.64</v>
      </c>
      <c r="G15" s="1187">
        <f t="shared" si="0"/>
        <v>1067484.6000000001</v>
      </c>
    </row>
    <row r="16" spans="1:7" ht="13.5">
      <c r="A16" s="601"/>
      <c r="B16" s="602"/>
      <c r="C16" s="603"/>
      <c r="D16" s="604"/>
      <c r="E16" s="594"/>
      <c r="F16" s="588"/>
      <c r="G16" s="588"/>
    </row>
    <row r="17" spans="1:7" ht="15">
      <c r="A17" s="605" t="s">
        <v>833</v>
      </c>
      <c r="B17" s="606" t="s">
        <v>834</v>
      </c>
      <c r="C17" s="607"/>
      <c r="D17" s="608"/>
      <c r="E17" s="609"/>
      <c r="F17" s="588"/>
      <c r="G17" s="588"/>
    </row>
    <row r="18" spans="1:7" ht="15">
      <c r="A18" s="610"/>
      <c r="B18" s="611"/>
      <c r="C18" s="612"/>
      <c r="D18" s="613"/>
      <c r="E18" s="594"/>
      <c r="F18" s="588"/>
      <c r="G18" s="588"/>
    </row>
    <row r="19" spans="1:7" ht="13.5">
      <c r="A19" s="592" t="s">
        <v>4</v>
      </c>
      <c r="B19" s="590" t="str">
        <f>[5]HVAC!B76</f>
        <v>TOTAL "SECTION-A"</v>
      </c>
      <c r="C19" s="584" t="s">
        <v>831</v>
      </c>
      <c r="D19" s="614">
        <f>[5]HVAC!F76</f>
        <v>813712.4</v>
      </c>
      <c r="E19" s="615">
        <f>'HVAC '!J76</f>
        <v>159596.87099999998</v>
      </c>
      <c r="F19" s="616">
        <f>'HVAC '!L76</f>
        <v>38896.199999999997</v>
      </c>
      <c r="G19" s="1189">
        <f>F19+E19</f>
        <v>198493.071</v>
      </c>
    </row>
    <row r="20" spans="1:7" ht="15">
      <c r="A20" s="610"/>
      <c r="B20" s="611"/>
      <c r="C20" s="612"/>
      <c r="D20" s="614"/>
      <c r="E20" s="594"/>
      <c r="F20" s="588"/>
      <c r="G20" s="588"/>
    </row>
    <row r="21" spans="1:7" ht="13.5">
      <c r="A21" s="592" t="s">
        <v>10</v>
      </c>
      <c r="B21" s="590" t="str">
        <f>[5]HVAC!B377</f>
        <v>TOTAL "SECTION-B"</v>
      </c>
      <c r="C21" s="584" t="s">
        <v>831</v>
      </c>
      <c r="D21" s="614">
        <f>[5]HVAC!F377</f>
        <v>806255.8</v>
      </c>
      <c r="E21" s="615">
        <f>'HVAC '!J377</f>
        <v>465794</v>
      </c>
      <c r="F21" s="1190">
        <f>'HVAC '!L377</f>
        <v>86436</v>
      </c>
      <c r="G21" s="1189">
        <f>F21+E21</f>
        <v>552230</v>
      </c>
    </row>
    <row r="22" spans="1:7" ht="15">
      <c r="A22" s="610"/>
      <c r="B22" s="611"/>
      <c r="C22" s="612"/>
      <c r="D22" s="617"/>
      <c r="E22" s="594"/>
      <c r="F22" s="588"/>
      <c r="G22" s="588"/>
    </row>
    <row r="23" spans="1:7" ht="15">
      <c r="A23" s="618"/>
      <c r="B23" s="619" t="s">
        <v>835</v>
      </c>
      <c r="C23" s="619" t="s">
        <v>831</v>
      </c>
      <c r="D23" s="600">
        <f t="shared" ref="D23:G23" si="1">D19+D21</f>
        <v>1619968.2000000002</v>
      </c>
      <c r="E23" s="600">
        <f t="shared" si="1"/>
        <v>625390.87100000004</v>
      </c>
      <c r="F23" s="600">
        <f t="shared" si="1"/>
        <v>125332.2</v>
      </c>
      <c r="G23" s="600">
        <f t="shared" si="1"/>
        <v>750723.071</v>
      </c>
    </row>
    <row r="24" spans="1:7" ht="13.5">
      <c r="A24" s="601"/>
      <c r="B24" s="620"/>
      <c r="C24" s="621"/>
      <c r="D24" s="622"/>
      <c r="E24" s="594"/>
      <c r="F24" s="588"/>
      <c r="G24" s="588"/>
    </row>
    <row r="25" spans="1:7" ht="13.5">
      <c r="A25" s="623" t="s">
        <v>836</v>
      </c>
      <c r="B25" s="583" t="s">
        <v>837</v>
      </c>
      <c r="C25" s="624"/>
      <c r="D25" s="625"/>
      <c r="E25" s="594"/>
      <c r="F25" s="588"/>
      <c r="G25" s="588"/>
    </row>
    <row r="26" spans="1:7" ht="13.5">
      <c r="A26" s="626"/>
      <c r="B26" s="587"/>
      <c r="C26" s="624"/>
      <c r="D26" s="627"/>
      <c r="E26" s="594"/>
      <c r="F26" s="588"/>
      <c r="G26" s="588"/>
    </row>
    <row r="27" spans="1:7" ht="13.5">
      <c r="A27" s="592" t="s">
        <v>4</v>
      </c>
      <c r="B27" s="590" t="s">
        <v>838</v>
      </c>
      <c r="C27" s="584" t="s">
        <v>831</v>
      </c>
      <c r="D27" s="593">
        <f>'[5]PHE &amp; FF'!F31</f>
        <v>60745.3</v>
      </c>
      <c r="E27" s="595">
        <f>'PHE &amp;FF'!J31</f>
        <v>0</v>
      </c>
      <c r="F27" s="588">
        <f>'PHE &amp;FF'!J31</f>
        <v>0</v>
      </c>
      <c r="G27" s="1189">
        <f>F27+E27</f>
        <v>0</v>
      </c>
    </row>
    <row r="28" spans="1:7" ht="13.5">
      <c r="A28" s="626"/>
      <c r="B28" s="587"/>
      <c r="C28" s="624"/>
      <c r="D28" s="593"/>
      <c r="E28" s="594"/>
      <c r="F28" s="588"/>
      <c r="G28" s="588"/>
    </row>
    <row r="29" spans="1:7" ht="13.5">
      <c r="A29" s="592" t="s">
        <v>10</v>
      </c>
      <c r="B29" s="590" t="s">
        <v>839</v>
      </c>
      <c r="C29" s="584" t="s">
        <v>831</v>
      </c>
      <c r="D29" s="593">
        <f>'[5]PHE &amp; FF'!F45</f>
        <v>67996.320000000007</v>
      </c>
      <c r="E29" s="595">
        <f>'PHE &amp;FF'!J45</f>
        <v>33421.919999999998</v>
      </c>
      <c r="F29" s="588">
        <f>'PHE &amp;FF'!L45</f>
        <v>9604</v>
      </c>
      <c r="G29" s="1189">
        <f>F29+E29</f>
        <v>43025.919999999998</v>
      </c>
    </row>
    <row r="30" spans="1:7" ht="13.5">
      <c r="A30" s="626"/>
      <c r="B30" s="587"/>
      <c r="C30" s="624"/>
      <c r="D30" s="593"/>
      <c r="E30" s="594"/>
      <c r="F30" s="588"/>
      <c r="G30" s="588"/>
    </row>
    <row r="31" spans="1:7" ht="13.5">
      <c r="A31" s="592" t="s">
        <v>138</v>
      </c>
      <c r="B31" s="590" t="s">
        <v>840</v>
      </c>
      <c r="C31" s="584" t="s">
        <v>831</v>
      </c>
      <c r="D31" s="593">
        <f>'[5]PHE &amp; FF'!F79</f>
        <v>337340.5</v>
      </c>
      <c r="E31" s="595">
        <f>'PHE &amp;FF'!J79</f>
        <v>63866.6</v>
      </c>
      <c r="F31" s="588">
        <f>'PHE &amp;FF'!L79</f>
        <v>12005</v>
      </c>
      <c r="G31" s="1189">
        <f>F31+E31</f>
        <v>75871.600000000006</v>
      </c>
    </row>
    <row r="32" spans="1:7" ht="13.5">
      <c r="A32" s="626"/>
      <c r="B32" s="587"/>
      <c r="C32" s="624"/>
      <c r="D32" s="593"/>
      <c r="E32" s="594"/>
      <c r="F32" s="588"/>
      <c r="G32" s="588"/>
    </row>
    <row r="33" spans="1:7" ht="13.5">
      <c r="A33" s="597"/>
      <c r="B33" s="619" t="s">
        <v>841</v>
      </c>
      <c r="C33" s="619" t="s">
        <v>831</v>
      </c>
      <c r="D33" s="600">
        <f t="shared" ref="D33:G33" si="2">D31+D29+D27</f>
        <v>466082.12</v>
      </c>
      <c r="E33" s="600">
        <f t="shared" si="2"/>
        <v>97288.51999999999</v>
      </c>
      <c r="F33" s="600">
        <f t="shared" si="2"/>
        <v>21609</v>
      </c>
      <c r="G33" s="600">
        <f t="shared" si="2"/>
        <v>118897.52</v>
      </c>
    </row>
    <row r="34" spans="1:7" ht="13.5">
      <c r="A34" s="628"/>
      <c r="B34" s="629"/>
      <c r="C34" s="630"/>
      <c r="D34" s="631"/>
      <c r="E34" s="594"/>
      <c r="F34" s="588"/>
      <c r="G34" s="588"/>
    </row>
    <row r="35" spans="1:7" ht="13.5">
      <c r="A35" s="1206"/>
      <c r="B35" s="1207" t="s">
        <v>842</v>
      </c>
      <c r="C35" s="1208" t="s">
        <v>831</v>
      </c>
      <c r="D35" s="1209">
        <f t="shared" ref="D35:G35" si="3">D15+D23+D33</f>
        <v>3997798.5500000003</v>
      </c>
      <c r="E35" s="1210">
        <f t="shared" si="3"/>
        <v>1690186.351</v>
      </c>
      <c r="F35" s="1210">
        <f t="shared" si="3"/>
        <v>246918.84</v>
      </c>
      <c r="G35" s="1210">
        <f t="shared" si="3"/>
        <v>1937105.1910000001</v>
      </c>
    </row>
    <row r="36" spans="1:7" ht="13.5">
      <c r="A36" s="1217"/>
      <c r="B36" s="1218" t="s">
        <v>1915</v>
      </c>
      <c r="C36" s="1219"/>
      <c r="D36" s="1220"/>
      <c r="E36" s="1221"/>
      <c r="F36" s="1221"/>
      <c r="G36" s="1221"/>
    </row>
    <row r="37" spans="1:7" ht="13.5">
      <c r="A37" s="587"/>
      <c r="B37" s="582" t="s">
        <v>1916</v>
      </c>
      <c r="C37" s="584"/>
      <c r="D37" s="582"/>
      <c r="E37" s="594"/>
      <c r="F37" s="588"/>
      <c r="G37" s="588"/>
    </row>
    <row r="38" spans="1:7" ht="13.5">
      <c r="A38" s="587"/>
      <c r="B38" s="582" t="s">
        <v>843</v>
      </c>
      <c r="C38" s="584"/>
      <c r="D38" s="582"/>
      <c r="E38" s="594"/>
      <c r="F38" s="588"/>
      <c r="G38" s="588"/>
    </row>
    <row r="39" spans="1:7" ht="13.5">
      <c r="A39" s="587"/>
      <c r="B39" s="582" t="s">
        <v>844</v>
      </c>
      <c r="C39" s="584"/>
      <c r="D39" s="582">
        <v>0</v>
      </c>
      <c r="E39" s="594"/>
      <c r="F39" s="588"/>
      <c r="G39" s="588"/>
    </row>
    <row r="40" spans="1:7" ht="29" customHeight="1">
      <c r="A40" s="632"/>
      <c r="B40" s="633" t="s">
        <v>845</v>
      </c>
      <c r="C40" s="633"/>
      <c r="D40" s="1223">
        <f>D35+D39</f>
        <v>3997798.5500000003</v>
      </c>
      <c r="E40" s="1164">
        <f>E39+E35</f>
        <v>1690186.351</v>
      </c>
      <c r="F40" s="1164">
        <f>F39+F35</f>
        <v>246918.84</v>
      </c>
      <c r="G40" s="588"/>
    </row>
    <row r="41" spans="1:7" ht="13.5">
      <c r="A41" s="326" t="s">
        <v>846</v>
      </c>
      <c r="B41" s="1251" t="s">
        <v>847</v>
      </c>
      <c r="C41" s="1251"/>
      <c r="D41" s="1251"/>
      <c r="E41" s="588"/>
    </row>
    <row r="42" spans="1:7" ht="13.5">
      <c r="A42" s="634"/>
      <c r="B42" s="635"/>
      <c r="C42" s="634"/>
      <c r="D42" s="636"/>
    </row>
    <row r="43" spans="1:7" ht="13.5">
      <c r="A43" s="634"/>
      <c r="B43" s="634"/>
      <c r="C43" s="634"/>
      <c r="D43" s="634"/>
    </row>
    <row r="44" spans="1:7" ht="13.5">
      <c r="A44" s="634"/>
      <c r="B44" s="634"/>
      <c r="C44" s="634"/>
      <c r="D44" s="634"/>
    </row>
    <row r="45" spans="1:7" ht="13.5">
      <c r="A45" s="637"/>
      <c r="B45" s="635"/>
      <c r="C45" s="635"/>
      <c r="D45" s="635"/>
    </row>
    <row r="46" spans="1:7" ht="13.5">
      <c r="A46" s="637"/>
      <c r="B46" s="635"/>
      <c r="C46" s="635"/>
      <c r="D46" s="635"/>
    </row>
    <row r="47" spans="1:7" ht="13.5">
      <c r="A47" s="637"/>
      <c r="B47" s="635"/>
      <c r="C47" s="635"/>
      <c r="D47" s="635"/>
    </row>
    <row r="48" spans="1:7" ht="13.5">
      <c r="A48" s="637"/>
      <c r="B48" s="635"/>
      <c r="C48" s="635"/>
      <c r="D48" s="635"/>
    </row>
    <row r="49" spans="1:4" ht="13.5">
      <c r="A49" s="637"/>
      <c r="B49" s="635"/>
      <c r="C49" s="635"/>
      <c r="D49" s="635"/>
    </row>
    <row r="50" spans="1:4" ht="13.5">
      <c r="A50" s="637"/>
      <c r="B50" s="635"/>
      <c r="C50" s="635"/>
      <c r="D50" s="635"/>
    </row>
  </sheetData>
  <mergeCells count="2">
    <mergeCell ref="A1:E1"/>
    <mergeCell ref="B41:D41"/>
  </mergeCells>
  <pageMargins left="0.7" right="0.7" top="0.75" bottom="0.75" header="0.3" footer="0.3"/>
  <pageSetup scale="58" orientation="portrait" r:id="rId1"/>
  <colBreaks count="1" manualBreakCount="1">
    <brk id="7"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1"/>
  <sheetViews>
    <sheetView view="pageBreakPreview" zoomScale="80" zoomScaleNormal="70" workbookViewId="0">
      <pane ySplit="7" topLeftCell="A170" activePane="bottomLeft" state="frozen"/>
      <selection pane="bottomLeft" activeCell="J7" sqref="J7"/>
    </sheetView>
  </sheetViews>
  <sheetFormatPr defaultColWidth="9.08984375" defaultRowHeight="12.5"/>
  <cols>
    <col min="1" max="1" width="7.54296875" style="506" customWidth="1"/>
    <col min="2" max="2" width="86.81640625" style="507" customWidth="1"/>
    <col min="3" max="3" width="8.6328125" style="508" customWidth="1"/>
    <col min="4" max="4" width="10.1796875" style="509" customWidth="1"/>
    <col min="5" max="5" width="16" style="509" customWidth="1"/>
    <col min="6" max="6" width="19" style="511" bestFit="1" customWidth="1"/>
    <col min="7" max="7" width="11.26953125" style="511" hidden="1" customWidth="1"/>
    <col min="8" max="8" width="18.90625" style="511" hidden="1" customWidth="1"/>
    <col min="9" max="9" width="12.1796875" style="510" customWidth="1"/>
    <col min="10" max="10" width="15" style="511" customWidth="1"/>
    <col min="11" max="11" width="0" style="170" hidden="1" customWidth="1"/>
    <col min="12" max="12" width="16.7265625" style="170" hidden="1" customWidth="1"/>
    <col min="13" max="16384" width="9.08984375" style="170"/>
  </cols>
  <sheetData>
    <row r="1" spans="1:12" s="499" customFormat="1" ht="15.5">
      <c r="A1" s="1258" t="s">
        <v>848</v>
      </c>
      <c r="B1" s="1258"/>
      <c r="C1" s="1258"/>
      <c r="D1" s="1258"/>
      <c r="E1" s="1258"/>
      <c r="F1" s="1258"/>
      <c r="G1" s="1258"/>
      <c r="H1" s="1258"/>
      <c r="I1" s="1259"/>
      <c r="J1" s="1259"/>
      <c r="K1" s="533"/>
      <c r="L1" s="533"/>
    </row>
    <row r="2" spans="1:12" s="499" customFormat="1" ht="15.5">
      <c r="A2" s="1258"/>
      <c r="B2" s="1258"/>
      <c r="C2" s="1258"/>
      <c r="D2" s="1258"/>
      <c r="E2" s="1258"/>
      <c r="F2" s="1258"/>
      <c r="G2" s="1258"/>
      <c r="H2" s="1258"/>
      <c r="I2" s="1259"/>
      <c r="J2" s="1259"/>
      <c r="K2" s="533"/>
      <c r="L2" s="533"/>
    </row>
    <row r="3" spans="1:12" s="499" customFormat="1" ht="15.5">
      <c r="A3" s="1258"/>
      <c r="B3" s="1258"/>
      <c r="C3" s="1258"/>
      <c r="D3" s="1258"/>
      <c r="E3" s="1258"/>
      <c r="F3" s="1258"/>
      <c r="G3" s="1258"/>
      <c r="H3" s="1258"/>
      <c r="I3" s="1259"/>
      <c r="J3" s="1259"/>
      <c r="K3" s="533"/>
      <c r="L3" s="533"/>
    </row>
    <row r="4" spans="1:12" s="499" customFormat="1" ht="15.5">
      <c r="A4" s="1258"/>
      <c r="B4" s="1258"/>
      <c r="C4" s="1258"/>
      <c r="D4" s="1258"/>
      <c r="E4" s="1258"/>
      <c r="F4" s="1258"/>
      <c r="G4" s="1258"/>
      <c r="H4" s="1258"/>
      <c r="I4" s="1259"/>
      <c r="J4" s="1259"/>
      <c r="K4" s="533"/>
      <c r="L4" s="533"/>
    </row>
    <row r="5" spans="1:12" s="499" customFormat="1" ht="15" customHeight="1">
      <c r="A5" s="1260" t="s">
        <v>849</v>
      </c>
      <c r="B5" s="1261" t="s">
        <v>477</v>
      </c>
      <c r="C5" s="1262" t="s">
        <v>850</v>
      </c>
      <c r="D5" s="1263" t="s">
        <v>851</v>
      </c>
      <c r="E5" s="1256" t="s">
        <v>852</v>
      </c>
      <c r="F5" s="1256" t="s">
        <v>853</v>
      </c>
      <c r="G5" s="1264" t="s">
        <v>1890</v>
      </c>
      <c r="H5" s="1264" t="s">
        <v>1891</v>
      </c>
      <c r="I5" s="1252" t="s">
        <v>1926</v>
      </c>
      <c r="J5" s="1254" t="s">
        <v>1927</v>
      </c>
      <c r="K5" s="1252" t="s">
        <v>1903</v>
      </c>
      <c r="L5" s="1254" t="s">
        <v>1904</v>
      </c>
    </row>
    <row r="6" spans="1:12" s="500" customFormat="1" ht="19" customHeight="1">
      <c r="A6" s="1260"/>
      <c r="B6" s="1261"/>
      <c r="C6" s="1262"/>
      <c r="D6" s="1263"/>
      <c r="E6" s="1257"/>
      <c r="F6" s="1257"/>
      <c r="G6" s="1265"/>
      <c r="H6" s="1266"/>
      <c r="I6" s="1253"/>
      <c r="J6" s="1255"/>
      <c r="K6" s="1253"/>
      <c r="L6" s="1255"/>
    </row>
    <row r="7" spans="1:12" s="501" customFormat="1" ht="30">
      <c r="A7" s="512" t="s">
        <v>854</v>
      </c>
      <c r="B7" s="512" t="s">
        <v>855</v>
      </c>
      <c r="C7" s="513"/>
      <c r="D7" s="513"/>
      <c r="E7" s="513"/>
      <c r="F7" s="514"/>
      <c r="G7" s="514"/>
      <c r="H7" s="514"/>
      <c r="I7" s="515"/>
      <c r="J7" s="533"/>
      <c r="K7" s="533"/>
      <c r="L7" s="533"/>
    </row>
    <row r="8" spans="1:12" s="501" customFormat="1" ht="15.5">
      <c r="A8" s="513" t="s">
        <v>4</v>
      </c>
      <c r="B8" s="512" t="s">
        <v>856</v>
      </c>
      <c r="C8" s="513"/>
      <c r="D8" s="513"/>
      <c r="E8" s="513"/>
      <c r="F8" s="514"/>
      <c r="G8" s="514"/>
      <c r="H8" s="514"/>
      <c r="I8" s="515"/>
      <c r="J8" s="533"/>
      <c r="K8" s="533"/>
      <c r="L8" s="533"/>
    </row>
    <row r="9" spans="1:12" ht="13.5">
      <c r="A9" s="516"/>
      <c r="B9" s="517"/>
      <c r="C9" s="10"/>
      <c r="D9" s="518"/>
      <c r="E9" s="147"/>
      <c r="F9" s="147"/>
      <c r="G9" s="147"/>
      <c r="H9" s="147"/>
      <c r="I9" s="519"/>
      <c r="J9" s="534"/>
      <c r="K9" s="1172"/>
      <c r="L9" s="1172"/>
    </row>
    <row r="10" spans="1:12" s="502" customFormat="1" ht="121.5">
      <c r="A10" s="4">
        <v>1.1000000000000001</v>
      </c>
      <c r="B10" s="471" t="s">
        <v>857</v>
      </c>
      <c r="C10" s="447" t="s">
        <v>657</v>
      </c>
      <c r="D10" s="4">
        <v>12</v>
      </c>
      <c r="E10" s="520">
        <v>1920.8</v>
      </c>
      <c r="F10" s="521">
        <f>D10*E10</f>
        <v>23049.599999999999</v>
      </c>
      <c r="G10" s="521">
        <v>10</v>
      </c>
      <c r="H10" s="521">
        <f>G10*E10</f>
        <v>19208</v>
      </c>
      <c r="I10" s="522">
        <f>'MB ELELCTRICAL'!I18</f>
        <v>10</v>
      </c>
      <c r="J10" s="535">
        <f t="shared" ref="J10:J18" si="0">I10*E10</f>
        <v>19208</v>
      </c>
      <c r="K10" s="1173"/>
      <c r="L10" s="1173"/>
    </row>
    <row r="11" spans="1:12" s="502" customFormat="1" ht="94.5">
      <c r="A11" s="4">
        <v>1.2</v>
      </c>
      <c r="B11" s="471" t="s">
        <v>858</v>
      </c>
      <c r="C11" s="447" t="s">
        <v>657</v>
      </c>
      <c r="D11" s="523">
        <v>2</v>
      </c>
      <c r="E11" s="520">
        <v>2401</v>
      </c>
      <c r="F11" s="521">
        <f>D11*E11</f>
        <v>4802</v>
      </c>
      <c r="G11" s="521">
        <v>2</v>
      </c>
      <c r="H11" s="521">
        <f t="shared" ref="H11:H55" si="1">G11*E11</f>
        <v>4802</v>
      </c>
      <c r="I11" s="522">
        <f>'MB ELELCTRICAL'!I23</f>
        <v>2</v>
      </c>
      <c r="J11" s="535">
        <f t="shared" si="0"/>
        <v>4802</v>
      </c>
      <c r="K11" s="1173"/>
      <c r="L11" s="1173"/>
    </row>
    <row r="12" spans="1:12" s="502" customFormat="1" ht="94.5">
      <c r="A12" s="4">
        <v>1.3</v>
      </c>
      <c r="B12" s="471" t="s">
        <v>859</v>
      </c>
      <c r="C12" s="447" t="s">
        <v>657</v>
      </c>
      <c r="D12" s="523">
        <v>2</v>
      </c>
      <c r="E12" s="520">
        <v>2401</v>
      </c>
      <c r="F12" s="521">
        <f>D12*E12</f>
        <v>4802</v>
      </c>
      <c r="G12" s="521">
        <v>3</v>
      </c>
      <c r="H12" s="521">
        <f t="shared" si="1"/>
        <v>7203</v>
      </c>
      <c r="I12" s="522">
        <f>'MB ELELCTRICAL'!I31</f>
        <v>2</v>
      </c>
      <c r="J12" s="535">
        <f t="shared" si="0"/>
        <v>4802</v>
      </c>
      <c r="K12" s="520">
        <f>'MB ELELCTRICAL'!I32</f>
        <v>1</v>
      </c>
      <c r="L12" s="1177">
        <f>K12*E12</f>
        <v>2401</v>
      </c>
    </row>
    <row r="13" spans="1:12" s="502" customFormat="1" ht="94.5">
      <c r="A13" s="4">
        <v>1.4</v>
      </c>
      <c r="B13" s="471" t="s">
        <v>860</v>
      </c>
      <c r="C13" s="447" t="s">
        <v>657</v>
      </c>
      <c r="D13" s="523">
        <v>34</v>
      </c>
      <c r="E13" s="520">
        <v>960.4</v>
      </c>
      <c r="F13" s="521">
        <f>D13*E13</f>
        <v>32653.599999999999</v>
      </c>
      <c r="G13" s="521">
        <v>42</v>
      </c>
      <c r="H13" s="521">
        <f t="shared" si="1"/>
        <v>40336.799999999996</v>
      </c>
      <c r="I13" s="522">
        <f>'MB ELELCTRICAL'!I95</f>
        <v>34</v>
      </c>
      <c r="J13" s="535">
        <f t="shared" si="0"/>
        <v>32653.599999999999</v>
      </c>
      <c r="K13" s="520">
        <f>'MB ELELCTRICAL'!I96</f>
        <v>8</v>
      </c>
      <c r="L13" s="1177">
        <f>K13*E13</f>
        <v>7683.2</v>
      </c>
    </row>
    <row r="14" spans="1:12" s="502" customFormat="1" ht="94.5">
      <c r="A14" s="4">
        <v>1.5</v>
      </c>
      <c r="B14" s="471" t="s">
        <v>861</v>
      </c>
      <c r="C14" s="447" t="s">
        <v>657</v>
      </c>
      <c r="D14" s="523">
        <v>12</v>
      </c>
      <c r="E14" s="520">
        <v>960.4</v>
      </c>
      <c r="F14" s="521">
        <f>D14*E14</f>
        <v>11524.8</v>
      </c>
      <c r="G14" s="521">
        <v>12</v>
      </c>
      <c r="H14" s="521">
        <f t="shared" si="1"/>
        <v>11524.8</v>
      </c>
      <c r="I14" s="522">
        <f>'MB ELELCTRICAL'!I120</f>
        <v>12</v>
      </c>
      <c r="J14" s="535">
        <f t="shared" si="0"/>
        <v>11524.8</v>
      </c>
      <c r="K14" s="1173"/>
      <c r="L14" s="1173"/>
    </row>
    <row r="15" spans="1:12" s="502" customFormat="1" ht="148.5">
      <c r="A15" s="4">
        <v>1.6</v>
      </c>
      <c r="B15" s="471" t="s">
        <v>862</v>
      </c>
      <c r="C15" s="447" t="s">
        <v>657</v>
      </c>
      <c r="D15" s="523">
        <v>7</v>
      </c>
      <c r="E15" s="520">
        <v>2881.2</v>
      </c>
      <c r="F15" s="521">
        <f t="shared" ref="F15:F31" si="2">D15*E15</f>
        <v>20168.399999999998</v>
      </c>
      <c r="G15" s="521">
        <v>7</v>
      </c>
      <c r="H15" s="521">
        <f t="shared" si="1"/>
        <v>20168.399999999998</v>
      </c>
      <c r="I15" s="522">
        <f>'MB ELELCTRICAL'!I130</f>
        <v>7</v>
      </c>
      <c r="J15" s="535">
        <f t="shared" si="0"/>
        <v>20168.399999999998</v>
      </c>
      <c r="K15" s="1173"/>
      <c r="L15" s="1173"/>
    </row>
    <row r="16" spans="1:12" s="502" customFormat="1" ht="81">
      <c r="A16" s="4">
        <v>1.7</v>
      </c>
      <c r="B16" s="471" t="s">
        <v>863</v>
      </c>
      <c r="C16" s="447" t="s">
        <v>657</v>
      </c>
      <c r="D16" s="4" t="s">
        <v>864</v>
      </c>
      <c r="E16" s="520">
        <v>1920.8</v>
      </c>
      <c r="F16" s="521"/>
      <c r="G16" s="521">
        <v>11</v>
      </c>
      <c r="H16" s="521">
        <f t="shared" si="1"/>
        <v>21128.799999999999</v>
      </c>
      <c r="I16" s="522">
        <f>'MB ELELCTRICAL'!I143</f>
        <v>0</v>
      </c>
      <c r="J16" s="535">
        <f t="shared" si="0"/>
        <v>0</v>
      </c>
      <c r="K16" s="1173"/>
      <c r="L16" s="1173"/>
    </row>
    <row r="17" spans="1:12" s="502" customFormat="1" ht="148.5">
      <c r="A17" s="4">
        <v>1.8</v>
      </c>
      <c r="B17" s="471" t="s">
        <v>865</v>
      </c>
      <c r="C17" s="447" t="s">
        <v>657</v>
      </c>
      <c r="D17" s="523">
        <v>18</v>
      </c>
      <c r="E17" s="520">
        <v>2881.2</v>
      </c>
      <c r="F17" s="521">
        <f t="shared" si="2"/>
        <v>51861.599999999999</v>
      </c>
      <c r="G17" s="521">
        <v>10</v>
      </c>
      <c r="H17" s="521">
        <f t="shared" si="1"/>
        <v>28812</v>
      </c>
      <c r="I17" s="522">
        <f>'MB ELELCTRICAL'!I159</f>
        <v>10</v>
      </c>
      <c r="J17" s="535">
        <f t="shared" si="0"/>
        <v>28812</v>
      </c>
      <c r="K17" s="1173"/>
      <c r="L17" s="1173"/>
    </row>
    <row r="18" spans="1:12" s="502" customFormat="1" ht="67.5">
      <c r="A18" s="4">
        <v>1.9</v>
      </c>
      <c r="B18" s="471" t="s">
        <v>866</v>
      </c>
      <c r="C18" s="447" t="s">
        <v>657</v>
      </c>
      <c r="D18" s="523">
        <v>2</v>
      </c>
      <c r="E18" s="520">
        <v>1920.8</v>
      </c>
      <c r="F18" s="521">
        <f t="shared" si="2"/>
        <v>3841.6</v>
      </c>
      <c r="G18" s="521">
        <v>12</v>
      </c>
      <c r="H18" s="521">
        <f t="shared" si="1"/>
        <v>23049.599999999999</v>
      </c>
      <c r="I18" s="522">
        <f>'MB ELELCTRICAL'!I177</f>
        <v>2</v>
      </c>
      <c r="J18" s="535">
        <f t="shared" si="0"/>
        <v>3841.6</v>
      </c>
      <c r="K18" s="520">
        <f>'MB ELELCTRICAL'!I178</f>
        <v>10</v>
      </c>
      <c r="L18" s="1177">
        <f>K18*E18</f>
        <v>19208</v>
      </c>
    </row>
    <row r="19" spans="1:12" s="502" customFormat="1" ht="148.5">
      <c r="A19" s="463">
        <v>1.1000000000000001</v>
      </c>
      <c r="B19" s="471" t="s">
        <v>867</v>
      </c>
      <c r="C19" s="447" t="s">
        <v>657</v>
      </c>
      <c r="D19" s="523">
        <v>13</v>
      </c>
      <c r="E19" s="520">
        <v>7683.2</v>
      </c>
      <c r="F19" s="521">
        <f t="shared" si="2"/>
        <v>99881.599999999991</v>
      </c>
      <c r="G19" s="521" t="s">
        <v>868</v>
      </c>
      <c r="H19" s="521"/>
      <c r="I19" s="522" t="s">
        <v>868</v>
      </c>
      <c r="J19" s="535"/>
      <c r="K19" s="1173"/>
      <c r="L19" s="1173"/>
    </row>
    <row r="20" spans="1:12" s="502" customFormat="1" ht="121.5">
      <c r="A20" s="463">
        <v>1.1100000000000001</v>
      </c>
      <c r="B20" s="471" t="s">
        <v>869</v>
      </c>
      <c r="C20" s="447" t="s">
        <v>870</v>
      </c>
      <c r="D20" s="523">
        <v>2</v>
      </c>
      <c r="E20" s="520">
        <v>2881.2</v>
      </c>
      <c r="F20" s="521">
        <f t="shared" si="2"/>
        <v>5762.4</v>
      </c>
      <c r="G20" s="521">
        <v>2</v>
      </c>
      <c r="H20" s="521">
        <f t="shared" si="1"/>
        <v>5762.4</v>
      </c>
      <c r="I20" s="522">
        <f>'MB ELELCTRICAL'!I189</f>
        <v>2</v>
      </c>
      <c r="J20" s="535">
        <f t="shared" ref="J20:J31" si="3">I20*E20</f>
        <v>5762.4</v>
      </c>
      <c r="K20" s="1173"/>
      <c r="L20" s="1173"/>
    </row>
    <row r="21" spans="1:12" s="502" customFormat="1" ht="108">
      <c r="A21" s="463">
        <v>1.1200000000000001</v>
      </c>
      <c r="B21" s="471" t="s">
        <v>871</v>
      </c>
      <c r="C21" s="447" t="s">
        <v>870</v>
      </c>
      <c r="D21" s="523">
        <v>1</v>
      </c>
      <c r="E21" s="520">
        <v>4802</v>
      </c>
      <c r="F21" s="521">
        <f t="shared" si="2"/>
        <v>4802</v>
      </c>
      <c r="G21" s="521">
        <v>1</v>
      </c>
      <c r="H21" s="521">
        <f t="shared" si="1"/>
        <v>4802</v>
      </c>
      <c r="I21" s="522">
        <f>'MB ELELCTRICAL'!I193</f>
        <v>0</v>
      </c>
      <c r="J21" s="535">
        <f t="shared" si="3"/>
        <v>0</v>
      </c>
      <c r="K21" s="1173"/>
      <c r="L21" s="1173"/>
    </row>
    <row r="22" spans="1:12" s="502" customFormat="1" ht="108">
      <c r="A22" s="463">
        <v>1.1299999999999999</v>
      </c>
      <c r="B22" s="471" t="s">
        <v>872</v>
      </c>
      <c r="C22" s="447" t="s">
        <v>870</v>
      </c>
      <c r="D22" s="523">
        <v>2</v>
      </c>
      <c r="E22" s="520">
        <v>6242.6</v>
      </c>
      <c r="F22" s="521">
        <f t="shared" si="2"/>
        <v>12485.2</v>
      </c>
      <c r="G22" s="521">
        <v>2</v>
      </c>
      <c r="H22" s="521">
        <f t="shared" si="1"/>
        <v>12485.2</v>
      </c>
      <c r="I22" s="522">
        <f>'MB ELELCTRICAL'!I198</f>
        <v>0</v>
      </c>
      <c r="J22" s="535">
        <f t="shared" si="3"/>
        <v>0</v>
      </c>
      <c r="K22" s="1173"/>
      <c r="L22" s="1173"/>
    </row>
    <row r="23" spans="1:12" s="502" customFormat="1" ht="148.5">
      <c r="A23" s="463">
        <v>1.1399999999999999</v>
      </c>
      <c r="B23" s="471" t="s">
        <v>873</v>
      </c>
      <c r="C23" s="447" t="s">
        <v>870</v>
      </c>
      <c r="D23" s="523">
        <v>15</v>
      </c>
      <c r="E23" s="520">
        <v>3169.32</v>
      </c>
      <c r="F23" s="521">
        <f t="shared" si="2"/>
        <v>47539.8</v>
      </c>
      <c r="G23" s="521">
        <v>23</v>
      </c>
      <c r="H23" s="521">
        <f t="shared" si="1"/>
        <v>72894.36</v>
      </c>
      <c r="I23" s="522">
        <f>'MB ELELCTRICAL'!I226</f>
        <v>15</v>
      </c>
      <c r="J23" s="535">
        <f t="shared" si="3"/>
        <v>47539.8</v>
      </c>
      <c r="K23" s="520">
        <f>'MB ELELCTRICAL'!I227</f>
        <v>8</v>
      </c>
      <c r="L23" s="1177">
        <f>K23*E23</f>
        <v>25354.560000000001</v>
      </c>
    </row>
    <row r="24" spans="1:12" s="502" customFormat="1" ht="108">
      <c r="A24" s="463">
        <v>1.1499999999999999</v>
      </c>
      <c r="B24" s="471" t="s">
        <v>874</v>
      </c>
      <c r="C24" s="447" t="s">
        <v>870</v>
      </c>
      <c r="D24" s="523">
        <v>3</v>
      </c>
      <c r="E24" s="520">
        <v>4321.8</v>
      </c>
      <c r="F24" s="521">
        <f t="shared" si="2"/>
        <v>12965.400000000001</v>
      </c>
      <c r="G24" s="521">
        <v>3</v>
      </c>
      <c r="H24" s="521">
        <f t="shared" si="1"/>
        <v>12965.400000000001</v>
      </c>
      <c r="I24" s="522">
        <f>'MB ELELCTRICAL'!I235</f>
        <v>3</v>
      </c>
      <c r="J24" s="535">
        <f t="shared" si="3"/>
        <v>12965.400000000001</v>
      </c>
      <c r="K24" s="1173"/>
      <c r="L24" s="1173"/>
    </row>
    <row r="25" spans="1:12" s="502" customFormat="1" ht="108">
      <c r="A25" s="463">
        <v>1.1599999999999999</v>
      </c>
      <c r="B25" s="471" t="s">
        <v>875</v>
      </c>
      <c r="C25" s="447" t="s">
        <v>870</v>
      </c>
      <c r="D25" s="523">
        <v>1</v>
      </c>
      <c r="E25" s="520">
        <v>5282.2</v>
      </c>
      <c r="F25" s="521">
        <f t="shared" si="2"/>
        <v>5282.2</v>
      </c>
      <c r="G25" s="521">
        <v>1</v>
      </c>
      <c r="H25" s="521">
        <f t="shared" si="1"/>
        <v>5282.2</v>
      </c>
      <c r="I25" s="522">
        <f>'MB ELELCTRICAL'!I239</f>
        <v>0</v>
      </c>
      <c r="J25" s="535">
        <f t="shared" si="3"/>
        <v>0</v>
      </c>
      <c r="K25" s="1173"/>
      <c r="L25" s="1173"/>
    </row>
    <row r="26" spans="1:12" s="502" customFormat="1" ht="108">
      <c r="A26" s="463">
        <v>1.17</v>
      </c>
      <c r="B26" s="469" t="s">
        <v>876</v>
      </c>
      <c r="C26" s="447" t="s">
        <v>870</v>
      </c>
      <c r="D26" s="523">
        <v>4</v>
      </c>
      <c r="E26" s="520">
        <v>7683.2</v>
      </c>
      <c r="F26" s="521">
        <f t="shared" si="2"/>
        <v>30732.799999999999</v>
      </c>
      <c r="G26" s="521">
        <v>4</v>
      </c>
      <c r="H26" s="521">
        <f t="shared" si="1"/>
        <v>30732.799999999999</v>
      </c>
      <c r="I26" s="522">
        <f>'MB ELELCTRICAL'!I246</f>
        <v>0</v>
      </c>
      <c r="J26" s="535">
        <f t="shared" si="3"/>
        <v>0</v>
      </c>
      <c r="K26" s="1173"/>
      <c r="L26" s="1173"/>
    </row>
    <row r="27" spans="1:12" s="502" customFormat="1" ht="13.5">
      <c r="A27" s="463"/>
      <c r="B27" s="471"/>
      <c r="C27" s="447"/>
      <c r="D27" s="523"/>
      <c r="E27" s="520">
        <v>0</v>
      </c>
      <c r="F27" s="521"/>
      <c r="G27" s="521"/>
      <c r="H27" s="521">
        <f t="shared" si="1"/>
        <v>0</v>
      </c>
      <c r="I27" s="522"/>
      <c r="J27" s="535">
        <f t="shared" si="3"/>
        <v>0</v>
      </c>
      <c r="K27" s="1173"/>
      <c r="L27" s="1173"/>
    </row>
    <row r="28" spans="1:12" s="502" customFormat="1" ht="40.5">
      <c r="A28" s="463">
        <v>1.18</v>
      </c>
      <c r="B28" s="471" t="s">
        <v>877</v>
      </c>
      <c r="C28" s="447" t="s">
        <v>657</v>
      </c>
      <c r="D28" s="524">
        <v>22</v>
      </c>
      <c r="E28" s="520">
        <v>768.32</v>
      </c>
      <c r="F28" s="521">
        <f t="shared" si="2"/>
        <v>16903.04</v>
      </c>
      <c r="G28" s="521">
        <v>16</v>
      </c>
      <c r="H28" s="521">
        <f t="shared" si="1"/>
        <v>12293.12</v>
      </c>
      <c r="I28" s="522">
        <f>'MB ELELCTRICAL'!I257</f>
        <v>0</v>
      </c>
      <c r="J28" s="535">
        <f t="shared" si="3"/>
        <v>0</v>
      </c>
      <c r="K28" s="1173"/>
      <c r="L28" s="1173"/>
    </row>
    <row r="29" spans="1:12" s="502" customFormat="1" ht="54">
      <c r="A29" s="463">
        <v>1.19</v>
      </c>
      <c r="B29" s="471" t="s">
        <v>878</v>
      </c>
      <c r="C29" s="447" t="s">
        <v>879</v>
      </c>
      <c r="D29" s="523">
        <v>250</v>
      </c>
      <c r="E29" s="520">
        <v>72.03</v>
      </c>
      <c r="F29" s="521">
        <f t="shared" si="2"/>
        <v>18007.5</v>
      </c>
      <c r="G29" s="521">
        <v>387.8</v>
      </c>
      <c r="H29" s="521">
        <f t="shared" si="1"/>
        <v>27933.234</v>
      </c>
      <c r="I29" s="522">
        <f>'MB ELELCTRICAL'!I275</f>
        <v>0</v>
      </c>
      <c r="J29" s="535">
        <f t="shared" si="3"/>
        <v>0</v>
      </c>
      <c r="K29" s="1173"/>
      <c r="L29" s="1173"/>
    </row>
    <row r="30" spans="1:12" s="502" customFormat="1" ht="27">
      <c r="A30" s="463">
        <v>1.2</v>
      </c>
      <c r="B30" s="471" t="s">
        <v>880</v>
      </c>
      <c r="C30" s="447" t="s">
        <v>657</v>
      </c>
      <c r="D30" s="523">
        <v>1</v>
      </c>
      <c r="E30" s="520">
        <v>9604</v>
      </c>
      <c r="F30" s="521">
        <f t="shared" si="2"/>
        <v>9604</v>
      </c>
      <c r="G30" s="521">
        <v>1</v>
      </c>
      <c r="H30" s="521">
        <f t="shared" si="1"/>
        <v>9604</v>
      </c>
      <c r="I30" s="522">
        <f>'MB ELELCTRICAL'!I278</f>
        <v>0</v>
      </c>
      <c r="J30" s="535">
        <f t="shared" si="3"/>
        <v>0</v>
      </c>
      <c r="K30" s="1173"/>
      <c r="L30" s="1173"/>
    </row>
    <row r="31" spans="1:12" s="502" customFormat="1" ht="27">
      <c r="A31" s="463">
        <v>1.21</v>
      </c>
      <c r="B31" s="471" t="s">
        <v>881</v>
      </c>
      <c r="C31" s="447" t="s">
        <v>657</v>
      </c>
      <c r="D31" s="524">
        <v>1</v>
      </c>
      <c r="E31" s="520">
        <v>5282.2</v>
      </c>
      <c r="F31" s="521">
        <f t="shared" si="2"/>
        <v>5282.2</v>
      </c>
      <c r="G31" s="521">
        <v>1</v>
      </c>
      <c r="H31" s="521">
        <f t="shared" si="1"/>
        <v>5282.2</v>
      </c>
      <c r="I31" s="522">
        <f>'MB ELELCTRICAL'!I281</f>
        <v>0</v>
      </c>
      <c r="J31" s="535">
        <f t="shared" si="3"/>
        <v>0</v>
      </c>
      <c r="K31" s="1173"/>
      <c r="L31" s="1173"/>
    </row>
    <row r="32" spans="1:12" s="502" customFormat="1" ht="54">
      <c r="A32" s="463">
        <v>1.22</v>
      </c>
      <c r="B32" s="471" t="s">
        <v>882</v>
      </c>
      <c r="C32" s="447"/>
      <c r="D32" s="523"/>
      <c r="E32" s="520"/>
      <c r="F32" s="521"/>
      <c r="G32" s="1128"/>
      <c r="H32" s="521">
        <f t="shared" si="1"/>
        <v>0</v>
      </c>
      <c r="I32" s="525"/>
      <c r="J32" s="535"/>
      <c r="K32" s="1173"/>
      <c r="L32" s="1173"/>
    </row>
    <row r="33" spans="1:12" s="502" customFormat="1" ht="13.5">
      <c r="A33" s="4" t="s">
        <v>883</v>
      </c>
      <c r="B33" s="471" t="s">
        <v>884</v>
      </c>
      <c r="C33" s="447" t="s">
        <v>879</v>
      </c>
      <c r="D33" s="4" t="s">
        <v>864</v>
      </c>
      <c r="E33" s="520">
        <v>72.03</v>
      </c>
      <c r="F33" s="521"/>
      <c r="G33" s="521"/>
      <c r="H33" s="521">
        <f t="shared" si="1"/>
        <v>0</v>
      </c>
      <c r="I33" s="522"/>
      <c r="J33" s="535">
        <f t="shared" ref="J33:J43" si="4">I33*E33</f>
        <v>0</v>
      </c>
      <c r="K33" s="1173"/>
      <c r="L33" s="1173"/>
    </row>
    <row r="34" spans="1:12" s="502" customFormat="1" ht="13.5">
      <c r="A34" s="4" t="s">
        <v>883</v>
      </c>
      <c r="B34" s="471" t="s">
        <v>885</v>
      </c>
      <c r="C34" s="447" t="s">
        <v>879</v>
      </c>
      <c r="D34" s="4" t="s">
        <v>864</v>
      </c>
      <c r="E34" s="520">
        <v>124.852</v>
      </c>
      <c r="F34" s="521"/>
      <c r="G34" s="521"/>
      <c r="H34" s="521">
        <f t="shared" si="1"/>
        <v>0</v>
      </c>
      <c r="I34" s="522"/>
      <c r="J34" s="535">
        <f t="shared" si="4"/>
        <v>0</v>
      </c>
      <c r="K34" s="1173"/>
      <c r="L34" s="1173"/>
    </row>
    <row r="35" spans="1:12" s="502" customFormat="1" ht="13.5">
      <c r="A35" s="4" t="s">
        <v>886</v>
      </c>
      <c r="B35" s="471" t="s">
        <v>887</v>
      </c>
      <c r="C35" s="447" t="s">
        <v>879</v>
      </c>
      <c r="D35" s="4" t="s">
        <v>864</v>
      </c>
      <c r="E35" s="520">
        <v>216.09</v>
      </c>
      <c r="F35" s="521"/>
      <c r="G35" s="521"/>
      <c r="H35" s="521">
        <f t="shared" si="1"/>
        <v>0</v>
      </c>
      <c r="I35" s="522"/>
      <c r="J35" s="535">
        <f t="shared" si="4"/>
        <v>0</v>
      </c>
      <c r="K35" s="1173"/>
      <c r="L35" s="1173"/>
    </row>
    <row r="36" spans="1:12" s="502" customFormat="1" ht="13.5">
      <c r="A36" s="4" t="s">
        <v>888</v>
      </c>
      <c r="B36" s="471" t="s">
        <v>889</v>
      </c>
      <c r="C36" s="447" t="s">
        <v>879</v>
      </c>
      <c r="D36" s="4">
        <v>20</v>
      </c>
      <c r="E36" s="520">
        <v>297.72399999999999</v>
      </c>
      <c r="F36" s="521">
        <f t="shared" ref="F36" si="5">D36*E36</f>
        <v>5954.48</v>
      </c>
      <c r="G36" s="521"/>
      <c r="H36" s="521">
        <f t="shared" si="1"/>
        <v>0</v>
      </c>
      <c r="I36" s="522"/>
      <c r="J36" s="535">
        <f t="shared" si="4"/>
        <v>0</v>
      </c>
      <c r="K36" s="1173"/>
      <c r="L36" s="1173"/>
    </row>
    <row r="37" spans="1:12" s="502" customFormat="1" ht="13.5">
      <c r="A37" s="4" t="s">
        <v>890</v>
      </c>
      <c r="B37" s="471" t="s">
        <v>891</v>
      </c>
      <c r="C37" s="447" t="s">
        <v>879</v>
      </c>
      <c r="D37" s="4" t="s">
        <v>864</v>
      </c>
      <c r="E37" s="520">
        <v>480.2</v>
      </c>
      <c r="F37" s="521"/>
      <c r="G37" s="521"/>
      <c r="H37" s="521">
        <f t="shared" si="1"/>
        <v>0</v>
      </c>
      <c r="I37" s="522"/>
      <c r="J37" s="535">
        <f t="shared" si="4"/>
        <v>0</v>
      </c>
      <c r="K37" s="1173"/>
      <c r="L37" s="1173"/>
    </row>
    <row r="38" spans="1:12" s="502" customFormat="1" ht="13.5">
      <c r="A38" s="4" t="s">
        <v>892</v>
      </c>
      <c r="B38" s="471" t="s">
        <v>893</v>
      </c>
      <c r="C38" s="447" t="s">
        <v>879</v>
      </c>
      <c r="D38" s="4" t="s">
        <v>864</v>
      </c>
      <c r="E38" s="520">
        <v>244.90199999999999</v>
      </c>
      <c r="F38" s="521"/>
      <c r="G38" s="521"/>
      <c r="H38" s="521">
        <f t="shared" si="1"/>
        <v>0</v>
      </c>
      <c r="I38" s="522"/>
      <c r="J38" s="535">
        <f t="shared" si="4"/>
        <v>0</v>
      </c>
      <c r="K38" s="1173"/>
      <c r="L38" s="1173"/>
    </row>
    <row r="39" spans="1:12" s="502" customFormat="1" ht="13.5">
      <c r="A39" s="4" t="s">
        <v>894</v>
      </c>
      <c r="B39" s="471" t="s">
        <v>895</v>
      </c>
      <c r="C39" s="447" t="s">
        <v>879</v>
      </c>
      <c r="D39" s="4">
        <v>60</v>
      </c>
      <c r="E39" s="520">
        <v>384.16</v>
      </c>
      <c r="F39" s="521">
        <f t="shared" ref="F39:F41" si="6">D39*E39</f>
        <v>23049.600000000002</v>
      </c>
      <c r="G39" s="521"/>
      <c r="H39" s="521">
        <f t="shared" si="1"/>
        <v>0</v>
      </c>
      <c r="I39" s="522"/>
      <c r="J39" s="535">
        <f t="shared" si="4"/>
        <v>0</v>
      </c>
      <c r="K39" s="1173"/>
      <c r="L39" s="1173"/>
    </row>
    <row r="40" spans="1:12" s="502" customFormat="1" ht="13.5">
      <c r="A40" s="4" t="s">
        <v>896</v>
      </c>
      <c r="B40" s="471" t="s">
        <v>897</v>
      </c>
      <c r="C40" s="447" t="s">
        <v>879</v>
      </c>
      <c r="D40" s="4">
        <v>60</v>
      </c>
      <c r="E40" s="520">
        <v>585.84400000000005</v>
      </c>
      <c r="F40" s="521">
        <f t="shared" si="6"/>
        <v>35150.639999999999</v>
      </c>
      <c r="G40" s="521"/>
      <c r="H40" s="521">
        <f t="shared" si="1"/>
        <v>0</v>
      </c>
      <c r="I40" s="522"/>
      <c r="J40" s="535">
        <f t="shared" si="4"/>
        <v>0</v>
      </c>
      <c r="K40" s="1173"/>
      <c r="L40" s="1173"/>
    </row>
    <row r="41" spans="1:12" s="502" customFormat="1" ht="13.5">
      <c r="A41" s="4" t="s">
        <v>898</v>
      </c>
      <c r="B41" s="471" t="s">
        <v>899</v>
      </c>
      <c r="C41" s="447" t="s">
        <v>879</v>
      </c>
      <c r="D41" s="4">
        <v>50</v>
      </c>
      <c r="E41" s="520">
        <v>960.4</v>
      </c>
      <c r="F41" s="521">
        <f t="shared" si="6"/>
        <v>48020</v>
      </c>
      <c r="G41" s="521"/>
      <c r="H41" s="521">
        <f t="shared" si="1"/>
        <v>0</v>
      </c>
      <c r="I41" s="522"/>
      <c r="J41" s="535">
        <f t="shared" si="4"/>
        <v>0</v>
      </c>
      <c r="K41" s="1173"/>
      <c r="L41" s="1173"/>
    </row>
    <row r="42" spans="1:12" s="502" customFormat="1" ht="13.5">
      <c r="A42" s="4" t="s">
        <v>900</v>
      </c>
      <c r="B42" s="471" t="s">
        <v>901</v>
      </c>
      <c r="C42" s="447" t="s">
        <v>879</v>
      </c>
      <c r="D42" s="4" t="s">
        <v>864</v>
      </c>
      <c r="E42" s="520">
        <v>1555.848</v>
      </c>
      <c r="F42" s="521"/>
      <c r="G42" s="521"/>
      <c r="H42" s="521">
        <f t="shared" si="1"/>
        <v>0</v>
      </c>
      <c r="I42" s="522"/>
      <c r="J42" s="535">
        <f t="shared" si="4"/>
        <v>0</v>
      </c>
      <c r="K42" s="1173"/>
      <c r="L42" s="1173"/>
    </row>
    <row r="43" spans="1:12" s="502" customFormat="1" ht="13.5">
      <c r="A43" s="4" t="s">
        <v>900</v>
      </c>
      <c r="B43" s="471" t="s">
        <v>902</v>
      </c>
      <c r="C43" s="447" t="s">
        <v>879</v>
      </c>
      <c r="D43" s="4" t="s">
        <v>864</v>
      </c>
      <c r="E43" s="520">
        <v>2401</v>
      </c>
      <c r="F43" s="521"/>
      <c r="G43" s="521"/>
      <c r="H43" s="521">
        <f t="shared" si="1"/>
        <v>0</v>
      </c>
      <c r="I43" s="522"/>
      <c r="J43" s="535">
        <f t="shared" si="4"/>
        <v>0</v>
      </c>
      <c r="K43" s="1173"/>
      <c r="L43" s="1173"/>
    </row>
    <row r="44" spans="1:12" s="502" customFormat="1" ht="40.5">
      <c r="A44" s="465">
        <v>1.23</v>
      </c>
      <c r="B44" s="471" t="s">
        <v>903</v>
      </c>
      <c r="C44" s="466"/>
      <c r="D44" s="524"/>
      <c r="E44" s="520"/>
      <c r="F44" s="521"/>
      <c r="G44" s="521"/>
      <c r="H44" s="521">
        <f t="shared" si="1"/>
        <v>0</v>
      </c>
      <c r="I44" s="522"/>
      <c r="J44" s="535"/>
      <c r="K44" s="1173"/>
      <c r="L44" s="1173"/>
    </row>
    <row r="45" spans="1:12" s="502" customFormat="1" ht="13.5">
      <c r="A45" s="113" t="s">
        <v>883</v>
      </c>
      <c r="B45" s="469" t="s">
        <v>904</v>
      </c>
      <c r="C45" s="4" t="s">
        <v>879</v>
      </c>
      <c r="D45" s="4">
        <v>50</v>
      </c>
      <c r="E45" s="520">
        <v>216.09</v>
      </c>
      <c r="F45" s="521">
        <f t="shared" ref="F45:F47" si="7">D45*E45</f>
        <v>10804.5</v>
      </c>
      <c r="G45" s="521">
        <v>39.56</v>
      </c>
      <c r="H45" s="521">
        <f t="shared" si="1"/>
        <v>8548.5204000000012</v>
      </c>
      <c r="I45" s="522">
        <f>'MB ELELCTRICAL'!I324</f>
        <v>0</v>
      </c>
      <c r="J45" s="535">
        <f t="shared" ref="J45:J55" si="8">I45*E45</f>
        <v>0</v>
      </c>
      <c r="K45" s="1173"/>
      <c r="L45" s="1173"/>
    </row>
    <row r="46" spans="1:12" s="502" customFormat="1" ht="13.5">
      <c r="A46" s="113" t="s">
        <v>886</v>
      </c>
      <c r="B46" s="469" t="s">
        <v>905</v>
      </c>
      <c r="C46" s="4" t="s">
        <v>879</v>
      </c>
      <c r="D46" s="4">
        <v>50</v>
      </c>
      <c r="E46" s="520">
        <v>288.12</v>
      </c>
      <c r="F46" s="521">
        <f t="shared" si="7"/>
        <v>14406</v>
      </c>
      <c r="G46" s="521"/>
      <c r="H46" s="521">
        <f t="shared" si="1"/>
        <v>0</v>
      </c>
      <c r="I46" s="522"/>
      <c r="J46" s="535">
        <f t="shared" si="8"/>
        <v>0</v>
      </c>
      <c r="K46" s="1173"/>
      <c r="L46" s="1173"/>
    </row>
    <row r="47" spans="1:12" s="502" customFormat="1" ht="13.5">
      <c r="A47" s="113" t="s">
        <v>888</v>
      </c>
      <c r="B47" s="469" t="s">
        <v>906</v>
      </c>
      <c r="C47" s="4" t="s">
        <v>879</v>
      </c>
      <c r="D47" s="4">
        <v>100</v>
      </c>
      <c r="E47" s="520">
        <v>432.18</v>
      </c>
      <c r="F47" s="521">
        <f t="shared" si="7"/>
        <v>43218</v>
      </c>
      <c r="G47" s="521"/>
      <c r="H47" s="521">
        <f t="shared" si="1"/>
        <v>0</v>
      </c>
      <c r="I47" s="522"/>
      <c r="J47" s="535">
        <f t="shared" si="8"/>
        <v>0</v>
      </c>
      <c r="K47" s="1173"/>
      <c r="L47" s="1173"/>
    </row>
    <row r="48" spans="1:12" s="502" customFormat="1" ht="13.5">
      <c r="A48" s="113" t="s">
        <v>890</v>
      </c>
      <c r="B48" s="469" t="s">
        <v>907</v>
      </c>
      <c r="C48" s="4" t="s">
        <v>879</v>
      </c>
      <c r="D48" s="4" t="s">
        <v>864</v>
      </c>
      <c r="E48" s="520">
        <v>624.26</v>
      </c>
      <c r="F48" s="521"/>
      <c r="G48" s="521"/>
      <c r="H48" s="521">
        <f t="shared" si="1"/>
        <v>0</v>
      </c>
      <c r="I48" s="522"/>
      <c r="J48" s="535">
        <f t="shared" si="8"/>
        <v>0</v>
      </c>
      <c r="K48" s="1173"/>
      <c r="L48" s="1173"/>
    </row>
    <row r="49" spans="1:12" s="502" customFormat="1" ht="13.5">
      <c r="A49" s="465">
        <v>1.24</v>
      </c>
      <c r="B49" s="469" t="s">
        <v>908</v>
      </c>
      <c r="C49" s="466"/>
      <c r="D49" s="523"/>
      <c r="E49" s="520">
        <v>0</v>
      </c>
      <c r="F49" s="521"/>
      <c r="G49" s="521"/>
      <c r="H49" s="521">
        <f t="shared" si="1"/>
        <v>0</v>
      </c>
      <c r="I49" s="522"/>
      <c r="J49" s="535">
        <f t="shared" si="8"/>
        <v>0</v>
      </c>
      <c r="K49" s="1173"/>
      <c r="L49" s="1173"/>
    </row>
    <row r="50" spans="1:12" s="502" customFormat="1" ht="13.5">
      <c r="A50" s="113" t="s">
        <v>883</v>
      </c>
      <c r="B50" s="469" t="s">
        <v>909</v>
      </c>
      <c r="C50" s="4" t="s">
        <v>879</v>
      </c>
      <c r="D50" s="4" t="s">
        <v>864</v>
      </c>
      <c r="E50" s="520">
        <v>96.04</v>
      </c>
      <c r="F50" s="521"/>
      <c r="G50" s="521"/>
      <c r="H50" s="521">
        <f t="shared" si="1"/>
        <v>0</v>
      </c>
      <c r="I50" s="522"/>
      <c r="J50" s="535">
        <f t="shared" si="8"/>
        <v>0</v>
      </c>
      <c r="K50" s="1173"/>
      <c r="L50" s="1173"/>
    </row>
    <row r="51" spans="1:12" s="502" customFormat="1" ht="13.5">
      <c r="A51" s="113" t="s">
        <v>886</v>
      </c>
      <c r="B51" s="469" t="s">
        <v>904</v>
      </c>
      <c r="C51" s="4" t="s">
        <v>879</v>
      </c>
      <c r="D51" s="4">
        <v>50</v>
      </c>
      <c r="E51" s="520">
        <v>120.05</v>
      </c>
      <c r="F51" s="521">
        <f t="shared" ref="F51:F53" si="9">D51*E51</f>
        <v>6002.5</v>
      </c>
      <c r="G51" s="521">
        <v>87.999999999999943</v>
      </c>
      <c r="H51" s="521">
        <f t="shared" si="1"/>
        <v>10564.399999999992</v>
      </c>
      <c r="I51" s="522">
        <f>'MB ELELCTRICAL'!I388</f>
        <v>0</v>
      </c>
      <c r="J51" s="535">
        <f t="shared" si="8"/>
        <v>0</v>
      </c>
      <c r="K51" s="1173"/>
      <c r="L51" s="1173"/>
    </row>
    <row r="52" spans="1:12" s="502" customFormat="1" ht="13.5">
      <c r="A52" s="4" t="s">
        <v>888</v>
      </c>
      <c r="B52" s="469" t="s">
        <v>905</v>
      </c>
      <c r="C52" s="4" t="s">
        <v>879</v>
      </c>
      <c r="D52" s="4">
        <v>60</v>
      </c>
      <c r="E52" s="520">
        <v>144.06</v>
      </c>
      <c r="F52" s="521">
        <f t="shared" si="9"/>
        <v>8643.6</v>
      </c>
      <c r="G52" s="521"/>
      <c r="H52" s="521">
        <f t="shared" si="1"/>
        <v>0</v>
      </c>
      <c r="I52" s="522"/>
      <c r="J52" s="535">
        <f t="shared" si="8"/>
        <v>0</v>
      </c>
      <c r="K52" s="1173"/>
      <c r="L52" s="1173"/>
    </row>
    <row r="53" spans="1:12" s="502" customFormat="1" ht="13.5">
      <c r="A53" s="4" t="s">
        <v>890</v>
      </c>
      <c r="B53" s="469" t="s">
        <v>906</v>
      </c>
      <c r="C53" s="4" t="s">
        <v>879</v>
      </c>
      <c r="D53" s="4">
        <v>60</v>
      </c>
      <c r="E53" s="520">
        <v>192.08</v>
      </c>
      <c r="F53" s="521">
        <f t="shared" si="9"/>
        <v>11524.800000000001</v>
      </c>
      <c r="G53" s="521"/>
      <c r="H53" s="521">
        <f t="shared" si="1"/>
        <v>0</v>
      </c>
      <c r="I53" s="522"/>
      <c r="J53" s="535">
        <f t="shared" si="8"/>
        <v>0</v>
      </c>
      <c r="K53" s="1173"/>
      <c r="L53" s="1173"/>
    </row>
    <row r="54" spans="1:12" s="502" customFormat="1" ht="13.5">
      <c r="A54" s="4" t="s">
        <v>892</v>
      </c>
      <c r="B54" s="469" t="s">
        <v>907</v>
      </c>
      <c r="C54" s="4" t="s">
        <v>879</v>
      </c>
      <c r="D54" s="4" t="s">
        <v>864</v>
      </c>
      <c r="E54" s="520">
        <v>288.12</v>
      </c>
      <c r="F54" s="521"/>
      <c r="G54" s="521"/>
      <c r="H54" s="521">
        <f t="shared" si="1"/>
        <v>0</v>
      </c>
      <c r="I54" s="522"/>
      <c r="J54" s="535">
        <f t="shared" si="8"/>
        <v>0</v>
      </c>
      <c r="K54" s="1173"/>
      <c r="L54" s="1173"/>
    </row>
    <row r="55" spans="1:12" s="502" customFormat="1" ht="13.5">
      <c r="A55" s="471"/>
      <c r="B55" s="469"/>
      <c r="C55" s="447"/>
      <c r="D55" s="523"/>
      <c r="E55" s="121"/>
      <c r="F55" s="521"/>
      <c r="G55" s="521"/>
      <c r="H55" s="521">
        <f t="shared" si="1"/>
        <v>0</v>
      </c>
      <c r="I55" s="522"/>
      <c r="J55" s="535">
        <f t="shared" si="8"/>
        <v>0</v>
      </c>
      <c r="K55" s="1173"/>
      <c r="L55" s="1173"/>
    </row>
    <row r="56" spans="1:12" s="502" customFormat="1" ht="14">
      <c r="A56" s="526"/>
      <c r="B56" s="526" t="s">
        <v>910</v>
      </c>
      <c r="C56" s="527"/>
      <c r="D56" s="527"/>
      <c r="E56" s="527"/>
      <c r="F56" s="528">
        <f>SUM(F10:F54)</f>
        <v>628725.86</v>
      </c>
      <c r="G56" s="528"/>
      <c r="H56" s="1156">
        <f>SUM(H10:H54)</f>
        <v>395383.23439999996</v>
      </c>
      <c r="I56" s="529"/>
      <c r="J56" s="1156">
        <f>SUM(J10:J54)</f>
        <v>192079.99999999997</v>
      </c>
      <c r="K56" s="536"/>
      <c r="L56" s="1156">
        <f>SUM(L10:L54)</f>
        <v>54646.76</v>
      </c>
    </row>
    <row r="57" spans="1:12" s="502" customFormat="1" ht="13.5">
      <c r="A57" s="471"/>
      <c r="B57" s="470"/>
      <c r="C57" s="466"/>
      <c r="D57" s="523"/>
      <c r="E57" s="121"/>
      <c r="F57" s="521"/>
      <c r="G57" s="521"/>
      <c r="H57" s="521">
        <f t="shared" ref="H57:H74" si="10">G57*E57</f>
        <v>0</v>
      </c>
      <c r="I57" s="522"/>
      <c r="J57" s="535"/>
      <c r="K57" s="1173"/>
      <c r="L57" s="1173"/>
    </row>
    <row r="58" spans="1:12" s="502" customFormat="1" ht="14">
      <c r="A58" s="527" t="s">
        <v>10</v>
      </c>
      <c r="B58" s="526" t="s">
        <v>911</v>
      </c>
      <c r="C58" s="527"/>
      <c r="D58" s="527"/>
      <c r="E58" s="527"/>
      <c r="F58" s="528"/>
      <c r="G58" s="528"/>
      <c r="H58" s="528"/>
      <c r="I58" s="529"/>
      <c r="J58" s="536"/>
      <c r="K58" s="536"/>
      <c r="L58" s="536"/>
    </row>
    <row r="59" spans="1:12" s="502" customFormat="1" ht="40.5">
      <c r="A59" s="4">
        <v>1</v>
      </c>
      <c r="B59" s="112" t="s">
        <v>912</v>
      </c>
      <c r="C59" s="113"/>
      <c r="D59" s="530"/>
      <c r="E59" s="121"/>
      <c r="F59" s="531"/>
      <c r="G59" s="531"/>
      <c r="H59" s="521">
        <f t="shared" si="10"/>
        <v>0</v>
      </c>
      <c r="I59" s="522"/>
      <c r="J59" s="535"/>
      <c r="K59" s="1173"/>
      <c r="L59" s="1173"/>
    </row>
    <row r="60" spans="1:12" s="503" customFormat="1" ht="13.5">
      <c r="A60" s="4" t="s">
        <v>883</v>
      </c>
      <c r="B60" s="472" t="s">
        <v>913</v>
      </c>
      <c r="C60" s="4" t="s">
        <v>879</v>
      </c>
      <c r="D60" s="4">
        <v>25</v>
      </c>
      <c r="E60" s="520">
        <v>648.27</v>
      </c>
      <c r="F60" s="521">
        <f>D60*E60</f>
        <v>16206.75</v>
      </c>
      <c r="G60" s="521"/>
      <c r="H60" s="521">
        <f t="shared" si="10"/>
        <v>0</v>
      </c>
      <c r="I60" s="522"/>
      <c r="J60" s="535">
        <f>I60*E60</f>
        <v>0</v>
      </c>
      <c r="K60" s="1174"/>
      <c r="L60" s="1174"/>
    </row>
    <row r="61" spans="1:12" s="502" customFormat="1" ht="54">
      <c r="A61" s="4">
        <v>2</v>
      </c>
      <c r="B61" s="469" t="s">
        <v>914</v>
      </c>
      <c r="C61" s="466"/>
      <c r="D61" s="532"/>
      <c r="E61" s="520"/>
      <c r="F61" s="521"/>
      <c r="G61" s="521"/>
      <c r="H61" s="521">
        <f t="shared" si="10"/>
        <v>0</v>
      </c>
      <c r="I61" s="522"/>
      <c r="J61" s="535"/>
      <c r="K61" s="1173"/>
      <c r="L61" s="1173"/>
    </row>
    <row r="62" spans="1:12" s="504" customFormat="1" ht="13.5">
      <c r="A62" s="4" t="s">
        <v>883</v>
      </c>
      <c r="B62" s="472" t="s">
        <v>913</v>
      </c>
      <c r="C62" s="4" t="s">
        <v>390</v>
      </c>
      <c r="D62" s="4">
        <v>2</v>
      </c>
      <c r="E62" s="520">
        <v>960.4</v>
      </c>
      <c r="F62" s="521">
        <f>D62*E62</f>
        <v>1920.8</v>
      </c>
      <c r="G62" s="521"/>
      <c r="H62" s="521">
        <f t="shared" si="10"/>
        <v>0</v>
      </c>
      <c r="I62" s="522"/>
      <c r="J62" s="535">
        <f>I62*E62</f>
        <v>0</v>
      </c>
      <c r="K62" s="520"/>
      <c r="L62" s="520"/>
    </row>
    <row r="63" spans="1:12" s="504" customFormat="1" ht="40.5">
      <c r="A63" s="4">
        <v>3</v>
      </c>
      <c r="B63" s="112" t="s">
        <v>915</v>
      </c>
      <c r="C63" s="4"/>
      <c r="D63" s="4"/>
      <c r="E63" s="520"/>
      <c r="F63" s="521"/>
      <c r="G63" s="521"/>
      <c r="H63" s="521">
        <f t="shared" si="10"/>
        <v>0</v>
      </c>
      <c r="I63" s="522"/>
      <c r="J63" s="535"/>
      <c r="K63" s="520"/>
      <c r="L63" s="520"/>
    </row>
    <row r="64" spans="1:12" s="504" customFormat="1" ht="13.5">
      <c r="A64" s="4" t="s">
        <v>883</v>
      </c>
      <c r="B64" s="112" t="s">
        <v>916</v>
      </c>
      <c r="C64" s="4" t="s">
        <v>879</v>
      </c>
      <c r="D64" s="4" t="s">
        <v>864</v>
      </c>
      <c r="E64" s="520">
        <v>432.18</v>
      </c>
      <c r="F64" s="521"/>
      <c r="G64" s="521">
        <v>79.599999999999994</v>
      </c>
      <c r="H64" s="521">
        <f t="shared" si="10"/>
        <v>34401.527999999998</v>
      </c>
      <c r="I64" s="522">
        <f>'MB ELELCTRICAL'!I409</f>
        <v>0</v>
      </c>
      <c r="J64" s="535">
        <f>I64*E64</f>
        <v>0</v>
      </c>
      <c r="K64" s="520"/>
      <c r="L64" s="520"/>
    </row>
    <row r="65" spans="1:12" s="504" customFormat="1" ht="13.5">
      <c r="A65" s="4" t="s">
        <v>195</v>
      </c>
      <c r="B65" s="112" t="s">
        <v>917</v>
      </c>
      <c r="C65" s="4" t="s">
        <v>879</v>
      </c>
      <c r="D65" s="4" t="s">
        <v>864</v>
      </c>
      <c r="E65" s="520">
        <v>624.26</v>
      </c>
      <c r="F65" s="521"/>
      <c r="G65" s="521">
        <v>51.8</v>
      </c>
      <c r="H65" s="521">
        <f t="shared" si="10"/>
        <v>32336.667999999998</v>
      </c>
      <c r="I65" s="522">
        <f>'MB ELELCTRICAL'!I419</f>
        <v>0</v>
      </c>
      <c r="J65" s="535">
        <f>I65*E65</f>
        <v>0</v>
      </c>
      <c r="K65" s="520"/>
      <c r="L65" s="520"/>
    </row>
    <row r="66" spans="1:12" s="504" customFormat="1" ht="13.5">
      <c r="A66" s="4" t="s">
        <v>534</v>
      </c>
      <c r="B66" s="112" t="s">
        <v>918</v>
      </c>
      <c r="C66" s="4" t="s">
        <v>879</v>
      </c>
      <c r="D66" s="4" t="s">
        <v>864</v>
      </c>
      <c r="E66" s="520">
        <v>1056.44</v>
      </c>
      <c r="F66" s="521"/>
      <c r="G66" s="521">
        <v>10.3</v>
      </c>
      <c r="H66" s="521">
        <f t="shared" si="10"/>
        <v>10881.332000000002</v>
      </c>
      <c r="I66" s="522">
        <f>'MB ELELCTRICAL'!I423</f>
        <v>0</v>
      </c>
      <c r="J66" s="535">
        <f>I66*E66</f>
        <v>0</v>
      </c>
      <c r="K66" s="520"/>
      <c r="L66" s="520"/>
    </row>
    <row r="67" spans="1:12" s="504" customFormat="1" ht="54">
      <c r="A67" s="4">
        <v>4</v>
      </c>
      <c r="B67" s="469" t="s">
        <v>919</v>
      </c>
      <c r="C67" s="4"/>
      <c r="D67" s="4"/>
      <c r="E67" s="520"/>
      <c r="F67" s="521"/>
      <c r="G67" s="521"/>
      <c r="H67" s="521">
        <f t="shared" si="10"/>
        <v>0</v>
      </c>
      <c r="I67" s="522"/>
      <c r="J67" s="535"/>
      <c r="K67" s="520"/>
      <c r="L67" s="520"/>
    </row>
    <row r="68" spans="1:12" s="504" customFormat="1" ht="13.5">
      <c r="A68" s="4" t="s">
        <v>883</v>
      </c>
      <c r="B68" s="112" t="s">
        <v>916</v>
      </c>
      <c r="C68" s="4" t="s">
        <v>390</v>
      </c>
      <c r="D68" s="4" t="s">
        <v>864</v>
      </c>
      <c r="E68" s="520">
        <v>768.32</v>
      </c>
      <c r="F68" s="521"/>
      <c r="G68" s="521">
        <v>4</v>
      </c>
      <c r="H68" s="521">
        <f t="shared" si="10"/>
        <v>3073.28</v>
      </c>
      <c r="I68" s="522">
        <f>'MB ELELCTRICAL'!I429</f>
        <v>0</v>
      </c>
      <c r="J68" s="535">
        <f>I68*E68</f>
        <v>0</v>
      </c>
      <c r="K68" s="520"/>
      <c r="L68" s="520"/>
    </row>
    <row r="69" spans="1:12" s="504" customFormat="1" ht="13.5">
      <c r="A69" s="4" t="s">
        <v>195</v>
      </c>
      <c r="B69" s="119" t="s">
        <v>917</v>
      </c>
      <c r="C69" s="4" t="s">
        <v>390</v>
      </c>
      <c r="D69" s="4" t="s">
        <v>864</v>
      </c>
      <c r="E69" s="520">
        <v>960.4</v>
      </c>
      <c r="F69" s="521"/>
      <c r="G69" s="521">
        <v>6</v>
      </c>
      <c r="H69" s="521">
        <f t="shared" si="10"/>
        <v>5762.4</v>
      </c>
      <c r="I69" s="522">
        <f>'MB ELELCTRICAL'!I435</f>
        <v>0</v>
      </c>
      <c r="J69" s="535">
        <f>I69*E69</f>
        <v>0</v>
      </c>
      <c r="K69" s="520"/>
      <c r="L69" s="520"/>
    </row>
    <row r="70" spans="1:12" s="504" customFormat="1" ht="13.5">
      <c r="A70" s="4" t="s">
        <v>534</v>
      </c>
      <c r="B70" s="119" t="s">
        <v>918</v>
      </c>
      <c r="C70" s="4" t="s">
        <v>390</v>
      </c>
      <c r="D70" s="4" t="s">
        <v>864</v>
      </c>
      <c r="E70" s="520">
        <v>1440.6</v>
      </c>
      <c r="F70" s="521"/>
      <c r="G70" s="521">
        <v>2</v>
      </c>
      <c r="H70" s="521">
        <f t="shared" si="10"/>
        <v>2881.2</v>
      </c>
      <c r="I70" s="522">
        <f>'MB ELELCTRICAL'!I439</f>
        <v>0</v>
      </c>
      <c r="J70" s="535">
        <f>I70*E70</f>
        <v>0</v>
      </c>
      <c r="K70" s="520"/>
      <c r="L70" s="520"/>
    </row>
    <row r="71" spans="1:12" s="502" customFormat="1" ht="54">
      <c r="A71" s="4">
        <v>5</v>
      </c>
      <c r="B71" s="471" t="s">
        <v>920</v>
      </c>
      <c r="C71" s="4"/>
      <c r="D71" s="4"/>
      <c r="E71" s="520"/>
      <c r="F71" s="521"/>
      <c r="G71" s="521"/>
      <c r="H71" s="521">
        <f t="shared" si="10"/>
        <v>0</v>
      </c>
      <c r="I71" s="522"/>
      <c r="J71" s="535"/>
      <c r="K71" s="1173"/>
      <c r="L71" s="1173"/>
    </row>
    <row r="72" spans="1:12" s="502" customFormat="1" ht="13.5">
      <c r="A72" s="4" t="s">
        <v>883</v>
      </c>
      <c r="B72" s="471" t="s">
        <v>921</v>
      </c>
      <c r="C72" s="4" t="s">
        <v>879</v>
      </c>
      <c r="D72" s="4">
        <v>100</v>
      </c>
      <c r="E72" s="520">
        <v>1296.54</v>
      </c>
      <c r="F72" s="521">
        <f>D72*E72</f>
        <v>129654</v>
      </c>
      <c r="G72" s="521">
        <v>2.5</v>
      </c>
      <c r="H72" s="521">
        <f t="shared" si="10"/>
        <v>3241.35</v>
      </c>
      <c r="I72" s="522">
        <f>'MB ELELCTRICAL'!I444</f>
        <v>0</v>
      </c>
      <c r="J72" s="535">
        <f>I72*E72</f>
        <v>0</v>
      </c>
      <c r="K72" s="1173"/>
      <c r="L72" s="1173"/>
    </row>
    <row r="73" spans="1:12" s="502" customFormat="1" ht="13.5">
      <c r="A73" s="4"/>
      <c r="B73" s="471"/>
      <c r="C73" s="4"/>
      <c r="D73" s="4"/>
      <c r="E73" s="520"/>
      <c r="F73" s="521"/>
      <c r="G73" s="521"/>
      <c r="H73" s="521">
        <f t="shared" si="10"/>
        <v>0</v>
      </c>
      <c r="I73" s="522"/>
      <c r="J73" s="535"/>
      <c r="K73" s="1173"/>
      <c r="L73" s="1173"/>
    </row>
    <row r="74" spans="1:12" s="502" customFormat="1" ht="13.5">
      <c r="A74" s="4"/>
      <c r="B74" s="474" t="s">
        <v>922</v>
      </c>
      <c r="C74" s="4"/>
      <c r="D74" s="4"/>
      <c r="E74" s="520"/>
      <c r="F74" s="521"/>
      <c r="G74" s="521"/>
      <c r="H74" s="521">
        <f t="shared" si="10"/>
        <v>0</v>
      </c>
      <c r="I74" s="522"/>
      <c r="J74" s="535"/>
      <c r="K74" s="1173"/>
      <c r="L74" s="1173"/>
    </row>
    <row r="75" spans="1:12" s="502" customFormat="1" ht="81">
      <c r="A75" s="4">
        <v>4</v>
      </c>
      <c r="B75" s="471" t="s">
        <v>923</v>
      </c>
      <c r="C75" s="4"/>
      <c r="D75" s="4"/>
      <c r="E75" s="520"/>
      <c r="F75" s="521"/>
      <c r="G75" s="521"/>
      <c r="H75" s="521">
        <f t="shared" ref="H75:H138" si="11">G75*E75</f>
        <v>0</v>
      </c>
      <c r="I75" s="522"/>
      <c r="J75" s="535"/>
      <c r="K75" s="1173"/>
      <c r="L75" s="1173"/>
    </row>
    <row r="76" spans="1:12" s="502" customFormat="1" ht="13.5">
      <c r="A76" s="4" t="s">
        <v>883</v>
      </c>
      <c r="B76" s="471" t="s">
        <v>924</v>
      </c>
      <c r="C76" s="4" t="s">
        <v>879</v>
      </c>
      <c r="D76" s="4">
        <v>20</v>
      </c>
      <c r="E76" s="520">
        <v>1440.6</v>
      </c>
      <c r="F76" s="521">
        <f t="shared" ref="F76:F82" si="12">D76*E76</f>
        <v>28812</v>
      </c>
      <c r="G76" s="521"/>
      <c r="H76" s="521">
        <f t="shared" si="11"/>
        <v>0</v>
      </c>
      <c r="I76" s="522"/>
      <c r="J76" s="535">
        <f t="shared" ref="J76:J82" si="13">I76*E76</f>
        <v>0</v>
      </c>
      <c r="K76" s="1173"/>
      <c r="L76" s="1173"/>
    </row>
    <row r="77" spans="1:12" s="502" customFormat="1" ht="13.5">
      <c r="A77" s="4" t="s">
        <v>886</v>
      </c>
      <c r="B77" s="471" t="s">
        <v>925</v>
      </c>
      <c r="C77" s="4" t="s">
        <v>879</v>
      </c>
      <c r="D77" s="4">
        <v>20</v>
      </c>
      <c r="E77" s="520">
        <v>1200.5</v>
      </c>
      <c r="F77" s="521">
        <f t="shared" si="12"/>
        <v>24010</v>
      </c>
      <c r="G77" s="521"/>
      <c r="H77" s="521">
        <f t="shared" si="11"/>
        <v>0</v>
      </c>
      <c r="I77" s="522"/>
      <c r="J77" s="535">
        <f t="shared" si="13"/>
        <v>0</v>
      </c>
      <c r="K77" s="1173"/>
      <c r="L77" s="1173"/>
    </row>
    <row r="78" spans="1:12" s="502" customFormat="1" ht="13.5">
      <c r="A78" s="4" t="s">
        <v>888</v>
      </c>
      <c r="B78" s="471" t="s">
        <v>926</v>
      </c>
      <c r="C78" s="4" t="s">
        <v>879</v>
      </c>
      <c r="D78" s="4">
        <v>20</v>
      </c>
      <c r="E78" s="520">
        <v>960.4</v>
      </c>
      <c r="F78" s="521">
        <f t="shared" si="12"/>
        <v>19208</v>
      </c>
      <c r="G78" s="521"/>
      <c r="H78" s="521">
        <f t="shared" si="11"/>
        <v>0</v>
      </c>
      <c r="I78" s="522"/>
      <c r="J78" s="535">
        <f t="shared" si="13"/>
        <v>0</v>
      </c>
      <c r="K78" s="1173"/>
      <c r="L78" s="1173"/>
    </row>
    <row r="79" spans="1:12" s="502" customFormat="1" ht="13.5">
      <c r="A79" s="4" t="s">
        <v>890</v>
      </c>
      <c r="B79" s="471" t="s">
        <v>927</v>
      </c>
      <c r="C79" s="4" t="s">
        <v>879</v>
      </c>
      <c r="D79" s="4">
        <v>5</v>
      </c>
      <c r="E79" s="520">
        <v>864.36</v>
      </c>
      <c r="F79" s="521">
        <f t="shared" si="12"/>
        <v>4321.8</v>
      </c>
      <c r="G79" s="521"/>
      <c r="H79" s="521">
        <f t="shared" si="11"/>
        <v>0</v>
      </c>
      <c r="I79" s="522"/>
      <c r="J79" s="535">
        <f t="shared" si="13"/>
        <v>0</v>
      </c>
      <c r="K79" s="1173"/>
      <c r="L79" s="1173"/>
    </row>
    <row r="80" spans="1:12" s="502" customFormat="1" ht="13.5">
      <c r="A80" s="4" t="s">
        <v>892</v>
      </c>
      <c r="B80" s="471" t="s">
        <v>928</v>
      </c>
      <c r="C80" s="4" t="s">
        <v>390</v>
      </c>
      <c r="D80" s="4">
        <v>3</v>
      </c>
      <c r="E80" s="520">
        <v>960.4</v>
      </c>
      <c r="F80" s="521">
        <f t="shared" si="12"/>
        <v>2881.2</v>
      </c>
      <c r="G80" s="521"/>
      <c r="H80" s="521">
        <f t="shared" si="11"/>
        <v>0</v>
      </c>
      <c r="I80" s="522"/>
      <c r="J80" s="535">
        <f t="shared" si="13"/>
        <v>0</v>
      </c>
      <c r="K80" s="1173"/>
      <c r="L80" s="1173"/>
    </row>
    <row r="81" spans="1:12" s="502" customFormat="1" ht="13.5">
      <c r="A81" s="4" t="s">
        <v>894</v>
      </c>
      <c r="B81" s="471" t="s">
        <v>929</v>
      </c>
      <c r="C81" s="4" t="s">
        <v>390</v>
      </c>
      <c r="D81" s="4">
        <v>3</v>
      </c>
      <c r="E81" s="520">
        <v>768.32</v>
      </c>
      <c r="F81" s="521">
        <f t="shared" si="12"/>
        <v>2304.96</v>
      </c>
      <c r="G81" s="521">
        <v>22</v>
      </c>
      <c r="H81" s="521">
        <f t="shared" si="11"/>
        <v>16903.04</v>
      </c>
      <c r="I81" s="522">
        <f>'MB ELELCTRICAL'!I455</f>
        <v>0</v>
      </c>
      <c r="J81" s="535">
        <f t="shared" si="13"/>
        <v>0</v>
      </c>
      <c r="K81" s="1173"/>
      <c r="L81" s="1173"/>
    </row>
    <row r="82" spans="1:12" s="502" customFormat="1" ht="13.5">
      <c r="A82" s="4" t="s">
        <v>896</v>
      </c>
      <c r="B82" s="471" t="s">
        <v>930</v>
      </c>
      <c r="C82" s="4" t="s">
        <v>390</v>
      </c>
      <c r="D82" s="4">
        <v>5</v>
      </c>
      <c r="E82" s="520">
        <v>672.28</v>
      </c>
      <c r="F82" s="521">
        <f t="shared" si="12"/>
        <v>3361.3999999999996</v>
      </c>
      <c r="G82" s="521"/>
      <c r="H82" s="521">
        <f t="shared" si="11"/>
        <v>0</v>
      </c>
      <c r="I82" s="522"/>
      <c r="J82" s="535">
        <f t="shared" si="13"/>
        <v>0</v>
      </c>
      <c r="K82" s="1173"/>
      <c r="L82" s="1173"/>
    </row>
    <row r="83" spans="1:12" s="502" customFormat="1" ht="13.5">
      <c r="A83" s="471"/>
      <c r="B83" s="475"/>
      <c r="C83" s="4"/>
      <c r="D83" s="532"/>
      <c r="E83" s="537"/>
      <c r="F83" s="521"/>
      <c r="G83" s="521"/>
      <c r="H83" s="521">
        <f t="shared" si="11"/>
        <v>0</v>
      </c>
      <c r="I83" s="522"/>
      <c r="J83" s="535"/>
      <c r="K83" s="1173"/>
      <c r="L83" s="1173"/>
    </row>
    <row r="84" spans="1:12" s="502" customFormat="1" ht="14">
      <c r="A84" s="526"/>
      <c r="B84" s="526" t="s">
        <v>931</v>
      </c>
      <c r="C84" s="527"/>
      <c r="D84" s="527"/>
      <c r="E84" s="527"/>
      <c r="F84" s="528">
        <f>SUM(F59:F82)</f>
        <v>232680.90999999997</v>
      </c>
      <c r="G84" s="528"/>
      <c r="H84" s="1156">
        <f>SUM(H59:H82)</f>
        <v>109480.79799999998</v>
      </c>
      <c r="I84" s="529"/>
      <c r="J84" s="528">
        <f>SUM(J59:J82)</f>
        <v>0</v>
      </c>
      <c r="K84" s="536"/>
      <c r="L84" s="528">
        <f>SUM(L59:L82)</f>
        <v>0</v>
      </c>
    </row>
    <row r="85" spans="1:12" s="502" customFormat="1" ht="13.5">
      <c r="A85" s="471"/>
      <c r="B85" s="471"/>
      <c r="C85" s="476"/>
      <c r="D85" s="532"/>
      <c r="E85" s="537"/>
      <c r="F85" s="521"/>
      <c r="G85" s="521"/>
      <c r="H85" s="521">
        <f t="shared" si="11"/>
        <v>0</v>
      </c>
      <c r="I85" s="522"/>
      <c r="J85" s="535"/>
      <c r="K85" s="1173"/>
      <c r="L85" s="1173"/>
    </row>
    <row r="86" spans="1:12" s="502" customFormat="1" ht="14">
      <c r="A86" s="527" t="s">
        <v>138</v>
      </c>
      <c r="B86" s="526" t="s">
        <v>932</v>
      </c>
      <c r="C86" s="527"/>
      <c r="D86" s="527"/>
      <c r="E86" s="527"/>
      <c r="F86" s="528"/>
      <c r="G86" s="528"/>
      <c r="H86" s="528"/>
      <c r="I86" s="529"/>
      <c r="J86" s="536"/>
      <c r="K86" s="536"/>
      <c r="L86" s="536"/>
    </row>
    <row r="87" spans="1:12" s="502" customFormat="1" ht="13.5">
      <c r="A87" s="471"/>
      <c r="B87" s="477"/>
      <c r="C87" s="476"/>
      <c r="D87" s="532"/>
      <c r="E87" s="121"/>
      <c r="F87" s="538"/>
      <c r="G87" s="538"/>
      <c r="H87" s="521">
        <f t="shared" si="11"/>
        <v>0</v>
      </c>
      <c r="I87" s="522"/>
      <c r="J87" s="535"/>
      <c r="K87" s="1173"/>
      <c r="L87" s="1173"/>
    </row>
    <row r="88" spans="1:12" s="502" customFormat="1" ht="94.5">
      <c r="A88" s="113">
        <v>1</v>
      </c>
      <c r="B88" s="471" t="s">
        <v>933</v>
      </c>
      <c r="C88" s="113"/>
      <c r="D88" s="4"/>
      <c r="E88" s="121"/>
      <c r="F88" s="531"/>
      <c r="G88" s="531"/>
      <c r="H88" s="521">
        <f t="shared" si="11"/>
        <v>0</v>
      </c>
      <c r="I88" s="522"/>
      <c r="J88" s="535"/>
      <c r="K88" s="1173"/>
      <c r="L88" s="1173"/>
    </row>
    <row r="89" spans="1:12" s="505" customFormat="1" ht="13.5">
      <c r="A89" s="4" t="s">
        <v>883</v>
      </c>
      <c r="B89" s="206" t="s">
        <v>934</v>
      </c>
      <c r="C89" s="4" t="s">
        <v>657</v>
      </c>
      <c r="D89" s="4">
        <v>1</v>
      </c>
      <c r="E89" s="520">
        <v>33614</v>
      </c>
      <c r="F89" s="521">
        <f>D89*E89</f>
        <v>33614</v>
      </c>
      <c r="G89" s="521">
        <v>1</v>
      </c>
      <c r="H89" s="521">
        <f t="shared" si="11"/>
        <v>33614</v>
      </c>
      <c r="I89" s="522">
        <f>'MB ELELCTRICAL'!I465</f>
        <v>1</v>
      </c>
      <c r="J89" s="535">
        <f t="shared" ref="J89:J120" si="14">I89*E89</f>
        <v>33614</v>
      </c>
      <c r="K89" s="1175"/>
      <c r="L89" s="1175"/>
    </row>
    <row r="90" spans="1:12" s="502" customFormat="1" ht="40.5">
      <c r="A90" s="4"/>
      <c r="B90" s="471" t="s">
        <v>935</v>
      </c>
      <c r="C90" s="4"/>
      <c r="D90" s="4"/>
      <c r="E90" s="520"/>
      <c r="F90" s="521"/>
      <c r="G90" s="521"/>
      <c r="H90" s="521">
        <f t="shared" si="11"/>
        <v>0</v>
      </c>
      <c r="I90" s="522"/>
      <c r="J90" s="535">
        <f t="shared" si="14"/>
        <v>0</v>
      </c>
      <c r="K90" s="1173"/>
      <c r="L90" s="1173"/>
    </row>
    <row r="91" spans="1:12" s="502" customFormat="1" ht="13.5">
      <c r="A91" s="4" t="s">
        <v>886</v>
      </c>
      <c r="B91" s="206" t="s">
        <v>936</v>
      </c>
      <c r="C91" s="4" t="s">
        <v>657</v>
      </c>
      <c r="D91" s="4">
        <v>1</v>
      </c>
      <c r="E91" s="520">
        <v>28812</v>
      </c>
      <c r="F91" s="521">
        <f>D91*E91</f>
        <v>28812</v>
      </c>
      <c r="G91" s="521">
        <v>1</v>
      </c>
      <c r="H91" s="521">
        <f t="shared" si="11"/>
        <v>28812</v>
      </c>
      <c r="I91" s="522">
        <f>'MB ELELCTRICAL'!I469</f>
        <v>1</v>
      </c>
      <c r="J91" s="535">
        <f t="shared" si="14"/>
        <v>28812</v>
      </c>
      <c r="K91" s="1173"/>
      <c r="L91" s="1173"/>
    </row>
    <row r="92" spans="1:12" s="502" customFormat="1" ht="40.5">
      <c r="A92" s="4"/>
      <c r="B92" s="471" t="s">
        <v>937</v>
      </c>
      <c r="C92" s="4"/>
      <c r="D92" s="4"/>
      <c r="E92" s="520">
        <v>0</v>
      </c>
      <c r="F92" s="521"/>
      <c r="G92" s="521"/>
      <c r="H92" s="521">
        <f t="shared" si="11"/>
        <v>0</v>
      </c>
      <c r="I92" s="522"/>
      <c r="J92" s="535">
        <f t="shared" si="14"/>
        <v>0</v>
      </c>
      <c r="K92" s="1173"/>
      <c r="L92" s="1173"/>
    </row>
    <row r="93" spans="1:12" s="502" customFormat="1" ht="13.5">
      <c r="A93" s="4" t="s">
        <v>888</v>
      </c>
      <c r="B93" s="206" t="s">
        <v>938</v>
      </c>
      <c r="C93" s="4" t="s">
        <v>657</v>
      </c>
      <c r="D93" s="4">
        <v>1</v>
      </c>
      <c r="E93" s="520">
        <v>28812</v>
      </c>
      <c r="F93" s="521">
        <f>D93*E93</f>
        <v>28812</v>
      </c>
      <c r="G93" s="521">
        <v>0</v>
      </c>
      <c r="H93" s="521">
        <f t="shared" si="11"/>
        <v>0</v>
      </c>
      <c r="I93" s="522">
        <f>'MB ELELCTRICAL'!I472</f>
        <v>0</v>
      </c>
      <c r="J93" s="535">
        <f t="shared" si="14"/>
        <v>0</v>
      </c>
      <c r="K93" s="1173"/>
      <c r="L93" s="1173"/>
    </row>
    <row r="94" spans="1:12" s="502" customFormat="1" ht="40.5">
      <c r="A94" s="4"/>
      <c r="B94" s="471" t="s">
        <v>939</v>
      </c>
      <c r="C94" s="4"/>
      <c r="D94" s="4"/>
      <c r="E94" s="520">
        <v>0</v>
      </c>
      <c r="F94" s="521"/>
      <c r="G94" s="521"/>
      <c r="H94" s="521">
        <f t="shared" si="11"/>
        <v>0</v>
      </c>
      <c r="I94" s="522"/>
      <c r="J94" s="535">
        <f t="shared" si="14"/>
        <v>0</v>
      </c>
      <c r="K94" s="1173"/>
      <c r="L94" s="1173"/>
    </row>
    <row r="95" spans="1:12" s="502" customFormat="1" ht="13.5">
      <c r="A95" s="4" t="s">
        <v>890</v>
      </c>
      <c r="B95" s="206" t="s">
        <v>940</v>
      </c>
      <c r="C95" s="4" t="s">
        <v>657</v>
      </c>
      <c r="D95" s="4">
        <v>1</v>
      </c>
      <c r="E95" s="520">
        <v>9604</v>
      </c>
      <c r="F95" s="531">
        <f>D95*E95</f>
        <v>9604</v>
      </c>
      <c r="G95" s="531">
        <v>1</v>
      </c>
      <c r="H95" s="521">
        <f t="shared" si="11"/>
        <v>9604</v>
      </c>
      <c r="I95" s="522">
        <f>'MB ELELCTRICAL'!I476</f>
        <v>1</v>
      </c>
      <c r="J95" s="535">
        <f t="shared" si="14"/>
        <v>9604</v>
      </c>
      <c r="K95" s="1173"/>
      <c r="L95" s="1173"/>
    </row>
    <row r="96" spans="1:12" s="502" customFormat="1" ht="54">
      <c r="A96" s="4"/>
      <c r="B96" s="471" t="s">
        <v>941</v>
      </c>
      <c r="C96" s="4"/>
      <c r="D96" s="4"/>
      <c r="E96" s="520"/>
      <c r="F96" s="521"/>
      <c r="G96" s="521"/>
      <c r="H96" s="521">
        <f t="shared" si="11"/>
        <v>0</v>
      </c>
      <c r="I96" s="522"/>
      <c r="J96" s="535">
        <f t="shared" si="14"/>
        <v>0</v>
      </c>
      <c r="K96" s="1173"/>
      <c r="L96" s="1173"/>
    </row>
    <row r="97" spans="1:12" s="502" customFormat="1" ht="13.5">
      <c r="A97" s="4"/>
      <c r="B97" s="471"/>
      <c r="C97" s="4"/>
      <c r="D97" s="4"/>
      <c r="E97" s="520"/>
      <c r="F97" s="521"/>
      <c r="G97" s="521"/>
      <c r="H97" s="521">
        <f t="shared" si="11"/>
        <v>0</v>
      </c>
      <c r="I97" s="522"/>
      <c r="J97" s="535">
        <f t="shared" si="14"/>
        <v>0</v>
      </c>
      <c r="K97" s="1173"/>
      <c r="L97" s="1173"/>
    </row>
    <row r="98" spans="1:12" s="502" customFormat="1" ht="94.5">
      <c r="A98" s="4">
        <v>2</v>
      </c>
      <c r="B98" s="471" t="s">
        <v>942</v>
      </c>
      <c r="C98" s="4"/>
      <c r="D98" s="4"/>
      <c r="E98" s="520"/>
      <c r="F98" s="521"/>
      <c r="G98" s="521"/>
      <c r="H98" s="521">
        <f t="shared" si="11"/>
        <v>0</v>
      </c>
      <c r="I98" s="522"/>
      <c r="J98" s="535">
        <f t="shared" si="14"/>
        <v>0</v>
      </c>
      <c r="K98" s="1173"/>
      <c r="L98" s="1173"/>
    </row>
    <row r="99" spans="1:12" s="502" customFormat="1" ht="27">
      <c r="A99" s="4"/>
      <c r="B99" s="471" t="s">
        <v>943</v>
      </c>
      <c r="C99" s="4"/>
      <c r="D99" s="4"/>
      <c r="E99" s="520"/>
      <c r="F99" s="521"/>
      <c r="G99" s="521"/>
      <c r="H99" s="521">
        <f t="shared" si="11"/>
        <v>0</v>
      </c>
      <c r="I99" s="522"/>
      <c r="J99" s="535">
        <f t="shared" si="14"/>
        <v>0</v>
      </c>
      <c r="K99" s="1173"/>
      <c r="L99" s="1173"/>
    </row>
    <row r="100" spans="1:12" s="502" customFormat="1" ht="54">
      <c r="A100" s="4"/>
      <c r="B100" s="471" t="s">
        <v>944</v>
      </c>
      <c r="C100" s="4"/>
      <c r="D100" s="4"/>
      <c r="E100" s="520"/>
      <c r="F100" s="521"/>
      <c r="G100" s="521"/>
      <c r="H100" s="521">
        <f t="shared" si="11"/>
        <v>0</v>
      </c>
      <c r="I100" s="522"/>
      <c r="J100" s="535">
        <f t="shared" si="14"/>
        <v>0</v>
      </c>
      <c r="K100" s="1173"/>
      <c r="L100" s="1173"/>
    </row>
    <row r="101" spans="1:12" s="502" customFormat="1" ht="13.5">
      <c r="A101" s="4"/>
      <c r="B101" s="119" t="s">
        <v>945</v>
      </c>
      <c r="C101" s="4"/>
      <c r="D101" s="4"/>
      <c r="E101" s="520"/>
      <c r="F101" s="521"/>
      <c r="G101" s="521"/>
      <c r="H101" s="521">
        <f t="shared" si="11"/>
        <v>0</v>
      </c>
      <c r="I101" s="522"/>
      <c r="J101" s="535">
        <f t="shared" si="14"/>
        <v>0</v>
      </c>
      <c r="K101" s="1173"/>
      <c r="L101" s="1173"/>
    </row>
    <row r="102" spans="1:12" s="502" customFormat="1" ht="13.5">
      <c r="A102" s="4"/>
      <c r="B102" s="119" t="s">
        <v>946</v>
      </c>
      <c r="C102" s="4"/>
      <c r="D102" s="4"/>
      <c r="E102" s="520"/>
      <c r="F102" s="521"/>
      <c r="G102" s="521"/>
      <c r="H102" s="521">
        <f t="shared" si="11"/>
        <v>0</v>
      </c>
      <c r="I102" s="522"/>
      <c r="J102" s="535">
        <f t="shared" si="14"/>
        <v>0</v>
      </c>
      <c r="K102" s="1173"/>
      <c r="L102" s="1173"/>
    </row>
    <row r="103" spans="1:12" s="502" customFormat="1" ht="27">
      <c r="A103" s="4"/>
      <c r="B103" s="119" t="s">
        <v>947</v>
      </c>
      <c r="C103" s="4"/>
      <c r="D103" s="4"/>
      <c r="E103" s="520"/>
      <c r="F103" s="521"/>
      <c r="G103" s="521"/>
      <c r="H103" s="521">
        <f t="shared" si="11"/>
        <v>0</v>
      </c>
      <c r="I103" s="522"/>
      <c r="J103" s="535">
        <f t="shared" si="14"/>
        <v>0</v>
      </c>
      <c r="K103" s="1173"/>
      <c r="L103" s="1173"/>
    </row>
    <row r="104" spans="1:12" s="502" customFormat="1" ht="27">
      <c r="A104" s="4"/>
      <c r="B104" s="119" t="s">
        <v>948</v>
      </c>
      <c r="C104" s="4"/>
      <c r="D104" s="4"/>
      <c r="E104" s="520"/>
      <c r="F104" s="521"/>
      <c r="G104" s="521"/>
      <c r="H104" s="521">
        <f t="shared" si="11"/>
        <v>0</v>
      </c>
      <c r="I104" s="522"/>
      <c r="J104" s="535">
        <f t="shared" si="14"/>
        <v>0</v>
      </c>
      <c r="K104" s="1173"/>
      <c r="L104" s="1173"/>
    </row>
    <row r="105" spans="1:12" s="502" customFormat="1" ht="13.5">
      <c r="A105" s="4"/>
      <c r="B105" s="119" t="s">
        <v>949</v>
      </c>
      <c r="C105" s="4"/>
      <c r="D105" s="4"/>
      <c r="E105" s="520"/>
      <c r="F105" s="521"/>
      <c r="G105" s="521"/>
      <c r="H105" s="521">
        <f t="shared" si="11"/>
        <v>0</v>
      </c>
      <c r="I105" s="522"/>
      <c r="J105" s="535">
        <f t="shared" si="14"/>
        <v>0</v>
      </c>
      <c r="K105" s="1173"/>
      <c r="L105" s="1173"/>
    </row>
    <row r="106" spans="1:12" s="502" customFormat="1" ht="27">
      <c r="A106" s="4"/>
      <c r="B106" s="119" t="s">
        <v>950</v>
      </c>
      <c r="C106" s="4"/>
      <c r="D106" s="4"/>
      <c r="E106" s="520"/>
      <c r="F106" s="521"/>
      <c r="G106" s="521"/>
      <c r="H106" s="521">
        <f t="shared" si="11"/>
        <v>0</v>
      </c>
      <c r="I106" s="522"/>
      <c r="J106" s="535">
        <f t="shared" si="14"/>
        <v>0</v>
      </c>
      <c r="K106" s="1173"/>
      <c r="L106" s="1173"/>
    </row>
    <row r="107" spans="1:12" s="502" customFormat="1" ht="27">
      <c r="A107" s="4"/>
      <c r="B107" s="119" t="s">
        <v>951</v>
      </c>
      <c r="C107" s="4"/>
      <c r="D107" s="4"/>
      <c r="E107" s="520"/>
      <c r="F107" s="521"/>
      <c r="G107" s="521"/>
      <c r="H107" s="521">
        <f t="shared" si="11"/>
        <v>0</v>
      </c>
      <c r="I107" s="522"/>
      <c r="J107" s="535">
        <f t="shared" si="14"/>
        <v>0</v>
      </c>
      <c r="K107" s="1173"/>
      <c r="L107" s="1173"/>
    </row>
    <row r="108" spans="1:12" s="502" customFormat="1" ht="13.5">
      <c r="A108" s="4"/>
      <c r="B108" s="471"/>
      <c r="C108" s="4"/>
      <c r="D108" s="4"/>
      <c r="E108" s="520"/>
      <c r="F108" s="521"/>
      <c r="G108" s="521"/>
      <c r="H108" s="521">
        <f t="shared" si="11"/>
        <v>0</v>
      </c>
      <c r="I108" s="522"/>
      <c r="J108" s="535">
        <f t="shared" si="14"/>
        <v>0</v>
      </c>
      <c r="K108" s="1173"/>
      <c r="L108" s="1173"/>
    </row>
    <row r="109" spans="1:12" s="502" customFormat="1" ht="13.5">
      <c r="A109" s="478" t="s">
        <v>4</v>
      </c>
      <c r="B109" s="457" t="s">
        <v>952</v>
      </c>
      <c r="C109" s="4"/>
      <c r="D109" s="4"/>
      <c r="E109" s="520"/>
      <c r="F109" s="521"/>
      <c r="G109" s="521"/>
      <c r="H109" s="521">
        <f t="shared" si="11"/>
        <v>0</v>
      </c>
      <c r="I109" s="522"/>
      <c r="J109" s="535">
        <f t="shared" si="14"/>
        <v>0</v>
      </c>
      <c r="K109" s="1173"/>
      <c r="L109" s="1173"/>
    </row>
    <row r="110" spans="1:12" s="502" customFormat="1" ht="13.5">
      <c r="A110" s="4"/>
      <c r="B110" s="471" t="s">
        <v>953</v>
      </c>
      <c r="C110" s="4"/>
      <c r="D110" s="4"/>
      <c r="E110" s="520"/>
      <c r="F110" s="521"/>
      <c r="G110" s="521"/>
      <c r="H110" s="521">
        <f t="shared" si="11"/>
        <v>0</v>
      </c>
      <c r="I110" s="522"/>
      <c r="J110" s="535">
        <f t="shared" si="14"/>
        <v>0</v>
      </c>
      <c r="K110" s="1173"/>
      <c r="L110" s="1173"/>
    </row>
    <row r="111" spans="1:12" s="502" customFormat="1" ht="13.5">
      <c r="A111" s="4"/>
      <c r="B111" s="471"/>
      <c r="C111" s="4"/>
      <c r="D111" s="4"/>
      <c r="E111" s="520"/>
      <c r="F111" s="521"/>
      <c r="G111" s="521"/>
      <c r="H111" s="521">
        <f t="shared" si="11"/>
        <v>0</v>
      </c>
      <c r="I111" s="522"/>
      <c r="J111" s="535">
        <f t="shared" si="14"/>
        <v>0</v>
      </c>
      <c r="K111" s="1173"/>
      <c r="L111" s="1173"/>
    </row>
    <row r="112" spans="1:12" s="502" customFormat="1" ht="13.5">
      <c r="A112" s="4"/>
      <c r="B112" s="457" t="s">
        <v>954</v>
      </c>
      <c r="C112" s="4"/>
      <c r="D112" s="4"/>
      <c r="E112" s="520"/>
      <c r="F112" s="521"/>
      <c r="G112" s="521"/>
      <c r="H112" s="521">
        <f t="shared" si="11"/>
        <v>0</v>
      </c>
      <c r="I112" s="522"/>
      <c r="J112" s="535">
        <f t="shared" si="14"/>
        <v>0</v>
      </c>
      <c r="K112" s="1173"/>
      <c r="L112" s="1173"/>
    </row>
    <row r="113" spans="1:12" s="502" customFormat="1" ht="13.5">
      <c r="A113" s="4"/>
      <c r="B113" s="471"/>
      <c r="C113" s="4"/>
      <c r="D113" s="4"/>
      <c r="E113" s="520"/>
      <c r="F113" s="521"/>
      <c r="G113" s="521"/>
      <c r="H113" s="521">
        <f t="shared" si="11"/>
        <v>0</v>
      </c>
      <c r="I113" s="522"/>
      <c r="J113" s="535">
        <f t="shared" si="14"/>
        <v>0</v>
      </c>
      <c r="K113" s="1173"/>
      <c r="L113" s="1173"/>
    </row>
    <row r="114" spans="1:12" s="502" customFormat="1" ht="13.5">
      <c r="A114" s="4"/>
      <c r="B114" s="471" t="s">
        <v>955</v>
      </c>
      <c r="C114" s="4"/>
      <c r="D114" s="4"/>
      <c r="E114" s="520"/>
      <c r="F114" s="521"/>
      <c r="G114" s="521"/>
      <c r="H114" s="521">
        <f t="shared" si="11"/>
        <v>0</v>
      </c>
      <c r="I114" s="522"/>
      <c r="J114" s="535">
        <f t="shared" si="14"/>
        <v>0</v>
      </c>
      <c r="K114" s="1173"/>
      <c r="L114" s="1173"/>
    </row>
    <row r="115" spans="1:12" s="502" customFormat="1" ht="13.5">
      <c r="A115" s="4" t="s">
        <v>883</v>
      </c>
      <c r="B115" s="471" t="s">
        <v>956</v>
      </c>
      <c r="C115" s="4"/>
      <c r="D115" s="4"/>
      <c r="E115" s="520"/>
      <c r="F115" s="521"/>
      <c r="G115" s="521"/>
      <c r="H115" s="521">
        <f t="shared" si="11"/>
        <v>0</v>
      </c>
      <c r="I115" s="522"/>
      <c r="J115" s="535">
        <f t="shared" si="14"/>
        <v>0</v>
      </c>
      <c r="K115" s="1173"/>
      <c r="L115" s="1173"/>
    </row>
    <row r="116" spans="1:12" s="502" customFormat="1" ht="13.5">
      <c r="A116" s="4" t="s">
        <v>886</v>
      </c>
      <c r="B116" s="471" t="s">
        <v>957</v>
      </c>
      <c r="C116" s="4"/>
      <c r="D116" s="4"/>
      <c r="E116" s="520"/>
      <c r="F116" s="521"/>
      <c r="G116" s="521"/>
      <c r="H116" s="521">
        <f t="shared" si="11"/>
        <v>0</v>
      </c>
      <c r="I116" s="522"/>
      <c r="J116" s="535">
        <f t="shared" si="14"/>
        <v>0</v>
      </c>
      <c r="K116" s="1173"/>
      <c r="L116" s="1173"/>
    </row>
    <row r="117" spans="1:12" s="502" customFormat="1" ht="13.5">
      <c r="A117" s="4" t="s">
        <v>958</v>
      </c>
      <c r="B117" s="471" t="s">
        <v>959</v>
      </c>
      <c r="C117" s="4"/>
      <c r="D117" s="4"/>
      <c r="E117" s="520"/>
      <c r="F117" s="521"/>
      <c r="G117" s="521"/>
      <c r="H117" s="521">
        <f t="shared" si="11"/>
        <v>0</v>
      </c>
      <c r="I117" s="522"/>
      <c r="J117" s="535">
        <f t="shared" si="14"/>
        <v>0</v>
      </c>
      <c r="K117" s="1173"/>
      <c r="L117" s="1173"/>
    </row>
    <row r="118" spans="1:12" s="502" customFormat="1" ht="13.5">
      <c r="A118" s="4" t="s">
        <v>960</v>
      </c>
      <c r="B118" s="471" t="s">
        <v>961</v>
      </c>
      <c r="C118" s="4"/>
      <c r="D118" s="4"/>
      <c r="E118" s="520"/>
      <c r="F118" s="521"/>
      <c r="G118" s="521"/>
      <c r="H118" s="521">
        <f t="shared" si="11"/>
        <v>0</v>
      </c>
      <c r="I118" s="522"/>
      <c r="J118" s="535">
        <f t="shared" si="14"/>
        <v>0</v>
      </c>
      <c r="K118" s="1173"/>
      <c r="L118" s="1173"/>
    </row>
    <row r="119" spans="1:12" s="502" customFormat="1" ht="13.5">
      <c r="A119" s="4"/>
      <c r="B119" s="471"/>
      <c r="C119" s="4"/>
      <c r="D119" s="4"/>
      <c r="E119" s="520"/>
      <c r="F119" s="521"/>
      <c r="G119" s="521"/>
      <c r="H119" s="521">
        <f t="shared" si="11"/>
        <v>0</v>
      </c>
      <c r="I119" s="522"/>
      <c r="J119" s="535">
        <f t="shared" si="14"/>
        <v>0</v>
      </c>
      <c r="K119" s="1173"/>
      <c r="L119" s="1173"/>
    </row>
    <row r="120" spans="1:12" s="502" customFormat="1" ht="13.5">
      <c r="A120" s="4"/>
      <c r="B120" s="457" t="s">
        <v>962</v>
      </c>
      <c r="C120" s="4"/>
      <c r="D120" s="4"/>
      <c r="E120" s="520"/>
      <c r="F120" s="521"/>
      <c r="G120" s="521"/>
      <c r="H120" s="521">
        <f t="shared" si="11"/>
        <v>0</v>
      </c>
      <c r="I120" s="522"/>
      <c r="J120" s="535">
        <f t="shared" si="14"/>
        <v>0</v>
      </c>
      <c r="K120" s="1173"/>
      <c r="L120" s="1173"/>
    </row>
    <row r="121" spans="1:12" s="502" customFormat="1" ht="40.5">
      <c r="A121" s="4"/>
      <c r="B121" s="471" t="s">
        <v>963</v>
      </c>
      <c r="C121" s="4"/>
      <c r="D121" s="4"/>
      <c r="E121" s="520"/>
      <c r="F121" s="521"/>
      <c r="G121" s="521"/>
      <c r="H121" s="521">
        <f t="shared" si="11"/>
        <v>0</v>
      </c>
      <c r="I121" s="522"/>
      <c r="J121" s="535"/>
      <c r="K121" s="1173"/>
      <c r="L121" s="1173"/>
    </row>
    <row r="122" spans="1:12" s="502" customFormat="1" ht="13.5">
      <c r="A122" s="4"/>
      <c r="B122" s="471"/>
      <c r="C122" s="4"/>
      <c r="D122" s="4"/>
      <c r="E122" s="520"/>
      <c r="F122" s="521"/>
      <c r="G122" s="521"/>
      <c r="H122" s="521">
        <f t="shared" si="11"/>
        <v>0</v>
      </c>
      <c r="I122" s="522"/>
      <c r="J122" s="535">
        <f t="shared" ref="J122:J138" si="15">I122*E122</f>
        <v>0</v>
      </c>
      <c r="K122" s="1173"/>
      <c r="L122" s="1173"/>
    </row>
    <row r="123" spans="1:12" s="502" customFormat="1" ht="13.5">
      <c r="A123" s="4"/>
      <c r="B123" s="457" t="s">
        <v>964</v>
      </c>
      <c r="C123" s="4"/>
      <c r="D123" s="4"/>
      <c r="E123" s="520"/>
      <c r="F123" s="521"/>
      <c r="G123" s="521"/>
      <c r="H123" s="521">
        <f t="shared" si="11"/>
        <v>0</v>
      </c>
      <c r="I123" s="522"/>
      <c r="J123" s="535">
        <f t="shared" si="15"/>
        <v>0</v>
      </c>
      <c r="K123" s="1173"/>
      <c r="L123" s="1173"/>
    </row>
    <row r="124" spans="1:12" s="502" customFormat="1" ht="13.5">
      <c r="A124" s="4"/>
      <c r="B124" s="471" t="s">
        <v>965</v>
      </c>
      <c r="C124" s="4"/>
      <c r="D124" s="4"/>
      <c r="E124" s="520"/>
      <c r="F124" s="521"/>
      <c r="G124" s="521"/>
      <c r="H124" s="521">
        <f t="shared" si="11"/>
        <v>0</v>
      </c>
      <c r="I124" s="522"/>
      <c r="J124" s="535">
        <f t="shared" si="15"/>
        <v>0</v>
      </c>
      <c r="K124" s="1173"/>
      <c r="L124" s="1173"/>
    </row>
    <row r="125" spans="1:12" s="502" customFormat="1" ht="13.5">
      <c r="A125" s="4"/>
      <c r="B125" s="471" t="s">
        <v>966</v>
      </c>
      <c r="C125" s="4"/>
      <c r="D125" s="4"/>
      <c r="E125" s="520"/>
      <c r="F125" s="521"/>
      <c r="G125" s="521"/>
      <c r="H125" s="521">
        <f t="shared" si="11"/>
        <v>0</v>
      </c>
      <c r="I125" s="522"/>
      <c r="J125" s="535">
        <f t="shared" si="15"/>
        <v>0</v>
      </c>
      <c r="K125" s="1173"/>
      <c r="L125" s="1173"/>
    </row>
    <row r="126" spans="1:12" s="502" customFormat="1" ht="13.5">
      <c r="A126" s="4"/>
      <c r="B126" s="471" t="s">
        <v>967</v>
      </c>
      <c r="C126" s="4"/>
      <c r="D126" s="4"/>
      <c r="E126" s="520"/>
      <c r="F126" s="521"/>
      <c r="G126" s="521"/>
      <c r="H126" s="521">
        <f t="shared" si="11"/>
        <v>0</v>
      </c>
      <c r="I126" s="522"/>
      <c r="J126" s="535">
        <f t="shared" si="15"/>
        <v>0</v>
      </c>
      <c r="K126" s="1173"/>
      <c r="L126" s="1173"/>
    </row>
    <row r="127" spans="1:12" s="502" customFormat="1" ht="13.5">
      <c r="A127" s="4"/>
      <c r="B127" s="471" t="s">
        <v>968</v>
      </c>
      <c r="C127" s="4"/>
      <c r="D127" s="4"/>
      <c r="E127" s="520"/>
      <c r="F127" s="521"/>
      <c r="G127" s="521"/>
      <c r="H127" s="521">
        <f t="shared" si="11"/>
        <v>0</v>
      </c>
      <c r="I127" s="522"/>
      <c r="J127" s="535">
        <f t="shared" si="15"/>
        <v>0</v>
      </c>
      <c r="K127" s="1173"/>
      <c r="L127" s="1173"/>
    </row>
    <row r="128" spans="1:12" s="502" customFormat="1" ht="13.5">
      <c r="A128" s="4"/>
      <c r="B128" s="471" t="s">
        <v>969</v>
      </c>
      <c r="C128" s="4"/>
      <c r="D128" s="4"/>
      <c r="E128" s="520"/>
      <c r="F128" s="521"/>
      <c r="G128" s="521"/>
      <c r="H128" s="521">
        <f t="shared" si="11"/>
        <v>0</v>
      </c>
      <c r="I128" s="522"/>
      <c r="J128" s="535">
        <f t="shared" si="15"/>
        <v>0</v>
      </c>
      <c r="K128" s="1173"/>
      <c r="L128" s="1173"/>
    </row>
    <row r="129" spans="1:12" s="502" customFormat="1" ht="27">
      <c r="A129" s="4"/>
      <c r="B129" s="471" t="s">
        <v>970</v>
      </c>
      <c r="C129" s="4" t="s">
        <v>657</v>
      </c>
      <c r="D129" s="4">
        <v>1</v>
      </c>
      <c r="E129" s="520">
        <v>168070</v>
      </c>
      <c r="F129" s="521">
        <f>D129*E129</f>
        <v>168070</v>
      </c>
      <c r="G129" s="521">
        <v>1</v>
      </c>
      <c r="H129" s="521">
        <f t="shared" si="11"/>
        <v>168070</v>
      </c>
      <c r="I129" s="522">
        <f>'MB ELELCTRICAL'!I512</f>
        <v>1</v>
      </c>
      <c r="J129" s="535">
        <f t="shared" si="15"/>
        <v>168070</v>
      </c>
      <c r="K129" s="1173"/>
      <c r="L129" s="1173"/>
    </row>
    <row r="130" spans="1:12" s="502" customFormat="1" ht="13.5">
      <c r="A130" s="4"/>
      <c r="B130" s="471"/>
      <c r="C130" s="4"/>
      <c r="D130" s="4"/>
      <c r="E130" s="520"/>
      <c r="F130" s="521"/>
      <c r="G130" s="521"/>
      <c r="H130" s="521">
        <f t="shared" si="11"/>
        <v>0</v>
      </c>
      <c r="I130" s="522"/>
      <c r="J130" s="535">
        <f t="shared" si="15"/>
        <v>0</v>
      </c>
      <c r="K130" s="1173"/>
      <c r="L130" s="1173"/>
    </row>
    <row r="131" spans="1:12" s="502" customFormat="1" ht="13.5">
      <c r="A131" s="4"/>
      <c r="B131" s="457" t="s">
        <v>971</v>
      </c>
      <c r="C131" s="4"/>
      <c r="D131" s="4"/>
      <c r="E131" s="520"/>
      <c r="F131" s="521"/>
      <c r="G131" s="521"/>
      <c r="H131" s="521">
        <f t="shared" si="11"/>
        <v>0</v>
      </c>
      <c r="I131" s="522"/>
      <c r="J131" s="535">
        <f t="shared" si="15"/>
        <v>0</v>
      </c>
      <c r="K131" s="1173"/>
      <c r="L131" s="1173"/>
    </row>
    <row r="132" spans="1:12" s="502" customFormat="1" ht="94.5">
      <c r="A132" s="4">
        <v>3</v>
      </c>
      <c r="B132" s="471" t="s">
        <v>972</v>
      </c>
      <c r="C132" s="4" t="s">
        <v>657</v>
      </c>
      <c r="D132" s="4">
        <v>1</v>
      </c>
      <c r="E132" s="520">
        <v>240100</v>
      </c>
      <c r="F132" s="521">
        <f>D132*E132</f>
        <v>240100</v>
      </c>
      <c r="G132" s="521">
        <v>1</v>
      </c>
      <c r="H132" s="521">
        <f t="shared" si="11"/>
        <v>240100</v>
      </c>
      <c r="I132" s="522">
        <f>'MB ELELCTRICAL'!I516</f>
        <v>1</v>
      </c>
      <c r="J132" s="535">
        <f t="shared" si="15"/>
        <v>240100</v>
      </c>
      <c r="K132" s="1173"/>
      <c r="L132" s="1173"/>
    </row>
    <row r="133" spans="1:12" s="502" customFormat="1" ht="54">
      <c r="A133" s="4">
        <v>4</v>
      </c>
      <c r="B133" s="471" t="s">
        <v>973</v>
      </c>
      <c r="C133" s="4"/>
      <c r="D133" s="4"/>
      <c r="E133" s="520"/>
      <c r="F133" s="521"/>
      <c r="G133" s="521"/>
      <c r="H133" s="521">
        <f t="shared" si="11"/>
        <v>0</v>
      </c>
      <c r="I133" s="522"/>
      <c r="J133" s="535">
        <f t="shared" si="15"/>
        <v>0</v>
      </c>
      <c r="K133" s="1173"/>
      <c r="L133" s="1173"/>
    </row>
    <row r="134" spans="1:12" s="502" customFormat="1" ht="13.5">
      <c r="A134" s="4" t="s">
        <v>883</v>
      </c>
      <c r="B134" s="471" t="s">
        <v>974</v>
      </c>
      <c r="C134" s="4" t="s">
        <v>879</v>
      </c>
      <c r="D134" s="4" t="s">
        <v>864</v>
      </c>
      <c r="E134" s="520"/>
      <c r="F134" s="521"/>
      <c r="G134" s="521"/>
      <c r="H134" s="521">
        <f t="shared" si="11"/>
        <v>0</v>
      </c>
      <c r="I134" s="522"/>
      <c r="J134" s="535">
        <f t="shared" si="15"/>
        <v>0</v>
      </c>
      <c r="K134" s="1173"/>
      <c r="L134" s="1173"/>
    </row>
    <row r="135" spans="1:12" s="502" customFormat="1" ht="13.5">
      <c r="A135" s="4" t="s">
        <v>886</v>
      </c>
      <c r="B135" s="471" t="s">
        <v>975</v>
      </c>
      <c r="C135" s="4" t="s">
        <v>879</v>
      </c>
      <c r="D135" s="4">
        <v>30</v>
      </c>
      <c r="E135" s="520">
        <v>144.06</v>
      </c>
      <c r="F135" s="521">
        <f>D135*E135</f>
        <v>4321.8</v>
      </c>
      <c r="G135" s="521"/>
      <c r="H135" s="521">
        <f t="shared" si="11"/>
        <v>0</v>
      </c>
      <c r="I135" s="522"/>
      <c r="J135" s="535">
        <f t="shared" si="15"/>
        <v>0</v>
      </c>
      <c r="K135" s="1173"/>
      <c r="L135" s="1173"/>
    </row>
    <row r="136" spans="1:12" s="502" customFormat="1" ht="13.5">
      <c r="A136" s="4" t="s">
        <v>958</v>
      </c>
      <c r="B136" s="471" t="s">
        <v>976</v>
      </c>
      <c r="C136" s="4" t="s">
        <v>879</v>
      </c>
      <c r="D136" s="4" t="s">
        <v>864</v>
      </c>
      <c r="E136" s="520">
        <v>72.03</v>
      </c>
      <c r="F136" s="521"/>
      <c r="G136" s="521"/>
      <c r="H136" s="521">
        <f t="shared" si="11"/>
        <v>0</v>
      </c>
      <c r="I136" s="522"/>
      <c r="J136" s="535">
        <f t="shared" si="15"/>
        <v>0</v>
      </c>
      <c r="K136" s="1173"/>
      <c r="L136" s="1173"/>
    </row>
    <row r="137" spans="1:12" s="502" customFormat="1" ht="13.5">
      <c r="A137" s="4" t="s">
        <v>960</v>
      </c>
      <c r="B137" s="471" t="s">
        <v>977</v>
      </c>
      <c r="C137" s="4" t="s">
        <v>879</v>
      </c>
      <c r="D137" s="4" t="s">
        <v>864</v>
      </c>
      <c r="E137" s="520">
        <v>62.426000000000002</v>
      </c>
      <c r="F137" s="521"/>
      <c r="G137" s="521">
        <v>25</v>
      </c>
      <c r="H137" s="521">
        <f t="shared" si="11"/>
        <v>1560.65</v>
      </c>
      <c r="I137" s="522">
        <f>'MB ELELCTRICAL'!I524</f>
        <v>0</v>
      </c>
      <c r="J137" s="535">
        <f t="shared" si="15"/>
        <v>0</v>
      </c>
      <c r="K137" s="1173"/>
      <c r="L137" s="1173"/>
    </row>
    <row r="138" spans="1:12" s="502" customFormat="1" ht="13.5">
      <c r="A138" s="4" t="s">
        <v>892</v>
      </c>
      <c r="B138" s="471" t="s">
        <v>978</v>
      </c>
      <c r="C138" s="4" t="s">
        <v>879</v>
      </c>
      <c r="D138" s="4">
        <v>100</v>
      </c>
      <c r="E138" s="520">
        <v>67.227999999999994</v>
      </c>
      <c r="F138" s="521">
        <f>D138*E138</f>
        <v>6722.7999999999993</v>
      </c>
      <c r="G138" s="521"/>
      <c r="H138" s="521">
        <f t="shared" si="11"/>
        <v>0</v>
      </c>
      <c r="I138" s="522"/>
      <c r="J138" s="535">
        <f t="shared" si="15"/>
        <v>0</v>
      </c>
      <c r="K138" s="1173"/>
      <c r="L138" s="1173"/>
    </row>
    <row r="139" spans="1:12" s="502" customFormat="1" ht="14">
      <c r="A139" s="526"/>
      <c r="B139" s="526" t="s">
        <v>979</v>
      </c>
      <c r="C139" s="527"/>
      <c r="D139" s="527"/>
      <c r="E139" s="527"/>
      <c r="F139" s="528">
        <f>SUM(F88:F138)</f>
        <v>520056.6</v>
      </c>
      <c r="G139" s="528"/>
      <c r="H139" s="1156">
        <f>SUM(H88:H138)</f>
        <v>481760.65</v>
      </c>
      <c r="I139" s="529"/>
      <c r="J139" s="1156">
        <f>SUM(J88:J138)</f>
        <v>480200</v>
      </c>
      <c r="K139" s="536"/>
      <c r="L139" s="1156">
        <f>SUM(L88:L138)</f>
        <v>0</v>
      </c>
    </row>
    <row r="140" spans="1:12" s="502" customFormat="1" ht="13.5">
      <c r="A140" s="479"/>
      <c r="B140" s="480"/>
      <c r="C140" s="4"/>
      <c r="D140" s="4"/>
      <c r="E140" s="537"/>
      <c r="F140" s="521"/>
      <c r="G140" s="521"/>
      <c r="H140" s="521">
        <f t="shared" ref="H140:H196" si="16">G140*E140</f>
        <v>0</v>
      </c>
      <c r="I140" s="522"/>
      <c r="J140" s="535"/>
      <c r="K140" s="1173"/>
      <c r="L140" s="1173"/>
    </row>
    <row r="141" spans="1:12" s="502" customFormat="1" ht="14">
      <c r="A141" s="527" t="s">
        <v>23</v>
      </c>
      <c r="B141" s="526" t="s">
        <v>980</v>
      </c>
      <c r="C141" s="527"/>
      <c r="D141" s="527"/>
      <c r="E141" s="527"/>
      <c r="F141" s="528"/>
      <c r="G141" s="528"/>
      <c r="H141" s="528"/>
      <c r="I141" s="529"/>
      <c r="J141" s="536"/>
      <c r="K141" s="536"/>
      <c r="L141" s="536"/>
    </row>
    <row r="142" spans="1:12" s="502" customFormat="1" ht="13.5">
      <c r="A142" s="479"/>
      <c r="B142" s="470"/>
      <c r="C142" s="4"/>
      <c r="D142" s="4"/>
      <c r="E142" s="121"/>
      <c r="F142" s="538"/>
      <c r="G142" s="538"/>
      <c r="H142" s="521">
        <f t="shared" si="16"/>
        <v>0</v>
      </c>
      <c r="I142" s="522"/>
      <c r="J142" s="535">
        <f t="shared" ref="J142:J166" si="17">I142*E142</f>
        <v>0</v>
      </c>
      <c r="K142" s="1173"/>
      <c r="L142" s="1173"/>
    </row>
    <row r="143" spans="1:12" s="502" customFormat="1" ht="13.5">
      <c r="A143" s="470"/>
      <c r="B143" s="481" t="s">
        <v>981</v>
      </c>
      <c r="C143" s="4"/>
      <c r="D143" s="4"/>
      <c r="E143" s="121"/>
      <c r="F143" s="531"/>
      <c r="G143" s="531"/>
      <c r="H143" s="521">
        <f t="shared" si="16"/>
        <v>0</v>
      </c>
      <c r="I143" s="522"/>
      <c r="J143" s="535">
        <f t="shared" si="17"/>
        <v>0</v>
      </c>
      <c r="K143" s="1173"/>
      <c r="L143" s="1173"/>
    </row>
    <row r="144" spans="1:12" s="502" customFormat="1" ht="135">
      <c r="A144" s="113">
        <v>1</v>
      </c>
      <c r="B144" s="471" t="s">
        <v>982</v>
      </c>
      <c r="C144" s="4"/>
      <c r="D144" s="4"/>
      <c r="E144" s="121"/>
      <c r="F144" s="531"/>
      <c r="G144" s="531"/>
      <c r="H144" s="521">
        <f t="shared" si="16"/>
        <v>0</v>
      </c>
      <c r="I144" s="522"/>
      <c r="J144" s="535">
        <f t="shared" si="17"/>
        <v>0</v>
      </c>
      <c r="K144" s="1173"/>
      <c r="L144" s="1173"/>
    </row>
    <row r="145" spans="1:12" s="502" customFormat="1" ht="54">
      <c r="A145" s="117"/>
      <c r="B145" s="471" t="s">
        <v>983</v>
      </c>
      <c r="C145" s="4"/>
      <c r="D145" s="4"/>
      <c r="E145" s="537"/>
      <c r="F145" s="531"/>
      <c r="G145" s="531"/>
      <c r="H145" s="521">
        <f t="shared" si="16"/>
        <v>0</v>
      </c>
      <c r="I145" s="522"/>
      <c r="J145" s="535">
        <f t="shared" si="17"/>
        <v>0</v>
      </c>
      <c r="K145" s="1173"/>
      <c r="L145" s="1173"/>
    </row>
    <row r="146" spans="1:12" s="502" customFormat="1" ht="13.5">
      <c r="A146" s="117" t="s">
        <v>883</v>
      </c>
      <c r="B146" s="119" t="s">
        <v>984</v>
      </c>
      <c r="C146" s="4" t="s">
        <v>657</v>
      </c>
      <c r="D146" s="4">
        <v>1</v>
      </c>
      <c r="E146" s="520">
        <v>144060</v>
      </c>
      <c r="F146" s="521">
        <f>D146*E146</f>
        <v>144060</v>
      </c>
      <c r="G146" s="521">
        <v>1</v>
      </c>
      <c r="H146" s="521">
        <f t="shared" si="16"/>
        <v>144060</v>
      </c>
      <c r="I146" s="522">
        <f>'MB ELELCTRICAL'!I535</f>
        <v>1</v>
      </c>
      <c r="J146" s="535">
        <f t="shared" si="17"/>
        <v>144060</v>
      </c>
      <c r="K146" s="1173"/>
      <c r="L146" s="1173"/>
    </row>
    <row r="147" spans="1:12" s="502" customFormat="1" ht="54">
      <c r="A147" s="117">
        <v>2</v>
      </c>
      <c r="B147" s="471" t="s">
        <v>985</v>
      </c>
      <c r="C147" s="4" t="s">
        <v>657</v>
      </c>
      <c r="D147" s="4">
        <v>23</v>
      </c>
      <c r="E147" s="520">
        <v>3361.4</v>
      </c>
      <c r="F147" s="521">
        <f>D147*E147</f>
        <v>77312.2</v>
      </c>
      <c r="G147" s="521">
        <v>25</v>
      </c>
      <c r="H147" s="521">
        <f t="shared" si="16"/>
        <v>84035</v>
      </c>
      <c r="I147" s="522">
        <f>'MB ELELCTRICAL'!I565</f>
        <v>23</v>
      </c>
      <c r="J147" s="535">
        <f t="shared" si="17"/>
        <v>77312.2</v>
      </c>
      <c r="K147" s="1173">
        <f>'MB ELELCTRICAL'!I566</f>
        <v>2</v>
      </c>
      <c r="L147" s="1177">
        <f>K147*E147</f>
        <v>6722.8</v>
      </c>
    </row>
    <row r="148" spans="1:12" s="502" customFormat="1" ht="54">
      <c r="A148" s="117">
        <v>3</v>
      </c>
      <c r="B148" s="471" t="s">
        <v>986</v>
      </c>
      <c r="C148" s="4" t="s">
        <v>657</v>
      </c>
      <c r="D148" s="4">
        <v>1</v>
      </c>
      <c r="E148" s="520">
        <v>3361.4</v>
      </c>
      <c r="F148" s="521">
        <f>D148*E148</f>
        <v>3361.4</v>
      </c>
      <c r="G148" s="521">
        <v>2</v>
      </c>
      <c r="H148" s="521">
        <f t="shared" si="16"/>
        <v>6722.8</v>
      </c>
      <c r="I148" s="522">
        <f>'MB ELELCTRICAL'!I572</f>
        <v>1</v>
      </c>
      <c r="J148" s="535">
        <f t="shared" si="17"/>
        <v>3361.4</v>
      </c>
      <c r="K148" s="1173">
        <f>'MB ELELCTRICAL'!I573</f>
        <v>1</v>
      </c>
      <c r="L148" s="1177">
        <f>K148*E148</f>
        <v>3361.4</v>
      </c>
    </row>
    <row r="149" spans="1:12" s="502" customFormat="1" ht="40.5">
      <c r="A149" s="117">
        <v>4</v>
      </c>
      <c r="B149" s="471" t="s">
        <v>987</v>
      </c>
      <c r="C149" s="4" t="s">
        <v>657</v>
      </c>
      <c r="D149" s="4" t="s">
        <v>864</v>
      </c>
      <c r="E149" s="520">
        <v>4802</v>
      </c>
      <c r="F149" s="531"/>
      <c r="G149" s="531"/>
      <c r="H149" s="521">
        <f t="shared" si="16"/>
        <v>0</v>
      </c>
      <c r="I149" s="522"/>
      <c r="J149" s="535">
        <f t="shared" si="17"/>
        <v>0</v>
      </c>
      <c r="K149" s="1173"/>
      <c r="L149" s="1173"/>
    </row>
    <row r="150" spans="1:12" s="502" customFormat="1" ht="13.5">
      <c r="A150" s="117">
        <v>5</v>
      </c>
      <c r="B150" s="471" t="s">
        <v>988</v>
      </c>
      <c r="C150" s="4" t="s">
        <v>657</v>
      </c>
      <c r="D150" s="4">
        <v>12</v>
      </c>
      <c r="E150" s="520">
        <v>672.28</v>
      </c>
      <c r="F150" s="521">
        <f>D150*E150</f>
        <v>8067.36</v>
      </c>
      <c r="G150" s="521">
        <v>13</v>
      </c>
      <c r="H150" s="521">
        <f t="shared" si="16"/>
        <v>8739.64</v>
      </c>
      <c r="I150" s="522">
        <f>'MB ELELCTRICAL'!I580</f>
        <v>12</v>
      </c>
      <c r="J150" s="535">
        <f t="shared" si="17"/>
        <v>8067.36</v>
      </c>
      <c r="K150" s="1173">
        <f>'MB ELELCTRICAL'!I581</f>
        <v>1</v>
      </c>
      <c r="L150" s="1177">
        <f>K150*E150</f>
        <v>672.28</v>
      </c>
    </row>
    <row r="151" spans="1:12" s="502" customFormat="1" ht="40.5">
      <c r="A151" s="117">
        <v>6</v>
      </c>
      <c r="B151" s="471" t="s">
        <v>989</v>
      </c>
      <c r="C151" s="4" t="s">
        <v>657</v>
      </c>
      <c r="D151" s="4">
        <v>3</v>
      </c>
      <c r="E151" s="520">
        <v>4802</v>
      </c>
      <c r="F151" s="521">
        <f>D151*E151</f>
        <v>14406</v>
      </c>
      <c r="G151" s="521">
        <v>3</v>
      </c>
      <c r="H151" s="521">
        <f t="shared" si="16"/>
        <v>14406</v>
      </c>
      <c r="I151" s="522">
        <f>'MB ELELCTRICAL'!I585</f>
        <v>0</v>
      </c>
      <c r="J151" s="535">
        <f t="shared" si="17"/>
        <v>0</v>
      </c>
      <c r="K151" s="1173"/>
      <c r="L151" s="1173"/>
    </row>
    <row r="152" spans="1:12" s="502" customFormat="1" ht="40.5">
      <c r="A152" s="117">
        <v>7</v>
      </c>
      <c r="B152" s="471" t="s">
        <v>990</v>
      </c>
      <c r="C152" s="4" t="s">
        <v>657</v>
      </c>
      <c r="D152" s="4" t="s">
        <v>864</v>
      </c>
      <c r="E152" s="520">
        <v>5762.4</v>
      </c>
      <c r="F152" s="531"/>
      <c r="G152" s="531">
        <v>0</v>
      </c>
      <c r="H152" s="521">
        <f t="shared" si="16"/>
        <v>0</v>
      </c>
      <c r="I152" s="522">
        <f>'MB ELELCTRICAL'!I587</f>
        <v>0</v>
      </c>
      <c r="J152" s="535">
        <f t="shared" si="17"/>
        <v>0</v>
      </c>
      <c r="K152" s="1173"/>
      <c r="L152" s="1173"/>
    </row>
    <row r="153" spans="1:12" s="502" customFormat="1" ht="54">
      <c r="A153" s="117">
        <v>8</v>
      </c>
      <c r="B153" s="471" t="s">
        <v>991</v>
      </c>
      <c r="C153" s="4" t="s">
        <v>657</v>
      </c>
      <c r="D153" s="4">
        <v>1</v>
      </c>
      <c r="E153" s="520">
        <v>7203</v>
      </c>
      <c r="F153" s="521">
        <f>D153*E153</f>
        <v>7203</v>
      </c>
      <c r="G153" s="521">
        <v>1</v>
      </c>
      <c r="H153" s="521">
        <f t="shared" si="16"/>
        <v>7203</v>
      </c>
      <c r="I153" s="522">
        <f>'MB ELELCTRICAL'!I589</f>
        <v>1</v>
      </c>
      <c r="J153" s="535">
        <f t="shared" si="17"/>
        <v>7203</v>
      </c>
      <c r="K153" s="1173"/>
      <c r="L153" s="1173"/>
    </row>
    <row r="154" spans="1:12" s="502" customFormat="1" ht="27">
      <c r="A154" s="117">
        <v>9</v>
      </c>
      <c r="B154" s="471" t="s">
        <v>992</v>
      </c>
      <c r="C154" s="4" t="s">
        <v>657</v>
      </c>
      <c r="D154" s="4">
        <v>1</v>
      </c>
      <c r="E154" s="520">
        <v>6242.6</v>
      </c>
      <c r="F154" s="521">
        <f>D154*E154</f>
        <v>6242.6</v>
      </c>
      <c r="G154" s="521">
        <v>1</v>
      </c>
      <c r="H154" s="521">
        <f t="shared" si="16"/>
        <v>6242.6</v>
      </c>
      <c r="I154" s="522">
        <f>'MB ELELCTRICAL'!I592</f>
        <v>1</v>
      </c>
      <c r="J154" s="535">
        <f t="shared" si="17"/>
        <v>6242.6</v>
      </c>
      <c r="K154" s="1173"/>
      <c r="L154" s="1173"/>
    </row>
    <row r="155" spans="1:12" s="502" customFormat="1" ht="67.5">
      <c r="A155" s="117">
        <v>10</v>
      </c>
      <c r="B155" s="471" t="s">
        <v>993</v>
      </c>
      <c r="C155" s="4" t="s">
        <v>879</v>
      </c>
      <c r="D155" s="4">
        <v>650</v>
      </c>
      <c r="E155" s="520">
        <v>216.09</v>
      </c>
      <c r="F155" s="521">
        <f>D155*E155</f>
        <v>140458.5</v>
      </c>
      <c r="G155" s="521">
        <v>296.09999999999985</v>
      </c>
      <c r="H155" s="521">
        <f t="shared" si="16"/>
        <v>63984.248999999967</v>
      </c>
      <c r="I155" s="522">
        <f>'MB ELELCTRICAL'!I653</f>
        <v>0</v>
      </c>
      <c r="J155" s="535">
        <f t="shared" si="17"/>
        <v>0</v>
      </c>
      <c r="K155" s="1173"/>
      <c r="L155" s="1173"/>
    </row>
    <row r="156" spans="1:12" s="502" customFormat="1" ht="54">
      <c r="A156" s="117">
        <v>11</v>
      </c>
      <c r="B156" s="471" t="s">
        <v>994</v>
      </c>
      <c r="C156" s="4"/>
      <c r="D156" s="4"/>
      <c r="E156" s="520">
        <v>0</v>
      </c>
      <c r="F156" s="521"/>
      <c r="G156" s="521"/>
      <c r="H156" s="521">
        <f t="shared" si="16"/>
        <v>0</v>
      </c>
      <c r="I156" s="522"/>
      <c r="J156" s="535">
        <f t="shared" si="17"/>
        <v>0</v>
      </c>
      <c r="K156" s="1173"/>
      <c r="L156" s="1173"/>
    </row>
    <row r="157" spans="1:12" s="502" customFormat="1" ht="13.5">
      <c r="A157" s="117" t="s">
        <v>883</v>
      </c>
      <c r="B157" s="486" t="s">
        <v>995</v>
      </c>
      <c r="C157" s="4" t="s">
        <v>879</v>
      </c>
      <c r="D157" s="4">
        <v>85</v>
      </c>
      <c r="E157" s="520">
        <v>96.04</v>
      </c>
      <c r="F157" s="521">
        <f>D157*E157</f>
        <v>8163.4000000000005</v>
      </c>
      <c r="G157" s="521"/>
      <c r="H157" s="521">
        <f t="shared" si="16"/>
        <v>0</v>
      </c>
      <c r="I157" s="522"/>
      <c r="J157" s="535">
        <f t="shared" si="17"/>
        <v>0</v>
      </c>
      <c r="K157" s="1173"/>
      <c r="L157" s="1173"/>
    </row>
    <row r="158" spans="1:12" s="502" customFormat="1" ht="13.5">
      <c r="A158" s="117"/>
      <c r="B158" s="491"/>
      <c r="C158" s="4"/>
      <c r="D158" s="4"/>
      <c r="E158" s="520">
        <v>0</v>
      </c>
      <c r="F158" s="521"/>
      <c r="G158" s="521"/>
      <c r="H158" s="521">
        <f t="shared" si="16"/>
        <v>0</v>
      </c>
      <c r="I158" s="522"/>
      <c r="J158" s="535">
        <f t="shared" si="17"/>
        <v>0</v>
      </c>
      <c r="K158" s="1173"/>
      <c r="L158" s="1173"/>
    </row>
    <row r="159" spans="1:12" s="502" customFormat="1" ht="13.5">
      <c r="A159" s="487"/>
      <c r="B159" s="488" t="s">
        <v>996</v>
      </c>
      <c r="C159" s="4"/>
      <c r="D159" s="4"/>
      <c r="E159" s="520">
        <v>0</v>
      </c>
      <c r="F159" s="521"/>
      <c r="G159" s="521"/>
      <c r="H159" s="521">
        <f t="shared" si="16"/>
        <v>0</v>
      </c>
      <c r="I159" s="522"/>
      <c r="J159" s="535">
        <f t="shared" si="17"/>
        <v>0</v>
      </c>
      <c r="K159" s="1173"/>
      <c r="L159" s="1173"/>
    </row>
    <row r="160" spans="1:12" s="502" customFormat="1" ht="54">
      <c r="A160" s="117">
        <v>1</v>
      </c>
      <c r="B160" s="471" t="s">
        <v>997</v>
      </c>
      <c r="C160" s="4" t="s">
        <v>657</v>
      </c>
      <c r="D160" s="4">
        <v>9</v>
      </c>
      <c r="E160" s="520">
        <v>1440.6</v>
      </c>
      <c r="F160" s="521">
        <f>D160*E160</f>
        <v>12965.4</v>
      </c>
      <c r="G160" s="521">
        <v>13</v>
      </c>
      <c r="H160" s="521">
        <f t="shared" si="16"/>
        <v>18727.8</v>
      </c>
      <c r="I160" s="522">
        <f>'MB ELELCTRICAL'!I674</f>
        <v>9</v>
      </c>
      <c r="J160" s="1176">
        <f t="shared" si="17"/>
        <v>12965.4</v>
      </c>
      <c r="K160" s="520">
        <f>'MB ELELCTRICAL'!I675</f>
        <v>4</v>
      </c>
      <c r="L160" s="1177">
        <f>K160*E160</f>
        <v>5762.4</v>
      </c>
    </row>
    <row r="161" spans="1:12" s="502" customFormat="1" ht="40.5">
      <c r="A161" s="117">
        <v>2</v>
      </c>
      <c r="B161" s="471" t="s">
        <v>998</v>
      </c>
      <c r="C161" s="4" t="s">
        <v>657</v>
      </c>
      <c r="D161" s="4" t="s">
        <v>864</v>
      </c>
      <c r="E161" s="520">
        <v>2401</v>
      </c>
      <c r="F161" s="521"/>
      <c r="G161" s="521">
        <v>1</v>
      </c>
      <c r="H161" s="521">
        <f t="shared" si="16"/>
        <v>2401</v>
      </c>
      <c r="I161" s="522">
        <f>'MB ELELCTRICAL'!I679</f>
        <v>0</v>
      </c>
      <c r="J161" s="535">
        <f t="shared" si="17"/>
        <v>0</v>
      </c>
      <c r="K161" s="1173"/>
      <c r="L161" s="1173"/>
    </row>
    <row r="162" spans="1:12" s="502" customFormat="1" ht="81">
      <c r="A162" s="117">
        <v>3</v>
      </c>
      <c r="B162" s="471" t="s">
        <v>999</v>
      </c>
      <c r="C162" s="4" t="s">
        <v>657</v>
      </c>
      <c r="D162" s="4">
        <v>1</v>
      </c>
      <c r="E162" s="520">
        <v>19208</v>
      </c>
      <c r="F162" s="521">
        <f>D162*E162</f>
        <v>19208</v>
      </c>
      <c r="G162" s="521">
        <v>1</v>
      </c>
      <c r="H162" s="521">
        <f t="shared" si="16"/>
        <v>19208</v>
      </c>
      <c r="I162" s="522">
        <f>'MB ELELCTRICAL'!I682</f>
        <v>0</v>
      </c>
      <c r="J162" s="535">
        <f t="shared" si="17"/>
        <v>0</v>
      </c>
      <c r="K162" s="1173"/>
      <c r="L162" s="1173"/>
    </row>
    <row r="163" spans="1:12" s="502" customFormat="1" ht="40.5">
      <c r="A163" s="117">
        <v>4</v>
      </c>
      <c r="B163" s="471" t="s">
        <v>1000</v>
      </c>
      <c r="C163" s="4" t="s">
        <v>657</v>
      </c>
      <c r="D163" s="4">
        <v>1</v>
      </c>
      <c r="E163" s="520">
        <v>9604</v>
      </c>
      <c r="F163" s="521">
        <f t="shared" ref="F163:F165" si="18">D163*E163</f>
        <v>9604</v>
      </c>
      <c r="G163" s="521">
        <v>1</v>
      </c>
      <c r="H163" s="521">
        <f t="shared" si="16"/>
        <v>9604</v>
      </c>
      <c r="I163" s="522">
        <f>'MB ELELCTRICAL'!I685</f>
        <v>0</v>
      </c>
      <c r="J163" s="535">
        <f t="shared" si="17"/>
        <v>0</v>
      </c>
      <c r="K163" s="1173"/>
      <c r="L163" s="1173"/>
    </row>
    <row r="164" spans="1:12" s="502" customFormat="1" ht="27">
      <c r="A164" s="117">
        <v>5</v>
      </c>
      <c r="B164" s="471" t="s">
        <v>1001</v>
      </c>
      <c r="C164" s="4" t="s">
        <v>657</v>
      </c>
      <c r="D164" s="4">
        <v>1</v>
      </c>
      <c r="E164" s="520">
        <v>9604</v>
      </c>
      <c r="F164" s="521">
        <f t="shared" si="18"/>
        <v>9604</v>
      </c>
      <c r="G164" s="521">
        <v>1</v>
      </c>
      <c r="H164" s="521">
        <f t="shared" si="16"/>
        <v>9604</v>
      </c>
      <c r="I164" s="522">
        <f>'MB ELELCTRICAL'!I688</f>
        <v>0</v>
      </c>
      <c r="J164" s="535">
        <f t="shared" si="17"/>
        <v>0</v>
      </c>
      <c r="K164" s="1173"/>
      <c r="L164" s="1173"/>
    </row>
    <row r="165" spans="1:12" s="502" customFormat="1" ht="13.5">
      <c r="A165" s="117">
        <v>6</v>
      </c>
      <c r="B165" s="471" t="s">
        <v>1002</v>
      </c>
      <c r="C165" s="4" t="s">
        <v>657</v>
      </c>
      <c r="D165" s="4">
        <v>1</v>
      </c>
      <c r="E165" s="520">
        <v>7203</v>
      </c>
      <c r="F165" s="521">
        <f t="shared" si="18"/>
        <v>7203</v>
      </c>
      <c r="G165" s="521">
        <v>1</v>
      </c>
      <c r="H165" s="521">
        <f t="shared" si="16"/>
        <v>7203</v>
      </c>
      <c r="I165" s="522">
        <f>'MB ELELCTRICAL'!I691</f>
        <v>1</v>
      </c>
      <c r="J165" s="535">
        <f t="shared" si="17"/>
        <v>7203</v>
      </c>
      <c r="K165" s="1173"/>
      <c r="L165" s="1173"/>
    </row>
    <row r="166" spans="1:12" s="502" customFormat="1" ht="13.5">
      <c r="A166" s="489"/>
      <c r="B166" s="469"/>
      <c r="C166" s="4"/>
      <c r="D166" s="4"/>
      <c r="E166" s="121"/>
      <c r="F166" s="531"/>
      <c r="G166" s="531"/>
      <c r="H166" s="521">
        <f t="shared" si="16"/>
        <v>0</v>
      </c>
      <c r="I166" s="522"/>
      <c r="J166" s="535">
        <f t="shared" si="17"/>
        <v>0</v>
      </c>
      <c r="K166" s="1173"/>
      <c r="L166" s="1173"/>
    </row>
    <row r="167" spans="1:12" s="502" customFormat="1">
      <c r="A167" s="539"/>
      <c r="B167" s="539" t="s">
        <v>1003</v>
      </c>
      <c r="C167" s="540"/>
      <c r="D167" s="540"/>
      <c r="E167" s="540"/>
      <c r="F167" s="541">
        <f>SUM(F144:F165)</f>
        <v>467858.86000000004</v>
      </c>
      <c r="G167" s="541"/>
      <c r="H167" s="541">
        <f>SUM(H144:H165)</f>
        <v>402141.08899999992</v>
      </c>
      <c r="I167" s="542"/>
      <c r="J167" s="541">
        <f>SUM(J144:J165)</f>
        <v>266414.95999999996</v>
      </c>
      <c r="K167" s="570"/>
      <c r="L167" s="541">
        <f>SUM(L144:L165)</f>
        <v>16518.88</v>
      </c>
    </row>
    <row r="168" spans="1:12" s="502" customFormat="1" ht="13.5">
      <c r="A168" s="490"/>
      <c r="B168" s="470"/>
      <c r="C168" s="489"/>
      <c r="D168" s="121"/>
      <c r="E168" s="121"/>
      <c r="F168" s="531"/>
      <c r="G168" s="531"/>
      <c r="H168" s="521">
        <f t="shared" si="16"/>
        <v>0</v>
      </c>
      <c r="I168" s="522"/>
      <c r="J168" s="535"/>
      <c r="K168" s="1173"/>
      <c r="L168" s="1173"/>
    </row>
    <row r="169" spans="1:12" s="502" customFormat="1">
      <c r="A169" s="540" t="s">
        <v>145</v>
      </c>
      <c r="B169" s="539" t="s">
        <v>1004</v>
      </c>
      <c r="C169" s="540"/>
      <c r="D169" s="540"/>
      <c r="E169" s="540"/>
      <c r="F169" s="541"/>
      <c r="G169" s="541"/>
      <c r="H169" s="541"/>
      <c r="I169" s="542"/>
      <c r="J169" s="570"/>
      <c r="K169" s="570"/>
      <c r="L169" s="570"/>
    </row>
    <row r="170" spans="1:12" s="502" customFormat="1" ht="13.5">
      <c r="A170" s="479"/>
      <c r="B170" s="491"/>
      <c r="C170" s="117"/>
      <c r="D170" s="537"/>
      <c r="E170" s="537"/>
      <c r="F170" s="521"/>
      <c r="G170" s="521"/>
      <c r="H170" s="521">
        <f t="shared" si="16"/>
        <v>0</v>
      </c>
      <c r="I170" s="522"/>
      <c r="J170" s="535"/>
      <c r="K170" s="1173"/>
      <c r="L170" s="1173"/>
    </row>
    <row r="171" spans="1:12" s="502" customFormat="1" ht="81">
      <c r="A171" s="117">
        <v>1</v>
      </c>
      <c r="B171" s="471" t="s">
        <v>1005</v>
      </c>
      <c r="C171" s="4" t="s">
        <v>657</v>
      </c>
      <c r="D171" s="4">
        <v>6</v>
      </c>
      <c r="E171" s="537">
        <v>4802</v>
      </c>
      <c r="F171" s="521">
        <f t="shared" ref="F171:F173" si="19">D171*E171</f>
        <v>28812</v>
      </c>
      <c r="G171" s="521">
        <v>12</v>
      </c>
      <c r="H171" s="521">
        <f t="shared" si="16"/>
        <v>57624</v>
      </c>
      <c r="I171" s="522">
        <f>'MB ELELCTRICAL'!I712</f>
        <v>6</v>
      </c>
      <c r="J171" s="535">
        <f>I171*E171</f>
        <v>28812</v>
      </c>
      <c r="K171" s="520">
        <f>'MB ELELCTRICAL'!I713</f>
        <v>6</v>
      </c>
      <c r="L171" s="1177">
        <f>K171*E171</f>
        <v>28812</v>
      </c>
    </row>
    <row r="172" spans="1:12" s="502" customFormat="1" ht="67.5">
      <c r="A172" s="117">
        <v>2</v>
      </c>
      <c r="B172" s="490" t="s">
        <v>1006</v>
      </c>
      <c r="C172" s="4" t="s">
        <v>657</v>
      </c>
      <c r="D172" s="4">
        <v>1</v>
      </c>
      <c r="E172" s="537">
        <v>19208</v>
      </c>
      <c r="F172" s="521">
        <f t="shared" si="19"/>
        <v>19208</v>
      </c>
      <c r="G172" s="521">
        <v>1</v>
      </c>
      <c r="H172" s="521">
        <f t="shared" si="16"/>
        <v>19208</v>
      </c>
      <c r="I172" s="522">
        <f>'MB ELELCTRICAL'!I716</f>
        <v>0</v>
      </c>
      <c r="J172" s="535">
        <f>I172*E172</f>
        <v>0</v>
      </c>
      <c r="K172" s="1173"/>
      <c r="L172" s="1173"/>
    </row>
    <row r="173" spans="1:12" s="502" customFormat="1" ht="40.5">
      <c r="A173" s="117">
        <v>3</v>
      </c>
      <c r="B173" s="479" t="s">
        <v>1007</v>
      </c>
      <c r="C173" s="4" t="s">
        <v>879</v>
      </c>
      <c r="D173" s="4">
        <v>200</v>
      </c>
      <c r="E173" s="537">
        <v>72.03</v>
      </c>
      <c r="F173" s="521">
        <f t="shared" si="19"/>
        <v>14406</v>
      </c>
      <c r="G173" s="521">
        <v>224.20000000000002</v>
      </c>
      <c r="H173" s="521">
        <f t="shared" si="16"/>
        <v>16149.126000000002</v>
      </c>
      <c r="I173" s="522">
        <f>'MB ELELCTRICAL'!I732</f>
        <v>0</v>
      </c>
      <c r="J173" s="535">
        <f>I173*E173</f>
        <v>0</v>
      </c>
      <c r="K173" s="1173"/>
      <c r="L173" s="1173"/>
    </row>
    <row r="174" spans="1:12" s="502" customFormat="1" ht="13.5">
      <c r="A174" s="117"/>
      <c r="B174" s="479"/>
      <c r="C174" s="4"/>
      <c r="D174" s="4"/>
      <c r="E174" s="537"/>
      <c r="F174" s="521"/>
      <c r="G174" s="521"/>
      <c r="H174" s="521">
        <f t="shared" si="16"/>
        <v>0</v>
      </c>
      <c r="I174" s="522"/>
      <c r="J174" s="535"/>
      <c r="K174" s="1173"/>
      <c r="L174" s="1173"/>
    </row>
    <row r="175" spans="1:12" ht="14">
      <c r="A175" s="526"/>
      <c r="B175" s="526" t="s">
        <v>1008</v>
      </c>
      <c r="C175" s="527"/>
      <c r="D175" s="527"/>
      <c r="E175" s="527"/>
      <c r="F175" s="528">
        <f>SUM(F171:F173)</f>
        <v>62426</v>
      </c>
      <c r="G175" s="528"/>
      <c r="H175" s="528">
        <f>SUM(H171:H173)</f>
        <v>92981.126000000004</v>
      </c>
      <c r="I175" s="543"/>
      <c r="J175" s="528">
        <f>SUM(J171:J173)</f>
        <v>28812</v>
      </c>
      <c r="K175" s="570"/>
      <c r="L175" s="528">
        <f>SUM(L171:L173)</f>
        <v>28812</v>
      </c>
    </row>
    <row r="176" spans="1:12" ht="13.5">
      <c r="A176" s="544"/>
      <c r="B176" s="545"/>
      <c r="C176" s="546"/>
      <c r="D176" s="547"/>
      <c r="E176" s="547"/>
      <c r="F176" s="534"/>
      <c r="G176" s="534"/>
      <c r="H176" s="521">
        <f t="shared" si="16"/>
        <v>0</v>
      </c>
      <c r="I176" s="519"/>
      <c r="J176" s="534"/>
      <c r="K176" s="1172"/>
      <c r="L176" s="1172"/>
    </row>
    <row r="177" spans="1:12" ht="43" customHeight="1">
      <c r="A177" s="548"/>
      <c r="B177" s="549" t="s">
        <v>1009</v>
      </c>
      <c r="C177" s="548"/>
      <c r="D177" s="550"/>
      <c r="E177" s="550"/>
      <c r="F177" s="551"/>
      <c r="G177" s="551"/>
      <c r="H177" s="1159">
        <f>SUM(H175+H167+H139+H84+H56)</f>
        <v>1481746.8973999999</v>
      </c>
      <c r="I177" s="552"/>
      <c r="J177" s="1159">
        <f>SUM(J175+J167+J139+J84+J56)</f>
        <v>967506.96</v>
      </c>
      <c r="K177" s="570"/>
      <c r="L177" s="1159">
        <f>SUM(L175+L167+L139+L84+L56)</f>
        <v>99977.640000000014</v>
      </c>
    </row>
    <row r="178" spans="1:12" ht="13.5">
      <c r="A178" s="544"/>
      <c r="B178" s="545"/>
      <c r="C178" s="546"/>
      <c r="D178" s="547"/>
      <c r="E178" s="547"/>
      <c r="F178" s="534"/>
      <c r="G178" s="534"/>
      <c r="H178" s="521">
        <f t="shared" si="16"/>
        <v>0</v>
      </c>
      <c r="I178" s="519"/>
      <c r="J178" s="534"/>
      <c r="K178" s="1172"/>
      <c r="L178" s="1172"/>
    </row>
    <row r="179" spans="1:12" ht="39" customHeight="1">
      <c r="A179" s="553"/>
      <c r="B179" s="554" t="s">
        <v>1010</v>
      </c>
      <c r="C179" s="553"/>
      <c r="D179" s="555"/>
      <c r="E179" s="556" t="s">
        <v>1875</v>
      </c>
      <c r="F179" s="557"/>
      <c r="G179" s="557"/>
      <c r="H179" s="557" t="s">
        <v>1895</v>
      </c>
      <c r="I179" s="558"/>
      <c r="J179" s="557"/>
      <c r="K179" s="557"/>
      <c r="L179" s="557"/>
    </row>
    <row r="180" spans="1:12" ht="14">
      <c r="A180" s="559">
        <v>4</v>
      </c>
      <c r="B180" s="560" t="s">
        <v>1011</v>
      </c>
      <c r="C180" s="561" t="s">
        <v>390</v>
      </c>
      <c r="D180" s="562"/>
      <c r="E180" s="206">
        <v>15000</v>
      </c>
      <c r="F180" s="563"/>
      <c r="G180" s="563">
        <v>1</v>
      </c>
      <c r="H180" s="521">
        <f t="shared" si="16"/>
        <v>15000</v>
      </c>
      <c r="I180" s="564"/>
      <c r="J180" s="563"/>
      <c r="K180" s="1172"/>
      <c r="L180" s="1172"/>
    </row>
    <row r="181" spans="1:12" ht="14">
      <c r="A181" s="559">
        <v>5</v>
      </c>
      <c r="B181" s="560" t="s">
        <v>1012</v>
      </c>
      <c r="C181" s="561" t="s">
        <v>390</v>
      </c>
      <c r="D181" s="562"/>
      <c r="E181" s="206">
        <v>3000</v>
      </c>
      <c r="F181" s="563"/>
      <c r="G181" s="563">
        <v>1</v>
      </c>
      <c r="H181" s="521">
        <f t="shared" si="16"/>
        <v>3000</v>
      </c>
      <c r="I181" s="564"/>
      <c r="J181" s="563"/>
      <c r="K181" s="1172"/>
      <c r="L181" s="1172"/>
    </row>
    <row r="182" spans="1:12" ht="14">
      <c r="A182" s="559">
        <v>6</v>
      </c>
      <c r="B182" s="560" t="s">
        <v>1013</v>
      </c>
      <c r="C182" s="561" t="s">
        <v>390</v>
      </c>
      <c r="D182" s="562"/>
      <c r="E182" s="206">
        <v>5900</v>
      </c>
      <c r="F182" s="563"/>
      <c r="G182" s="563">
        <v>1</v>
      </c>
      <c r="H182" s="521">
        <f t="shared" si="16"/>
        <v>5900</v>
      </c>
      <c r="I182" s="564"/>
      <c r="J182" s="563"/>
      <c r="K182" s="1172"/>
      <c r="L182" s="1172"/>
    </row>
    <row r="183" spans="1:12" ht="14">
      <c r="A183" s="559">
        <v>7</v>
      </c>
      <c r="B183" s="560" t="s">
        <v>1014</v>
      </c>
      <c r="C183" s="561" t="s">
        <v>390</v>
      </c>
      <c r="D183" s="562"/>
      <c r="E183" s="206">
        <v>18500</v>
      </c>
      <c r="F183" s="563"/>
      <c r="G183" s="563">
        <v>1</v>
      </c>
      <c r="H183" s="521">
        <f t="shared" si="16"/>
        <v>18500</v>
      </c>
      <c r="I183" s="564"/>
      <c r="J183" s="563"/>
      <c r="K183" s="1172"/>
      <c r="L183" s="1172"/>
    </row>
    <row r="184" spans="1:12" ht="14">
      <c r="A184" s="559">
        <v>8</v>
      </c>
      <c r="B184" s="560" t="s">
        <v>1015</v>
      </c>
      <c r="C184" s="561" t="s">
        <v>390</v>
      </c>
      <c r="D184" s="562"/>
      <c r="E184" s="564">
        <v>8000</v>
      </c>
      <c r="F184" s="563"/>
      <c r="G184" s="563">
        <v>2</v>
      </c>
      <c r="H184" s="521">
        <f t="shared" si="16"/>
        <v>16000</v>
      </c>
      <c r="I184" s="564"/>
      <c r="J184" s="563"/>
      <c r="K184" s="1172"/>
      <c r="L184" s="1172"/>
    </row>
    <row r="185" spans="1:12" ht="14">
      <c r="A185" s="559"/>
      <c r="B185" s="560"/>
      <c r="C185" s="561"/>
      <c r="D185" s="562"/>
      <c r="E185" s="564"/>
      <c r="F185" s="563"/>
      <c r="G185" s="563"/>
      <c r="H185" s="521">
        <f t="shared" si="16"/>
        <v>0</v>
      </c>
      <c r="I185" s="564"/>
      <c r="J185" s="563"/>
      <c r="K185" s="1172"/>
      <c r="L185" s="1172"/>
    </row>
    <row r="186" spans="1:12" ht="62.5">
      <c r="A186" s="68" t="s">
        <v>4</v>
      </c>
      <c r="B186" s="496" t="s">
        <v>1016</v>
      </c>
      <c r="C186" s="565"/>
      <c r="D186" s="566"/>
      <c r="E186" s="568">
        <v>4500</v>
      </c>
      <c r="F186" s="567"/>
      <c r="G186" s="567">
        <v>15</v>
      </c>
      <c r="H186" s="521">
        <f t="shared" si="16"/>
        <v>67500</v>
      </c>
      <c r="I186" s="568">
        <f>'MB ELELCTRICAL'!I751</f>
        <v>0</v>
      </c>
      <c r="J186" s="567"/>
      <c r="K186" s="1172"/>
      <c r="L186" s="1172"/>
    </row>
    <row r="187" spans="1:12" ht="13.5">
      <c r="A187" s="569"/>
      <c r="B187" s="545"/>
      <c r="C187" s="546"/>
      <c r="D187" s="547"/>
      <c r="E187" s="519"/>
      <c r="F187" s="534"/>
      <c r="G187" s="534"/>
      <c r="H187" s="521">
        <f t="shared" si="16"/>
        <v>0</v>
      </c>
      <c r="I187" s="519"/>
      <c r="J187" s="534"/>
      <c r="K187" s="1172"/>
      <c r="L187" s="1172"/>
    </row>
    <row r="188" spans="1:12" ht="62.5">
      <c r="A188" s="68" t="s">
        <v>883</v>
      </c>
      <c r="B188" s="496" t="s">
        <v>1017</v>
      </c>
      <c r="C188" s="546"/>
      <c r="D188" s="547"/>
      <c r="E188" s="519">
        <v>4000</v>
      </c>
      <c r="F188" s="534"/>
      <c r="G188" s="534">
        <v>7</v>
      </c>
      <c r="H188" s="521">
        <f t="shared" si="16"/>
        <v>28000</v>
      </c>
      <c r="I188" s="519">
        <f>'MB ELELCTRICAL'!I760</f>
        <v>0</v>
      </c>
      <c r="J188" s="567"/>
      <c r="K188" s="1172"/>
      <c r="L188" s="1172"/>
    </row>
    <row r="189" spans="1:12" ht="13.5">
      <c r="A189" s="569"/>
      <c r="B189" s="545"/>
      <c r="C189" s="546"/>
      <c r="D189" s="547"/>
      <c r="E189" s="519"/>
      <c r="F189" s="534"/>
      <c r="G189" s="534"/>
      <c r="H189" s="521">
        <f t="shared" si="16"/>
        <v>0</v>
      </c>
      <c r="I189" s="519"/>
      <c r="J189" s="534"/>
      <c r="K189" s="1172"/>
      <c r="L189" s="1172"/>
    </row>
    <row r="190" spans="1:12" ht="62.5">
      <c r="A190" s="68" t="s">
        <v>10</v>
      </c>
      <c r="B190" s="496" t="s">
        <v>1018</v>
      </c>
      <c r="C190" s="546"/>
      <c r="D190" s="547"/>
      <c r="E190" s="519">
        <v>3000</v>
      </c>
      <c r="F190" s="534"/>
      <c r="G190" s="534">
        <v>6</v>
      </c>
      <c r="H190" s="521">
        <f t="shared" si="16"/>
        <v>18000</v>
      </c>
      <c r="I190" s="519">
        <f>'MB ELELCTRICAL'!I770</f>
        <v>0</v>
      </c>
      <c r="J190" s="567"/>
      <c r="K190" s="1172"/>
      <c r="L190" s="1172"/>
    </row>
    <row r="191" spans="1:12" ht="13.5">
      <c r="A191" s="569"/>
      <c r="B191" s="545"/>
      <c r="C191" s="546"/>
      <c r="D191" s="547"/>
      <c r="E191" s="519"/>
      <c r="F191" s="534"/>
      <c r="G191" s="534"/>
      <c r="H191" s="521">
        <f t="shared" si="16"/>
        <v>0</v>
      </c>
      <c r="I191" s="519"/>
      <c r="J191" s="534"/>
      <c r="K191" s="1172"/>
      <c r="L191" s="1172"/>
    </row>
    <row r="192" spans="1:12" ht="62.5">
      <c r="A192" s="68" t="s">
        <v>886</v>
      </c>
      <c r="B192" s="496" t="s">
        <v>1019</v>
      </c>
      <c r="C192" s="546"/>
      <c r="D192" s="547"/>
      <c r="E192" s="519">
        <v>2300</v>
      </c>
      <c r="F192" s="534"/>
      <c r="G192" s="534">
        <v>6</v>
      </c>
      <c r="H192" s="521">
        <f t="shared" si="16"/>
        <v>13800</v>
      </c>
      <c r="I192" s="519">
        <f>'MB ELELCTRICAL'!I782</f>
        <v>0</v>
      </c>
      <c r="J192" s="567"/>
      <c r="K192" s="1172"/>
      <c r="L192" s="1172"/>
    </row>
    <row r="193" spans="1:12" ht="13.5">
      <c r="A193" s="569"/>
      <c r="B193" s="545"/>
      <c r="C193" s="546"/>
      <c r="D193" s="547"/>
      <c r="E193" s="519"/>
      <c r="F193" s="534"/>
      <c r="G193" s="534"/>
      <c r="H193" s="521">
        <f t="shared" si="16"/>
        <v>0</v>
      </c>
      <c r="I193" s="519"/>
      <c r="J193" s="534"/>
      <c r="K193" s="1172"/>
      <c r="L193" s="1172"/>
    </row>
    <row r="194" spans="1:12" ht="54">
      <c r="A194" s="487" t="s">
        <v>138</v>
      </c>
      <c r="B194" s="471" t="s">
        <v>1020</v>
      </c>
      <c r="C194" s="546"/>
      <c r="D194" s="547"/>
      <c r="E194" s="519">
        <v>225</v>
      </c>
      <c r="F194" s="534"/>
      <c r="G194" s="534">
        <v>336.79999999999995</v>
      </c>
      <c r="H194" s="521">
        <f t="shared" si="16"/>
        <v>75779.999999999985</v>
      </c>
      <c r="I194" s="519">
        <f>'MB ELELCTRICAL'!I819</f>
        <v>0</v>
      </c>
      <c r="J194" s="567"/>
      <c r="K194" s="1172"/>
      <c r="L194" s="1172"/>
    </row>
    <row r="195" spans="1:12" ht="13.5">
      <c r="A195" s="569"/>
      <c r="B195" s="545"/>
      <c r="C195" s="546"/>
      <c r="D195" s="547"/>
      <c r="E195" s="519"/>
      <c r="F195" s="534"/>
      <c r="G195" s="534"/>
      <c r="H195" s="521">
        <f t="shared" si="16"/>
        <v>0</v>
      </c>
      <c r="I195" s="519"/>
      <c r="J195" s="534"/>
      <c r="K195" s="1172"/>
      <c r="L195" s="1172"/>
    </row>
    <row r="196" spans="1:12" ht="14">
      <c r="A196" s="487" t="s">
        <v>23</v>
      </c>
      <c r="B196" s="571" t="s">
        <v>1021</v>
      </c>
      <c r="C196" s="546"/>
      <c r="D196" s="547"/>
      <c r="E196" s="519">
        <v>1800</v>
      </c>
      <c r="F196" s="534"/>
      <c r="G196" s="534">
        <v>1</v>
      </c>
      <c r="H196" s="521">
        <f t="shared" si="16"/>
        <v>1800</v>
      </c>
      <c r="I196" s="519">
        <f>'MB ELELCTRICAL'!I823</f>
        <v>0</v>
      </c>
      <c r="J196" s="567"/>
      <c r="K196" s="1172"/>
      <c r="L196" s="1172"/>
    </row>
    <row r="197" spans="1:12" ht="13">
      <c r="A197" s="569"/>
      <c r="B197" s="545"/>
      <c r="C197" s="546"/>
      <c r="D197" s="547"/>
      <c r="E197" s="547"/>
      <c r="F197" s="534"/>
      <c r="G197" s="534"/>
      <c r="H197" s="534"/>
      <c r="I197" s="519"/>
      <c r="J197" s="534"/>
      <c r="K197" s="1172"/>
      <c r="L197" s="1172"/>
    </row>
    <row r="198" spans="1:12" ht="15.5">
      <c r="A198" s="157"/>
      <c r="B198" s="572" t="s">
        <v>105</v>
      </c>
      <c r="C198" s="573"/>
      <c r="D198" s="574"/>
      <c r="E198" s="574"/>
      <c r="F198" s="575"/>
      <c r="G198" s="575"/>
      <c r="H198" s="575">
        <f>SUM(H180:H197)</f>
        <v>263280</v>
      </c>
      <c r="I198" s="576"/>
      <c r="J198" s="577"/>
      <c r="K198" s="577"/>
      <c r="L198" s="575">
        <f>SUM(L180:L197)</f>
        <v>0</v>
      </c>
    </row>
    <row r="199" spans="1:12">
      <c r="A199" s="544"/>
      <c r="B199" s="545"/>
      <c r="C199" s="546"/>
      <c r="D199" s="547"/>
      <c r="E199" s="547"/>
      <c r="F199" s="534"/>
      <c r="G199" s="534"/>
      <c r="H199" s="534"/>
      <c r="I199" s="519"/>
      <c r="J199" s="534"/>
      <c r="K199" s="1172"/>
      <c r="L199" s="1172"/>
    </row>
    <row r="200" spans="1:12">
      <c r="A200" s="544"/>
      <c r="B200" s="545"/>
      <c r="C200" s="546"/>
      <c r="D200" s="547"/>
      <c r="E200" s="547"/>
      <c r="F200" s="534"/>
      <c r="G200" s="534"/>
      <c r="H200" s="534"/>
      <c r="I200" s="519"/>
      <c r="J200" s="534"/>
      <c r="K200" s="1172"/>
      <c r="L200" s="1172"/>
    </row>
    <row r="201" spans="1:12">
      <c r="A201" s="544"/>
      <c r="B201" s="545"/>
      <c r="C201" s="546"/>
      <c r="D201" s="547"/>
      <c r="E201" s="547"/>
      <c r="F201" s="534"/>
      <c r="G201" s="534"/>
      <c r="H201" s="534"/>
      <c r="I201" s="519"/>
      <c r="J201" s="534"/>
      <c r="K201" s="1172"/>
      <c r="L201" s="1172"/>
    </row>
  </sheetData>
  <mergeCells count="13">
    <mergeCell ref="A1:J4"/>
    <mergeCell ref="A5:A6"/>
    <mergeCell ref="B5:B6"/>
    <mergeCell ref="C5:C6"/>
    <mergeCell ref="D5:D6"/>
    <mergeCell ref="E5:E6"/>
    <mergeCell ref="G5:G6"/>
    <mergeCell ref="H5:H6"/>
    <mergeCell ref="K5:K6"/>
    <mergeCell ref="L5:L6"/>
    <mergeCell ref="F5:F6"/>
    <mergeCell ref="I5:I6"/>
    <mergeCell ref="J5:J6"/>
  </mergeCells>
  <pageMargins left="0.7" right="0.7" top="0.75" bottom="0.75" header="0.3" footer="0.3"/>
  <pageSetup scale="39" orientation="portrait" r:id="rId1"/>
  <colBreaks count="1" manualBreakCount="1">
    <brk id="12" max="2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23"/>
  <sheetViews>
    <sheetView view="pageBreakPreview" zoomScale="80" zoomScaleNormal="100" workbookViewId="0">
      <pane ySplit="2" topLeftCell="A407" activePane="bottomLeft" state="frozen"/>
      <selection pane="bottomLeft" activeCell="A546" sqref="A546"/>
    </sheetView>
  </sheetViews>
  <sheetFormatPr defaultColWidth="68.81640625" defaultRowHeight="12.5"/>
  <cols>
    <col min="1" max="1" width="8.1796875" style="440" customWidth="1"/>
    <col min="2" max="2" width="12.54296875" style="439" customWidth="1"/>
    <col min="3" max="3" width="69.81640625" style="439" customWidth="1"/>
    <col min="4" max="4" width="6" style="439" customWidth="1"/>
    <col min="5" max="5" width="6.36328125" style="440" customWidth="1"/>
    <col min="6" max="6" width="5.6328125" style="439" customWidth="1"/>
    <col min="7" max="7" width="5.453125" style="439" customWidth="1"/>
    <col min="8" max="8" width="5.54296875" style="439" customWidth="1"/>
    <col min="9" max="9" width="10.453125" style="439" customWidth="1"/>
    <col min="10" max="16384" width="68.81640625" style="439"/>
  </cols>
  <sheetData>
    <row r="1" spans="1:9" ht="15.5">
      <c r="A1" s="441" t="s">
        <v>1022</v>
      </c>
      <c r="B1" s="441" t="s">
        <v>1023</v>
      </c>
      <c r="C1" s="441" t="s">
        <v>477</v>
      </c>
      <c r="D1" s="441" t="s">
        <v>850</v>
      </c>
      <c r="E1" s="442" t="s">
        <v>1024</v>
      </c>
      <c r="F1" s="442" t="s">
        <v>241</v>
      </c>
      <c r="G1" s="442" t="s">
        <v>10</v>
      </c>
      <c r="H1" s="442" t="s">
        <v>242</v>
      </c>
      <c r="I1" s="442" t="s">
        <v>243</v>
      </c>
    </row>
    <row r="2" spans="1:9" ht="15.5">
      <c r="A2" s="1267" t="s">
        <v>1025</v>
      </c>
      <c r="B2" s="1267"/>
      <c r="C2" s="1267"/>
      <c r="D2" s="1267"/>
      <c r="E2" s="1267"/>
      <c r="F2" s="1267"/>
      <c r="G2" s="1267"/>
      <c r="H2" s="1267"/>
      <c r="I2" s="1267"/>
    </row>
    <row r="3" spans="1:9" ht="14.5">
      <c r="A3" s="45">
        <v>1</v>
      </c>
      <c r="B3" s="443" t="s">
        <v>854</v>
      </c>
      <c r="C3" s="443" t="s">
        <v>855</v>
      </c>
      <c r="D3" s="444"/>
      <c r="E3" s="445"/>
      <c r="F3" s="444"/>
      <c r="G3" s="444"/>
      <c r="H3" s="444"/>
      <c r="I3" s="444"/>
    </row>
    <row r="4" spans="1:9" ht="14.5">
      <c r="A4" s="45">
        <v>2</v>
      </c>
      <c r="B4" s="446" t="s">
        <v>4</v>
      </c>
      <c r="C4" s="443" t="s">
        <v>856</v>
      </c>
      <c r="D4" s="444"/>
      <c r="E4" s="445"/>
      <c r="F4" s="444"/>
      <c r="G4" s="444"/>
      <c r="H4" s="444"/>
      <c r="I4" s="444"/>
    </row>
    <row r="5" spans="1:9" ht="148.5">
      <c r="A5" s="45">
        <v>3</v>
      </c>
      <c r="B5" s="4">
        <v>1.1000000000000001</v>
      </c>
      <c r="C5" s="119" t="s">
        <v>857</v>
      </c>
      <c r="D5" s="447" t="s">
        <v>1024</v>
      </c>
      <c r="E5" s="45"/>
      <c r="F5" s="448"/>
      <c r="G5" s="448"/>
      <c r="H5" s="448"/>
      <c r="I5" s="448"/>
    </row>
    <row r="6" spans="1:9" ht="13.5">
      <c r="A6" s="45"/>
      <c r="B6" s="4"/>
      <c r="C6" s="449" t="s">
        <v>1026</v>
      </c>
      <c r="D6" s="447"/>
      <c r="E6" s="45"/>
      <c r="F6" s="448"/>
      <c r="G6" s="448"/>
      <c r="H6" s="448"/>
      <c r="I6" s="448"/>
    </row>
    <row r="7" spans="1:9" ht="13.5">
      <c r="A7" s="45">
        <v>4</v>
      </c>
      <c r="B7" s="4"/>
      <c r="C7" s="449" t="s">
        <v>1027</v>
      </c>
      <c r="D7" s="447"/>
      <c r="E7" s="45"/>
      <c r="F7" s="448"/>
      <c r="G7" s="448"/>
      <c r="H7" s="448"/>
      <c r="I7" s="448"/>
    </row>
    <row r="8" spans="1:9" ht="13.5">
      <c r="A8" s="45">
        <v>5</v>
      </c>
      <c r="B8" s="4"/>
      <c r="C8" s="119" t="s">
        <v>1028</v>
      </c>
      <c r="D8" s="447" t="s">
        <v>1024</v>
      </c>
      <c r="E8" s="45">
        <v>1</v>
      </c>
      <c r="F8" s="448"/>
      <c r="G8" s="448"/>
      <c r="H8" s="448"/>
      <c r="I8" s="458">
        <f t="shared" ref="I8:I17" si="0">E8</f>
        <v>1</v>
      </c>
    </row>
    <row r="9" spans="1:9" ht="13.5">
      <c r="A9" s="45">
        <v>6</v>
      </c>
      <c r="B9" s="4"/>
      <c r="C9" s="119" t="s">
        <v>1029</v>
      </c>
      <c r="D9" s="447" t="s">
        <v>1024</v>
      </c>
      <c r="E9" s="45">
        <v>1</v>
      </c>
      <c r="F9" s="448"/>
      <c r="G9" s="448"/>
      <c r="H9" s="448"/>
      <c r="I9" s="458">
        <f t="shared" si="0"/>
        <v>1</v>
      </c>
    </row>
    <row r="10" spans="1:9" ht="13.5">
      <c r="A10" s="45">
        <v>7</v>
      </c>
      <c r="B10" s="4"/>
      <c r="C10" s="119" t="s">
        <v>1030</v>
      </c>
      <c r="D10" s="447" t="s">
        <v>1024</v>
      </c>
      <c r="E10" s="45">
        <v>1</v>
      </c>
      <c r="F10" s="448"/>
      <c r="G10" s="448"/>
      <c r="H10" s="448"/>
      <c r="I10" s="458">
        <f t="shared" si="0"/>
        <v>1</v>
      </c>
    </row>
    <row r="11" spans="1:9" ht="13.5">
      <c r="A11" s="45">
        <v>8</v>
      </c>
      <c r="B11" s="4"/>
      <c r="C11" s="119" t="s">
        <v>1031</v>
      </c>
      <c r="D11" s="447" t="s">
        <v>1024</v>
      </c>
      <c r="E11" s="45">
        <v>1</v>
      </c>
      <c r="F11" s="448"/>
      <c r="G11" s="448"/>
      <c r="H11" s="448"/>
      <c r="I11" s="458">
        <f t="shared" si="0"/>
        <v>1</v>
      </c>
    </row>
    <row r="12" spans="1:9" ht="13.5">
      <c r="A12" s="45">
        <v>9</v>
      </c>
      <c r="B12" s="4"/>
      <c r="C12" s="119" t="s">
        <v>1032</v>
      </c>
      <c r="D12" s="447" t="s">
        <v>1024</v>
      </c>
      <c r="E12" s="45">
        <v>1</v>
      </c>
      <c r="F12" s="448"/>
      <c r="G12" s="448"/>
      <c r="H12" s="448"/>
      <c r="I12" s="458">
        <f t="shared" si="0"/>
        <v>1</v>
      </c>
    </row>
    <row r="13" spans="1:9" ht="13.5">
      <c r="A13" s="45">
        <v>10</v>
      </c>
      <c r="B13" s="4"/>
      <c r="C13" s="119" t="s">
        <v>1033</v>
      </c>
      <c r="D13" s="447" t="s">
        <v>1024</v>
      </c>
      <c r="E13" s="45">
        <v>1</v>
      </c>
      <c r="F13" s="448"/>
      <c r="G13" s="448"/>
      <c r="H13" s="448"/>
      <c r="I13" s="458">
        <f t="shared" si="0"/>
        <v>1</v>
      </c>
    </row>
    <row r="14" spans="1:9" ht="13.5">
      <c r="A14" s="45">
        <v>11</v>
      </c>
      <c r="B14" s="4"/>
      <c r="C14" s="119" t="s">
        <v>1034</v>
      </c>
      <c r="D14" s="447" t="s">
        <v>1024</v>
      </c>
      <c r="E14" s="45">
        <v>1</v>
      </c>
      <c r="F14" s="448"/>
      <c r="G14" s="448"/>
      <c r="H14" s="448"/>
      <c r="I14" s="458">
        <f t="shared" si="0"/>
        <v>1</v>
      </c>
    </row>
    <row r="15" spans="1:9" ht="13.5">
      <c r="A15" s="45">
        <v>12</v>
      </c>
      <c r="B15" s="4"/>
      <c r="C15" s="119" t="s">
        <v>1035</v>
      </c>
      <c r="D15" s="447" t="s">
        <v>1024</v>
      </c>
      <c r="E15" s="45">
        <v>1</v>
      </c>
      <c r="F15" s="448"/>
      <c r="G15" s="448"/>
      <c r="H15" s="448"/>
      <c r="I15" s="458">
        <f t="shared" si="0"/>
        <v>1</v>
      </c>
    </row>
    <row r="16" spans="1:9" ht="13.5">
      <c r="A16" s="45">
        <v>13</v>
      </c>
      <c r="B16" s="4"/>
      <c r="C16" s="119" t="s">
        <v>1036</v>
      </c>
      <c r="D16" s="447" t="s">
        <v>1024</v>
      </c>
      <c r="E16" s="45">
        <v>1</v>
      </c>
      <c r="F16" s="448"/>
      <c r="G16" s="448"/>
      <c r="H16" s="448"/>
      <c r="I16" s="458">
        <f t="shared" si="0"/>
        <v>1</v>
      </c>
    </row>
    <row r="17" spans="1:9" ht="13.5">
      <c r="A17" s="45"/>
      <c r="B17" s="4"/>
      <c r="C17" s="119" t="s">
        <v>1037</v>
      </c>
      <c r="D17" s="447" t="s">
        <v>1024</v>
      </c>
      <c r="E17" s="45">
        <v>1</v>
      </c>
      <c r="F17" s="448"/>
      <c r="G17" s="448"/>
      <c r="H17" s="448"/>
      <c r="I17" s="458">
        <f t="shared" si="0"/>
        <v>1</v>
      </c>
    </row>
    <row r="18" spans="1:9" ht="13.5">
      <c r="A18" s="56">
        <v>18</v>
      </c>
      <c r="B18" s="450"/>
      <c r="C18" s="451" t="s">
        <v>481</v>
      </c>
      <c r="D18" s="452"/>
      <c r="E18" s="56"/>
      <c r="F18" s="453"/>
      <c r="G18" s="453"/>
      <c r="H18" s="453"/>
      <c r="I18" s="459">
        <f>SUM(I8:I17)</f>
        <v>10</v>
      </c>
    </row>
    <row r="19" spans="1:9" ht="13.5">
      <c r="A19" s="45"/>
      <c r="B19" s="4"/>
      <c r="C19" s="454"/>
      <c r="D19" s="447"/>
      <c r="E19" s="45"/>
      <c r="F19" s="448"/>
      <c r="G19" s="448"/>
      <c r="H19" s="448"/>
      <c r="I19" s="460"/>
    </row>
    <row r="20" spans="1:9" ht="121.5">
      <c r="A20" s="45">
        <v>29</v>
      </c>
      <c r="B20" s="4">
        <v>1.2</v>
      </c>
      <c r="C20" s="327" t="s">
        <v>858</v>
      </c>
      <c r="D20" s="447" t="s">
        <v>657</v>
      </c>
      <c r="E20" s="45"/>
      <c r="F20" s="448"/>
      <c r="G20" s="448"/>
      <c r="H20" s="448"/>
      <c r="I20" s="458"/>
    </row>
    <row r="21" spans="1:9" ht="13.5">
      <c r="A21" s="45"/>
      <c r="B21" s="4"/>
      <c r="C21" s="327" t="s">
        <v>1038</v>
      </c>
      <c r="D21" s="447" t="s">
        <v>1024</v>
      </c>
      <c r="E21" s="45">
        <v>1</v>
      </c>
      <c r="F21" s="448"/>
      <c r="G21" s="448"/>
      <c r="H21" s="448"/>
      <c r="I21" s="458">
        <f>E21</f>
        <v>1</v>
      </c>
    </row>
    <row r="22" spans="1:9" ht="13.5">
      <c r="A22" s="45"/>
      <c r="B22" s="4"/>
      <c r="C22" s="327" t="s">
        <v>1039</v>
      </c>
      <c r="D22" s="447" t="s">
        <v>1024</v>
      </c>
      <c r="E22" s="45">
        <v>1</v>
      </c>
      <c r="F22" s="448"/>
      <c r="G22" s="448"/>
      <c r="H22" s="448"/>
      <c r="I22" s="458">
        <f>E22</f>
        <v>1</v>
      </c>
    </row>
    <row r="23" spans="1:9" ht="13.5">
      <c r="A23" s="56"/>
      <c r="B23" s="450"/>
      <c r="C23" s="455" t="s">
        <v>481</v>
      </c>
      <c r="D23" s="452"/>
      <c r="E23" s="56"/>
      <c r="F23" s="453"/>
      <c r="G23" s="453"/>
      <c r="H23" s="453"/>
      <c r="I23" s="459">
        <f>SUM(I21:I22)</f>
        <v>2</v>
      </c>
    </row>
    <row r="24" spans="1:9" ht="13.5">
      <c r="A24" s="45"/>
      <c r="B24" s="4"/>
      <c r="C24" s="327"/>
      <c r="D24" s="447"/>
      <c r="E24" s="45"/>
      <c r="F24" s="448"/>
      <c r="G24" s="448"/>
      <c r="H24" s="448"/>
      <c r="I24" s="460"/>
    </row>
    <row r="25" spans="1:9" ht="121.5">
      <c r="A25" s="45">
        <v>30</v>
      </c>
      <c r="B25" s="4">
        <v>1.3</v>
      </c>
      <c r="C25" s="327" t="s">
        <v>859</v>
      </c>
      <c r="D25" s="447" t="s">
        <v>657</v>
      </c>
      <c r="E25" s="45"/>
      <c r="F25" s="448"/>
      <c r="G25" s="448"/>
      <c r="H25" s="448"/>
      <c r="I25" s="458"/>
    </row>
    <row r="26" spans="1:9" ht="13.5">
      <c r="A26" s="45"/>
      <c r="B26" s="4"/>
      <c r="C26" s="449" t="s">
        <v>1040</v>
      </c>
      <c r="D26" s="447"/>
      <c r="E26" s="45"/>
      <c r="F26" s="448"/>
      <c r="G26" s="448"/>
      <c r="H26" s="448"/>
      <c r="I26" s="458"/>
    </row>
    <row r="27" spans="1:9" ht="13.5">
      <c r="A27" s="45"/>
      <c r="B27" s="4"/>
      <c r="C27" s="119" t="s">
        <v>1041</v>
      </c>
      <c r="D27" s="447" t="s">
        <v>1024</v>
      </c>
      <c r="E27" s="45">
        <v>1</v>
      </c>
      <c r="F27" s="448"/>
      <c r="G27" s="448"/>
      <c r="H27" s="448"/>
      <c r="I27" s="458">
        <f>E27</f>
        <v>1</v>
      </c>
    </row>
    <row r="28" spans="1:9" ht="13.5">
      <c r="A28" s="45"/>
      <c r="B28" s="4"/>
      <c r="C28" s="119" t="s">
        <v>1042</v>
      </c>
      <c r="D28" s="447" t="s">
        <v>1024</v>
      </c>
      <c r="E28" s="45">
        <v>1</v>
      </c>
      <c r="F28" s="448"/>
      <c r="G28" s="448"/>
      <c r="H28" s="448"/>
      <c r="I28" s="458">
        <f>E28</f>
        <v>1</v>
      </c>
    </row>
    <row r="29" spans="1:9" ht="13.5">
      <c r="A29" s="45"/>
      <c r="B29" s="4"/>
      <c r="C29" s="119" t="s">
        <v>1043</v>
      </c>
      <c r="D29" s="447" t="s">
        <v>1024</v>
      </c>
      <c r="E29" s="45">
        <v>1</v>
      </c>
      <c r="F29" s="448"/>
      <c r="G29" s="448"/>
      <c r="H29" s="448"/>
      <c r="I29" s="458">
        <f>E29</f>
        <v>1</v>
      </c>
    </row>
    <row r="30" spans="1:9" ht="13.5">
      <c r="A30" s="56"/>
      <c r="B30" s="450"/>
      <c r="C30" s="456" t="s">
        <v>1894</v>
      </c>
      <c r="D30" s="452"/>
      <c r="E30" s="56"/>
      <c r="F30" s="453"/>
      <c r="G30" s="453"/>
      <c r="H30" s="453"/>
      <c r="I30" s="459">
        <f>SUM(I27:I29)</f>
        <v>3</v>
      </c>
    </row>
    <row r="31" spans="1:9" ht="13.5">
      <c r="A31" s="56"/>
      <c r="B31" s="450"/>
      <c r="C31" s="456" t="s">
        <v>1892</v>
      </c>
      <c r="D31" s="452"/>
      <c r="E31" s="56"/>
      <c r="F31" s="453"/>
      <c r="G31" s="453"/>
      <c r="H31" s="453"/>
      <c r="I31" s="459">
        <v>2</v>
      </c>
    </row>
    <row r="32" spans="1:9" ht="13.5">
      <c r="A32" s="56"/>
      <c r="B32" s="450"/>
      <c r="C32" s="456" t="s">
        <v>1893</v>
      </c>
      <c r="D32" s="452"/>
      <c r="E32" s="56"/>
      <c r="F32" s="453"/>
      <c r="G32" s="453"/>
      <c r="H32" s="453"/>
      <c r="I32" s="459">
        <v>1</v>
      </c>
    </row>
    <row r="33" spans="1:9" ht="13.5">
      <c r="A33" s="45"/>
      <c r="B33" s="4"/>
      <c r="C33" s="457" t="s">
        <v>813</v>
      </c>
      <c r="D33" s="447"/>
      <c r="E33" s="45"/>
      <c r="F33" s="448"/>
      <c r="G33" s="448"/>
      <c r="H33" s="448"/>
      <c r="I33" s="460">
        <f>SUM(I31:I32)</f>
        <v>3</v>
      </c>
    </row>
    <row r="34" spans="1:9" ht="108">
      <c r="A34" s="45">
        <v>31</v>
      </c>
      <c r="B34" s="4">
        <v>1.4</v>
      </c>
      <c r="C34" s="327" t="s">
        <v>860</v>
      </c>
      <c r="D34" s="447" t="s">
        <v>657</v>
      </c>
      <c r="E34" s="45"/>
      <c r="F34" s="448"/>
      <c r="G34" s="448"/>
      <c r="H34" s="448"/>
      <c r="I34" s="458"/>
    </row>
    <row r="35" spans="1:9" ht="13.5">
      <c r="A35" s="45"/>
      <c r="B35" s="4"/>
      <c r="C35" s="334" t="s">
        <v>1044</v>
      </c>
      <c r="D35" s="447"/>
      <c r="E35" s="45"/>
      <c r="F35" s="448"/>
      <c r="G35" s="448"/>
      <c r="H35" s="448"/>
      <c r="I35" s="458"/>
    </row>
    <row r="36" spans="1:9" ht="13.5">
      <c r="A36" s="45"/>
      <c r="B36" s="4"/>
      <c r="C36" s="327" t="s">
        <v>1045</v>
      </c>
      <c r="D36" s="447" t="s">
        <v>1024</v>
      </c>
      <c r="E36" s="45">
        <v>1</v>
      </c>
      <c r="F36" s="448"/>
      <c r="G36" s="448"/>
      <c r="H36" s="448"/>
      <c r="I36" s="458">
        <f t="shared" ref="I36:I40" si="1">E36</f>
        <v>1</v>
      </c>
    </row>
    <row r="37" spans="1:9" ht="13.5">
      <c r="A37" s="45"/>
      <c r="B37" s="4"/>
      <c r="C37" s="327" t="s">
        <v>1046</v>
      </c>
      <c r="D37" s="447" t="s">
        <v>1024</v>
      </c>
      <c r="E37" s="45">
        <v>1</v>
      </c>
      <c r="F37" s="448"/>
      <c r="G37" s="448"/>
      <c r="H37" s="448"/>
      <c r="I37" s="458">
        <f t="shared" si="1"/>
        <v>1</v>
      </c>
    </row>
    <row r="38" spans="1:9" ht="13.5">
      <c r="A38" s="45"/>
      <c r="B38" s="4"/>
      <c r="C38" s="327" t="s">
        <v>1047</v>
      </c>
      <c r="D38" s="447" t="s">
        <v>1024</v>
      </c>
      <c r="E38" s="45">
        <v>1</v>
      </c>
      <c r="F38" s="448"/>
      <c r="G38" s="448"/>
      <c r="H38" s="448"/>
      <c r="I38" s="458">
        <f t="shared" si="1"/>
        <v>1</v>
      </c>
    </row>
    <row r="39" spans="1:9" ht="13.5">
      <c r="A39" s="45"/>
      <c r="B39" s="4"/>
      <c r="C39" s="327" t="s">
        <v>1048</v>
      </c>
      <c r="D39" s="447" t="s">
        <v>1024</v>
      </c>
      <c r="E39" s="45">
        <v>1</v>
      </c>
      <c r="F39" s="448"/>
      <c r="G39" s="448"/>
      <c r="H39" s="448"/>
      <c r="I39" s="458">
        <f t="shared" si="1"/>
        <v>1</v>
      </c>
    </row>
    <row r="40" spans="1:9" ht="13.5">
      <c r="A40" s="45"/>
      <c r="B40" s="4"/>
      <c r="C40" s="327" t="s">
        <v>1049</v>
      </c>
      <c r="D40" s="447" t="s">
        <v>1024</v>
      </c>
      <c r="E40" s="45">
        <v>1</v>
      </c>
      <c r="F40" s="448"/>
      <c r="G40" s="448"/>
      <c r="H40" s="448"/>
      <c r="I40" s="458">
        <f t="shared" si="1"/>
        <v>1</v>
      </c>
    </row>
    <row r="41" spans="1:9" ht="13.5">
      <c r="A41" s="45"/>
      <c r="B41" s="4"/>
      <c r="C41" s="334" t="s">
        <v>1050</v>
      </c>
      <c r="D41" s="447"/>
      <c r="E41" s="45"/>
      <c r="F41" s="448"/>
      <c r="G41" s="448"/>
      <c r="H41" s="448"/>
      <c r="I41" s="460">
        <f>SUM(I36:I40)</f>
        <v>5</v>
      </c>
    </row>
    <row r="42" spans="1:9" ht="13.5">
      <c r="A42" s="45"/>
      <c r="B42" s="4"/>
      <c r="C42" s="327" t="s">
        <v>1045</v>
      </c>
      <c r="D42" s="447" t="s">
        <v>1024</v>
      </c>
      <c r="E42" s="45">
        <v>1</v>
      </c>
      <c r="F42" s="448"/>
      <c r="G42" s="448"/>
      <c r="H42" s="448"/>
      <c r="I42" s="458">
        <f t="shared" ref="I42:I46" si="2">E42</f>
        <v>1</v>
      </c>
    </row>
    <row r="43" spans="1:9" ht="13.5">
      <c r="A43" s="45"/>
      <c r="B43" s="4"/>
      <c r="C43" s="327" t="s">
        <v>1046</v>
      </c>
      <c r="D43" s="447" t="s">
        <v>1024</v>
      </c>
      <c r="E43" s="45">
        <v>1</v>
      </c>
      <c r="F43" s="448"/>
      <c r="G43" s="448"/>
      <c r="H43" s="448"/>
      <c r="I43" s="458">
        <f t="shared" si="2"/>
        <v>1</v>
      </c>
    </row>
    <row r="44" spans="1:9" ht="13.5">
      <c r="A44" s="45"/>
      <c r="B44" s="4"/>
      <c r="C44" s="327" t="s">
        <v>1047</v>
      </c>
      <c r="D44" s="447" t="s">
        <v>1024</v>
      </c>
      <c r="E44" s="45">
        <v>1</v>
      </c>
      <c r="F44" s="448"/>
      <c r="G44" s="448"/>
      <c r="H44" s="448"/>
      <c r="I44" s="458">
        <f t="shared" si="2"/>
        <v>1</v>
      </c>
    </row>
    <row r="45" spans="1:9" ht="13.5">
      <c r="A45" s="45"/>
      <c r="B45" s="4"/>
      <c r="C45" s="327" t="s">
        <v>1048</v>
      </c>
      <c r="D45" s="447" t="s">
        <v>1024</v>
      </c>
      <c r="E45" s="45">
        <v>1</v>
      </c>
      <c r="F45" s="448"/>
      <c r="G45" s="448"/>
      <c r="H45" s="448"/>
      <c r="I45" s="458">
        <f t="shared" si="2"/>
        <v>1</v>
      </c>
    </row>
    <row r="46" spans="1:9" ht="13.5">
      <c r="A46" s="45"/>
      <c r="B46" s="4"/>
      <c r="C46" s="327" t="s">
        <v>1051</v>
      </c>
      <c r="D46" s="447" t="s">
        <v>1024</v>
      </c>
      <c r="E46" s="45">
        <v>1</v>
      </c>
      <c r="F46" s="448"/>
      <c r="G46" s="448"/>
      <c r="H46" s="448"/>
      <c r="I46" s="458">
        <f t="shared" si="2"/>
        <v>1</v>
      </c>
    </row>
    <row r="47" spans="1:9" ht="13.5">
      <c r="A47" s="45"/>
      <c r="B47" s="4"/>
      <c r="C47" s="327"/>
      <c r="D47" s="447"/>
      <c r="E47" s="45"/>
      <c r="F47" s="448"/>
      <c r="G47" s="448"/>
      <c r="H47" s="448"/>
      <c r="I47" s="460">
        <f>SUM(I42:I46)</f>
        <v>5</v>
      </c>
    </row>
    <row r="48" spans="1:9" ht="13.5">
      <c r="A48" s="45"/>
      <c r="B48" s="4"/>
      <c r="C48" s="334" t="s">
        <v>1052</v>
      </c>
      <c r="D48" s="447"/>
      <c r="E48" s="45"/>
      <c r="F48" s="448"/>
      <c r="G48" s="448"/>
      <c r="H48" s="448"/>
      <c r="I48" s="458"/>
    </row>
    <row r="49" spans="1:9" ht="13.5">
      <c r="A49" s="45"/>
      <c r="B49" s="4"/>
      <c r="C49" s="327" t="s">
        <v>1045</v>
      </c>
      <c r="D49" s="447" t="s">
        <v>1024</v>
      </c>
      <c r="E49" s="45">
        <v>1</v>
      </c>
      <c r="F49" s="448"/>
      <c r="G49" s="448"/>
      <c r="H49" s="448"/>
      <c r="I49" s="458">
        <f t="shared" ref="I49:I53" si="3">E49</f>
        <v>1</v>
      </c>
    </row>
    <row r="50" spans="1:9" ht="13.5">
      <c r="A50" s="45"/>
      <c r="B50" s="4"/>
      <c r="C50" s="327" t="s">
        <v>1046</v>
      </c>
      <c r="D50" s="447" t="s">
        <v>1024</v>
      </c>
      <c r="E50" s="45">
        <v>1</v>
      </c>
      <c r="F50" s="448"/>
      <c r="G50" s="448"/>
      <c r="H50" s="448"/>
      <c r="I50" s="458">
        <f t="shared" si="3"/>
        <v>1</v>
      </c>
    </row>
    <row r="51" spans="1:9" ht="13.5">
      <c r="A51" s="45"/>
      <c r="B51" s="4"/>
      <c r="C51" s="327" t="s">
        <v>1047</v>
      </c>
      <c r="D51" s="447" t="s">
        <v>1024</v>
      </c>
      <c r="E51" s="45">
        <v>1</v>
      </c>
      <c r="F51" s="448"/>
      <c r="G51" s="448"/>
      <c r="H51" s="448"/>
      <c r="I51" s="458">
        <f t="shared" si="3"/>
        <v>1</v>
      </c>
    </row>
    <row r="52" spans="1:9" ht="13.5">
      <c r="A52" s="45"/>
      <c r="B52" s="4"/>
      <c r="C52" s="327" t="s">
        <v>1048</v>
      </c>
      <c r="D52" s="447" t="s">
        <v>1024</v>
      </c>
      <c r="E52" s="45">
        <v>1</v>
      </c>
      <c r="F52" s="448"/>
      <c r="G52" s="448"/>
      <c r="H52" s="448"/>
      <c r="I52" s="458">
        <f t="shared" si="3"/>
        <v>1</v>
      </c>
    </row>
    <row r="53" spans="1:9" ht="13.5">
      <c r="A53" s="45"/>
      <c r="B53" s="4"/>
      <c r="C53" s="327" t="s">
        <v>1053</v>
      </c>
      <c r="D53" s="447" t="s">
        <v>1024</v>
      </c>
      <c r="E53" s="45">
        <v>1</v>
      </c>
      <c r="F53" s="448"/>
      <c r="G53" s="448"/>
      <c r="H53" s="448"/>
      <c r="I53" s="458">
        <f t="shared" si="3"/>
        <v>1</v>
      </c>
    </row>
    <row r="54" spans="1:9" ht="13.5">
      <c r="A54" s="45"/>
      <c r="B54" s="4"/>
      <c r="C54" s="327"/>
      <c r="D54" s="447"/>
      <c r="E54" s="45"/>
      <c r="F54" s="448"/>
      <c r="G54" s="448"/>
      <c r="H54" s="448"/>
      <c r="I54" s="460">
        <f>SUM(I49:I53)</f>
        <v>5</v>
      </c>
    </row>
    <row r="55" spans="1:9" ht="13.5">
      <c r="A55" s="45"/>
      <c r="B55" s="4"/>
      <c r="C55" s="334" t="s">
        <v>1054</v>
      </c>
      <c r="D55" s="447"/>
      <c r="E55" s="45"/>
      <c r="F55" s="448"/>
      <c r="G55" s="448"/>
      <c r="H55" s="448"/>
      <c r="I55" s="458"/>
    </row>
    <row r="56" spans="1:9" ht="13.5">
      <c r="A56" s="45"/>
      <c r="B56" s="4"/>
      <c r="C56" s="327" t="s">
        <v>1045</v>
      </c>
      <c r="D56" s="447" t="s">
        <v>1024</v>
      </c>
      <c r="E56" s="45">
        <v>1</v>
      </c>
      <c r="F56" s="448"/>
      <c r="G56" s="448"/>
      <c r="H56" s="448"/>
      <c r="I56" s="458">
        <f t="shared" ref="I56:I63" si="4">E56</f>
        <v>1</v>
      </c>
    </row>
    <row r="57" spans="1:9" ht="13.5">
      <c r="A57" s="45"/>
      <c r="B57" s="4"/>
      <c r="C57" s="327" t="s">
        <v>1046</v>
      </c>
      <c r="D57" s="447" t="s">
        <v>1024</v>
      </c>
      <c r="E57" s="45">
        <v>1</v>
      </c>
      <c r="F57" s="448"/>
      <c r="G57" s="448"/>
      <c r="H57" s="448"/>
      <c r="I57" s="458">
        <f t="shared" si="4"/>
        <v>1</v>
      </c>
    </row>
    <row r="58" spans="1:9" ht="13.5">
      <c r="A58" s="45"/>
      <c r="B58" s="4"/>
      <c r="C58" s="327" t="s">
        <v>1047</v>
      </c>
      <c r="D58" s="447" t="s">
        <v>1024</v>
      </c>
      <c r="E58" s="45">
        <v>1</v>
      </c>
      <c r="F58" s="448"/>
      <c r="G58" s="448"/>
      <c r="H58" s="448"/>
      <c r="I58" s="458">
        <f t="shared" si="4"/>
        <v>1</v>
      </c>
    </row>
    <row r="59" spans="1:9" ht="13.5">
      <c r="A59" s="45"/>
      <c r="B59" s="4"/>
      <c r="C59" s="327" t="s">
        <v>1048</v>
      </c>
      <c r="D59" s="447" t="s">
        <v>1024</v>
      </c>
      <c r="E59" s="45">
        <v>1</v>
      </c>
      <c r="F59" s="448"/>
      <c r="G59" s="448"/>
      <c r="H59" s="448"/>
      <c r="I59" s="458">
        <f t="shared" si="4"/>
        <v>1</v>
      </c>
    </row>
    <row r="60" spans="1:9" ht="13.5">
      <c r="A60" s="45"/>
      <c r="B60" s="4"/>
      <c r="C60" s="327" t="s">
        <v>1053</v>
      </c>
      <c r="D60" s="447" t="s">
        <v>1024</v>
      </c>
      <c r="E60" s="45">
        <v>1</v>
      </c>
      <c r="F60" s="448"/>
      <c r="G60" s="448"/>
      <c r="H60" s="448"/>
      <c r="I60" s="458">
        <f t="shared" si="4"/>
        <v>1</v>
      </c>
    </row>
    <row r="61" spans="1:9" ht="13.5">
      <c r="A61" s="45"/>
      <c r="B61" s="4"/>
      <c r="C61" s="327" t="s">
        <v>1055</v>
      </c>
      <c r="D61" s="447" t="s">
        <v>1024</v>
      </c>
      <c r="E61" s="45">
        <v>1</v>
      </c>
      <c r="F61" s="448"/>
      <c r="G61" s="448"/>
      <c r="H61" s="448"/>
      <c r="I61" s="458">
        <f t="shared" si="4"/>
        <v>1</v>
      </c>
    </row>
    <row r="62" spans="1:9" ht="13.5">
      <c r="A62" s="45"/>
      <c r="B62" s="4"/>
      <c r="C62" s="327" t="s">
        <v>1056</v>
      </c>
      <c r="D62" s="447" t="s">
        <v>1024</v>
      </c>
      <c r="E62" s="45">
        <v>1</v>
      </c>
      <c r="F62" s="448"/>
      <c r="G62" s="448"/>
      <c r="H62" s="448"/>
      <c r="I62" s="458">
        <f t="shared" si="4"/>
        <v>1</v>
      </c>
    </row>
    <row r="63" spans="1:9" ht="13.5">
      <c r="A63" s="45"/>
      <c r="B63" s="4"/>
      <c r="C63" s="327" t="s">
        <v>1057</v>
      </c>
      <c r="D63" s="447" t="s">
        <v>1024</v>
      </c>
      <c r="E63" s="45">
        <v>1</v>
      </c>
      <c r="F63" s="448"/>
      <c r="G63" s="448"/>
      <c r="H63" s="448"/>
      <c r="I63" s="458">
        <f t="shared" si="4"/>
        <v>1</v>
      </c>
    </row>
    <row r="64" spans="1:9" ht="13.5">
      <c r="A64" s="45"/>
      <c r="B64" s="4"/>
      <c r="C64" s="327"/>
      <c r="D64" s="447"/>
      <c r="E64" s="45"/>
      <c r="F64" s="448"/>
      <c r="G64" s="448"/>
      <c r="H64" s="448"/>
      <c r="I64" s="460">
        <f>SUM(I56:I63)</f>
        <v>8</v>
      </c>
    </row>
    <row r="65" spans="1:9" ht="13.5">
      <c r="A65" s="45"/>
      <c r="B65" s="4"/>
      <c r="C65" s="334" t="s">
        <v>1058</v>
      </c>
      <c r="D65" s="447"/>
      <c r="E65" s="45"/>
      <c r="F65" s="448"/>
      <c r="G65" s="448"/>
      <c r="H65" s="448"/>
      <c r="I65" s="458"/>
    </row>
    <row r="66" spans="1:9" ht="13.5">
      <c r="A66" s="45"/>
      <c r="B66" s="4"/>
      <c r="C66" s="327" t="s">
        <v>1045</v>
      </c>
      <c r="D66" s="447" t="s">
        <v>1024</v>
      </c>
      <c r="E66" s="45">
        <v>1</v>
      </c>
      <c r="F66" s="448"/>
      <c r="G66" s="448"/>
      <c r="H66" s="448"/>
      <c r="I66" s="458">
        <f t="shared" ref="I66:I70" si="5">E66</f>
        <v>1</v>
      </c>
    </row>
    <row r="67" spans="1:9" ht="13.5">
      <c r="A67" s="45"/>
      <c r="B67" s="4"/>
      <c r="C67" s="327" t="s">
        <v>1046</v>
      </c>
      <c r="D67" s="447" t="s">
        <v>1024</v>
      </c>
      <c r="E67" s="45">
        <v>1</v>
      </c>
      <c r="F67" s="448"/>
      <c r="G67" s="448"/>
      <c r="H67" s="448"/>
      <c r="I67" s="458">
        <f t="shared" si="5"/>
        <v>1</v>
      </c>
    </row>
    <row r="68" spans="1:9" ht="13.5">
      <c r="A68" s="45"/>
      <c r="B68" s="4"/>
      <c r="C68" s="327" t="s">
        <v>1047</v>
      </c>
      <c r="D68" s="447" t="s">
        <v>1024</v>
      </c>
      <c r="E68" s="45">
        <v>1</v>
      </c>
      <c r="F68" s="448"/>
      <c r="G68" s="448"/>
      <c r="H68" s="448"/>
      <c r="I68" s="458">
        <f t="shared" si="5"/>
        <v>1</v>
      </c>
    </row>
    <row r="69" spans="1:9" ht="13.5">
      <c r="A69" s="45"/>
      <c r="B69" s="4"/>
      <c r="C69" s="327" t="s">
        <v>1048</v>
      </c>
      <c r="D69" s="447" t="s">
        <v>1024</v>
      </c>
      <c r="E69" s="45">
        <v>1</v>
      </c>
      <c r="F69" s="448"/>
      <c r="G69" s="448"/>
      <c r="H69" s="448"/>
      <c r="I69" s="458">
        <f t="shared" si="5"/>
        <v>1</v>
      </c>
    </row>
    <row r="70" spans="1:9" ht="13.5">
      <c r="A70" s="45"/>
      <c r="B70" s="4"/>
      <c r="C70" s="327" t="s">
        <v>1053</v>
      </c>
      <c r="D70" s="447" t="s">
        <v>1024</v>
      </c>
      <c r="E70" s="45">
        <v>1</v>
      </c>
      <c r="F70" s="448"/>
      <c r="G70" s="448"/>
      <c r="H70" s="448"/>
      <c r="I70" s="458">
        <f t="shared" si="5"/>
        <v>1</v>
      </c>
    </row>
    <row r="71" spans="1:9" ht="13.5">
      <c r="A71" s="45"/>
      <c r="B71" s="4"/>
      <c r="C71" s="327"/>
      <c r="D71" s="447"/>
      <c r="E71" s="45"/>
      <c r="F71" s="448"/>
      <c r="G71" s="448"/>
      <c r="H71" s="448"/>
      <c r="I71" s="460">
        <f>SUM(I66:I70)</f>
        <v>5</v>
      </c>
    </row>
    <row r="72" spans="1:9" ht="13.5">
      <c r="A72" s="45"/>
      <c r="B72" s="4"/>
      <c r="C72" s="334" t="s">
        <v>1059</v>
      </c>
      <c r="D72" s="447"/>
      <c r="E72" s="45"/>
      <c r="F72" s="448"/>
      <c r="G72" s="448"/>
      <c r="H72" s="448"/>
      <c r="I72" s="458"/>
    </row>
    <row r="73" spans="1:9" ht="13.5">
      <c r="A73" s="45"/>
      <c r="B73" s="4"/>
      <c r="C73" s="327" t="s">
        <v>1045</v>
      </c>
      <c r="D73" s="447" t="s">
        <v>1024</v>
      </c>
      <c r="E73" s="45">
        <v>1</v>
      </c>
      <c r="F73" s="448"/>
      <c r="G73" s="448"/>
      <c r="H73" s="448"/>
      <c r="I73" s="458">
        <f t="shared" ref="I73:I77" si="6">E73</f>
        <v>1</v>
      </c>
    </row>
    <row r="74" spans="1:9" ht="13.5">
      <c r="A74" s="45"/>
      <c r="B74" s="4"/>
      <c r="C74" s="327" t="s">
        <v>1046</v>
      </c>
      <c r="D74" s="447" t="s">
        <v>1024</v>
      </c>
      <c r="E74" s="45">
        <v>1</v>
      </c>
      <c r="F74" s="448"/>
      <c r="G74" s="448"/>
      <c r="H74" s="448"/>
      <c r="I74" s="458">
        <f t="shared" si="6"/>
        <v>1</v>
      </c>
    </row>
    <row r="75" spans="1:9" ht="13.5">
      <c r="A75" s="45"/>
      <c r="B75" s="4"/>
      <c r="C75" s="327" t="s">
        <v>1047</v>
      </c>
      <c r="D75" s="447" t="s">
        <v>1024</v>
      </c>
      <c r="E75" s="45">
        <v>1</v>
      </c>
      <c r="F75" s="448"/>
      <c r="G75" s="448"/>
      <c r="H75" s="448"/>
      <c r="I75" s="458">
        <f t="shared" si="6"/>
        <v>1</v>
      </c>
    </row>
    <row r="76" spans="1:9" ht="13.5">
      <c r="A76" s="45"/>
      <c r="B76" s="4"/>
      <c r="C76" s="327" t="s">
        <v>1048</v>
      </c>
      <c r="D76" s="447" t="s">
        <v>1024</v>
      </c>
      <c r="E76" s="45">
        <v>1</v>
      </c>
      <c r="F76" s="448"/>
      <c r="G76" s="448"/>
      <c r="H76" s="448"/>
      <c r="I76" s="458">
        <f t="shared" si="6"/>
        <v>1</v>
      </c>
    </row>
    <row r="77" spans="1:9" ht="13.5">
      <c r="A77" s="45"/>
      <c r="B77" s="4"/>
      <c r="C77" s="327" t="s">
        <v>1053</v>
      </c>
      <c r="D77" s="447" t="s">
        <v>1024</v>
      </c>
      <c r="E77" s="45">
        <v>1</v>
      </c>
      <c r="F77" s="448"/>
      <c r="G77" s="448"/>
      <c r="H77" s="448"/>
      <c r="I77" s="458">
        <f t="shared" si="6"/>
        <v>1</v>
      </c>
    </row>
    <row r="78" spans="1:9" ht="13.5">
      <c r="A78" s="45"/>
      <c r="B78" s="4"/>
      <c r="C78" s="327"/>
      <c r="D78" s="447"/>
      <c r="E78" s="45"/>
      <c r="F78" s="448"/>
      <c r="G78" s="448"/>
      <c r="H78" s="448"/>
      <c r="I78" s="460">
        <f>SUM(I73:I77)</f>
        <v>5</v>
      </c>
    </row>
    <row r="79" spans="1:9" ht="13.5">
      <c r="A79" s="45"/>
      <c r="B79" s="4"/>
      <c r="C79" s="334" t="s">
        <v>1060</v>
      </c>
      <c r="D79" s="447"/>
      <c r="E79" s="45"/>
      <c r="F79" s="448"/>
      <c r="G79" s="448"/>
      <c r="H79" s="448"/>
      <c r="I79" s="458"/>
    </row>
    <row r="80" spans="1:9" ht="13.5">
      <c r="A80" s="45"/>
      <c r="B80" s="4"/>
      <c r="C80" s="327" t="s">
        <v>1061</v>
      </c>
      <c r="D80" s="447" t="s">
        <v>1024</v>
      </c>
      <c r="E80" s="45">
        <v>1</v>
      </c>
      <c r="F80" s="448"/>
      <c r="G80" s="448"/>
      <c r="H80" s="448"/>
      <c r="I80" s="460">
        <f t="shared" ref="I80:I87" si="7">E80</f>
        <v>1</v>
      </c>
    </row>
    <row r="81" spans="1:9" ht="13.5">
      <c r="A81" s="45"/>
      <c r="B81" s="4"/>
      <c r="C81" s="327"/>
      <c r="D81" s="447"/>
      <c r="E81" s="45"/>
      <c r="F81" s="448"/>
      <c r="G81" s="448"/>
      <c r="H81" s="448"/>
      <c r="I81" s="458"/>
    </row>
    <row r="82" spans="1:9" ht="13.5">
      <c r="A82" s="45"/>
      <c r="B82" s="4"/>
      <c r="C82" s="334" t="s">
        <v>1062</v>
      </c>
      <c r="D82" s="447"/>
      <c r="E82" s="45"/>
      <c r="F82" s="448"/>
      <c r="G82" s="448"/>
      <c r="H82" s="448"/>
      <c r="I82" s="458"/>
    </row>
    <row r="83" spans="1:9" ht="13.5">
      <c r="A83" s="45"/>
      <c r="B83" s="4"/>
      <c r="C83" s="327" t="s">
        <v>1045</v>
      </c>
      <c r="D83" s="447" t="s">
        <v>1024</v>
      </c>
      <c r="E83" s="45">
        <v>1</v>
      </c>
      <c r="F83" s="448"/>
      <c r="G83" s="448"/>
      <c r="H83" s="448"/>
      <c r="I83" s="458">
        <f t="shared" si="7"/>
        <v>1</v>
      </c>
    </row>
    <row r="84" spans="1:9" ht="13.5">
      <c r="A84" s="45"/>
      <c r="B84" s="4"/>
      <c r="C84" s="327" t="s">
        <v>1046</v>
      </c>
      <c r="D84" s="447" t="s">
        <v>1024</v>
      </c>
      <c r="E84" s="45">
        <v>1</v>
      </c>
      <c r="F84" s="448"/>
      <c r="G84" s="448"/>
      <c r="H84" s="448"/>
      <c r="I84" s="458">
        <f t="shared" si="7"/>
        <v>1</v>
      </c>
    </row>
    <row r="85" spans="1:9" ht="13.5">
      <c r="A85" s="45"/>
      <c r="B85" s="4"/>
      <c r="C85" s="327" t="s">
        <v>1047</v>
      </c>
      <c r="D85" s="447" t="s">
        <v>1024</v>
      </c>
      <c r="E85" s="45">
        <v>1</v>
      </c>
      <c r="F85" s="448"/>
      <c r="G85" s="448"/>
      <c r="H85" s="448"/>
      <c r="I85" s="458">
        <f t="shared" si="7"/>
        <v>1</v>
      </c>
    </row>
    <row r="86" spans="1:9" ht="13.5">
      <c r="A86" s="45"/>
      <c r="B86" s="4"/>
      <c r="C86" s="327" t="s">
        <v>1048</v>
      </c>
      <c r="D86" s="447" t="s">
        <v>1024</v>
      </c>
      <c r="E86" s="45">
        <v>1</v>
      </c>
      <c r="F86" s="448"/>
      <c r="G86" s="448"/>
      <c r="H86" s="448"/>
      <c r="I86" s="458">
        <f t="shared" si="7"/>
        <v>1</v>
      </c>
    </row>
    <row r="87" spans="1:9" ht="13.5">
      <c r="A87" s="45"/>
      <c r="B87" s="4"/>
      <c r="C87" s="327" t="s">
        <v>1053</v>
      </c>
      <c r="D87" s="447" t="s">
        <v>1024</v>
      </c>
      <c r="E87" s="45">
        <v>1</v>
      </c>
      <c r="F87" s="448"/>
      <c r="G87" s="448"/>
      <c r="H87" s="448"/>
      <c r="I87" s="458">
        <f t="shared" si="7"/>
        <v>1</v>
      </c>
    </row>
    <row r="88" spans="1:9" ht="13.5">
      <c r="A88" s="45"/>
      <c r="B88" s="4"/>
      <c r="C88" s="327"/>
      <c r="D88" s="447"/>
      <c r="E88" s="45"/>
      <c r="F88" s="448"/>
      <c r="G88" s="448"/>
      <c r="H88" s="448"/>
      <c r="I88" s="460">
        <f>SUM(I83:I87)</f>
        <v>5</v>
      </c>
    </row>
    <row r="89" spans="1:9" ht="13.5">
      <c r="A89" s="45"/>
      <c r="B89" s="4"/>
      <c r="C89" s="334" t="s">
        <v>1063</v>
      </c>
      <c r="D89" s="447"/>
      <c r="E89" s="45"/>
      <c r="F89" s="448"/>
      <c r="G89" s="448"/>
      <c r="H89" s="448"/>
      <c r="I89" s="458"/>
    </row>
    <row r="90" spans="1:9" ht="13.5">
      <c r="A90" s="45"/>
      <c r="B90" s="4"/>
      <c r="C90" s="327" t="s">
        <v>1045</v>
      </c>
      <c r="D90" s="447" t="s">
        <v>1024</v>
      </c>
      <c r="E90" s="45">
        <v>1</v>
      </c>
      <c r="F90" s="448"/>
      <c r="G90" s="448"/>
      <c r="H90" s="448"/>
      <c r="I90" s="458">
        <f t="shared" ref="I90:I92" si="8">E90</f>
        <v>1</v>
      </c>
    </row>
    <row r="91" spans="1:9" ht="13.5">
      <c r="A91" s="45"/>
      <c r="B91" s="4"/>
      <c r="C91" s="327" t="s">
        <v>1046</v>
      </c>
      <c r="D91" s="447" t="s">
        <v>1024</v>
      </c>
      <c r="E91" s="45">
        <v>1</v>
      </c>
      <c r="F91" s="448"/>
      <c r="G91" s="448"/>
      <c r="H91" s="448"/>
      <c r="I91" s="458">
        <f t="shared" si="8"/>
        <v>1</v>
      </c>
    </row>
    <row r="92" spans="1:9" ht="13.5">
      <c r="A92" s="45"/>
      <c r="B92" s="4"/>
      <c r="C92" s="327" t="s">
        <v>1047</v>
      </c>
      <c r="D92" s="447" t="s">
        <v>1024</v>
      </c>
      <c r="E92" s="45">
        <v>1</v>
      </c>
      <c r="F92" s="448"/>
      <c r="G92" s="448"/>
      <c r="H92" s="448"/>
      <c r="I92" s="458">
        <f t="shared" si="8"/>
        <v>1</v>
      </c>
    </row>
    <row r="93" spans="1:9" ht="13.5">
      <c r="A93" s="45"/>
      <c r="B93" s="4"/>
      <c r="C93" s="327"/>
      <c r="D93" s="447"/>
      <c r="E93" s="45"/>
      <c r="F93" s="448"/>
      <c r="G93" s="448"/>
      <c r="H93" s="448"/>
      <c r="I93" s="460">
        <f>SUM(I90:I92)</f>
        <v>3</v>
      </c>
    </row>
    <row r="94" spans="1:9" ht="13.5">
      <c r="A94" s="56"/>
      <c r="B94" s="450"/>
      <c r="C94" s="455" t="s">
        <v>481</v>
      </c>
      <c r="D94" s="452"/>
      <c r="E94" s="56"/>
      <c r="F94" s="453"/>
      <c r="G94" s="453"/>
      <c r="H94" s="459"/>
      <c r="I94" s="459">
        <f>I41+I47+I54+I64+I71+I78+I80+I88+I93</f>
        <v>42</v>
      </c>
    </row>
    <row r="95" spans="1:9" ht="13.5">
      <c r="A95" s="56"/>
      <c r="B95" s="450"/>
      <c r="C95" s="456" t="s">
        <v>1892</v>
      </c>
      <c r="D95" s="452"/>
      <c r="E95" s="56"/>
      <c r="F95" s="453"/>
      <c r="G95" s="453"/>
      <c r="H95" s="459"/>
      <c r="I95" s="459">
        <v>34</v>
      </c>
    </row>
    <row r="96" spans="1:9" ht="13.5">
      <c r="A96" s="56"/>
      <c r="B96" s="450"/>
      <c r="C96" s="456" t="s">
        <v>1893</v>
      </c>
      <c r="D96" s="452"/>
      <c r="E96" s="56"/>
      <c r="F96" s="453"/>
      <c r="G96" s="453"/>
      <c r="H96" s="459"/>
      <c r="I96" s="459">
        <v>8</v>
      </c>
    </row>
    <row r="97" spans="1:9" ht="13.5">
      <c r="A97" s="56"/>
      <c r="B97" s="1157"/>
      <c r="C97" s="1158" t="s">
        <v>813</v>
      </c>
      <c r="D97" s="452"/>
      <c r="E97" s="56"/>
      <c r="F97" s="453"/>
      <c r="G97" s="453"/>
      <c r="H97" s="459"/>
      <c r="I97" s="459">
        <f>SUM(I95:I96)</f>
        <v>42</v>
      </c>
    </row>
    <row r="98" spans="1:9" ht="13.5">
      <c r="A98" s="45"/>
      <c r="B98" s="4"/>
      <c r="C98" s="454"/>
      <c r="D98" s="448"/>
      <c r="E98" s="45"/>
      <c r="F98" s="448"/>
      <c r="G98" s="448"/>
      <c r="H98" s="448"/>
      <c r="I98" s="448"/>
    </row>
    <row r="99" spans="1:9" ht="121.5">
      <c r="A99" s="45">
        <v>32</v>
      </c>
      <c r="B99" s="4">
        <v>1.5</v>
      </c>
      <c r="C99" s="327" t="s">
        <v>861</v>
      </c>
      <c r="D99" s="447" t="s">
        <v>657</v>
      </c>
      <c r="E99" s="45"/>
      <c r="F99" s="448"/>
      <c r="G99" s="448"/>
      <c r="H99" s="458"/>
      <c r="I99" s="458"/>
    </row>
    <row r="100" spans="1:9" ht="13.5">
      <c r="A100" s="45"/>
      <c r="B100" s="4"/>
      <c r="C100" s="334" t="s">
        <v>1064</v>
      </c>
      <c r="D100" s="447"/>
      <c r="E100" s="45"/>
      <c r="F100" s="448"/>
      <c r="G100" s="448"/>
      <c r="H100" s="460"/>
      <c r="I100" s="460"/>
    </row>
    <row r="101" spans="1:9" ht="13.5">
      <c r="A101" s="45"/>
      <c r="B101" s="4"/>
      <c r="C101" s="327" t="s">
        <v>1065</v>
      </c>
      <c r="D101" s="447" t="s">
        <v>1024</v>
      </c>
      <c r="E101" s="45">
        <v>1</v>
      </c>
      <c r="F101" s="448"/>
      <c r="G101" s="448"/>
      <c r="H101" s="460"/>
      <c r="I101" s="458">
        <f t="shared" ref="I101:I103" si="9">E101</f>
        <v>1</v>
      </c>
    </row>
    <row r="102" spans="1:9" ht="13.5">
      <c r="A102" s="45"/>
      <c r="B102" s="4"/>
      <c r="C102" s="327" t="s">
        <v>1066</v>
      </c>
      <c r="D102" s="447" t="s">
        <v>1024</v>
      </c>
      <c r="E102" s="45">
        <v>1</v>
      </c>
      <c r="F102" s="448"/>
      <c r="G102" s="448"/>
      <c r="H102" s="460"/>
      <c r="I102" s="458">
        <f t="shared" si="9"/>
        <v>1</v>
      </c>
    </row>
    <row r="103" spans="1:9" ht="13.5">
      <c r="A103" s="45"/>
      <c r="B103" s="4"/>
      <c r="C103" s="327" t="s">
        <v>1067</v>
      </c>
      <c r="D103" s="447" t="s">
        <v>1024</v>
      </c>
      <c r="E103" s="45">
        <v>1</v>
      </c>
      <c r="F103" s="448"/>
      <c r="G103" s="448"/>
      <c r="H103" s="460"/>
      <c r="I103" s="458">
        <f t="shared" si="9"/>
        <v>1</v>
      </c>
    </row>
    <row r="104" spans="1:9" ht="13.5">
      <c r="A104" s="45"/>
      <c r="B104" s="4"/>
      <c r="C104" s="334"/>
      <c r="D104" s="447"/>
      <c r="E104" s="45"/>
      <c r="F104" s="448"/>
      <c r="G104" s="448"/>
      <c r="H104" s="461"/>
      <c r="I104" s="461">
        <f>SUM(I101:I103)</f>
        <v>3</v>
      </c>
    </row>
    <row r="105" spans="1:9" ht="13.5">
      <c r="A105" s="45"/>
      <c r="B105" s="4"/>
      <c r="C105" s="334"/>
      <c r="D105" s="447"/>
      <c r="E105" s="45"/>
      <c r="F105" s="448"/>
      <c r="G105" s="448"/>
      <c r="H105" s="461"/>
      <c r="I105" s="461"/>
    </row>
    <row r="106" spans="1:9" ht="13.5">
      <c r="A106" s="45"/>
      <c r="B106" s="4"/>
      <c r="C106" s="334" t="s">
        <v>1068</v>
      </c>
      <c r="D106" s="447"/>
      <c r="E106" s="45"/>
      <c r="F106" s="448"/>
      <c r="G106" s="448"/>
      <c r="H106" s="460"/>
      <c r="I106" s="461"/>
    </row>
    <row r="107" spans="1:9" ht="13.5">
      <c r="A107" s="45"/>
      <c r="B107" s="4"/>
      <c r="C107" s="327" t="s">
        <v>1065</v>
      </c>
      <c r="D107" s="447" t="s">
        <v>1024</v>
      </c>
      <c r="E107" s="45">
        <v>1</v>
      </c>
      <c r="F107" s="448"/>
      <c r="G107" s="448"/>
      <c r="H107" s="460"/>
      <c r="I107" s="458">
        <f t="shared" ref="I107:I109" si="10">E107</f>
        <v>1</v>
      </c>
    </row>
    <row r="108" spans="1:9" ht="13.5">
      <c r="A108" s="45"/>
      <c r="B108" s="4"/>
      <c r="C108" s="327" t="s">
        <v>1066</v>
      </c>
      <c r="D108" s="447" t="s">
        <v>1024</v>
      </c>
      <c r="E108" s="45">
        <v>1</v>
      </c>
      <c r="F108" s="448"/>
      <c r="G108" s="448"/>
      <c r="H108" s="460"/>
      <c r="I108" s="458">
        <f t="shared" si="10"/>
        <v>1</v>
      </c>
    </row>
    <row r="109" spans="1:9" ht="13.5">
      <c r="A109" s="45"/>
      <c r="B109" s="4"/>
      <c r="C109" s="327" t="s">
        <v>1067</v>
      </c>
      <c r="D109" s="447" t="s">
        <v>1024</v>
      </c>
      <c r="E109" s="45">
        <v>1</v>
      </c>
      <c r="F109" s="448"/>
      <c r="G109" s="448"/>
      <c r="H109" s="460"/>
      <c r="I109" s="458">
        <f t="shared" si="10"/>
        <v>1</v>
      </c>
    </row>
    <row r="110" spans="1:9" ht="13.5">
      <c r="A110" s="45"/>
      <c r="B110" s="4"/>
      <c r="C110" s="327"/>
      <c r="D110" s="447"/>
      <c r="E110" s="45"/>
      <c r="F110" s="448"/>
      <c r="G110" s="448"/>
      <c r="H110" s="461"/>
      <c r="I110" s="461">
        <f>SUM(I107:I109)</f>
        <v>3</v>
      </c>
    </row>
    <row r="111" spans="1:9" ht="13.5">
      <c r="A111" s="45"/>
      <c r="B111" s="4"/>
      <c r="C111" s="327"/>
      <c r="D111" s="447"/>
      <c r="E111" s="45"/>
      <c r="F111" s="448"/>
      <c r="G111" s="448"/>
      <c r="H111" s="461"/>
      <c r="I111" s="461"/>
    </row>
    <row r="112" spans="1:9" ht="13.5">
      <c r="A112" s="45"/>
      <c r="B112" s="4"/>
      <c r="C112" s="334" t="s">
        <v>1069</v>
      </c>
      <c r="D112" s="447"/>
      <c r="E112" s="45"/>
      <c r="F112" s="448"/>
      <c r="G112" s="448"/>
      <c r="H112" s="460"/>
      <c r="I112" s="460"/>
    </row>
    <row r="113" spans="1:9" ht="13.5">
      <c r="A113" s="45"/>
      <c r="B113" s="4"/>
      <c r="C113" s="327" t="s">
        <v>1065</v>
      </c>
      <c r="D113" s="447" t="s">
        <v>1024</v>
      </c>
      <c r="E113" s="45">
        <v>1</v>
      </c>
      <c r="F113" s="448"/>
      <c r="G113" s="448"/>
      <c r="H113" s="460"/>
      <c r="I113" s="458">
        <f t="shared" ref="I113:I118" si="11">E113</f>
        <v>1</v>
      </c>
    </row>
    <row r="114" spans="1:9" ht="13.5">
      <c r="A114" s="45"/>
      <c r="B114" s="4"/>
      <c r="C114" s="327" t="s">
        <v>1066</v>
      </c>
      <c r="D114" s="447" t="s">
        <v>1024</v>
      </c>
      <c r="E114" s="45">
        <v>1</v>
      </c>
      <c r="F114" s="448"/>
      <c r="G114" s="448"/>
      <c r="H114" s="460"/>
      <c r="I114" s="458">
        <f t="shared" si="11"/>
        <v>1</v>
      </c>
    </row>
    <row r="115" spans="1:9" ht="13.5">
      <c r="A115" s="45"/>
      <c r="B115" s="4"/>
      <c r="C115" s="327" t="s">
        <v>1067</v>
      </c>
      <c r="D115" s="447" t="s">
        <v>1024</v>
      </c>
      <c r="E115" s="45">
        <v>1</v>
      </c>
      <c r="F115" s="448"/>
      <c r="G115" s="448"/>
      <c r="H115" s="460"/>
      <c r="I115" s="458">
        <f t="shared" si="11"/>
        <v>1</v>
      </c>
    </row>
    <row r="116" spans="1:9" ht="13.5">
      <c r="A116" s="45"/>
      <c r="B116" s="4"/>
      <c r="C116" s="327" t="s">
        <v>1070</v>
      </c>
      <c r="D116" s="447" t="s">
        <v>1024</v>
      </c>
      <c r="E116" s="45">
        <v>1</v>
      </c>
      <c r="F116" s="448"/>
      <c r="G116" s="448"/>
      <c r="H116" s="460"/>
      <c r="I116" s="458">
        <f t="shared" si="11"/>
        <v>1</v>
      </c>
    </row>
    <row r="117" spans="1:9" ht="13.5">
      <c r="A117" s="45"/>
      <c r="B117" s="4"/>
      <c r="C117" s="327" t="s">
        <v>1071</v>
      </c>
      <c r="D117" s="447" t="s">
        <v>1024</v>
      </c>
      <c r="E117" s="45">
        <v>1</v>
      </c>
      <c r="F117" s="448"/>
      <c r="G117" s="448"/>
      <c r="H117" s="460"/>
      <c r="I117" s="458">
        <f t="shared" si="11"/>
        <v>1</v>
      </c>
    </row>
    <row r="118" spans="1:9" ht="13.5">
      <c r="A118" s="45"/>
      <c r="B118" s="4"/>
      <c r="C118" s="327" t="s">
        <v>1072</v>
      </c>
      <c r="D118" s="447" t="s">
        <v>1024</v>
      </c>
      <c r="E118" s="45">
        <v>1</v>
      </c>
      <c r="F118" s="448"/>
      <c r="G118" s="448"/>
      <c r="H118" s="460"/>
      <c r="I118" s="458">
        <f t="shared" si="11"/>
        <v>1</v>
      </c>
    </row>
    <row r="119" spans="1:9" ht="13.5">
      <c r="A119" s="45"/>
      <c r="B119" s="4"/>
      <c r="C119" s="462"/>
      <c r="D119" s="447"/>
      <c r="E119" s="45"/>
      <c r="F119" s="448"/>
      <c r="G119" s="448"/>
      <c r="H119" s="458"/>
      <c r="I119" s="461">
        <f>SUM(I113:I118)</f>
        <v>6</v>
      </c>
    </row>
    <row r="120" spans="1:9" ht="13.5">
      <c r="A120" s="56"/>
      <c r="B120" s="450"/>
      <c r="C120" s="455" t="s">
        <v>481</v>
      </c>
      <c r="D120" s="452"/>
      <c r="E120" s="56"/>
      <c r="F120" s="453"/>
      <c r="G120" s="453"/>
      <c r="H120" s="459"/>
      <c r="I120" s="459">
        <f>I119+I110+I104</f>
        <v>12</v>
      </c>
    </row>
    <row r="121" spans="1:9" ht="13.5">
      <c r="A121" s="45"/>
      <c r="B121" s="4"/>
      <c r="C121" s="327"/>
      <c r="D121" s="447"/>
      <c r="E121" s="45"/>
      <c r="F121" s="448"/>
      <c r="G121" s="448"/>
      <c r="H121" s="458"/>
      <c r="I121" s="458"/>
    </row>
    <row r="122" spans="1:9" ht="189">
      <c r="A122" s="45">
        <v>33</v>
      </c>
      <c r="B122" s="4">
        <v>1.6</v>
      </c>
      <c r="C122" s="327" t="s">
        <v>862</v>
      </c>
      <c r="D122" s="447" t="s">
        <v>657</v>
      </c>
      <c r="E122" s="45"/>
      <c r="F122" s="448"/>
      <c r="G122" s="448"/>
      <c r="H122" s="458"/>
      <c r="I122" s="458"/>
    </row>
    <row r="123" spans="1:9" ht="13.5">
      <c r="A123" s="45"/>
      <c r="B123" s="4"/>
      <c r="C123" s="327" t="s">
        <v>1073</v>
      </c>
      <c r="D123" s="447" t="s">
        <v>657</v>
      </c>
      <c r="E123" s="45">
        <v>1</v>
      </c>
      <c r="F123" s="448"/>
      <c r="G123" s="448"/>
      <c r="H123" s="458"/>
      <c r="I123" s="458">
        <f t="shared" ref="I123:I129" si="12">E123</f>
        <v>1</v>
      </c>
    </row>
    <row r="124" spans="1:9" ht="13.5">
      <c r="A124" s="45"/>
      <c r="B124" s="4"/>
      <c r="C124" s="327" t="s">
        <v>1074</v>
      </c>
      <c r="D124" s="447" t="s">
        <v>657</v>
      </c>
      <c r="E124" s="45">
        <v>1</v>
      </c>
      <c r="F124" s="448"/>
      <c r="G124" s="448"/>
      <c r="H124" s="458"/>
      <c r="I124" s="458">
        <f t="shared" si="12"/>
        <v>1</v>
      </c>
    </row>
    <row r="125" spans="1:9" ht="13.5">
      <c r="A125" s="45"/>
      <c r="B125" s="4"/>
      <c r="C125" s="327" t="s">
        <v>1075</v>
      </c>
      <c r="D125" s="447" t="s">
        <v>657</v>
      </c>
      <c r="E125" s="45">
        <v>1</v>
      </c>
      <c r="F125" s="448"/>
      <c r="G125" s="448"/>
      <c r="H125" s="458"/>
      <c r="I125" s="458">
        <f t="shared" si="12"/>
        <v>1</v>
      </c>
    </row>
    <row r="126" spans="1:9" ht="13.5">
      <c r="A126" s="45"/>
      <c r="B126" s="4"/>
      <c r="C126" s="327" t="s">
        <v>1076</v>
      </c>
      <c r="D126" s="447" t="s">
        <v>657</v>
      </c>
      <c r="E126" s="45">
        <v>1</v>
      </c>
      <c r="F126" s="448"/>
      <c r="G126" s="448"/>
      <c r="H126" s="458"/>
      <c r="I126" s="458">
        <f t="shared" si="12"/>
        <v>1</v>
      </c>
    </row>
    <row r="127" spans="1:9" ht="13.5">
      <c r="A127" s="45"/>
      <c r="B127" s="4"/>
      <c r="C127" s="327" t="s">
        <v>1077</v>
      </c>
      <c r="D127" s="447" t="s">
        <v>657</v>
      </c>
      <c r="E127" s="45">
        <v>1</v>
      </c>
      <c r="F127" s="448"/>
      <c r="G127" s="448"/>
      <c r="H127" s="458"/>
      <c r="I127" s="458">
        <f t="shared" si="12"/>
        <v>1</v>
      </c>
    </row>
    <row r="128" spans="1:9" ht="13.5">
      <c r="A128" s="45"/>
      <c r="B128" s="4"/>
      <c r="C128" s="327" t="s">
        <v>1078</v>
      </c>
      <c r="D128" s="447" t="s">
        <v>657</v>
      </c>
      <c r="E128" s="45">
        <v>1</v>
      </c>
      <c r="F128" s="448"/>
      <c r="G128" s="448"/>
      <c r="H128" s="458"/>
      <c r="I128" s="458">
        <f t="shared" si="12"/>
        <v>1</v>
      </c>
    </row>
    <row r="129" spans="1:9" ht="13.5">
      <c r="A129" s="45"/>
      <c r="B129" s="4"/>
      <c r="C129" s="327" t="s">
        <v>1079</v>
      </c>
      <c r="D129" s="447" t="s">
        <v>657</v>
      </c>
      <c r="E129" s="45">
        <v>1</v>
      </c>
      <c r="F129" s="448"/>
      <c r="G129" s="448"/>
      <c r="H129" s="458"/>
      <c r="I129" s="458">
        <f t="shared" si="12"/>
        <v>1</v>
      </c>
    </row>
    <row r="130" spans="1:9" ht="13.5">
      <c r="A130" s="56"/>
      <c r="B130" s="450"/>
      <c r="C130" s="455" t="s">
        <v>481</v>
      </c>
      <c r="D130" s="452"/>
      <c r="E130" s="56"/>
      <c r="F130" s="453"/>
      <c r="G130" s="453"/>
      <c r="H130" s="453"/>
      <c r="I130" s="459">
        <f>SUM(I123:I129)</f>
        <v>7</v>
      </c>
    </row>
    <row r="131" spans="1:9" ht="13.5">
      <c r="A131" s="45"/>
      <c r="B131" s="4"/>
      <c r="C131" s="327"/>
      <c r="D131" s="447"/>
      <c r="E131" s="45"/>
      <c r="F131" s="448"/>
      <c r="G131" s="448"/>
      <c r="H131" s="458"/>
      <c r="I131" s="458"/>
    </row>
    <row r="132" spans="1:9" ht="13.5">
      <c r="A132" s="45"/>
      <c r="B132" s="4"/>
      <c r="C132" s="327"/>
      <c r="D132" s="447"/>
      <c r="E132" s="45"/>
      <c r="F132" s="448"/>
      <c r="G132" s="448"/>
      <c r="H132" s="458"/>
      <c r="I132" s="458"/>
    </row>
    <row r="133" spans="1:9" ht="94.5">
      <c r="A133" s="45">
        <v>34</v>
      </c>
      <c r="B133" s="4">
        <v>1.7</v>
      </c>
      <c r="C133" s="327" t="s">
        <v>863</v>
      </c>
      <c r="D133" s="447" t="s">
        <v>657</v>
      </c>
      <c r="E133" s="45"/>
      <c r="F133" s="448"/>
      <c r="G133" s="448"/>
      <c r="H133" s="458"/>
      <c r="I133" s="458"/>
    </row>
    <row r="134" spans="1:9" ht="13.5">
      <c r="A134" s="45"/>
      <c r="B134" s="4"/>
      <c r="C134" s="334" t="s">
        <v>1080</v>
      </c>
      <c r="D134" s="447"/>
      <c r="E134" s="45"/>
      <c r="F134" s="448"/>
      <c r="G134" s="448"/>
      <c r="H134" s="458"/>
      <c r="I134" s="458"/>
    </row>
    <row r="135" spans="1:9" ht="13.5">
      <c r="A135" s="45"/>
      <c r="B135" s="4"/>
      <c r="C135" s="327" t="s">
        <v>1081</v>
      </c>
      <c r="D135" s="447" t="s">
        <v>657</v>
      </c>
      <c r="E135" s="45">
        <v>2</v>
      </c>
      <c r="F135" s="448"/>
      <c r="G135" s="448"/>
      <c r="H135" s="458"/>
      <c r="I135" s="458">
        <f t="shared" ref="I135:I142" si="13">E135</f>
        <v>2</v>
      </c>
    </row>
    <row r="136" spans="1:9" ht="13.5">
      <c r="A136" s="45"/>
      <c r="B136" s="4"/>
      <c r="C136" s="327" t="s">
        <v>1082</v>
      </c>
      <c r="D136" s="447" t="s">
        <v>657</v>
      </c>
      <c r="E136" s="45">
        <v>1</v>
      </c>
      <c r="F136" s="448"/>
      <c r="G136" s="448"/>
      <c r="H136" s="458"/>
      <c r="I136" s="458">
        <f t="shared" si="13"/>
        <v>1</v>
      </c>
    </row>
    <row r="137" spans="1:9" ht="13.5">
      <c r="A137" s="45"/>
      <c r="B137" s="4"/>
      <c r="C137" s="327" t="s">
        <v>1083</v>
      </c>
      <c r="D137" s="447" t="s">
        <v>657</v>
      </c>
      <c r="E137" s="45">
        <v>1</v>
      </c>
      <c r="F137" s="448"/>
      <c r="G137" s="448"/>
      <c r="H137" s="458"/>
      <c r="I137" s="458">
        <f t="shared" si="13"/>
        <v>1</v>
      </c>
    </row>
    <row r="138" spans="1:9" ht="13.5">
      <c r="A138" s="45"/>
      <c r="B138" s="4"/>
      <c r="C138" s="327" t="s">
        <v>1084</v>
      </c>
      <c r="D138" s="447" t="s">
        <v>657</v>
      </c>
      <c r="E138" s="45">
        <v>1</v>
      </c>
      <c r="F138" s="448"/>
      <c r="G138" s="448"/>
      <c r="H138" s="458"/>
      <c r="I138" s="458">
        <f t="shared" si="13"/>
        <v>1</v>
      </c>
    </row>
    <row r="139" spans="1:9" ht="13.5">
      <c r="A139" s="45"/>
      <c r="B139" s="4"/>
      <c r="C139" s="327" t="s">
        <v>1085</v>
      </c>
      <c r="D139" s="447" t="s">
        <v>657</v>
      </c>
      <c r="E139" s="45">
        <v>1</v>
      </c>
      <c r="F139" s="448"/>
      <c r="G139" s="448"/>
      <c r="H139" s="458"/>
      <c r="I139" s="458">
        <f t="shared" si="13"/>
        <v>1</v>
      </c>
    </row>
    <row r="140" spans="1:9" ht="13.5">
      <c r="A140" s="45"/>
      <c r="B140" s="4"/>
      <c r="C140" s="327" t="s">
        <v>1078</v>
      </c>
      <c r="D140" s="447" t="s">
        <v>657</v>
      </c>
      <c r="E140" s="45">
        <v>3</v>
      </c>
      <c r="F140" s="448"/>
      <c r="G140" s="448"/>
      <c r="H140" s="458"/>
      <c r="I140" s="458">
        <f t="shared" si="13"/>
        <v>3</v>
      </c>
    </row>
    <row r="141" spans="1:9" ht="13.5">
      <c r="A141" s="45"/>
      <c r="B141" s="4"/>
      <c r="C141" s="327" t="s">
        <v>1086</v>
      </c>
      <c r="D141" s="447" t="s">
        <v>657</v>
      </c>
      <c r="E141" s="45">
        <v>1</v>
      </c>
      <c r="F141" s="448"/>
      <c r="G141" s="448"/>
      <c r="H141" s="458"/>
      <c r="I141" s="458">
        <f t="shared" si="13"/>
        <v>1</v>
      </c>
    </row>
    <row r="142" spans="1:9" ht="13.5">
      <c r="A142" s="45"/>
      <c r="B142" s="4"/>
      <c r="C142" s="327" t="s">
        <v>1087</v>
      </c>
      <c r="D142" s="447" t="s">
        <v>657</v>
      </c>
      <c r="E142" s="45">
        <v>1</v>
      </c>
      <c r="F142" s="448"/>
      <c r="G142" s="448"/>
      <c r="H142" s="458"/>
      <c r="I142" s="458">
        <f t="shared" si="13"/>
        <v>1</v>
      </c>
    </row>
    <row r="143" spans="1:9" ht="13.5">
      <c r="A143" s="56"/>
      <c r="B143" s="450"/>
      <c r="C143" s="455" t="s">
        <v>481</v>
      </c>
      <c r="D143" s="452"/>
      <c r="E143" s="56"/>
      <c r="F143" s="453"/>
      <c r="G143" s="453"/>
      <c r="H143" s="453"/>
      <c r="I143" s="459"/>
    </row>
    <row r="144" spans="1:9" ht="13.5">
      <c r="A144" s="45"/>
      <c r="B144" s="4"/>
      <c r="C144" s="334"/>
      <c r="D144" s="447"/>
      <c r="E144" s="45"/>
      <c r="F144" s="448"/>
      <c r="G144" s="448"/>
      <c r="H144" s="458"/>
      <c r="I144" s="461"/>
    </row>
    <row r="145" spans="1:9" ht="189">
      <c r="A145" s="45">
        <v>35</v>
      </c>
      <c r="B145" s="4">
        <v>1.8</v>
      </c>
      <c r="C145" s="327" t="s">
        <v>865</v>
      </c>
      <c r="D145" s="447" t="s">
        <v>657</v>
      </c>
      <c r="E145" s="45"/>
      <c r="F145" s="448"/>
      <c r="G145" s="448"/>
      <c r="H145" s="458"/>
      <c r="I145" s="458"/>
    </row>
    <row r="146" spans="1:9" ht="13.5">
      <c r="A146" s="45"/>
      <c r="B146" s="4"/>
      <c r="C146" s="334" t="s">
        <v>1088</v>
      </c>
      <c r="D146" s="447"/>
      <c r="E146" s="45"/>
      <c r="F146" s="448"/>
      <c r="G146" s="448"/>
      <c r="H146" s="458"/>
      <c r="I146" s="458"/>
    </row>
    <row r="147" spans="1:9" ht="13.5">
      <c r="A147" s="45"/>
      <c r="B147" s="4"/>
      <c r="C147" s="327" t="s">
        <v>1089</v>
      </c>
      <c r="D147" s="447" t="s">
        <v>1024</v>
      </c>
      <c r="E147" s="45">
        <v>1</v>
      </c>
      <c r="F147" s="448"/>
      <c r="G147" s="448"/>
      <c r="H147" s="458"/>
      <c r="I147" s="458">
        <f t="shared" ref="I147:I150" si="14">E147</f>
        <v>1</v>
      </c>
    </row>
    <row r="148" spans="1:9" ht="13.5">
      <c r="A148" s="45"/>
      <c r="B148" s="4"/>
      <c r="C148" s="327" t="s">
        <v>1090</v>
      </c>
      <c r="D148" s="447" t="s">
        <v>1024</v>
      </c>
      <c r="E148" s="45">
        <v>1</v>
      </c>
      <c r="F148" s="448"/>
      <c r="G148" s="448"/>
      <c r="H148" s="458"/>
      <c r="I148" s="458">
        <f t="shared" si="14"/>
        <v>1</v>
      </c>
    </row>
    <row r="149" spans="1:9" ht="13.5">
      <c r="A149" s="45"/>
      <c r="B149" s="4"/>
      <c r="C149" s="327" t="s">
        <v>1091</v>
      </c>
      <c r="D149" s="447" t="s">
        <v>1024</v>
      </c>
      <c r="E149" s="45">
        <v>1</v>
      </c>
      <c r="F149" s="448"/>
      <c r="G149" s="448"/>
      <c r="H149" s="458"/>
      <c r="I149" s="458">
        <f t="shared" si="14"/>
        <v>1</v>
      </c>
    </row>
    <row r="150" spans="1:9" ht="13.5">
      <c r="A150" s="45"/>
      <c r="B150" s="4"/>
      <c r="C150" s="327" t="s">
        <v>1092</v>
      </c>
      <c r="D150" s="447" t="s">
        <v>1024</v>
      </c>
      <c r="E150" s="45">
        <v>1</v>
      </c>
      <c r="F150" s="448"/>
      <c r="G150" s="448"/>
      <c r="H150" s="458"/>
      <c r="I150" s="458">
        <f t="shared" si="14"/>
        <v>1</v>
      </c>
    </row>
    <row r="151" spans="1:9" ht="13.5">
      <c r="A151" s="45"/>
      <c r="B151" s="4"/>
      <c r="C151" s="327" t="s">
        <v>1093</v>
      </c>
      <c r="D151" s="447" t="s">
        <v>1024</v>
      </c>
      <c r="E151" s="45"/>
      <c r="F151" s="448"/>
      <c r="G151" s="448"/>
      <c r="H151" s="458"/>
      <c r="I151" s="458"/>
    </row>
    <row r="152" spans="1:9" ht="13.5">
      <c r="A152" s="45"/>
      <c r="B152" s="4"/>
      <c r="C152" s="334" t="s">
        <v>1094</v>
      </c>
      <c r="D152" s="447" t="s">
        <v>1024</v>
      </c>
      <c r="E152" s="45"/>
      <c r="F152" s="448"/>
      <c r="G152" s="448"/>
      <c r="H152" s="458"/>
      <c r="I152" s="458"/>
    </row>
    <row r="153" spans="1:9" ht="13.5">
      <c r="A153" s="45"/>
      <c r="B153" s="4"/>
      <c r="C153" s="327" t="s">
        <v>1095</v>
      </c>
      <c r="D153" s="447" t="s">
        <v>1024</v>
      </c>
      <c r="E153" s="45">
        <v>1</v>
      </c>
      <c r="F153" s="448"/>
      <c r="G153" s="448"/>
      <c r="H153" s="458"/>
      <c r="I153" s="458">
        <f t="shared" ref="I153:I158" si="15">E153</f>
        <v>1</v>
      </c>
    </row>
    <row r="154" spans="1:9" ht="13.5">
      <c r="A154" s="45"/>
      <c r="B154" s="4"/>
      <c r="C154" s="327" t="s">
        <v>1096</v>
      </c>
      <c r="D154" s="447" t="s">
        <v>1024</v>
      </c>
      <c r="E154" s="45">
        <v>1</v>
      </c>
      <c r="F154" s="448"/>
      <c r="G154" s="448"/>
      <c r="H154" s="458"/>
      <c r="I154" s="458">
        <f t="shared" si="15"/>
        <v>1</v>
      </c>
    </row>
    <row r="155" spans="1:9" ht="13.5">
      <c r="A155" s="45"/>
      <c r="B155" s="4"/>
      <c r="C155" s="327" t="s">
        <v>1097</v>
      </c>
      <c r="D155" s="447" t="s">
        <v>1024</v>
      </c>
      <c r="E155" s="45">
        <v>1</v>
      </c>
      <c r="F155" s="448"/>
      <c r="G155" s="448"/>
      <c r="H155" s="458"/>
      <c r="I155" s="458">
        <f t="shared" si="15"/>
        <v>1</v>
      </c>
    </row>
    <row r="156" spans="1:9" ht="13.5">
      <c r="A156" s="45"/>
      <c r="B156" s="4"/>
      <c r="C156" s="327" t="s">
        <v>1098</v>
      </c>
      <c r="D156" s="447" t="s">
        <v>1024</v>
      </c>
      <c r="E156" s="45">
        <v>1</v>
      </c>
      <c r="F156" s="448"/>
      <c r="G156" s="448"/>
      <c r="H156" s="458"/>
      <c r="I156" s="458">
        <f t="shared" si="15"/>
        <v>1</v>
      </c>
    </row>
    <row r="157" spans="1:9" ht="13.5">
      <c r="A157" s="45"/>
      <c r="B157" s="4"/>
      <c r="C157" s="327" t="s">
        <v>1099</v>
      </c>
      <c r="D157" s="447" t="s">
        <v>1024</v>
      </c>
      <c r="E157" s="45">
        <v>1</v>
      </c>
      <c r="F157" s="448"/>
      <c r="G157" s="448"/>
      <c r="H157" s="458"/>
      <c r="I157" s="458">
        <f t="shared" si="15"/>
        <v>1</v>
      </c>
    </row>
    <row r="158" spans="1:9" ht="13.5">
      <c r="A158" s="45"/>
      <c r="B158" s="4"/>
      <c r="C158" s="327" t="s">
        <v>1100</v>
      </c>
      <c r="D158" s="447" t="s">
        <v>1024</v>
      </c>
      <c r="E158" s="45">
        <v>1</v>
      </c>
      <c r="F158" s="448"/>
      <c r="G158" s="448"/>
      <c r="H158" s="458"/>
      <c r="I158" s="458">
        <f t="shared" si="15"/>
        <v>1</v>
      </c>
    </row>
    <row r="159" spans="1:9" ht="13.5">
      <c r="A159" s="56"/>
      <c r="B159" s="450"/>
      <c r="C159" s="455" t="s">
        <v>481</v>
      </c>
      <c r="D159" s="452"/>
      <c r="E159" s="56"/>
      <c r="F159" s="453"/>
      <c r="G159" s="453"/>
      <c r="H159" s="453"/>
      <c r="I159" s="459">
        <f>SUM(I146:I158)</f>
        <v>10</v>
      </c>
    </row>
    <row r="160" spans="1:9" ht="13.5">
      <c r="A160" s="45"/>
      <c r="B160" s="4"/>
      <c r="C160" s="327"/>
      <c r="D160" s="447"/>
      <c r="E160" s="45"/>
      <c r="F160" s="448"/>
      <c r="G160" s="448"/>
      <c r="H160" s="458"/>
      <c r="I160" s="458"/>
    </row>
    <row r="161" spans="1:9" ht="94.5">
      <c r="A161" s="45">
        <v>36</v>
      </c>
      <c r="B161" s="4">
        <v>1.9</v>
      </c>
      <c r="C161" s="327" t="s">
        <v>866</v>
      </c>
      <c r="D161" s="447" t="s">
        <v>657</v>
      </c>
      <c r="E161" s="45"/>
      <c r="F161" s="448"/>
      <c r="G161" s="448"/>
      <c r="H161" s="458"/>
      <c r="I161" s="458"/>
    </row>
    <row r="162" spans="1:9" ht="13.5">
      <c r="A162" s="45"/>
      <c r="B162" s="4"/>
      <c r="C162" s="327"/>
      <c r="D162" s="447"/>
      <c r="E162" s="45"/>
      <c r="F162" s="448"/>
      <c r="G162" s="448"/>
      <c r="H162" s="458"/>
      <c r="I162" s="458"/>
    </row>
    <row r="163" spans="1:9" ht="13.5">
      <c r="A163" s="45"/>
      <c r="B163" s="4"/>
      <c r="C163" s="334" t="s">
        <v>1101</v>
      </c>
      <c r="D163" s="447"/>
      <c r="E163" s="45"/>
      <c r="F163" s="448"/>
      <c r="G163" s="448"/>
      <c r="H163" s="458"/>
      <c r="I163" s="458"/>
    </row>
    <row r="164" spans="1:9" ht="13.5">
      <c r="A164" s="45"/>
      <c r="B164" s="4"/>
      <c r="C164" s="327" t="s">
        <v>1102</v>
      </c>
      <c r="D164" s="447" t="s">
        <v>1024</v>
      </c>
      <c r="E164" s="45">
        <v>1</v>
      </c>
      <c r="F164" s="448"/>
      <c r="G164" s="448"/>
      <c r="H164" s="458"/>
      <c r="I164" s="458">
        <f t="shared" ref="I164:I168" si="16">E164</f>
        <v>1</v>
      </c>
    </row>
    <row r="165" spans="1:9" ht="13.5">
      <c r="A165" s="45"/>
      <c r="B165" s="4"/>
      <c r="C165" s="327" t="s">
        <v>1103</v>
      </c>
      <c r="D165" s="447" t="s">
        <v>1024</v>
      </c>
      <c r="E165" s="45">
        <v>1</v>
      </c>
      <c r="F165" s="448"/>
      <c r="G165" s="448"/>
      <c r="H165" s="458"/>
      <c r="I165" s="458">
        <f t="shared" si="16"/>
        <v>1</v>
      </c>
    </row>
    <row r="166" spans="1:9" ht="13.5">
      <c r="A166" s="45"/>
      <c r="B166" s="4"/>
      <c r="C166" s="327" t="s">
        <v>1104</v>
      </c>
      <c r="D166" s="447" t="s">
        <v>1024</v>
      </c>
      <c r="E166" s="45">
        <v>1</v>
      </c>
      <c r="F166" s="448"/>
      <c r="G166" s="448"/>
      <c r="H166" s="458"/>
      <c r="I166" s="458">
        <f t="shared" si="16"/>
        <v>1</v>
      </c>
    </row>
    <row r="167" spans="1:9" ht="13.5">
      <c r="A167" s="45"/>
      <c r="B167" s="4"/>
      <c r="C167" s="327" t="s">
        <v>1105</v>
      </c>
      <c r="D167" s="447" t="s">
        <v>1024</v>
      </c>
      <c r="E167" s="45">
        <v>2</v>
      </c>
      <c r="F167" s="448"/>
      <c r="G167" s="448"/>
      <c r="H167" s="458"/>
      <c r="I167" s="458">
        <f t="shared" si="16"/>
        <v>2</v>
      </c>
    </row>
    <row r="168" spans="1:9" ht="13.5">
      <c r="A168" s="45"/>
      <c r="B168" s="4"/>
      <c r="C168" s="327" t="s">
        <v>1106</v>
      </c>
      <c r="D168" s="447" t="s">
        <v>1024</v>
      </c>
      <c r="E168" s="45">
        <v>1</v>
      </c>
      <c r="F168" s="448"/>
      <c r="G168" s="448"/>
      <c r="H168" s="458"/>
      <c r="I168" s="458">
        <f t="shared" si="16"/>
        <v>1</v>
      </c>
    </row>
    <row r="169" spans="1:9" ht="13.5">
      <c r="A169" s="45"/>
      <c r="B169" s="4"/>
      <c r="C169" s="334" t="s">
        <v>1094</v>
      </c>
      <c r="D169" s="447" t="s">
        <v>1024</v>
      </c>
      <c r="E169" s="45"/>
      <c r="F169" s="448"/>
      <c r="G169" s="448"/>
      <c r="H169" s="458"/>
      <c r="I169" s="458"/>
    </row>
    <row r="170" spans="1:9" ht="13.5">
      <c r="A170" s="45"/>
      <c r="B170" s="4"/>
      <c r="C170" s="327" t="s">
        <v>1107</v>
      </c>
      <c r="D170" s="447" t="s">
        <v>1024</v>
      </c>
      <c r="E170" s="45">
        <v>1</v>
      </c>
      <c r="F170" s="448"/>
      <c r="G170" s="448"/>
      <c r="H170" s="458"/>
      <c r="I170" s="458">
        <f t="shared" ref="I170:I175" si="17">E170</f>
        <v>1</v>
      </c>
    </row>
    <row r="171" spans="1:9" ht="13.5">
      <c r="A171" s="45"/>
      <c r="B171" s="4"/>
      <c r="C171" s="327" t="s">
        <v>1108</v>
      </c>
      <c r="D171" s="447" t="s">
        <v>1024</v>
      </c>
      <c r="E171" s="45">
        <v>1</v>
      </c>
      <c r="F171" s="448"/>
      <c r="G171" s="448"/>
      <c r="H171" s="458"/>
      <c r="I171" s="458">
        <f t="shared" si="17"/>
        <v>1</v>
      </c>
    </row>
    <row r="172" spans="1:9" ht="13.5">
      <c r="A172" s="45"/>
      <c r="B172" s="4"/>
      <c r="C172" s="327" t="s">
        <v>1109</v>
      </c>
      <c r="D172" s="447" t="s">
        <v>1024</v>
      </c>
      <c r="E172" s="45">
        <v>1</v>
      </c>
      <c r="F172" s="448"/>
      <c r="G172" s="448"/>
      <c r="H172" s="458"/>
      <c r="I172" s="458">
        <f t="shared" si="17"/>
        <v>1</v>
      </c>
    </row>
    <row r="173" spans="1:9" ht="13.5">
      <c r="A173" s="45"/>
      <c r="B173" s="4"/>
      <c r="C173" s="327" t="s">
        <v>1110</v>
      </c>
      <c r="D173" s="447" t="s">
        <v>1024</v>
      </c>
      <c r="E173" s="45">
        <v>1</v>
      </c>
      <c r="F173" s="448"/>
      <c r="G173" s="448"/>
      <c r="H173" s="458"/>
      <c r="I173" s="458">
        <f t="shared" si="17"/>
        <v>1</v>
      </c>
    </row>
    <row r="174" spans="1:9" ht="13.5">
      <c r="A174" s="45"/>
      <c r="B174" s="4"/>
      <c r="C174" s="327" t="s">
        <v>1111</v>
      </c>
      <c r="D174" s="447" t="s">
        <v>1024</v>
      </c>
      <c r="E174" s="45">
        <v>1</v>
      </c>
      <c r="F174" s="448"/>
      <c r="G174" s="448"/>
      <c r="H174" s="458"/>
      <c r="I174" s="458">
        <f t="shared" si="17"/>
        <v>1</v>
      </c>
    </row>
    <row r="175" spans="1:9" ht="13.5">
      <c r="A175" s="45"/>
      <c r="B175" s="4"/>
      <c r="C175" s="327" t="s">
        <v>1112</v>
      </c>
      <c r="D175" s="447" t="s">
        <v>1024</v>
      </c>
      <c r="E175" s="45">
        <v>1</v>
      </c>
      <c r="F175" s="448"/>
      <c r="G175" s="448"/>
      <c r="H175" s="458"/>
      <c r="I175" s="458">
        <f t="shared" si="17"/>
        <v>1</v>
      </c>
    </row>
    <row r="176" spans="1:9" ht="13.5">
      <c r="A176" s="56"/>
      <c r="B176" s="450"/>
      <c r="C176" s="455" t="s">
        <v>481</v>
      </c>
      <c r="D176" s="452"/>
      <c r="E176" s="56"/>
      <c r="F176" s="453"/>
      <c r="G176" s="453"/>
      <c r="H176" s="453"/>
      <c r="I176" s="459">
        <f>SUM(I164:I175)</f>
        <v>12</v>
      </c>
    </row>
    <row r="177" spans="1:9" ht="13.5">
      <c r="A177" s="56"/>
      <c r="B177" s="450"/>
      <c r="C177" s="456" t="s">
        <v>1892</v>
      </c>
      <c r="D177" s="452"/>
      <c r="E177" s="56"/>
      <c r="F177" s="453"/>
      <c r="G177" s="453"/>
      <c r="H177" s="453"/>
      <c r="I177" s="459">
        <v>2</v>
      </c>
    </row>
    <row r="178" spans="1:9" ht="13.5">
      <c r="A178" s="56"/>
      <c r="B178" s="450"/>
      <c r="C178" s="456" t="s">
        <v>1893</v>
      </c>
      <c r="D178" s="452"/>
      <c r="E178" s="56"/>
      <c r="F178" s="453"/>
      <c r="G178" s="453"/>
      <c r="H178" s="453"/>
      <c r="I178" s="459">
        <v>10</v>
      </c>
    </row>
    <row r="179" spans="1:9" ht="13.5">
      <c r="A179" s="56"/>
      <c r="B179" s="450"/>
      <c r="C179" s="1158" t="s">
        <v>813</v>
      </c>
      <c r="D179" s="452"/>
      <c r="E179" s="56"/>
      <c r="F179" s="453"/>
      <c r="G179" s="453"/>
      <c r="H179" s="453"/>
      <c r="I179" s="459">
        <f>SUM(I177:I178)</f>
        <v>12</v>
      </c>
    </row>
    <row r="180" spans="1:9" ht="13.5">
      <c r="A180" s="45"/>
      <c r="B180" s="4"/>
      <c r="C180" s="327"/>
      <c r="D180" s="447"/>
      <c r="E180" s="45"/>
      <c r="F180" s="448"/>
      <c r="G180" s="448"/>
      <c r="H180" s="458"/>
      <c r="I180" s="458"/>
    </row>
    <row r="181" spans="1:9" ht="13.5">
      <c r="A181" s="45"/>
      <c r="B181" s="4"/>
      <c r="C181" s="327"/>
      <c r="D181" s="447"/>
      <c r="E181" s="45"/>
      <c r="F181" s="448"/>
      <c r="G181" s="448"/>
      <c r="H181" s="458"/>
      <c r="I181" s="458"/>
    </row>
    <row r="182" spans="1:9" ht="162">
      <c r="A182" s="45">
        <v>37</v>
      </c>
      <c r="B182" s="463">
        <v>1.1000000000000001</v>
      </c>
      <c r="C182" s="327" t="s">
        <v>867</v>
      </c>
      <c r="D182" s="447" t="s">
        <v>657</v>
      </c>
      <c r="E182" s="45"/>
      <c r="F182" s="448"/>
      <c r="G182" s="448"/>
      <c r="H182" s="458"/>
      <c r="I182" s="458"/>
    </row>
    <row r="183" spans="1:9" ht="13.5">
      <c r="A183" s="45"/>
      <c r="B183" s="463"/>
      <c r="C183" s="327"/>
      <c r="D183" s="447"/>
      <c r="E183" s="45"/>
      <c r="F183" s="448"/>
      <c r="G183" s="448"/>
      <c r="H183" s="458"/>
      <c r="I183" s="458"/>
    </row>
    <row r="184" spans="1:9" ht="13.5">
      <c r="A184" s="45"/>
      <c r="B184" s="463"/>
      <c r="C184" s="327"/>
      <c r="D184" s="447"/>
      <c r="E184" s="45"/>
      <c r="F184" s="448"/>
      <c r="G184" s="448"/>
      <c r="H184" s="458"/>
      <c r="I184" s="458"/>
    </row>
    <row r="185" spans="1:9" ht="13.5">
      <c r="A185" s="45"/>
      <c r="B185" s="463"/>
      <c r="C185" s="327"/>
      <c r="D185" s="447"/>
      <c r="E185" s="45"/>
      <c r="F185" s="448"/>
      <c r="G185" s="448"/>
      <c r="H185" s="458"/>
      <c r="I185" s="458"/>
    </row>
    <row r="186" spans="1:9" ht="162">
      <c r="A186" s="45">
        <v>38</v>
      </c>
      <c r="B186" s="463">
        <v>1.1100000000000001</v>
      </c>
      <c r="C186" s="327" t="s">
        <v>869</v>
      </c>
      <c r="D186" s="447" t="s">
        <v>870</v>
      </c>
      <c r="E186" s="45"/>
      <c r="F186" s="448"/>
      <c r="G186" s="448"/>
      <c r="H186" s="448"/>
      <c r="I186" s="448"/>
    </row>
    <row r="187" spans="1:9" ht="13.5">
      <c r="A187" s="45"/>
      <c r="B187" s="463"/>
      <c r="C187" s="327" t="s">
        <v>1113</v>
      </c>
      <c r="D187" s="447" t="s">
        <v>1024</v>
      </c>
      <c r="E187" s="45">
        <v>1</v>
      </c>
      <c r="F187" s="448"/>
      <c r="G187" s="448"/>
      <c r="H187" s="448"/>
      <c r="I187" s="460">
        <f>E187</f>
        <v>1</v>
      </c>
    </row>
    <row r="188" spans="1:9" ht="13.5">
      <c r="A188" s="45"/>
      <c r="B188" s="463"/>
      <c r="C188" s="327" t="s">
        <v>1114</v>
      </c>
      <c r="D188" s="447" t="s">
        <v>1024</v>
      </c>
      <c r="E188" s="45">
        <v>1</v>
      </c>
      <c r="F188" s="448"/>
      <c r="G188" s="448"/>
      <c r="H188" s="448"/>
      <c r="I188" s="460">
        <f>E188</f>
        <v>1</v>
      </c>
    </row>
    <row r="189" spans="1:9" ht="13.5">
      <c r="A189" s="56"/>
      <c r="B189" s="464"/>
      <c r="C189" s="455" t="s">
        <v>481</v>
      </c>
      <c r="D189" s="452"/>
      <c r="E189" s="56"/>
      <c r="F189" s="453"/>
      <c r="G189" s="453"/>
      <c r="H189" s="453"/>
      <c r="I189" s="459">
        <f>SUM(I187:I188)</f>
        <v>2</v>
      </c>
    </row>
    <row r="190" spans="1:9" ht="13.5">
      <c r="A190" s="45"/>
      <c r="B190" s="463"/>
      <c r="C190" s="327"/>
      <c r="D190" s="447"/>
      <c r="E190" s="45"/>
      <c r="F190" s="448"/>
      <c r="G190" s="448"/>
      <c r="H190" s="448"/>
      <c r="I190" s="461"/>
    </row>
    <row r="191" spans="1:9" ht="121.5">
      <c r="A191" s="45">
        <v>39</v>
      </c>
      <c r="B191" s="463">
        <v>1.1200000000000001</v>
      </c>
      <c r="C191" s="327" t="s">
        <v>871</v>
      </c>
      <c r="D191" s="447" t="s">
        <v>870</v>
      </c>
      <c r="E191" s="45"/>
      <c r="F191" s="448"/>
      <c r="G191" s="448"/>
      <c r="H191" s="448"/>
      <c r="I191" s="448"/>
    </row>
    <row r="192" spans="1:9" ht="13.5">
      <c r="A192" s="45"/>
      <c r="B192" s="463"/>
      <c r="C192" s="327" t="s">
        <v>1115</v>
      </c>
      <c r="D192" s="448"/>
      <c r="E192" s="45"/>
      <c r="F192" s="448"/>
      <c r="G192" s="448"/>
      <c r="H192" s="448"/>
      <c r="I192" s="448"/>
    </row>
    <row r="193" spans="1:9" ht="13.5">
      <c r="A193" s="56"/>
      <c r="B193" s="464"/>
      <c r="C193" s="455" t="s">
        <v>481</v>
      </c>
      <c r="D193" s="452" t="s">
        <v>1116</v>
      </c>
      <c r="E193" s="56">
        <v>1</v>
      </c>
      <c r="F193" s="453"/>
      <c r="G193" s="453"/>
      <c r="H193" s="453"/>
      <c r="I193" s="459"/>
    </row>
    <row r="194" spans="1:9" ht="13.5">
      <c r="A194" s="45"/>
      <c r="B194" s="463"/>
      <c r="C194" s="334"/>
      <c r="D194" s="447"/>
      <c r="E194" s="45"/>
      <c r="F194" s="448"/>
      <c r="G194" s="448"/>
      <c r="H194" s="448"/>
      <c r="I194" s="461"/>
    </row>
    <row r="195" spans="1:9" ht="121.5">
      <c r="A195" s="45">
        <v>40</v>
      </c>
      <c r="B195" s="463">
        <v>1.1299999999999999</v>
      </c>
      <c r="C195" s="327" t="s">
        <v>872</v>
      </c>
      <c r="D195" s="447" t="s">
        <v>870</v>
      </c>
      <c r="E195" s="45"/>
      <c r="F195" s="448"/>
      <c r="G195" s="448"/>
      <c r="H195" s="448"/>
      <c r="I195" s="448"/>
    </row>
    <row r="196" spans="1:9" ht="13.5">
      <c r="A196" s="45"/>
      <c r="B196" s="463"/>
      <c r="C196" s="327" t="s">
        <v>1117</v>
      </c>
      <c r="D196" s="447" t="s">
        <v>1024</v>
      </c>
      <c r="E196" s="45">
        <v>1</v>
      </c>
      <c r="F196" s="448"/>
      <c r="G196" s="448"/>
      <c r="H196" s="448"/>
      <c r="I196" s="448">
        <f>E196</f>
        <v>1</v>
      </c>
    </row>
    <row r="197" spans="1:9" ht="13.5">
      <c r="A197" s="45"/>
      <c r="B197" s="463"/>
      <c r="C197" s="327" t="s">
        <v>1118</v>
      </c>
      <c r="D197" s="447" t="s">
        <v>1024</v>
      </c>
      <c r="E197" s="45">
        <v>1</v>
      </c>
      <c r="F197" s="448"/>
      <c r="G197" s="448"/>
      <c r="H197" s="448"/>
      <c r="I197" s="448">
        <f>E197</f>
        <v>1</v>
      </c>
    </row>
    <row r="198" spans="1:9" ht="13.5">
      <c r="A198" s="56"/>
      <c r="B198" s="464"/>
      <c r="C198" s="455" t="s">
        <v>481</v>
      </c>
      <c r="D198" s="452"/>
      <c r="E198" s="56"/>
      <c r="F198" s="453"/>
      <c r="G198" s="453"/>
      <c r="H198" s="453"/>
      <c r="I198" s="459"/>
    </row>
    <row r="199" spans="1:9" ht="13.5">
      <c r="A199" s="45"/>
      <c r="B199" s="463"/>
      <c r="C199" s="327"/>
      <c r="D199" s="447"/>
      <c r="E199" s="45"/>
      <c r="F199" s="448"/>
      <c r="G199" s="448"/>
      <c r="H199" s="448"/>
      <c r="I199" s="448"/>
    </row>
    <row r="200" spans="1:9" ht="189">
      <c r="A200" s="45">
        <v>41</v>
      </c>
      <c r="B200" s="463">
        <v>1.1399999999999999</v>
      </c>
      <c r="C200" s="327" t="s">
        <v>873</v>
      </c>
      <c r="D200" s="447" t="s">
        <v>870</v>
      </c>
      <c r="E200" s="45"/>
      <c r="F200" s="448"/>
      <c r="G200" s="448"/>
      <c r="H200" s="448"/>
      <c r="I200" s="448"/>
    </row>
    <row r="201" spans="1:9" ht="13.5">
      <c r="A201" s="45"/>
      <c r="B201" s="463"/>
      <c r="C201" s="334" t="s">
        <v>1119</v>
      </c>
      <c r="D201" s="447" t="s">
        <v>1024</v>
      </c>
      <c r="E201" s="45"/>
      <c r="F201" s="448"/>
      <c r="G201" s="448"/>
      <c r="H201" s="448"/>
      <c r="I201" s="448"/>
    </row>
    <row r="202" spans="1:9" ht="13.5">
      <c r="A202" s="45"/>
      <c r="B202" s="463"/>
      <c r="C202" s="327" t="s">
        <v>1120</v>
      </c>
      <c r="D202" s="447" t="s">
        <v>1024</v>
      </c>
      <c r="E202" s="45">
        <v>1</v>
      </c>
      <c r="F202" s="448"/>
      <c r="G202" s="448"/>
      <c r="H202" s="448"/>
      <c r="I202" s="448">
        <f t="shared" ref="I202:I224" si="18">E202</f>
        <v>1</v>
      </c>
    </row>
    <row r="203" spans="1:9" ht="13.5">
      <c r="A203" s="45"/>
      <c r="B203" s="463"/>
      <c r="C203" s="327" t="s">
        <v>1121</v>
      </c>
      <c r="D203" s="447" t="s">
        <v>1024</v>
      </c>
      <c r="E203" s="45">
        <v>1</v>
      </c>
      <c r="F203" s="448"/>
      <c r="G203" s="448"/>
      <c r="H203" s="448"/>
      <c r="I203" s="448">
        <f t="shared" si="18"/>
        <v>1</v>
      </c>
    </row>
    <row r="204" spans="1:9" ht="13.5">
      <c r="A204" s="45"/>
      <c r="B204" s="463"/>
      <c r="C204" s="327" t="s">
        <v>1122</v>
      </c>
      <c r="D204" s="447" t="s">
        <v>1024</v>
      </c>
      <c r="E204" s="45">
        <v>1</v>
      </c>
      <c r="F204" s="448"/>
      <c r="G204" s="448"/>
      <c r="H204" s="448"/>
      <c r="I204" s="448">
        <f t="shared" si="18"/>
        <v>1</v>
      </c>
    </row>
    <row r="205" spans="1:9" ht="13.5">
      <c r="A205" s="45"/>
      <c r="B205" s="463"/>
      <c r="C205" s="327" t="s">
        <v>1123</v>
      </c>
      <c r="D205" s="447" t="s">
        <v>1024</v>
      </c>
      <c r="E205" s="45">
        <v>1</v>
      </c>
      <c r="F205" s="448"/>
      <c r="G205" s="448"/>
      <c r="H205" s="448"/>
      <c r="I205" s="448">
        <f t="shared" si="18"/>
        <v>1</v>
      </c>
    </row>
    <row r="206" spans="1:9" ht="13.5">
      <c r="A206" s="45"/>
      <c r="B206" s="463"/>
      <c r="C206" s="327" t="s">
        <v>1124</v>
      </c>
      <c r="D206" s="447" t="s">
        <v>1024</v>
      </c>
      <c r="E206" s="45">
        <v>1</v>
      </c>
      <c r="F206" s="448"/>
      <c r="G206" s="448"/>
      <c r="H206" s="448"/>
      <c r="I206" s="448">
        <f t="shared" si="18"/>
        <v>1</v>
      </c>
    </row>
    <row r="207" spans="1:9" ht="13.5">
      <c r="A207" s="45"/>
      <c r="B207" s="463"/>
      <c r="C207" s="327" t="s">
        <v>1125</v>
      </c>
      <c r="D207" s="447" t="s">
        <v>1024</v>
      </c>
      <c r="E207" s="45">
        <v>1</v>
      </c>
      <c r="F207" s="448"/>
      <c r="G207" s="448"/>
      <c r="H207" s="448"/>
      <c r="I207" s="448">
        <f t="shared" si="18"/>
        <v>1</v>
      </c>
    </row>
    <row r="208" spans="1:9" ht="13.5">
      <c r="A208" s="45"/>
      <c r="B208" s="463"/>
      <c r="C208" s="327" t="s">
        <v>1126</v>
      </c>
      <c r="D208" s="447" t="s">
        <v>1024</v>
      </c>
      <c r="E208" s="45">
        <v>1</v>
      </c>
      <c r="F208" s="448"/>
      <c r="G208" s="448"/>
      <c r="H208" s="448"/>
      <c r="I208" s="448">
        <f t="shared" si="18"/>
        <v>1</v>
      </c>
    </row>
    <row r="209" spans="1:9" ht="13.5">
      <c r="A209" s="45"/>
      <c r="B209" s="463"/>
      <c r="C209" s="327" t="s">
        <v>1127</v>
      </c>
      <c r="D209" s="447" t="s">
        <v>1024</v>
      </c>
      <c r="E209" s="45">
        <v>1</v>
      </c>
      <c r="F209" s="448"/>
      <c r="G209" s="448"/>
      <c r="H209" s="448"/>
      <c r="I209" s="448">
        <f t="shared" si="18"/>
        <v>1</v>
      </c>
    </row>
    <row r="210" spans="1:9" ht="13.5">
      <c r="A210" s="45"/>
      <c r="B210" s="463"/>
      <c r="C210" s="327" t="s">
        <v>1128</v>
      </c>
      <c r="D210" s="447" t="s">
        <v>1024</v>
      </c>
      <c r="E210" s="45">
        <v>1</v>
      </c>
      <c r="F210" s="448"/>
      <c r="G210" s="448"/>
      <c r="H210" s="448"/>
      <c r="I210" s="448">
        <f t="shared" si="18"/>
        <v>1</v>
      </c>
    </row>
    <row r="211" spans="1:9" ht="13.5">
      <c r="A211" s="45"/>
      <c r="B211" s="463"/>
      <c r="C211" s="327" t="s">
        <v>1129</v>
      </c>
      <c r="D211" s="447" t="s">
        <v>1024</v>
      </c>
      <c r="E211" s="45">
        <v>1</v>
      </c>
      <c r="F211" s="448"/>
      <c r="G211" s="448"/>
      <c r="H211" s="448"/>
      <c r="I211" s="448">
        <f t="shared" si="18"/>
        <v>1</v>
      </c>
    </row>
    <row r="212" spans="1:9" ht="13.5">
      <c r="A212" s="45"/>
      <c r="B212" s="463"/>
      <c r="C212" s="327" t="s">
        <v>1130</v>
      </c>
      <c r="D212" s="447" t="s">
        <v>1024</v>
      </c>
      <c r="E212" s="45">
        <v>1</v>
      </c>
      <c r="F212" s="448"/>
      <c r="G212" s="448"/>
      <c r="H212" s="448"/>
      <c r="I212" s="448">
        <f t="shared" si="18"/>
        <v>1</v>
      </c>
    </row>
    <row r="213" spans="1:9" ht="13.5">
      <c r="A213" s="45"/>
      <c r="B213" s="463"/>
      <c r="C213" s="327" t="s">
        <v>1131</v>
      </c>
      <c r="D213" s="447" t="s">
        <v>1024</v>
      </c>
      <c r="E213" s="45">
        <v>1</v>
      </c>
      <c r="F213" s="448"/>
      <c r="G213" s="448"/>
      <c r="H213" s="448"/>
      <c r="I213" s="448">
        <f t="shared" si="18"/>
        <v>1</v>
      </c>
    </row>
    <row r="214" spans="1:9" ht="13.5">
      <c r="A214" s="45"/>
      <c r="B214" s="463"/>
      <c r="C214" s="327" t="s">
        <v>1132</v>
      </c>
      <c r="D214" s="447" t="s">
        <v>1024</v>
      </c>
      <c r="E214" s="45">
        <v>1</v>
      </c>
      <c r="F214" s="448"/>
      <c r="G214" s="448"/>
      <c r="H214" s="448"/>
      <c r="I214" s="448">
        <f t="shared" si="18"/>
        <v>1</v>
      </c>
    </row>
    <row r="215" spans="1:9" ht="13.5">
      <c r="A215" s="45"/>
      <c r="B215" s="463"/>
      <c r="C215" s="327" t="s">
        <v>1133</v>
      </c>
      <c r="D215" s="447" t="s">
        <v>1024</v>
      </c>
      <c r="E215" s="45">
        <v>1</v>
      </c>
      <c r="F215" s="448"/>
      <c r="G215" s="448"/>
      <c r="H215" s="448"/>
      <c r="I215" s="448">
        <f t="shared" si="18"/>
        <v>1</v>
      </c>
    </row>
    <row r="216" spans="1:9" ht="13.5">
      <c r="A216" s="45"/>
      <c r="B216" s="463"/>
      <c r="C216" s="327" t="s">
        <v>1134</v>
      </c>
      <c r="D216" s="447" t="s">
        <v>1024</v>
      </c>
      <c r="E216" s="45">
        <v>1</v>
      </c>
      <c r="F216" s="448"/>
      <c r="G216" s="448"/>
      <c r="H216" s="448"/>
      <c r="I216" s="448">
        <f t="shared" si="18"/>
        <v>1</v>
      </c>
    </row>
    <row r="217" spans="1:9" ht="13.5">
      <c r="A217" s="45"/>
      <c r="B217" s="463"/>
      <c r="C217" s="327" t="s">
        <v>1135</v>
      </c>
      <c r="D217" s="447" t="s">
        <v>1024</v>
      </c>
      <c r="E217" s="45">
        <v>1</v>
      </c>
      <c r="F217" s="448"/>
      <c r="G217" s="448"/>
      <c r="H217" s="448"/>
      <c r="I217" s="448">
        <f t="shared" si="18"/>
        <v>1</v>
      </c>
    </row>
    <row r="218" spans="1:9" ht="13.5">
      <c r="A218" s="45"/>
      <c r="B218" s="463"/>
      <c r="C218" s="327" t="s">
        <v>1136</v>
      </c>
      <c r="D218" s="447" t="s">
        <v>1024</v>
      </c>
      <c r="E218" s="45">
        <v>1</v>
      </c>
      <c r="F218" s="448"/>
      <c r="G218" s="448"/>
      <c r="H218" s="448"/>
      <c r="I218" s="448">
        <f t="shared" si="18"/>
        <v>1</v>
      </c>
    </row>
    <row r="219" spans="1:9" ht="13.5">
      <c r="A219" s="45"/>
      <c r="B219" s="463"/>
      <c r="C219" s="327" t="s">
        <v>1137</v>
      </c>
      <c r="D219" s="447" t="s">
        <v>1024</v>
      </c>
      <c r="E219" s="45">
        <v>1</v>
      </c>
      <c r="F219" s="448"/>
      <c r="G219" s="448"/>
      <c r="H219" s="448"/>
      <c r="I219" s="448">
        <f t="shared" si="18"/>
        <v>1</v>
      </c>
    </row>
    <row r="220" spans="1:9" ht="13.5">
      <c r="A220" s="45"/>
      <c r="B220" s="463"/>
      <c r="C220" s="327" t="s">
        <v>1138</v>
      </c>
      <c r="D220" s="447" t="s">
        <v>1024</v>
      </c>
      <c r="E220" s="45">
        <v>1</v>
      </c>
      <c r="F220" s="448"/>
      <c r="G220" s="448"/>
      <c r="H220" s="448"/>
      <c r="I220" s="448">
        <f t="shared" si="18"/>
        <v>1</v>
      </c>
    </row>
    <row r="221" spans="1:9" ht="13.5">
      <c r="A221" s="45"/>
      <c r="B221" s="463"/>
      <c r="C221" s="327" t="s">
        <v>1139</v>
      </c>
      <c r="D221" s="447" t="s">
        <v>1024</v>
      </c>
      <c r="E221" s="45">
        <v>1</v>
      </c>
      <c r="F221" s="448"/>
      <c r="G221" s="448"/>
      <c r="H221" s="448"/>
      <c r="I221" s="448">
        <f t="shared" si="18"/>
        <v>1</v>
      </c>
    </row>
    <row r="222" spans="1:9" ht="13.5">
      <c r="A222" s="45"/>
      <c r="B222" s="463"/>
      <c r="C222" s="327" t="s">
        <v>1140</v>
      </c>
      <c r="D222" s="447" t="s">
        <v>1024</v>
      </c>
      <c r="E222" s="45">
        <v>1</v>
      </c>
      <c r="F222" s="448"/>
      <c r="G222" s="448"/>
      <c r="H222" s="448"/>
      <c r="I222" s="448">
        <f t="shared" si="18"/>
        <v>1</v>
      </c>
    </row>
    <row r="223" spans="1:9" ht="13.5">
      <c r="A223" s="45"/>
      <c r="B223" s="463"/>
      <c r="C223" s="327" t="s">
        <v>1141</v>
      </c>
      <c r="D223" s="447" t="s">
        <v>1024</v>
      </c>
      <c r="E223" s="45">
        <v>1</v>
      </c>
      <c r="F223" s="448"/>
      <c r="G223" s="448"/>
      <c r="H223" s="448"/>
      <c r="I223" s="448">
        <f t="shared" si="18"/>
        <v>1</v>
      </c>
    </row>
    <row r="224" spans="1:9" ht="13.5">
      <c r="A224" s="45"/>
      <c r="B224" s="463"/>
      <c r="C224" s="327" t="s">
        <v>1142</v>
      </c>
      <c r="D224" s="447" t="s">
        <v>1024</v>
      </c>
      <c r="E224" s="45">
        <v>1</v>
      </c>
      <c r="F224" s="448"/>
      <c r="G224" s="448"/>
      <c r="H224" s="448"/>
      <c r="I224" s="448">
        <f t="shared" si="18"/>
        <v>1</v>
      </c>
    </row>
    <row r="225" spans="1:9" ht="13.5">
      <c r="A225" s="56"/>
      <c r="B225" s="464"/>
      <c r="C225" s="455" t="s">
        <v>481</v>
      </c>
      <c r="D225" s="452"/>
      <c r="E225" s="56"/>
      <c r="F225" s="453"/>
      <c r="G225" s="453"/>
      <c r="H225" s="453"/>
      <c r="I225" s="459">
        <f>SUM(I202:I224)</f>
        <v>23</v>
      </c>
    </row>
    <row r="226" spans="1:9" ht="13.5">
      <c r="A226" s="56"/>
      <c r="B226" s="464"/>
      <c r="C226" s="456" t="s">
        <v>1892</v>
      </c>
      <c r="D226" s="452"/>
      <c r="E226" s="56"/>
      <c r="F226" s="453"/>
      <c r="G226" s="453"/>
      <c r="H226" s="453"/>
      <c r="I226" s="459">
        <v>15</v>
      </c>
    </row>
    <row r="227" spans="1:9" ht="13.5">
      <c r="A227" s="56"/>
      <c r="B227" s="464"/>
      <c r="C227" s="456" t="s">
        <v>1893</v>
      </c>
      <c r="D227" s="452"/>
      <c r="E227" s="56"/>
      <c r="F227" s="453"/>
      <c r="G227" s="453"/>
      <c r="H227" s="453"/>
      <c r="I227" s="459">
        <v>8</v>
      </c>
    </row>
    <row r="228" spans="1:9" ht="13.5">
      <c r="A228" s="56"/>
      <c r="B228" s="464"/>
      <c r="C228" s="1158" t="s">
        <v>813</v>
      </c>
      <c r="D228" s="452"/>
      <c r="E228" s="56"/>
      <c r="F228" s="453"/>
      <c r="G228" s="453"/>
      <c r="H228" s="453"/>
      <c r="I228" s="459">
        <f>SUM(I226:I227)</f>
        <v>23</v>
      </c>
    </row>
    <row r="229" spans="1:9" ht="13.5">
      <c r="A229" s="45"/>
      <c r="B229" s="463"/>
      <c r="C229" s="327"/>
      <c r="D229" s="447"/>
      <c r="E229" s="45"/>
      <c r="F229" s="448"/>
      <c r="G229" s="448"/>
      <c r="H229" s="448"/>
      <c r="I229" s="448"/>
    </row>
    <row r="230" spans="1:9" ht="121.5">
      <c r="A230" s="45">
        <v>42</v>
      </c>
      <c r="B230" s="463">
        <v>1.1499999999999999</v>
      </c>
      <c r="C230" s="327" t="s">
        <v>874</v>
      </c>
      <c r="D230" s="447" t="s">
        <v>870</v>
      </c>
      <c r="E230" s="45"/>
      <c r="F230" s="448"/>
      <c r="G230" s="448"/>
      <c r="H230" s="448"/>
      <c r="I230" s="448"/>
    </row>
    <row r="231" spans="1:9" ht="13.5">
      <c r="A231" s="45"/>
      <c r="B231" s="463"/>
      <c r="C231" s="327"/>
      <c r="D231" s="447"/>
      <c r="E231" s="45"/>
      <c r="F231" s="448"/>
      <c r="G231" s="448"/>
      <c r="H231" s="448"/>
      <c r="I231" s="448"/>
    </row>
    <row r="232" spans="1:9" ht="13.5">
      <c r="A232" s="45"/>
      <c r="B232" s="463"/>
      <c r="C232" s="327" t="s">
        <v>1143</v>
      </c>
      <c r="D232" s="447" t="s">
        <v>1116</v>
      </c>
      <c r="E232" s="45">
        <v>1</v>
      </c>
      <c r="F232" s="448"/>
      <c r="G232" s="448"/>
      <c r="H232" s="448"/>
      <c r="I232" s="448">
        <f t="shared" ref="I232:I234" si="19">E232</f>
        <v>1</v>
      </c>
    </row>
    <row r="233" spans="1:9" ht="13.5">
      <c r="A233" s="45"/>
      <c r="B233" s="463"/>
      <c r="C233" s="327" t="s">
        <v>1144</v>
      </c>
      <c r="D233" s="447" t="s">
        <v>1116</v>
      </c>
      <c r="E233" s="45">
        <v>1</v>
      </c>
      <c r="F233" s="448"/>
      <c r="G233" s="448"/>
      <c r="H233" s="448"/>
      <c r="I233" s="448">
        <f t="shared" si="19"/>
        <v>1</v>
      </c>
    </row>
    <row r="234" spans="1:9" ht="13.5">
      <c r="A234" s="45"/>
      <c r="B234" s="463"/>
      <c r="C234" s="327" t="s">
        <v>1145</v>
      </c>
      <c r="D234" s="447" t="s">
        <v>1116</v>
      </c>
      <c r="E234" s="45">
        <v>1</v>
      </c>
      <c r="F234" s="448"/>
      <c r="G234" s="448"/>
      <c r="H234" s="448"/>
      <c r="I234" s="448">
        <f t="shared" si="19"/>
        <v>1</v>
      </c>
    </row>
    <row r="235" spans="1:9" ht="13.5">
      <c r="A235" s="56"/>
      <c r="B235" s="464"/>
      <c r="C235" s="455" t="s">
        <v>481</v>
      </c>
      <c r="D235" s="452"/>
      <c r="E235" s="56"/>
      <c r="F235" s="453"/>
      <c r="G235" s="453"/>
      <c r="H235" s="453"/>
      <c r="I235" s="459">
        <f>SUM(I232:I234)</f>
        <v>3</v>
      </c>
    </row>
    <row r="236" spans="1:9" ht="13.5">
      <c r="A236" s="45"/>
      <c r="B236" s="463"/>
      <c r="C236" s="334"/>
      <c r="D236" s="447"/>
      <c r="E236" s="45"/>
      <c r="F236" s="448"/>
      <c r="G236" s="448"/>
      <c r="H236" s="448"/>
      <c r="I236" s="461"/>
    </row>
    <row r="237" spans="1:9" ht="135">
      <c r="A237" s="45">
        <v>43</v>
      </c>
      <c r="B237" s="463">
        <v>1.1599999999999999</v>
      </c>
      <c r="C237" s="327" t="s">
        <v>875</v>
      </c>
      <c r="D237" s="447" t="s">
        <v>870</v>
      </c>
      <c r="E237" s="45"/>
      <c r="F237" s="448"/>
      <c r="G237" s="448"/>
      <c r="H237" s="448"/>
      <c r="I237" s="448"/>
    </row>
    <row r="238" spans="1:9" ht="13.5">
      <c r="A238" s="45"/>
      <c r="B238" s="463"/>
      <c r="C238" s="327" t="s">
        <v>1146</v>
      </c>
      <c r="D238" s="448"/>
      <c r="E238" s="45"/>
      <c r="F238" s="448"/>
      <c r="G238" s="448"/>
      <c r="H238" s="448"/>
      <c r="I238" s="448"/>
    </row>
    <row r="239" spans="1:9" ht="13.5">
      <c r="A239" s="56"/>
      <c r="B239" s="464"/>
      <c r="C239" s="455" t="s">
        <v>481</v>
      </c>
      <c r="D239" s="452" t="s">
        <v>1024</v>
      </c>
      <c r="E239" s="56">
        <v>1</v>
      </c>
      <c r="F239" s="453"/>
      <c r="G239" s="453"/>
      <c r="H239" s="453"/>
      <c r="I239" s="453"/>
    </row>
    <row r="240" spans="1:9" ht="13.5">
      <c r="A240" s="45"/>
      <c r="B240" s="463"/>
      <c r="C240" s="327"/>
      <c r="D240" s="447"/>
      <c r="E240" s="45"/>
      <c r="F240" s="448"/>
      <c r="G240" s="448"/>
      <c r="H240" s="448"/>
      <c r="I240" s="448"/>
    </row>
    <row r="241" spans="1:9" ht="121.5">
      <c r="A241" s="45">
        <v>44</v>
      </c>
      <c r="B241" s="463">
        <v>1.17</v>
      </c>
      <c r="C241" s="140" t="s">
        <v>876</v>
      </c>
      <c r="D241" s="447" t="s">
        <v>870</v>
      </c>
      <c r="E241" s="45"/>
      <c r="F241" s="448"/>
      <c r="G241" s="448"/>
      <c r="H241" s="448"/>
      <c r="I241" s="448"/>
    </row>
    <row r="242" spans="1:9" ht="13.5">
      <c r="A242" s="45" t="s">
        <v>4</v>
      </c>
      <c r="B242" s="463"/>
      <c r="C242" s="140" t="s">
        <v>1147</v>
      </c>
      <c r="D242" s="447" t="s">
        <v>1024</v>
      </c>
      <c r="E242" s="45">
        <v>1</v>
      </c>
      <c r="F242" s="448"/>
      <c r="G242" s="448"/>
      <c r="H242" s="448"/>
      <c r="I242" s="448">
        <f>E242</f>
        <v>1</v>
      </c>
    </row>
    <row r="243" spans="1:9" ht="13.5">
      <c r="A243" s="45"/>
      <c r="B243" s="463"/>
      <c r="C243" s="140" t="s">
        <v>1148</v>
      </c>
      <c r="D243" s="447" t="s">
        <v>1024</v>
      </c>
      <c r="E243" s="45">
        <v>1</v>
      </c>
      <c r="F243" s="448"/>
      <c r="G243" s="448"/>
      <c r="H243" s="448"/>
      <c r="I243" s="448">
        <f>E243</f>
        <v>1</v>
      </c>
    </row>
    <row r="244" spans="1:9" ht="13.5">
      <c r="A244" s="45"/>
      <c r="B244" s="463"/>
      <c r="C244" s="140" t="s">
        <v>1149</v>
      </c>
      <c r="D244" s="447" t="s">
        <v>1024</v>
      </c>
      <c r="E244" s="45">
        <v>1</v>
      </c>
      <c r="F244" s="448"/>
      <c r="G244" s="448"/>
      <c r="H244" s="448"/>
      <c r="I244" s="448">
        <f>E244</f>
        <v>1</v>
      </c>
    </row>
    <row r="245" spans="1:9" ht="13.5">
      <c r="A245" s="45"/>
      <c r="B245" s="463"/>
      <c r="C245" s="140" t="s">
        <v>1150</v>
      </c>
      <c r="D245" s="447" t="s">
        <v>1024</v>
      </c>
      <c r="E245" s="45">
        <v>1</v>
      </c>
      <c r="F245" s="448"/>
      <c r="G245" s="448"/>
      <c r="H245" s="448"/>
      <c r="I245" s="448">
        <f>E245</f>
        <v>1</v>
      </c>
    </row>
    <row r="246" spans="1:9" ht="13.5">
      <c r="A246" s="56">
        <v>45</v>
      </c>
      <c r="B246" s="464"/>
      <c r="C246" s="455" t="s">
        <v>481</v>
      </c>
      <c r="D246" s="452"/>
      <c r="E246" s="56"/>
      <c r="F246" s="453"/>
      <c r="G246" s="453"/>
      <c r="H246" s="453"/>
      <c r="I246" s="459"/>
    </row>
    <row r="247" spans="1:9" ht="13.5">
      <c r="A247" s="45"/>
      <c r="B247" s="463"/>
      <c r="C247" s="334"/>
      <c r="D247" s="447"/>
      <c r="E247" s="45"/>
      <c r="F247" s="448"/>
      <c r="G247" s="448"/>
      <c r="H247" s="448"/>
      <c r="I247" s="461"/>
    </row>
    <row r="248" spans="1:9" ht="54">
      <c r="A248" s="45">
        <v>46</v>
      </c>
      <c r="B248" s="463">
        <v>1.18</v>
      </c>
      <c r="C248" s="327" t="s">
        <v>877</v>
      </c>
      <c r="D248" s="447" t="s">
        <v>657</v>
      </c>
      <c r="E248" s="45"/>
      <c r="F248" s="448"/>
      <c r="G248" s="448"/>
      <c r="H248" s="448"/>
      <c r="I248" s="448"/>
    </row>
    <row r="249" spans="1:9" ht="13.5">
      <c r="A249" s="45"/>
      <c r="B249" s="463"/>
      <c r="C249" s="327" t="s">
        <v>1151</v>
      </c>
      <c r="D249" s="447" t="s">
        <v>1024</v>
      </c>
      <c r="E249" s="45">
        <v>2</v>
      </c>
      <c r="F249" s="448"/>
      <c r="G249" s="448"/>
      <c r="H249" s="448"/>
      <c r="I249" s="448">
        <f t="shared" ref="I249:I256" si="20">E249</f>
        <v>2</v>
      </c>
    </row>
    <row r="250" spans="1:9" ht="13.5">
      <c r="A250" s="45"/>
      <c r="B250" s="463"/>
      <c r="C250" s="327" t="s">
        <v>1152</v>
      </c>
      <c r="D250" s="447" t="s">
        <v>1024</v>
      </c>
      <c r="E250" s="45">
        <v>2</v>
      </c>
      <c r="F250" s="448"/>
      <c r="G250" s="448"/>
      <c r="H250" s="448"/>
      <c r="I250" s="448">
        <f t="shared" si="20"/>
        <v>2</v>
      </c>
    </row>
    <row r="251" spans="1:9" ht="13.5">
      <c r="A251" s="45"/>
      <c r="B251" s="463"/>
      <c r="C251" s="327" t="s">
        <v>1153</v>
      </c>
      <c r="D251" s="447" t="s">
        <v>1024</v>
      </c>
      <c r="E251" s="45">
        <v>2</v>
      </c>
      <c r="F251" s="448"/>
      <c r="G251" s="448"/>
      <c r="H251" s="448"/>
      <c r="I251" s="448">
        <f t="shared" si="20"/>
        <v>2</v>
      </c>
    </row>
    <row r="252" spans="1:9" ht="13.5">
      <c r="A252" s="45"/>
      <c r="B252" s="463"/>
      <c r="C252" s="327" t="s">
        <v>1152</v>
      </c>
      <c r="D252" s="447" t="s">
        <v>1024</v>
      </c>
      <c r="E252" s="45">
        <v>2</v>
      </c>
      <c r="F252" s="448"/>
      <c r="G252" s="448"/>
      <c r="H252" s="448"/>
      <c r="I252" s="448">
        <f t="shared" si="20"/>
        <v>2</v>
      </c>
    </row>
    <row r="253" spans="1:9" ht="13.5">
      <c r="A253" s="45"/>
      <c r="B253" s="463"/>
      <c r="C253" s="327" t="s">
        <v>1152</v>
      </c>
      <c r="D253" s="447" t="s">
        <v>1024</v>
      </c>
      <c r="E253" s="45">
        <v>2</v>
      </c>
      <c r="F253" s="448"/>
      <c r="G253" s="448"/>
      <c r="H253" s="448"/>
      <c r="I253" s="448">
        <f t="shared" si="20"/>
        <v>2</v>
      </c>
    </row>
    <row r="254" spans="1:9" ht="13.5">
      <c r="A254" s="45"/>
      <c r="B254" s="463"/>
      <c r="C254" s="327" t="s">
        <v>1154</v>
      </c>
      <c r="D254" s="447" t="s">
        <v>1024</v>
      </c>
      <c r="E254" s="45">
        <v>2</v>
      </c>
      <c r="F254" s="448"/>
      <c r="G254" s="448"/>
      <c r="H254" s="448"/>
      <c r="I254" s="448">
        <f t="shared" si="20"/>
        <v>2</v>
      </c>
    </row>
    <row r="255" spans="1:9" ht="13.5">
      <c r="A255" s="45"/>
      <c r="B255" s="463"/>
      <c r="C255" s="327" t="s">
        <v>1155</v>
      </c>
      <c r="D255" s="447" t="s">
        <v>1024</v>
      </c>
      <c r="E255" s="45">
        <v>2</v>
      </c>
      <c r="F255" s="448"/>
      <c r="G255" s="448"/>
      <c r="H255" s="448"/>
      <c r="I255" s="448">
        <f t="shared" si="20"/>
        <v>2</v>
      </c>
    </row>
    <row r="256" spans="1:9" ht="13.5">
      <c r="A256" s="45"/>
      <c r="B256" s="463"/>
      <c r="C256" s="327" t="s">
        <v>1156</v>
      </c>
      <c r="D256" s="447" t="s">
        <v>1024</v>
      </c>
      <c r="E256" s="45">
        <v>2</v>
      </c>
      <c r="F256" s="448"/>
      <c r="G256" s="448"/>
      <c r="H256" s="448"/>
      <c r="I256" s="448">
        <f t="shared" si="20"/>
        <v>2</v>
      </c>
    </row>
    <row r="257" spans="1:9" ht="13.5">
      <c r="A257" s="56"/>
      <c r="B257" s="464"/>
      <c r="C257" s="455" t="s">
        <v>481</v>
      </c>
      <c r="D257" s="452"/>
      <c r="E257" s="56"/>
      <c r="F257" s="453"/>
      <c r="G257" s="453"/>
      <c r="H257" s="453"/>
      <c r="I257" s="459"/>
    </row>
    <row r="258" spans="1:9" ht="13.5">
      <c r="A258" s="45"/>
      <c r="B258" s="463"/>
      <c r="C258" s="327"/>
      <c r="D258" s="447"/>
      <c r="E258" s="45"/>
      <c r="F258" s="448"/>
      <c r="G258" s="448"/>
      <c r="H258" s="448"/>
      <c r="I258" s="448"/>
    </row>
    <row r="259" spans="1:9" ht="54">
      <c r="A259" s="45">
        <v>47</v>
      </c>
      <c r="B259" s="463">
        <v>1.19</v>
      </c>
      <c r="C259" s="327" t="s">
        <v>878</v>
      </c>
      <c r="D259" s="447" t="s">
        <v>879</v>
      </c>
      <c r="E259" s="45"/>
      <c r="F259" s="448"/>
      <c r="G259" s="448"/>
      <c r="H259" s="448"/>
      <c r="I259" s="448"/>
    </row>
    <row r="260" spans="1:9" ht="13.5">
      <c r="A260" s="45"/>
      <c r="B260" s="463"/>
      <c r="C260" s="334" t="s">
        <v>1157</v>
      </c>
      <c r="D260" s="447"/>
      <c r="E260" s="45"/>
      <c r="F260" s="448"/>
      <c r="G260" s="448"/>
      <c r="H260" s="448"/>
      <c r="I260" s="448"/>
    </row>
    <row r="261" spans="1:9" ht="13.5">
      <c r="A261" s="45"/>
      <c r="B261" s="463"/>
      <c r="C261" s="327" t="s">
        <v>1158</v>
      </c>
      <c r="D261" s="447">
        <v>1</v>
      </c>
      <c r="E261" s="45">
        <f>4+10+9+4</f>
        <v>27</v>
      </c>
      <c r="F261" s="448"/>
      <c r="G261" s="448"/>
      <c r="H261" s="448"/>
      <c r="I261" s="448">
        <f t="shared" ref="I261:I274" si="21">D261*E261</f>
        <v>27</v>
      </c>
    </row>
    <row r="262" spans="1:9" ht="13.5">
      <c r="A262" s="45"/>
      <c r="B262" s="463"/>
      <c r="C262" s="327" t="s">
        <v>1159</v>
      </c>
      <c r="D262" s="447">
        <v>2</v>
      </c>
      <c r="E262" s="45">
        <f>4+10+9+4</f>
        <v>27</v>
      </c>
      <c r="F262" s="448"/>
      <c r="G262" s="448"/>
      <c r="H262" s="448"/>
      <c r="I262" s="448">
        <f t="shared" si="21"/>
        <v>54</v>
      </c>
    </row>
    <row r="263" spans="1:9" ht="13.5">
      <c r="A263" s="45"/>
      <c r="B263" s="463"/>
      <c r="C263" s="327" t="s">
        <v>1160</v>
      </c>
      <c r="D263" s="447">
        <v>1</v>
      </c>
      <c r="E263" s="45">
        <f>4+10+7.5+4</f>
        <v>25.5</v>
      </c>
      <c r="F263" s="448"/>
      <c r="G263" s="448"/>
      <c r="H263" s="448"/>
      <c r="I263" s="448">
        <f t="shared" si="21"/>
        <v>25.5</v>
      </c>
    </row>
    <row r="264" spans="1:9" ht="13.5">
      <c r="A264" s="45"/>
      <c r="B264" s="463"/>
      <c r="C264" s="327" t="s">
        <v>1161</v>
      </c>
      <c r="D264" s="447">
        <v>1</v>
      </c>
      <c r="E264" s="45">
        <f>4+10+6.5+4</f>
        <v>24.5</v>
      </c>
      <c r="F264" s="448"/>
      <c r="G264" s="448"/>
      <c r="H264" s="448"/>
      <c r="I264" s="448">
        <f t="shared" si="21"/>
        <v>24.5</v>
      </c>
    </row>
    <row r="265" spans="1:9" ht="13.5">
      <c r="A265" s="45"/>
      <c r="B265" s="463"/>
      <c r="C265" s="327" t="s">
        <v>1162</v>
      </c>
      <c r="D265" s="447">
        <v>2</v>
      </c>
      <c r="E265" s="45">
        <f>4+6.8+7.7+0.5+0.5+4</f>
        <v>23.5</v>
      </c>
      <c r="F265" s="448"/>
      <c r="G265" s="448"/>
      <c r="H265" s="448"/>
      <c r="I265" s="448">
        <f t="shared" si="21"/>
        <v>47</v>
      </c>
    </row>
    <row r="266" spans="1:9" ht="13.5">
      <c r="A266" s="45"/>
      <c r="B266" s="463"/>
      <c r="C266" s="327" t="s">
        <v>1163</v>
      </c>
      <c r="D266" s="447">
        <v>1</v>
      </c>
      <c r="E266" s="45">
        <f>4+10+2+4</f>
        <v>20</v>
      </c>
      <c r="F266" s="448"/>
      <c r="G266" s="448"/>
      <c r="H266" s="448"/>
      <c r="I266" s="448">
        <f t="shared" si="21"/>
        <v>20</v>
      </c>
    </row>
    <row r="267" spans="1:9" ht="13.5">
      <c r="A267" s="45"/>
      <c r="B267" s="463"/>
      <c r="C267" s="327" t="s">
        <v>1164</v>
      </c>
      <c r="D267" s="447">
        <v>1</v>
      </c>
      <c r="E267" s="45">
        <f>4+9.1+2+4</f>
        <v>19.100000000000001</v>
      </c>
      <c r="F267" s="448"/>
      <c r="G267" s="448"/>
      <c r="H267" s="448"/>
      <c r="I267" s="448">
        <f t="shared" si="21"/>
        <v>19.100000000000001</v>
      </c>
    </row>
    <row r="268" spans="1:9" ht="13.5">
      <c r="A268" s="45"/>
      <c r="B268" s="463"/>
      <c r="C268" s="327" t="s">
        <v>1165</v>
      </c>
      <c r="D268" s="447">
        <v>1</v>
      </c>
      <c r="E268" s="45">
        <f>4+10+2+0.9+4</f>
        <v>20.9</v>
      </c>
      <c r="F268" s="448"/>
      <c r="G268" s="448"/>
      <c r="H268" s="448"/>
      <c r="I268" s="448">
        <f t="shared" si="21"/>
        <v>20.9</v>
      </c>
    </row>
    <row r="269" spans="1:9" ht="13.5">
      <c r="A269" s="45"/>
      <c r="B269" s="463"/>
      <c r="C269" s="327" t="s">
        <v>1166</v>
      </c>
      <c r="D269" s="447">
        <v>1</v>
      </c>
      <c r="E269" s="45">
        <f>4+10+2+0.9+0.9+4</f>
        <v>21.799999999999997</v>
      </c>
      <c r="F269" s="448"/>
      <c r="G269" s="448"/>
      <c r="H269" s="448"/>
      <c r="I269" s="448">
        <f t="shared" si="21"/>
        <v>21.799999999999997</v>
      </c>
    </row>
    <row r="270" spans="1:9" ht="13.5">
      <c r="A270" s="45"/>
      <c r="B270" s="463"/>
      <c r="C270" s="327" t="s">
        <v>1167</v>
      </c>
      <c r="D270" s="447">
        <v>2</v>
      </c>
      <c r="E270" s="45">
        <f>4+12.5+4</f>
        <v>20.5</v>
      </c>
      <c r="F270" s="448"/>
      <c r="G270" s="448"/>
      <c r="H270" s="448"/>
      <c r="I270" s="448">
        <f t="shared" si="21"/>
        <v>41</v>
      </c>
    </row>
    <row r="271" spans="1:9" ht="13.5">
      <c r="A271" s="45"/>
      <c r="B271" s="463"/>
      <c r="C271" s="327" t="s">
        <v>1168</v>
      </c>
      <c r="D271" s="447">
        <v>1</v>
      </c>
      <c r="E271" s="45">
        <f>4+2+4</f>
        <v>10</v>
      </c>
      <c r="F271" s="448"/>
      <c r="G271" s="448"/>
      <c r="H271" s="448"/>
      <c r="I271" s="448">
        <f t="shared" si="21"/>
        <v>10</v>
      </c>
    </row>
    <row r="272" spans="1:9" ht="13.5">
      <c r="A272" s="45"/>
      <c r="B272" s="463"/>
      <c r="C272" s="327" t="s">
        <v>1169</v>
      </c>
      <c r="D272" s="447">
        <v>2</v>
      </c>
      <c r="E272" s="45">
        <f>4+3+4</f>
        <v>11</v>
      </c>
      <c r="F272" s="448"/>
      <c r="G272" s="448"/>
      <c r="H272" s="448"/>
      <c r="I272" s="448">
        <f t="shared" si="21"/>
        <v>22</v>
      </c>
    </row>
    <row r="273" spans="1:9" ht="13.5">
      <c r="A273" s="45"/>
      <c r="B273" s="463"/>
      <c r="C273" s="327" t="s">
        <v>1170</v>
      </c>
      <c r="D273" s="447">
        <v>2</v>
      </c>
      <c r="E273" s="45">
        <f>4+2+4</f>
        <v>10</v>
      </c>
      <c r="F273" s="448"/>
      <c r="G273" s="448"/>
      <c r="H273" s="448"/>
      <c r="I273" s="448">
        <f t="shared" si="21"/>
        <v>20</v>
      </c>
    </row>
    <row r="274" spans="1:9" ht="13.5">
      <c r="A274" s="45"/>
      <c r="B274" s="463"/>
      <c r="C274" s="327"/>
      <c r="D274" s="447">
        <v>2</v>
      </c>
      <c r="E274" s="45">
        <f>4+6+3.5+4</f>
        <v>17.5</v>
      </c>
      <c r="F274" s="448"/>
      <c r="G274" s="448"/>
      <c r="H274" s="448"/>
      <c r="I274" s="448">
        <f t="shared" si="21"/>
        <v>35</v>
      </c>
    </row>
    <row r="275" spans="1:9" ht="13.5">
      <c r="A275" s="56"/>
      <c r="B275" s="464"/>
      <c r="C275" s="455" t="s">
        <v>481</v>
      </c>
      <c r="D275" s="452"/>
      <c r="E275" s="56"/>
      <c r="F275" s="453"/>
      <c r="G275" s="453"/>
      <c r="H275" s="453"/>
      <c r="I275" s="459"/>
    </row>
    <row r="276" spans="1:9" ht="13.5">
      <c r="A276" s="45"/>
      <c r="B276" s="463"/>
      <c r="C276" s="327"/>
      <c r="D276" s="447"/>
      <c r="E276" s="45"/>
      <c r="F276" s="448"/>
      <c r="G276" s="448"/>
      <c r="H276" s="448"/>
      <c r="I276" s="448"/>
    </row>
    <row r="277" spans="1:9" ht="27">
      <c r="A277" s="45">
        <v>48</v>
      </c>
      <c r="B277" s="463">
        <v>1.2</v>
      </c>
      <c r="C277" s="327" t="s">
        <v>880</v>
      </c>
      <c r="D277" s="448"/>
      <c r="E277" s="45"/>
      <c r="F277" s="448"/>
      <c r="G277" s="448"/>
      <c r="H277" s="448"/>
      <c r="I277" s="448"/>
    </row>
    <row r="278" spans="1:9" ht="13.5">
      <c r="A278" s="56"/>
      <c r="B278" s="464"/>
      <c r="C278" s="455" t="s">
        <v>481</v>
      </c>
      <c r="D278" s="452" t="s">
        <v>657</v>
      </c>
      <c r="E278" s="56">
        <v>1</v>
      </c>
      <c r="F278" s="453"/>
      <c r="G278" s="453"/>
      <c r="H278" s="453"/>
      <c r="I278" s="453"/>
    </row>
    <row r="279" spans="1:9" ht="13.5">
      <c r="A279" s="45"/>
      <c r="B279" s="463"/>
      <c r="C279" s="327"/>
      <c r="D279" s="447"/>
      <c r="E279" s="45"/>
      <c r="F279" s="448"/>
      <c r="G279" s="448"/>
      <c r="H279" s="448"/>
      <c r="I279" s="448"/>
    </row>
    <row r="280" spans="1:9" ht="40.5">
      <c r="A280" s="45">
        <v>49</v>
      </c>
      <c r="B280" s="463">
        <v>1.21</v>
      </c>
      <c r="C280" s="327" t="s">
        <v>881</v>
      </c>
      <c r="D280" s="448"/>
      <c r="E280" s="45"/>
      <c r="F280" s="448"/>
      <c r="G280" s="448"/>
      <c r="H280" s="448"/>
      <c r="I280" s="448"/>
    </row>
    <row r="281" spans="1:9" ht="13.5">
      <c r="A281" s="56"/>
      <c r="B281" s="464"/>
      <c r="C281" s="455" t="s">
        <v>481</v>
      </c>
      <c r="D281" s="452" t="s">
        <v>657</v>
      </c>
      <c r="E281" s="56">
        <v>1</v>
      </c>
      <c r="F281" s="453"/>
      <c r="G281" s="453"/>
      <c r="H281" s="453"/>
      <c r="I281" s="453"/>
    </row>
    <row r="282" spans="1:9" ht="13.5">
      <c r="A282" s="45"/>
      <c r="B282" s="463"/>
      <c r="C282" s="327"/>
      <c r="D282" s="447"/>
      <c r="E282" s="45"/>
      <c r="F282" s="448"/>
      <c r="G282" s="448"/>
      <c r="H282" s="448"/>
      <c r="I282" s="448"/>
    </row>
    <row r="283" spans="1:9" ht="67.5">
      <c r="A283" s="45">
        <v>50</v>
      </c>
      <c r="B283" s="463">
        <v>1.22</v>
      </c>
      <c r="C283" s="327" t="s">
        <v>882</v>
      </c>
      <c r="D283" s="447"/>
      <c r="E283" s="45"/>
      <c r="F283" s="448"/>
      <c r="G283" s="448"/>
      <c r="H283" s="448"/>
      <c r="I283" s="448"/>
    </row>
    <row r="284" spans="1:9" ht="13.5">
      <c r="A284" s="45">
        <v>51</v>
      </c>
      <c r="B284" s="4" t="s">
        <v>883</v>
      </c>
      <c r="C284" s="327" t="s">
        <v>884</v>
      </c>
      <c r="D284" s="447" t="s">
        <v>879</v>
      </c>
      <c r="E284" s="45"/>
      <c r="F284" s="448"/>
      <c r="G284" s="448"/>
      <c r="H284" s="448"/>
      <c r="I284" s="448"/>
    </row>
    <row r="285" spans="1:9" ht="13.5">
      <c r="A285" s="45">
        <v>52</v>
      </c>
      <c r="B285" s="4" t="s">
        <v>883</v>
      </c>
      <c r="C285" s="327" t="s">
        <v>885</v>
      </c>
      <c r="D285" s="447" t="s">
        <v>879</v>
      </c>
      <c r="E285" s="45"/>
      <c r="F285" s="448"/>
      <c r="G285" s="448"/>
      <c r="H285" s="448"/>
      <c r="I285" s="448"/>
    </row>
    <row r="286" spans="1:9" ht="13.5">
      <c r="A286" s="45">
        <v>53</v>
      </c>
      <c r="B286" s="4" t="s">
        <v>886</v>
      </c>
      <c r="C286" s="327" t="s">
        <v>887</v>
      </c>
      <c r="D286" s="447" t="s">
        <v>879</v>
      </c>
      <c r="E286" s="45"/>
      <c r="F286" s="448"/>
      <c r="G286" s="448"/>
      <c r="H286" s="448"/>
      <c r="I286" s="448"/>
    </row>
    <row r="287" spans="1:9" ht="13.5">
      <c r="A287" s="45">
        <v>54</v>
      </c>
      <c r="B287" s="4" t="s">
        <v>888</v>
      </c>
      <c r="C287" s="140" t="s">
        <v>889</v>
      </c>
      <c r="D287" s="447" t="s">
        <v>879</v>
      </c>
      <c r="E287" s="45"/>
      <c r="F287" s="448"/>
      <c r="G287" s="448"/>
      <c r="H287" s="448"/>
      <c r="I287" s="448"/>
    </row>
    <row r="288" spans="1:9" ht="13.5">
      <c r="A288" s="45">
        <v>55</v>
      </c>
      <c r="B288" s="4" t="s">
        <v>890</v>
      </c>
      <c r="C288" s="327" t="s">
        <v>891</v>
      </c>
      <c r="D288" s="447" t="s">
        <v>879</v>
      </c>
      <c r="E288" s="45"/>
      <c r="F288" s="448"/>
      <c r="G288" s="448"/>
      <c r="H288" s="448"/>
      <c r="I288" s="448"/>
    </row>
    <row r="289" spans="1:9" ht="13.5">
      <c r="A289" s="45">
        <v>56</v>
      </c>
      <c r="B289" s="4" t="s">
        <v>892</v>
      </c>
      <c r="C289" s="327" t="s">
        <v>893</v>
      </c>
      <c r="D289" s="447" t="s">
        <v>879</v>
      </c>
      <c r="E289" s="45"/>
      <c r="F289" s="448"/>
      <c r="G289" s="448"/>
      <c r="H289" s="448"/>
      <c r="I289" s="448"/>
    </row>
    <row r="290" spans="1:9" ht="13.5">
      <c r="A290" s="45">
        <v>57</v>
      </c>
      <c r="B290" s="113" t="s">
        <v>894</v>
      </c>
      <c r="C290" s="140" t="s">
        <v>895</v>
      </c>
      <c r="D290" s="447" t="s">
        <v>879</v>
      </c>
      <c r="E290" s="45"/>
      <c r="F290" s="448"/>
      <c r="G290" s="448"/>
      <c r="H290" s="448"/>
      <c r="I290" s="448"/>
    </row>
    <row r="291" spans="1:9" ht="13.5">
      <c r="A291" s="45">
        <v>58</v>
      </c>
      <c r="B291" s="113" t="s">
        <v>896</v>
      </c>
      <c r="C291" s="140" t="s">
        <v>897</v>
      </c>
      <c r="D291" s="447" t="s">
        <v>879</v>
      </c>
      <c r="E291" s="45"/>
      <c r="F291" s="448"/>
      <c r="G291" s="448"/>
      <c r="H291" s="448"/>
      <c r="I291" s="448"/>
    </row>
    <row r="292" spans="1:9" ht="13.5">
      <c r="A292" s="45">
        <v>59</v>
      </c>
      <c r="B292" s="113" t="s">
        <v>898</v>
      </c>
      <c r="C292" s="140" t="s">
        <v>899</v>
      </c>
      <c r="D292" s="447" t="s">
        <v>879</v>
      </c>
      <c r="E292" s="45"/>
      <c r="F292" s="448"/>
      <c r="G292" s="448"/>
      <c r="H292" s="448"/>
      <c r="I292" s="448"/>
    </row>
    <row r="293" spans="1:9" ht="13.5">
      <c r="A293" s="45">
        <v>60</v>
      </c>
      <c r="B293" s="113" t="s">
        <v>900</v>
      </c>
      <c r="C293" s="140" t="s">
        <v>901</v>
      </c>
      <c r="D293" s="447" t="s">
        <v>879</v>
      </c>
      <c r="E293" s="45"/>
      <c r="F293" s="448"/>
      <c r="G293" s="448"/>
      <c r="H293" s="448"/>
      <c r="I293" s="448"/>
    </row>
    <row r="294" spans="1:9" ht="13.5">
      <c r="A294" s="45">
        <v>61</v>
      </c>
      <c r="B294" s="113" t="s">
        <v>900</v>
      </c>
      <c r="C294" s="140" t="s">
        <v>902</v>
      </c>
      <c r="D294" s="447" t="s">
        <v>879</v>
      </c>
      <c r="E294" s="45"/>
      <c r="F294" s="448"/>
      <c r="G294" s="448"/>
      <c r="H294" s="448"/>
      <c r="I294" s="448"/>
    </row>
    <row r="295" spans="1:9" ht="54">
      <c r="A295" s="45">
        <v>62</v>
      </c>
      <c r="B295" s="465">
        <v>1.23</v>
      </c>
      <c r="C295" s="327" t="s">
        <v>903</v>
      </c>
      <c r="D295" s="466"/>
      <c r="E295" s="45"/>
      <c r="F295" s="448"/>
      <c r="G295" s="448"/>
      <c r="H295" s="448"/>
      <c r="I295" s="448"/>
    </row>
    <row r="296" spans="1:9" ht="13.5">
      <c r="A296" s="45">
        <v>63</v>
      </c>
      <c r="B296" s="113" t="s">
        <v>883</v>
      </c>
      <c r="C296" s="467" t="s">
        <v>904</v>
      </c>
      <c r="D296" s="4" t="s">
        <v>879</v>
      </c>
      <c r="E296" s="45"/>
      <c r="F296" s="448"/>
      <c r="G296" s="448"/>
      <c r="H296" s="448"/>
      <c r="I296" s="448"/>
    </row>
    <row r="297" spans="1:9" ht="27">
      <c r="A297" s="45"/>
      <c r="B297" s="113"/>
      <c r="C297" s="468" t="s">
        <v>1171</v>
      </c>
      <c r="D297" s="4"/>
      <c r="E297" s="45"/>
      <c r="F297" s="448"/>
      <c r="G297" s="448"/>
      <c r="H297" s="448"/>
      <c r="I297" s="448"/>
    </row>
    <row r="298" spans="1:9" ht="13.5">
      <c r="A298" s="45"/>
      <c r="B298" s="113"/>
      <c r="C298" s="140"/>
      <c r="D298" s="4"/>
      <c r="E298" s="45"/>
      <c r="F298" s="448"/>
      <c r="G298" s="448"/>
      <c r="H298" s="448"/>
      <c r="I298" s="448"/>
    </row>
    <row r="299" spans="1:9" ht="13.5">
      <c r="A299" s="45"/>
      <c r="B299" s="113"/>
      <c r="C299" s="140" t="s">
        <v>1172</v>
      </c>
      <c r="D299" s="4" t="s">
        <v>879</v>
      </c>
      <c r="E299" s="45"/>
      <c r="F299" s="448">
        <f t="shared" ref="F299:F305" si="22">0.23</f>
        <v>0.23</v>
      </c>
      <c r="G299" s="448"/>
      <c r="H299" s="448"/>
      <c r="I299" s="448">
        <f t="shared" ref="I299:I308" si="23">F299</f>
        <v>0.23</v>
      </c>
    </row>
    <row r="300" spans="1:9" ht="13.5">
      <c r="A300" s="45"/>
      <c r="B300" s="113"/>
      <c r="C300" s="140" t="s">
        <v>1173</v>
      </c>
      <c r="D300" s="4" t="s">
        <v>879</v>
      </c>
      <c r="E300" s="45"/>
      <c r="F300" s="448">
        <f t="shared" si="22"/>
        <v>0.23</v>
      </c>
      <c r="G300" s="448"/>
      <c r="H300" s="448"/>
      <c r="I300" s="448">
        <f t="shared" si="23"/>
        <v>0.23</v>
      </c>
    </row>
    <row r="301" spans="1:9" ht="13.5">
      <c r="A301" s="45"/>
      <c r="B301" s="113"/>
      <c r="C301" s="140" t="s">
        <v>1174</v>
      </c>
      <c r="D301" s="4" t="s">
        <v>879</v>
      </c>
      <c r="E301" s="45"/>
      <c r="F301" s="448">
        <f>2.18</f>
        <v>2.1800000000000002</v>
      </c>
      <c r="G301" s="448"/>
      <c r="H301" s="448"/>
      <c r="I301" s="448">
        <f t="shared" si="23"/>
        <v>2.1800000000000002</v>
      </c>
    </row>
    <row r="302" spans="1:9" ht="13.5">
      <c r="A302" s="45"/>
      <c r="B302" s="113"/>
      <c r="C302" s="140" t="s">
        <v>1175</v>
      </c>
      <c r="D302" s="4" t="s">
        <v>879</v>
      </c>
      <c r="E302" s="45"/>
      <c r="F302" s="448">
        <f>2.42</f>
        <v>2.42</v>
      </c>
      <c r="G302" s="448"/>
      <c r="H302" s="448"/>
      <c r="I302" s="448">
        <f t="shared" si="23"/>
        <v>2.42</v>
      </c>
    </row>
    <row r="303" spans="1:9" ht="13.5">
      <c r="A303" s="45"/>
      <c r="B303" s="113"/>
      <c r="C303" s="140" t="s">
        <v>1176</v>
      </c>
      <c r="D303" s="4" t="s">
        <v>879</v>
      </c>
      <c r="E303" s="45"/>
      <c r="F303" s="448">
        <f>2.32</f>
        <v>2.3199999999999998</v>
      </c>
      <c r="G303" s="448"/>
      <c r="H303" s="448"/>
      <c r="I303" s="448">
        <f t="shared" si="23"/>
        <v>2.3199999999999998</v>
      </c>
    </row>
    <row r="304" spans="1:9" ht="13.5">
      <c r="A304" s="45"/>
      <c r="B304" s="113"/>
      <c r="C304" s="140" t="s">
        <v>1177</v>
      </c>
      <c r="D304" s="4" t="s">
        <v>879</v>
      </c>
      <c r="E304" s="45"/>
      <c r="F304" s="448">
        <f t="shared" si="22"/>
        <v>0.23</v>
      </c>
      <c r="G304" s="448"/>
      <c r="H304" s="448"/>
      <c r="I304" s="448">
        <f t="shared" si="23"/>
        <v>0.23</v>
      </c>
    </row>
    <row r="305" spans="1:9" ht="13.5">
      <c r="A305" s="45"/>
      <c r="B305" s="113"/>
      <c r="C305" s="140" t="s">
        <v>1178</v>
      </c>
      <c r="D305" s="4" t="s">
        <v>879</v>
      </c>
      <c r="E305" s="45"/>
      <c r="F305" s="448">
        <f t="shared" si="22"/>
        <v>0.23</v>
      </c>
      <c r="G305" s="448"/>
      <c r="H305" s="448"/>
      <c r="I305" s="448">
        <f t="shared" si="23"/>
        <v>0.23</v>
      </c>
    </row>
    <row r="306" spans="1:9" ht="13.5">
      <c r="A306" s="45"/>
      <c r="B306" s="113"/>
      <c r="C306" s="140" t="s">
        <v>1179</v>
      </c>
      <c r="D306" s="4" t="s">
        <v>879</v>
      </c>
      <c r="E306" s="45"/>
      <c r="F306" s="448">
        <f>2.18</f>
        <v>2.1800000000000002</v>
      </c>
      <c r="G306" s="448"/>
      <c r="H306" s="448"/>
      <c r="I306" s="448">
        <f t="shared" si="23"/>
        <v>2.1800000000000002</v>
      </c>
    </row>
    <row r="307" spans="1:9" ht="13.5">
      <c r="A307" s="45"/>
      <c r="B307" s="113"/>
      <c r="C307" s="140" t="s">
        <v>1180</v>
      </c>
      <c r="D307" s="4" t="s">
        <v>879</v>
      </c>
      <c r="E307" s="45"/>
      <c r="F307" s="448">
        <f>2.42</f>
        <v>2.42</v>
      </c>
      <c r="G307" s="448"/>
      <c r="H307" s="448"/>
      <c r="I307" s="448">
        <f t="shared" si="23"/>
        <v>2.42</v>
      </c>
    </row>
    <row r="308" spans="1:9" ht="13.5">
      <c r="A308" s="45"/>
      <c r="B308" s="113"/>
      <c r="C308" s="140" t="s">
        <v>1181</v>
      </c>
      <c r="D308" s="4" t="s">
        <v>879</v>
      </c>
      <c r="E308" s="45"/>
      <c r="F308" s="448">
        <f>2.32</f>
        <v>2.3199999999999998</v>
      </c>
      <c r="G308" s="448"/>
      <c r="H308" s="448"/>
      <c r="I308" s="448">
        <f t="shared" si="23"/>
        <v>2.3199999999999998</v>
      </c>
    </row>
    <row r="309" spans="1:9" ht="13.5">
      <c r="A309" s="45"/>
      <c r="B309" s="113"/>
      <c r="C309" s="468" t="s">
        <v>1182</v>
      </c>
      <c r="D309" s="4"/>
      <c r="E309" s="45"/>
      <c r="F309" s="448"/>
      <c r="G309" s="448"/>
      <c r="H309" s="448"/>
      <c r="I309" s="448"/>
    </row>
    <row r="310" spans="1:9" ht="13.5">
      <c r="A310" s="45"/>
      <c r="B310" s="113"/>
      <c r="C310" s="140" t="s">
        <v>1172</v>
      </c>
      <c r="D310" s="4" t="s">
        <v>879</v>
      </c>
      <c r="E310" s="45"/>
      <c r="F310" s="448">
        <f t="shared" ref="F310:F315" si="24">2</f>
        <v>2</v>
      </c>
      <c r="G310" s="448"/>
      <c r="H310" s="448"/>
      <c r="I310" s="448">
        <f t="shared" ref="I310:I318" si="25">F310</f>
        <v>2</v>
      </c>
    </row>
    <row r="311" spans="1:9" ht="13.5">
      <c r="A311" s="45"/>
      <c r="B311" s="113"/>
      <c r="C311" s="140" t="s">
        <v>1173</v>
      </c>
      <c r="D311" s="4" t="s">
        <v>879</v>
      </c>
      <c r="E311" s="45"/>
      <c r="F311" s="448">
        <f t="shared" si="24"/>
        <v>2</v>
      </c>
      <c r="G311" s="448"/>
      <c r="H311" s="448"/>
      <c r="I311" s="448">
        <f t="shared" si="25"/>
        <v>2</v>
      </c>
    </row>
    <row r="312" spans="1:9" ht="13.5">
      <c r="A312" s="45"/>
      <c r="B312" s="113"/>
      <c r="C312" s="140" t="s">
        <v>1174</v>
      </c>
      <c r="D312" s="4" t="s">
        <v>879</v>
      </c>
      <c r="E312" s="45"/>
      <c r="F312" s="448">
        <v>0.9</v>
      </c>
      <c r="G312" s="448"/>
      <c r="H312" s="448"/>
      <c r="I312" s="448">
        <f t="shared" si="25"/>
        <v>0.9</v>
      </c>
    </row>
    <row r="313" spans="1:9" ht="13.5">
      <c r="A313" s="45"/>
      <c r="B313" s="113"/>
      <c r="C313" s="140" t="s">
        <v>1175</v>
      </c>
      <c r="D313" s="4" t="s">
        <v>879</v>
      </c>
      <c r="E313" s="45"/>
      <c r="F313" s="448">
        <v>0.6</v>
      </c>
      <c r="G313" s="448"/>
      <c r="H313" s="448"/>
      <c r="I313" s="448">
        <f t="shared" si="25"/>
        <v>0.6</v>
      </c>
    </row>
    <row r="314" spans="1:9" ht="13.5">
      <c r="A314" s="45"/>
      <c r="B314" s="113"/>
      <c r="C314" s="140" t="s">
        <v>1176</v>
      </c>
      <c r="D314" s="4" t="s">
        <v>879</v>
      </c>
      <c r="E314" s="45"/>
      <c r="F314" s="448">
        <f t="shared" si="24"/>
        <v>2</v>
      </c>
      <c r="G314" s="448"/>
      <c r="H314" s="448"/>
      <c r="I314" s="448">
        <f t="shared" si="25"/>
        <v>2</v>
      </c>
    </row>
    <row r="315" spans="1:9" ht="13.5">
      <c r="A315" s="45"/>
      <c r="B315" s="113"/>
      <c r="C315" s="140" t="s">
        <v>1177</v>
      </c>
      <c r="D315" s="4" t="s">
        <v>879</v>
      </c>
      <c r="E315" s="45"/>
      <c r="F315" s="448">
        <f t="shared" si="24"/>
        <v>2</v>
      </c>
      <c r="G315" s="448"/>
      <c r="H315" s="448"/>
      <c r="I315" s="448">
        <f t="shared" si="25"/>
        <v>2</v>
      </c>
    </row>
    <row r="316" spans="1:9" ht="13.5">
      <c r="A316" s="45"/>
      <c r="B316" s="113"/>
      <c r="C316" s="140" t="s">
        <v>1178</v>
      </c>
      <c r="D316" s="4" t="s">
        <v>879</v>
      </c>
      <c r="E316" s="45"/>
      <c r="F316" s="448">
        <v>0.9</v>
      </c>
      <c r="G316" s="448"/>
      <c r="H316" s="448"/>
      <c r="I316" s="448">
        <f t="shared" si="25"/>
        <v>0.9</v>
      </c>
    </row>
    <row r="317" spans="1:9" ht="13.5">
      <c r="A317" s="45"/>
      <c r="B317" s="113"/>
      <c r="C317" s="140" t="s">
        <v>1179</v>
      </c>
      <c r="D317" s="4" t="s">
        <v>879</v>
      </c>
      <c r="E317" s="45"/>
      <c r="F317" s="448">
        <f>2.7</f>
        <v>2.7</v>
      </c>
      <c r="G317" s="448"/>
      <c r="H317" s="448"/>
      <c r="I317" s="448">
        <f t="shared" si="25"/>
        <v>2.7</v>
      </c>
    </row>
    <row r="318" spans="1:9" ht="13.5">
      <c r="A318" s="45"/>
      <c r="B318" s="113"/>
      <c r="C318" s="140"/>
      <c r="D318" s="4" t="s">
        <v>879</v>
      </c>
      <c r="E318" s="45"/>
      <c r="F318" s="448">
        <f>4.7</f>
        <v>4.7</v>
      </c>
      <c r="G318" s="448"/>
      <c r="H318" s="448"/>
      <c r="I318" s="448">
        <f t="shared" si="25"/>
        <v>4.7</v>
      </c>
    </row>
    <row r="319" spans="1:9" ht="13.5">
      <c r="A319" s="45"/>
      <c r="B319" s="113"/>
      <c r="C319" s="468" t="s">
        <v>1183</v>
      </c>
      <c r="D319" s="4"/>
      <c r="E319" s="45"/>
      <c r="F319" s="448"/>
      <c r="G319" s="448"/>
      <c r="H319" s="448"/>
      <c r="I319" s="448"/>
    </row>
    <row r="320" spans="1:9" ht="13.5">
      <c r="A320" s="45"/>
      <c r="B320" s="113"/>
      <c r="C320" s="140" t="s">
        <v>1172</v>
      </c>
      <c r="D320" s="4" t="s">
        <v>879</v>
      </c>
      <c r="E320" s="45"/>
      <c r="F320" s="448">
        <f>1.3</f>
        <v>1.3</v>
      </c>
      <c r="G320" s="448"/>
      <c r="H320" s="448"/>
      <c r="I320" s="448">
        <f t="shared" ref="I320:I323" si="26">F320</f>
        <v>1.3</v>
      </c>
    </row>
    <row r="321" spans="1:9" ht="13.5">
      <c r="A321" s="45"/>
      <c r="B321" s="113"/>
      <c r="C321" s="140" t="s">
        <v>1173</v>
      </c>
      <c r="D321" s="4" t="s">
        <v>879</v>
      </c>
      <c r="E321" s="45"/>
      <c r="F321" s="448">
        <f>2.35</f>
        <v>2.35</v>
      </c>
      <c r="G321" s="448"/>
      <c r="H321" s="448"/>
      <c r="I321" s="448">
        <f t="shared" si="26"/>
        <v>2.35</v>
      </c>
    </row>
    <row r="322" spans="1:9" ht="13.5">
      <c r="A322" s="45"/>
      <c r="B322" s="113"/>
      <c r="C322" s="140" t="s">
        <v>1174</v>
      </c>
      <c r="D322" s="4" t="s">
        <v>879</v>
      </c>
      <c r="E322" s="45"/>
      <c r="F322" s="448">
        <f>2.5</f>
        <v>2.5</v>
      </c>
      <c r="G322" s="448"/>
      <c r="H322" s="448"/>
      <c r="I322" s="448">
        <f t="shared" si="26"/>
        <v>2.5</v>
      </c>
    </row>
    <row r="323" spans="1:9" ht="13.5">
      <c r="A323" s="45"/>
      <c r="B323" s="113"/>
      <c r="C323" s="140" t="s">
        <v>1175</v>
      </c>
      <c r="D323" s="4" t="s">
        <v>879</v>
      </c>
      <c r="E323" s="45"/>
      <c r="F323" s="448">
        <f>0.85</f>
        <v>0.85</v>
      </c>
      <c r="G323" s="448"/>
      <c r="H323" s="448"/>
      <c r="I323" s="448">
        <f t="shared" si="26"/>
        <v>0.85</v>
      </c>
    </row>
    <row r="324" spans="1:9" ht="13.5">
      <c r="A324" s="56"/>
      <c r="B324" s="450"/>
      <c r="C324" s="455" t="s">
        <v>481</v>
      </c>
      <c r="D324" s="450"/>
      <c r="E324" s="56"/>
      <c r="F324" s="453"/>
      <c r="G324" s="453"/>
      <c r="H324" s="453"/>
      <c r="I324" s="459"/>
    </row>
    <row r="325" spans="1:9" ht="13.5">
      <c r="A325" s="45"/>
      <c r="B325" s="113"/>
      <c r="C325" s="140"/>
      <c r="D325" s="4"/>
      <c r="E325" s="45"/>
      <c r="F325" s="448"/>
      <c r="G325" s="448"/>
      <c r="H325" s="448"/>
      <c r="I325" s="448"/>
    </row>
    <row r="326" spans="1:9" ht="13.5">
      <c r="A326" s="45">
        <v>64</v>
      </c>
      <c r="B326" s="113" t="s">
        <v>886</v>
      </c>
      <c r="C326" s="140" t="s">
        <v>905</v>
      </c>
      <c r="D326" s="4" t="s">
        <v>879</v>
      </c>
      <c r="E326" s="45"/>
      <c r="F326" s="448"/>
      <c r="G326" s="448"/>
      <c r="H326" s="448"/>
      <c r="I326" s="448"/>
    </row>
    <row r="327" spans="1:9" ht="13.5">
      <c r="A327" s="45">
        <v>65</v>
      </c>
      <c r="B327" s="113" t="s">
        <v>888</v>
      </c>
      <c r="C327" s="140" t="s">
        <v>906</v>
      </c>
      <c r="D327" s="4" t="s">
        <v>879</v>
      </c>
      <c r="E327" s="45"/>
      <c r="F327" s="448"/>
      <c r="G327" s="448"/>
      <c r="H327" s="448"/>
      <c r="I327" s="448"/>
    </row>
    <row r="328" spans="1:9" ht="13.5">
      <c r="A328" s="45">
        <v>66</v>
      </c>
      <c r="B328" s="113" t="s">
        <v>890</v>
      </c>
      <c r="C328" s="140" t="s">
        <v>907</v>
      </c>
      <c r="D328" s="4" t="s">
        <v>879</v>
      </c>
      <c r="E328" s="45"/>
      <c r="F328" s="448"/>
      <c r="G328" s="448"/>
      <c r="H328" s="448"/>
      <c r="I328" s="448"/>
    </row>
    <row r="329" spans="1:9" ht="27">
      <c r="A329" s="45">
        <v>67</v>
      </c>
      <c r="B329" s="465">
        <v>1.24</v>
      </c>
      <c r="C329" s="140" t="s">
        <v>908</v>
      </c>
      <c r="D329" s="466"/>
      <c r="E329" s="45"/>
      <c r="F329" s="448"/>
      <c r="G329" s="448"/>
      <c r="H329" s="448"/>
      <c r="I329" s="448"/>
    </row>
    <row r="330" spans="1:9" ht="13.5">
      <c r="A330" s="45">
        <v>68</v>
      </c>
      <c r="B330" s="113" t="s">
        <v>883</v>
      </c>
      <c r="C330" s="140" t="s">
        <v>909</v>
      </c>
      <c r="D330" s="4" t="s">
        <v>879</v>
      </c>
      <c r="E330" s="45"/>
      <c r="F330" s="448"/>
      <c r="G330" s="448"/>
      <c r="H330" s="448"/>
      <c r="I330" s="448"/>
    </row>
    <row r="331" spans="1:9" ht="13.5">
      <c r="A331" s="45">
        <v>69</v>
      </c>
      <c r="B331" s="113" t="s">
        <v>886</v>
      </c>
      <c r="C331" s="468" t="s">
        <v>904</v>
      </c>
      <c r="D331" s="4" t="s">
        <v>879</v>
      </c>
      <c r="E331" s="45"/>
      <c r="F331" s="448"/>
      <c r="G331" s="448"/>
      <c r="H331" s="448"/>
      <c r="I331" s="448"/>
    </row>
    <row r="332" spans="1:9" ht="13.5">
      <c r="A332" s="45"/>
      <c r="B332" s="113"/>
      <c r="C332" s="468" t="s">
        <v>1184</v>
      </c>
      <c r="D332" s="4"/>
      <c r="E332" s="45"/>
      <c r="F332" s="448"/>
      <c r="G332" s="448"/>
      <c r="H332" s="448"/>
      <c r="I332" s="448"/>
    </row>
    <row r="333" spans="1:9" ht="13.5">
      <c r="A333" s="45"/>
      <c r="B333" s="113"/>
      <c r="C333" s="140" t="s">
        <v>1185</v>
      </c>
      <c r="D333" s="4" t="s">
        <v>879</v>
      </c>
      <c r="E333" s="45"/>
      <c r="F333" s="448">
        <v>1.6</v>
      </c>
      <c r="G333" s="448"/>
      <c r="H333" s="448"/>
      <c r="I333" s="448">
        <f t="shared" ref="I333:I387" si="27">F333</f>
        <v>1.6</v>
      </c>
    </row>
    <row r="334" spans="1:9" ht="13.5">
      <c r="A334" s="45"/>
      <c r="B334" s="113"/>
      <c r="C334" s="140" t="s">
        <v>1186</v>
      </c>
      <c r="D334" s="4" t="s">
        <v>879</v>
      </c>
      <c r="E334" s="45"/>
      <c r="F334" s="448">
        <v>1.6</v>
      </c>
      <c r="G334" s="448"/>
      <c r="H334" s="448"/>
      <c r="I334" s="448">
        <f t="shared" si="27"/>
        <v>1.6</v>
      </c>
    </row>
    <row r="335" spans="1:9" ht="13.5">
      <c r="A335" s="45"/>
      <c r="B335" s="113"/>
      <c r="C335" s="140" t="s">
        <v>1187</v>
      </c>
      <c r="D335" s="4" t="s">
        <v>879</v>
      </c>
      <c r="E335" s="45"/>
      <c r="F335" s="448">
        <v>1.6</v>
      </c>
      <c r="G335" s="448"/>
      <c r="H335" s="448"/>
      <c r="I335" s="448">
        <f t="shared" si="27"/>
        <v>1.6</v>
      </c>
    </row>
    <row r="336" spans="1:9" ht="13.5">
      <c r="A336" s="45"/>
      <c r="B336" s="113"/>
      <c r="C336" s="140" t="s">
        <v>1188</v>
      </c>
      <c r="D336" s="4" t="s">
        <v>879</v>
      </c>
      <c r="E336" s="45"/>
      <c r="F336" s="448">
        <v>1.6</v>
      </c>
      <c r="G336" s="448"/>
      <c r="H336" s="448"/>
      <c r="I336" s="448">
        <f t="shared" si="27"/>
        <v>1.6</v>
      </c>
    </row>
    <row r="337" spans="1:9" ht="13.5">
      <c r="A337" s="45"/>
      <c r="B337" s="113"/>
      <c r="C337" s="140" t="s">
        <v>1189</v>
      </c>
      <c r="D337" s="4" t="s">
        <v>879</v>
      </c>
      <c r="E337" s="45"/>
      <c r="F337" s="448">
        <v>1.6</v>
      </c>
      <c r="G337" s="448"/>
      <c r="H337" s="448"/>
      <c r="I337" s="448">
        <f t="shared" si="27"/>
        <v>1.6</v>
      </c>
    </row>
    <row r="338" spans="1:9" ht="13.5">
      <c r="A338" s="45"/>
      <c r="B338" s="113"/>
      <c r="C338" s="140" t="s">
        <v>1190</v>
      </c>
      <c r="D338" s="4" t="s">
        <v>879</v>
      </c>
      <c r="E338" s="45"/>
      <c r="F338" s="448">
        <v>1.6</v>
      </c>
      <c r="G338" s="448"/>
      <c r="H338" s="448"/>
      <c r="I338" s="448">
        <f t="shared" si="27"/>
        <v>1.6</v>
      </c>
    </row>
    <row r="339" spans="1:9" ht="13.5">
      <c r="A339" s="45"/>
      <c r="B339" s="113"/>
      <c r="C339" s="140" t="s">
        <v>1191</v>
      </c>
      <c r="D339" s="4" t="s">
        <v>879</v>
      </c>
      <c r="E339" s="45"/>
      <c r="F339" s="448">
        <v>1.6</v>
      </c>
      <c r="G339" s="448"/>
      <c r="H339" s="448"/>
      <c r="I339" s="448">
        <f t="shared" si="27"/>
        <v>1.6</v>
      </c>
    </row>
    <row r="340" spans="1:9" ht="13.5">
      <c r="A340" s="45"/>
      <c r="B340" s="113"/>
      <c r="C340" s="469" t="s">
        <v>1192</v>
      </c>
      <c r="D340" s="4" t="s">
        <v>879</v>
      </c>
      <c r="E340" s="45"/>
      <c r="F340" s="448">
        <v>1.6</v>
      </c>
      <c r="G340" s="448"/>
      <c r="H340" s="448"/>
      <c r="I340" s="448">
        <f t="shared" si="27"/>
        <v>1.6</v>
      </c>
    </row>
    <row r="341" spans="1:9" ht="13.5">
      <c r="A341" s="45"/>
      <c r="B341" s="113"/>
      <c r="C341" s="469" t="s">
        <v>1193</v>
      </c>
      <c r="D341" s="4" t="s">
        <v>879</v>
      </c>
      <c r="E341" s="45"/>
      <c r="F341" s="448">
        <v>1.6</v>
      </c>
      <c r="G341" s="448"/>
      <c r="H341" s="448"/>
      <c r="I341" s="448">
        <f t="shared" si="27"/>
        <v>1.6</v>
      </c>
    </row>
    <row r="342" spans="1:9" ht="13.5">
      <c r="A342" s="45"/>
      <c r="B342" s="113"/>
      <c r="C342" s="469" t="s">
        <v>1194</v>
      </c>
      <c r="D342" s="4" t="s">
        <v>879</v>
      </c>
      <c r="E342" s="45"/>
      <c r="F342" s="448">
        <v>1.6</v>
      </c>
      <c r="G342" s="448"/>
      <c r="H342" s="448"/>
      <c r="I342" s="448">
        <f t="shared" si="27"/>
        <v>1.6</v>
      </c>
    </row>
    <row r="343" spans="1:9" ht="13.5">
      <c r="A343" s="45"/>
      <c r="B343" s="113"/>
      <c r="C343" s="469" t="s">
        <v>1195</v>
      </c>
      <c r="D343" s="4" t="s">
        <v>879</v>
      </c>
      <c r="E343" s="45"/>
      <c r="F343" s="448">
        <v>1.6</v>
      </c>
      <c r="G343" s="448"/>
      <c r="H343" s="448"/>
      <c r="I343" s="448">
        <f t="shared" si="27"/>
        <v>1.6</v>
      </c>
    </row>
    <row r="344" spans="1:9" ht="13.5">
      <c r="A344" s="45"/>
      <c r="B344" s="113"/>
      <c r="C344" s="469" t="s">
        <v>1196</v>
      </c>
      <c r="D344" s="4" t="s">
        <v>879</v>
      </c>
      <c r="E344" s="45"/>
      <c r="F344" s="448">
        <v>1.6</v>
      </c>
      <c r="G344" s="448"/>
      <c r="H344" s="448"/>
      <c r="I344" s="448">
        <f t="shared" si="27"/>
        <v>1.6</v>
      </c>
    </row>
    <row r="345" spans="1:9" ht="13.5">
      <c r="A345" s="45"/>
      <c r="B345" s="113"/>
      <c r="C345" s="469" t="s">
        <v>1197</v>
      </c>
      <c r="D345" s="4" t="s">
        <v>879</v>
      </c>
      <c r="E345" s="45"/>
      <c r="F345" s="448">
        <v>1.6</v>
      </c>
      <c r="G345" s="448"/>
      <c r="H345" s="448"/>
      <c r="I345" s="448">
        <f t="shared" si="27"/>
        <v>1.6</v>
      </c>
    </row>
    <row r="346" spans="1:9" ht="13.5">
      <c r="A346" s="45"/>
      <c r="B346" s="113"/>
      <c r="C346" s="469" t="s">
        <v>1198</v>
      </c>
      <c r="D346" s="4" t="s">
        <v>879</v>
      </c>
      <c r="E346" s="45"/>
      <c r="F346" s="448">
        <v>1.6</v>
      </c>
      <c r="G346" s="448"/>
      <c r="H346" s="448"/>
      <c r="I346" s="448">
        <f t="shared" si="27"/>
        <v>1.6</v>
      </c>
    </row>
    <row r="347" spans="1:9" ht="13.5">
      <c r="A347" s="45"/>
      <c r="B347" s="113"/>
      <c r="C347" s="469" t="s">
        <v>1199</v>
      </c>
      <c r="D347" s="4" t="s">
        <v>879</v>
      </c>
      <c r="E347" s="45"/>
      <c r="F347" s="448">
        <v>1.6</v>
      </c>
      <c r="G347" s="448"/>
      <c r="H347" s="448"/>
      <c r="I347" s="448">
        <f t="shared" si="27"/>
        <v>1.6</v>
      </c>
    </row>
    <row r="348" spans="1:9" ht="13.5">
      <c r="A348" s="45"/>
      <c r="B348" s="113"/>
      <c r="C348" s="469" t="s">
        <v>1200</v>
      </c>
      <c r="D348" s="4" t="s">
        <v>879</v>
      </c>
      <c r="E348" s="45"/>
      <c r="F348" s="448">
        <v>1.6</v>
      </c>
      <c r="G348" s="448"/>
      <c r="H348" s="448"/>
      <c r="I348" s="448">
        <f t="shared" si="27"/>
        <v>1.6</v>
      </c>
    </row>
    <row r="349" spans="1:9" ht="13.5">
      <c r="A349" s="45"/>
      <c r="B349" s="113"/>
      <c r="C349" s="469" t="s">
        <v>1201</v>
      </c>
      <c r="D349" s="4" t="s">
        <v>879</v>
      </c>
      <c r="E349" s="45"/>
      <c r="F349" s="448">
        <v>1.6</v>
      </c>
      <c r="G349" s="448"/>
      <c r="H349" s="448"/>
      <c r="I349" s="448">
        <f t="shared" si="27"/>
        <v>1.6</v>
      </c>
    </row>
    <row r="350" spans="1:9" ht="13.5">
      <c r="A350" s="45"/>
      <c r="B350" s="113"/>
      <c r="C350" s="469" t="s">
        <v>1202</v>
      </c>
      <c r="D350" s="4" t="s">
        <v>879</v>
      </c>
      <c r="E350" s="45"/>
      <c r="F350" s="448">
        <v>1.6</v>
      </c>
      <c r="G350" s="448"/>
      <c r="H350" s="448"/>
      <c r="I350" s="448">
        <f t="shared" si="27"/>
        <v>1.6</v>
      </c>
    </row>
    <row r="351" spans="1:9" ht="13.5">
      <c r="A351" s="45"/>
      <c r="B351" s="113"/>
      <c r="C351" s="469" t="s">
        <v>1203</v>
      </c>
      <c r="D351" s="4" t="s">
        <v>879</v>
      </c>
      <c r="E351" s="45"/>
      <c r="F351" s="448">
        <v>1.6</v>
      </c>
      <c r="G351" s="448"/>
      <c r="H351" s="448"/>
      <c r="I351" s="448">
        <f t="shared" si="27"/>
        <v>1.6</v>
      </c>
    </row>
    <row r="352" spans="1:9" ht="13.5">
      <c r="A352" s="45"/>
      <c r="B352" s="113"/>
      <c r="C352" s="469" t="s">
        <v>1204</v>
      </c>
      <c r="D352" s="4" t="s">
        <v>879</v>
      </c>
      <c r="E352" s="45"/>
      <c r="F352" s="448">
        <v>1.6</v>
      </c>
      <c r="G352" s="448"/>
      <c r="H352" s="448"/>
      <c r="I352" s="448">
        <f t="shared" si="27"/>
        <v>1.6</v>
      </c>
    </row>
    <row r="353" spans="1:9" ht="13.5">
      <c r="A353" s="45"/>
      <c r="B353" s="113"/>
      <c r="C353" s="469" t="s">
        <v>1205</v>
      </c>
      <c r="D353" s="4" t="s">
        <v>879</v>
      </c>
      <c r="E353" s="45"/>
      <c r="F353" s="448">
        <v>1.6</v>
      </c>
      <c r="G353" s="448"/>
      <c r="H353" s="448"/>
      <c r="I353" s="448">
        <f t="shared" si="27"/>
        <v>1.6</v>
      </c>
    </row>
    <row r="354" spans="1:9" ht="13.5">
      <c r="A354" s="45"/>
      <c r="B354" s="113"/>
      <c r="C354" s="469" t="s">
        <v>1206</v>
      </c>
      <c r="D354" s="4" t="s">
        <v>879</v>
      </c>
      <c r="E354" s="45"/>
      <c r="F354" s="448">
        <v>1.6</v>
      </c>
      <c r="G354" s="448"/>
      <c r="H354" s="448"/>
      <c r="I354" s="448">
        <f t="shared" si="27"/>
        <v>1.6</v>
      </c>
    </row>
    <row r="355" spans="1:9" ht="13.5">
      <c r="A355" s="45"/>
      <c r="B355" s="113"/>
      <c r="C355" s="469" t="s">
        <v>1207</v>
      </c>
      <c r="D355" s="4" t="s">
        <v>879</v>
      </c>
      <c r="E355" s="45"/>
      <c r="F355" s="448">
        <v>1.6</v>
      </c>
      <c r="G355" s="448"/>
      <c r="H355" s="448"/>
      <c r="I355" s="448">
        <f t="shared" si="27"/>
        <v>1.6</v>
      </c>
    </row>
    <row r="356" spans="1:9" ht="13.5">
      <c r="A356" s="45"/>
      <c r="B356" s="113"/>
      <c r="C356" s="469" t="s">
        <v>1208</v>
      </c>
      <c r="D356" s="4" t="s">
        <v>879</v>
      </c>
      <c r="E356" s="45"/>
      <c r="F356" s="448">
        <v>1.6</v>
      </c>
      <c r="G356" s="448"/>
      <c r="H356" s="448"/>
      <c r="I356" s="448">
        <f t="shared" si="27"/>
        <v>1.6</v>
      </c>
    </row>
    <row r="357" spans="1:9" ht="13.5">
      <c r="A357" s="45"/>
      <c r="B357" s="113"/>
      <c r="C357" s="469" t="s">
        <v>1209</v>
      </c>
      <c r="D357" s="4" t="s">
        <v>879</v>
      </c>
      <c r="E357" s="45"/>
      <c r="F357" s="448">
        <v>1.6</v>
      </c>
      <c r="G357" s="448"/>
      <c r="H357" s="448"/>
      <c r="I357" s="448">
        <f t="shared" si="27"/>
        <v>1.6</v>
      </c>
    </row>
    <row r="358" spans="1:9" ht="13.5">
      <c r="A358" s="45"/>
      <c r="B358" s="113"/>
      <c r="C358" s="469" t="s">
        <v>1210</v>
      </c>
      <c r="D358" s="4" t="s">
        <v>879</v>
      </c>
      <c r="E358" s="45"/>
      <c r="F358" s="448">
        <v>1.6</v>
      </c>
      <c r="G358" s="448"/>
      <c r="H358" s="448"/>
      <c r="I358" s="448">
        <f t="shared" si="27"/>
        <v>1.6</v>
      </c>
    </row>
    <row r="359" spans="1:9" ht="13.5">
      <c r="A359" s="45"/>
      <c r="B359" s="113"/>
      <c r="C359" s="469" t="s">
        <v>1211</v>
      </c>
      <c r="D359" s="4" t="s">
        <v>879</v>
      </c>
      <c r="E359" s="45"/>
      <c r="F359" s="448">
        <v>1.6</v>
      </c>
      <c r="G359" s="448"/>
      <c r="H359" s="448"/>
      <c r="I359" s="448">
        <f t="shared" si="27"/>
        <v>1.6</v>
      </c>
    </row>
    <row r="360" spans="1:9" ht="13.5">
      <c r="A360" s="45"/>
      <c r="B360" s="113"/>
      <c r="C360" s="469" t="s">
        <v>1212</v>
      </c>
      <c r="D360" s="4" t="s">
        <v>879</v>
      </c>
      <c r="E360" s="45"/>
      <c r="F360" s="448">
        <v>1.6</v>
      </c>
      <c r="G360" s="448"/>
      <c r="H360" s="448"/>
      <c r="I360" s="448">
        <f t="shared" si="27"/>
        <v>1.6</v>
      </c>
    </row>
    <row r="361" spans="1:9" ht="13.5">
      <c r="A361" s="45"/>
      <c r="B361" s="113"/>
      <c r="C361" s="469" t="s">
        <v>1213</v>
      </c>
      <c r="D361" s="4" t="s">
        <v>879</v>
      </c>
      <c r="E361" s="45"/>
      <c r="F361" s="448">
        <v>1.6</v>
      </c>
      <c r="G361" s="448"/>
      <c r="H361" s="448"/>
      <c r="I361" s="448">
        <f t="shared" si="27"/>
        <v>1.6</v>
      </c>
    </row>
    <row r="362" spans="1:9" ht="13.5">
      <c r="A362" s="45"/>
      <c r="B362" s="113"/>
      <c r="C362" s="469" t="s">
        <v>1214</v>
      </c>
      <c r="D362" s="4" t="s">
        <v>879</v>
      </c>
      <c r="E362" s="45"/>
      <c r="F362" s="448">
        <v>1.6</v>
      </c>
      <c r="G362" s="448"/>
      <c r="H362" s="448"/>
      <c r="I362" s="448">
        <f t="shared" si="27"/>
        <v>1.6</v>
      </c>
    </row>
    <row r="363" spans="1:9" ht="13.5">
      <c r="A363" s="45"/>
      <c r="B363" s="113"/>
      <c r="C363" s="469" t="s">
        <v>1215</v>
      </c>
      <c r="D363" s="4" t="s">
        <v>879</v>
      </c>
      <c r="E363" s="45"/>
      <c r="F363" s="448">
        <v>1.6</v>
      </c>
      <c r="G363" s="448"/>
      <c r="H363" s="448"/>
      <c r="I363" s="448">
        <f t="shared" si="27"/>
        <v>1.6</v>
      </c>
    </row>
    <row r="364" spans="1:9" ht="13.5">
      <c r="A364" s="45"/>
      <c r="B364" s="113"/>
      <c r="C364" s="469" t="s">
        <v>1216</v>
      </c>
      <c r="D364" s="4" t="s">
        <v>879</v>
      </c>
      <c r="E364" s="45"/>
      <c r="F364" s="448">
        <v>1.6</v>
      </c>
      <c r="G364" s="448"/>
      <c r="H364" s="448"/>
      <c r="I364" s="448">
        <f t="shared" si="27"/>
        <v>1.6</v>
      </c>
    </row>
    <row r="365" spans="1:9" ht="13.5">
      <c r="A365" s="45"/>
      <c r="B365" s="113"/>
      <c r="C365" s="469" t="s">
        <v>1217</v>
      </c>
      <c r="D365" s="4" t="s">
        <v>879</v>
      </c>
      <c r="E365" s="45"/>
      <c r="F365" s="448">
        <v>1.6</v>
      </c>
      <c r="G365" s="448"/>
      <c r="H365" s="448"/>
      <c r="I365" s="448">
        <f t="shared" si="27"/>
        <v>1.6</v>
      </c>
    </row>
    <row r="366" spans="1:9" ht="13.5">
      <c r="A366" s="45"/>
      <c r="B366" s="113"/>
      <c r="C366" s="469" t="s">
        <v>1218</v>
      </c>
      <c r="D366" s="4" t="s">
        <v>879</v>
      </c>
      <c r="E366" s="45"/>
      <c r="F366" s="448">
        <v>1.6</v>
      </c>
      <c r="G366" s="448"/>
      <c r="H366" s="448"/>
      <c r="I366" s="448">
        <f t="shared" si="27"/>
        <v>1.6</v>
      </c>
    </row>
    <row r="367" spans="1:9" ht="13.5">
      <c r="A367" s="45"/>
      <c r="B367" s="113"/>
      <c r="C367" s="469" t="s">
        <v>1219</v>
      </c>
      <c r="D367" s="4" t="s">
        <v>879</v>
      </c>
      <c r="E367" s="45"/>
      <c r="F367" s="448">
        <v>1.6</v>
      </c>
      <c r="G367" s="448"/>
      <c r="H367" s="448"/>
      <c r="I367" s="448">
        <f t="shared" si="27"/>
        <v>1.6</v>
      </c>
    </row>
    <row r="368" spans="1:9" ht="13.5">
      <c r="A368" s="45"/>
      <c r="B368" s="113"/>
      <c r="C368" s="469" t="s">
        <v>1220</v>
      </c>
      <c r="D368" s="4" t="s">
        <v>879</v>
      </c>
      <c r="E368" s="45"/>
      <c r="F368" s="448">
        <v>1.6</v>
      </c>
      <c r="G368" s="448"/>
      <c r="H368" s="448"/>
      <c r="I368" s="448">
        <f t="shared" si="27"/>
        <v>1.6</v>
      </c>
    </row>
    <row r="369" spans="1:9" ht="13.5">
      <c r="A369" s="45"/>
      <c r="B369" s="113"/>
      <c r="C369" s="469" t="s">
        <v>1221</v>
      </c>
      <c r="D369" s="4" t="s">
        <v>879</v>
      </c>
      <c r="E369" s="45"/>
      <c r="F369" s="448">
        <v>1.6</v>
      </c>
      <c r="G369" s="448"/>
      <c r="H369" s="448"/>
      <c r="I369" s="448">
        <f t="shared" si="27"/>
        <v>1.6</v>
      </c>
    </row>
    <row r="370" spans="1:9" ht="13.5">
      <c r="A370" s="45"/>
      <c r="B370" s="113"/>
      <c r="C370" s="469" t="s">
        <v>1222</v>
      </c>
      <c r="D370" s="4" t="s">
        <v>879</v>
      </c>
      <c r="E370" s="45"/>
      <c r="F370" s="448">
        <v>1.6</v>
      </c>
      <c r="G370" s="448"/>
      <c r="H370" s="448"/>
      <c r="I370" s="448">
        <f t="shared" si="27"/>
        <v>1.6</v>
      </c>
    </row>
    <row r="371" spans="1:9" ht="13.5">
      <c r="A371" s="45"/>
      <c r="B371" s="113"/>
      <c r="C371" s="469" t="s">
        <v>1223</v>
      </c>
      <c r="D371" s="4" t="s">
        <v>879</v>
      </c>
      <c r="E371" s="45"/>
      <c r="F371" s="448">
        <v>1.6</v>
      </c>
      <c r="G371" s="448"/>
      <c r="H371" s="448"/>
      <c r="I371" s="448">
        <f t="shared" si="27"/>
        <v>1.6</v>
      </c>
    </row>
    <row r="372" spans="1:9" ht="13.5">
      <c r="A372" s="45"/>
      <c r="B372" s="113"/>
      <c r="C372" s="469" t="s">
        <v>1224</v>
      </c>
      <c r="D372" s="4" t="s">
        <v>879</v>
      </c>
      <c r="E372" s="45"/>
      <c r="F372" s="448">
        <v>1.6</v>
      </c>
      <c r="G372" s="448"/>
      <c r="H372" s="448"/>
      <c r="I372" s="448">
        <f t="shared" si="27"/>
        <v>1.6</v>
      </c>
    </row>
    <row r="373" spans="1:9" ht="13.5">
      <c r="A373" s="45"/>
      <c r="B373" s="113"/>
      <c r="C373" s="469" t="s">
        <v>1225</v>
      </c>
      <c r="D373" s="4" t="s">
        <v>879</v>
      </c>
      <c r="E373" s="45"/>
      <c r="F373" s="448">
        <v>1.6</v>
      </c>
      <c r="G373" s="448"/>
      <c r="H373" s="448"/>
      <c r="I373" s="448">
        <f t="shared" si="27"/>
        <v>1.6</v>
      </c>
    </row>
    <row r="374" spans="1:9" ht="13.5">
      <c r="A374" s="45"/>
      <c r="B374" s="113"/>
      <c r="C374" s="469" t="s">
        <v>1226</v>
      </c>
      <c r="D374" s="4" t="s">
        <v>879</v>
      </c>
      <c r="E374" s="45"/>
      <c r="F374" s="448">
        <v>1.6</v>
      </c>
      <c r="G374" s="448"/>
      <c r="H374" s="448"/>
      <c r="I374" s="448">
        <f t="shared" si="27"/>
        <v>1.6</v>
      </c>
    </row>
    <row r="375" spans="1:9" ht="13.5">
      <c r="A375" s="45"/>
      <c r="B375" s="113"/>
      <c r="C375" s="469" t="s">
        <v>1227</v>
      </c>
      <c r="D375" s="4" t="s">
        <v>879</v>
      </c>
      <c r="E375" s="45"/>
      <c r="F375" s="448">
        <v>1.6</v>
      </c>
      <c r="G375" s="448"/>
      <c r="H375" s="448"/>
      <c r="I375" s="448">
        <f t="shared" si="27"/>
        <v>1.6</v>
      </c>
    </row>
    <row r="376" spans="1:9" ht="13.5">
      <c r="A376" s="45"/>
      <c r="B376" s="113"/>
      <c r="C376" s="469" t="s">
        <v>1228</v>
      </c>
      <c r="D376" s="4" t="s">
        <v>879</v>
      </c>
      <c r="E376" s="45"/>
      <c r="F376" s="448">
        <v>1.6</v>
      </c>
      <c r="G376" s="448"/>
      <c r="H376" s="448"/>
      <c r="I376" s="448">
        <f t="shared" si="27"/>
        <v>1.6</v>
      </c>
    </row>
    <row r="377" spans="1:9" ht="13.5">
      <c r="A377" s="45"/>
      <c r="B377" s="113"/>
      <c r="C377" s="469" t="s">
        <v>1229</v>
      </c>
      <c r="D377" s="4" t="s">
        <v>879</v>
      </c>
      <c r="E377" s="45"/>
      <c r="F377" s="448">
        <v>1.6</v>
      </c>
      <c r="G377" s="448"/>
      <c r="H377" s="448"/>
      <c r="I377" s="448">
        <f t="shared" si="27"/>
        <v>1.6</v>
      </c>
    </row>
    <row r="378" spans="1:9" ht="13.5">
      <c r="A378" s="45"/>
      <c r="B378" s="113"/>
      <c r="C378" s="469" t="s">
        <v>1230</v>
      </c>
      <c r="D378" s="4" t="s">
        <v>879</v>
      </c>
      <c r="E378" s="45"/>
      <c r="F378" s="448">
        <v>1.6</v>
      </c>
      <c r="G378" s="448"/>
      <c r="H378" s="448"/>
      <c r="I378" s="448">
        <f t="shared" si="27"/>
        <v>1.6</v>
      </c>
    </row>
    <row r="379" spans="1:9" ht="13.5">
      <c r="A379" s="45"/>
      <c r="B379" s="113"/>
      <c r="C379" s="469" t="s">
        <v>1231</v>
      </c>
      <c r="D379" s="4" t="s">
        <v>879</v>
      </c>
      <c r="E379" s="45"/>
      <c r="F379" s="448">
        <v>1.6</v>
      </c>
      <c r="G379" s="448"/>
      <c r="H379" s="448"/>
      <c r="I379" s="448">
        <f t="shared" si="27"/>
        <v>1.6</v>
      </c>
    </row>
    <row r="380" spans="1:9" ht="13.5">
      <c r="A380" s="45"/>
      <c r="B380" s="113"/>
      <c r="C380" s="469" t="s">
        <v>1232</v>
      </c>
      <c r="D380" s="4" t="s">
        <v>879</v>
      </c>
      <c r="E380" s="45"/>
      <c r="F380" s="448">
        <v>1.6</v>
      </c>
      <c r="G380" s="448"/>
      <c r="H380" s="448"/>
      <c r="I380" s="448">
        <f t="shared" si="27"/>
        <v>1.6</v>
      </c>
    </row>
    <row r="381" spans="1:9" ht="13.5">
      <c r="A381" s="45"/>
      <c r="B381" s="113"/>
      <c r="C381" s="469" t="s">
        <v>1233</v>
      </c>
      <c r="D381" s="4" t="s">
        <v>879</v>
      </c>
      <c r="E381" s="45"/>
      <c r="F381" s="448">
        <v>1.6</v>
      </c>
      <c r="G381" s="448"/>
      <c r="H381" s="448"/>
      <c r="I381" s="448">
        <f t="shared" si="27"/>
        <v>1.6</v>
      </c>
    </row>
    <row r="382" spans="1:9" ht="13.5">
      <c r="A382" s="45"/>
      <c r="B382" s="113"/>
      <c r="C382" s="469" t="s">
        <v>1234</v>
      </c>
      <c r="D382" s="4" t="s">
        <v>879</v>
      </c>
      <c r="E382" s="45"/>
      <c r="F382" s="448">
        <v>1.6</v>
      </c>
      <c r="G382" s="448"/>
      <c r="H382" s="448"/>
      <c r="I382" s="448">
        <f t="shared" si="27"/>
        <v>1.6</v>
      </c>
    </row>
    <row r="383" spans="1:9" ht="13.5">
      <c r="A383" s="45"/>
      <c r="B383" s="113"/>
      <c r="C383" s="469" t="s">
        <v>1235</v>
      </c>
      <c r="D383" s="4" t="s">
        <v>879</v>
      </c>
      <c r="E383" s="45"/>
      <c r="F383" s="448">
        <v>1.6</v>
      </c>
      <c r="G383" s="448"/>
      <c r="H383" s="448"/>
      <c r="I383" s="448">
        <f t="shared" si="27"/>
        <v>1.6</v>
      </c>
    </row>
    <row r="384" spans="1:9" ht="13.5">
      <c r="A384" s="45"/>
      <c r="B384" s="113"/>
      <c r="C384" s="469" t="s">
        <v>1236</v>
      </c>
      <c r="D384" s="4" t="s">
        <v>879</v>
      </c>
      <c r="E384" s="45"/>
      <c r="F384" s="448">
        <v>1.6</v>
      </c>
      <c r="G384" s="448"/>
      <c r="H384" s="448"/>
      <c r="I384" s="448">
        <f t="shared" si="27"/>
        <v>1.6</v>
      </c>
    </row>
    <row r="385" spans="1:9" ht="13.5">
      <c r="A385" s="45"/>
      <c r="B385" s="113"/>
      <c r="C385" s="469" t="s">
        <v>1237</v>
      </c>
      <c r="D385" s="4" t="s">
        <v>879</v>
      </c>
      <c r="E385" s="45"/>
      <c r="F385" s="448">
        <v>1.6</v>
      </c>
      <c r="G385" s="448"/>
      <c r="H385" s="448"/>
      <c r="I385" s="448">
        <f t="shared" si="27"/>
        <v>1.6</v>
      </c>
    </row>
    <row r="386" spans="1:9" ht="13.5">
      <c r="A386" s="45"/>
      <c r="B386" s="113"/>
      <c r="C386" s="469" t="s">
        <v>1238</v>
      </c>
      <c r="D386" s="4" t="s">
        <v>879</v>
      </c>
      <c r="E386" s="45"/>
      <c r="F386" s="448">
        <v>1.6</v>
      </c>
      <c r="G386" s="448"/>
      <c r="H386" s="448"/>
      <c r="I386" s="448">
        <f t="shared" si="27"/>
        <v>1.6</v>
      </c>
    </row>
    <row r="387" spans="1:9" ht="13.5">
      <c r="A387" s="45"/>
      <c r="B387" s="113"/>
      <c r="C387" s="469" t="s">
        <v>1239</v>
      </c>
      <c r="D387" s="4" t="s">
        <v>879</v>
      </c>
      <c r="E387" s="45"/>
      <c r="F387" s="448">
        <v>1.6</v>
      </c>
      <c r="G387" s="448"/>
      <c r="H387" s="448"/>
      <c r="I387" s="448">
        <f t="shared" si="27"/>
        <v>1.6</v>
      </c>
    </row>
    <row r="388" spans="1:9" ht="13.5">
      <c r="A388" s="56"/>
      <c r="B388" s="450"/>
      <c r="C388" s="456" t="s">
        <v>481</v>
      </c>
      <c r="D388" s="450"/>
      <c r="E388" s="56"/>
      <c r="F388" s="453"/>
      <c r="G388" s="453"/>
      <c r="H388" s="453"/>
      <c r="I388" s="459"/>
    </row>
    <row r="389" spans="1:9" ht="13.5">
      <c r="A389" s="45"/>
      <c r="B389" s="113"/>
      <c r="C389" s="470"/>
      <c r="D389" s="4"/>
      <c r="E389" s="45"/>
      <c r="F389" s="448"/>
      <c r="G389" s="448"/>
      <c r="H389" s="448"/>
      <c r="I389" s="461"/>
    </row>
    <row r="390" spans="1:9" ht="13.5">
      <c r="A390" s="45">
        <v>70</v>
      </c>
      <c r="B390" s="4" t="s">
        <v>888</v>
      </c>
      <c r="C390" s="469" t="s">
        <v>905</v>
      </c>
      <c r="D390" s="4" t="s">
        <v>879</v>
      </c>
      <c r="E390" s="45"/>
      <c r="F390" s="448"/>
      <c r="G390" s="448"/>
      <c r="H390" s="448"/>
      <c r="I390" s="448"/>
    </row>
    <row r="391" spans="1:9" ht="13.5">
      <c r="A391" s="45">
        <v>71</v>
      </c>
      <c r="B391" s="4" t="s">
        <v>890</v>
      </c>
      <c r="C391" s="469" t="s">
        <v>906</v>
      </c>
      <c r="D391" s="4" t="s">
        <v>879</v>
      </c>
      <c r="E391" s="45"/>
      <c r="F391" s="448"/>
      <c r="G391" s="448"/>
      <c r="H391" s="448"/>
      <c r="I391" s="448"/>
    </row>
    <row r="392" spans="1:9" ht="13.5">
      <c r="A392" s="45">
        <v>72</v>
      </c>
      <c r="B392" s="4" t="s">
        <v>892</v>
      </c>
      <c r="C392" s="469" t="s">
        <v>907</v>
      </c>
      <c r="D392" s="4" t="s">
        <v>879</v>
      </c>
      <c r="E392" s="45"/>
      <c r="F392" s="448"/>
      <c r="G392" s="448"/>
      <c r="H392" s="448"/>
      <c r="I392" s="448"/>
    </row>
    <row r="393" spans="1:9" ht="13.5">
      <c r="A393" s="45">
        <v>73</v>
      </c>
      <c r="B393" s="471"/>
      <c r="C393" s="469"/>
      <c r="D393" s="447"/>
      <c r="E393" s="45"/>
      <c r="F393" s="448"/>
      <c r="G393" s="448"/>
      <c r="H393" s="448"/>
      <c r="I393" s="448"/>
    </row>
    <row r="394" spans="1:9">
      <c r="A394" s="45">
        <v>74</v>
      </c>
      <c r="B394" s="209"/>
      <c r="C394" s="209" t="s">
        <v>910</v>
      </c>
      <c r="D394" s="208"/>
      <c r="E394" s="45"/>
      <c r="F394" s="448"/>
      <c r="G394" s="448"/>
      <c r="H394" s="448"/>
      <c r="I394" s="448"/>
    </row>
    <row r="395" spans="1:9" ht="13.5">
      <c r="A395" s="45">
        <v>75</v>
      </c>
      <c r="B395" s="471"/>
      <c r="C395" s="470"/>
      <c r="D395" s="466"/>
      <c r="E395" s="45"/>
      <c r="F395" s="448"/>
      <c r="G395" s="448"/>
      <c r="H395" s="448"/>
      <c r="I395" s="448"/>
    </row>
    <row r="396" spans="1:9">
      <c r="A396" s="45">
        <v>76</v>
      </c>
      <c r="B396" s="208" t="s">
        <v>10</v>
      </c>
      <c r="C396" s="209" t="s">
        <v>911</v>
      </c>
      <c r="D396" s="208"/>
      <c r="E396" s="45"/>
      <c r="F396" s="448"/>
      <c r="G396" s="448"/>
      <c r="H396" s="448"/>
      <c r="I396" s="448"/>
    </row>
    <row r="397" spans="1:9" ht="54">
      <c r="A397" s="45">
        <v>77</v>
      </c>
      <c r="B397" s="4">
        <v>1</v>
      </c>
      <c r="C397" s="112" t="s">
        <v>912</v>
      </c>
      <c r="D397" s="113"/>
      <c r="E397" s="45"/>
      <c r="F397" s="448"/>
      <c r="G397" s="448"/>
      <c r="H397" s="448"/>
      <c r="I397" s="448"/>
    </row>
    <row r="398" spans="1:9" ht="13.5">
      <c r="A398" s="45">
        <v>78</v>
      </c>
      <c r="B398" s="4" t="s">
        <v>883</v>
      </c>
      <c r="C398" s="472" t="s">
        <v>913</v>
      </c>
      <c r="D398" s="4" t="s">
        <v>879</v>
      </c>
      <c r="E398" s="45"/>
      <c r="F398" s="448"/>
      <c r="G398" s="448"/>
      <c r="H398" s="448"/>
      <c r="I398" s="448"/>
    </row>
    <row r="399" spans="1:9" ht="67.5">
      <c r="A399" s="45">
        <v>79</v>
      </c>
      <c r="B399" s="4">
        <v>2</v>
      </c>
      <c r="C399" s="469" t="s">
        <v>914</v>
      </c>
      <c r="D399" s="466"/>
      <c r="E399" s="45"/>
      <c r="F399" s="448"/>
      <c r="G399" s="448"/>
      <c r="H399" s="448"/>
      <c r="I399" s="448"/>
    </row>
    <row r="400" spans="1:9" ht="13.5">
      <c r="A400" s="45">
        <v>80</v>
      </c>
      <c r="B400" s="4" t="s">
        <v>883</v>
      </c>
      <c r="C400" s="472" t="s">
        <v>913</v>
      </c>
      <c r="D400" s="4" t="s">
        <v>390</v>
      </c>
      <c r="E400" s="45"/>
      <c r="F400" s="448"/>
      <c r="G400" s="448"/>
      <c r="H400" s="448"/>
      <c r="I400" s="448"/>
    </row>
    <row r="401" spans="1:9" ht="54">
      <c r="A401" s="45">
        <v>81</v>
      </c>
      <c r="B401" s="4">
        <v>3</v>
      </c>
      <c r="C401" s="112" t="s">
        <v>915</v>
      </c>
      <c r="D401" s="4"/>
      <c r="E401" s="45"/>
      <c r="F401" s="448"/>
      <c r="G401" s="448"/>
      <c r="H401" s="448"/>
      <c r="I401" s="448"/>
    </row>
    <row r="402" spans="1:9" ht="13.5">
      <c r="A402" s="45">
        <v>82</v>
      </c>
      <c r="B402" s="4" t="s">
        <v>883</v>
      </c>
      <c r="C402" s="112" t="s">
        <v>916</v>
      </c>
      <c r="D402" s="4" t="s">
        <v>879</v>
      </c>
      <c r="E402" s="45"/>
      <c r="F402" s="448"/>
      <c r="G402" s="448"/>
      <c r="H402" s="448"/>
      <c r="I402" s="448"/>
    </row>
    <row r="403" spans="1:9" ht="13.5">
      <c r="A403" s="45"/>
      <c r="B403" s="4"/>
      <c r="C403" s="112" t="s">
        <v>1240</v>
      </c>
      <c r="D403" s="4" t="s">
        <v>879</v>
      </c>
      <c r="E403" s="45"/>
      <c r="F403" s="448">
        <f>4+2+1.7+0.8+2</f>
        <v>10.5</v>
      </c>
      <c r="G403" s="448"/>
      <c r="H403" s="448"/>
      <c r="I403" s="448">
        <f t="shared" ref="I403:I408" si="28">F403</f>
        <v>10.5</v>
      </c>
    </row>
    <row r="404" spans="1:9" ht="13.5">
      <c r="A404" s="45"/>
      <c r="B404" s="4"/>
      <c r="C404" s="112" t="s">
        <v>1241</v>
      </c>
      <c r="D404" s="4" t="s">
        <v>879</v>
      </c>
      <c r="E404" s="45"/>
      <c r="F404" s="448">
        <f>3.5+1.7+2.5</f>
        <v>7.7</v>
      </c>
      <c r="G404" s="448"/>
      <c r="H404" s="448"/>
      <c r="I404" s="448">
        <f t="shared" si="28"/>
        <v>7.7</v>
      </c>
    </row>
    <row r="405" spans="1:9" ht="13.5">
      <c r="A405" s="45"/>
      <c r="B405" s="4"/>
      <c r="C405" s="112" t="s">
        <v>1242</v>
      </c>
      <c r="D405" s="4" t="s">
        <v>879</v>
      </c>
      <c r="E405" s="45"/>
      <c r="F405" s="448">
        <f>4+1.7+12+8</f>
        <v>25.7</v>
      </c>
      <c r="G405" s="448"/>
      <c r="H405" s="448"/>
      <c r="I405" s="448">
        <f t="shared" si="28"/>
        <v>25.7</v>
      </c>
    </row>
    <row r="406" spans="1:9" ht="13.5">
      <c r="A406" s="45"/>
      <c r="B406" s="4"/>
      <c r="C406" s="112" t="s">
        <v>1243</v>
      </c>
      <c r="D406" s="4" t="s">
        <v>879</v>
      </c>
      <c r="E406" s="45"/>
      <c r="F406" s="448">
        <v>5</v>
      </c>
      <c r="G406" s="448"/>
      <c r="H406" s="448"/>
      <c r="I406" s="448">
        <f t="shared" si="28"/>
        <v>5</v>
      </c>
    </row>
    <row r="407" spans="1:9" ht="13.5">
      <c r="A407" s="45"/>
      <c r="B407" s="4"/>
      <c r="C407" s="112" t="s">
        <v>1244</v>
      </c>
      <c r="D407" s="4" t="s">
        <v>879</v>
      </c>
      <c r="E407" s="45"/>
      <c r="F407" s="448">
        <f>4+1.7+12+8</f>
        <v>25.7</v>
      </c>
      <c r="G407" s="448"/>
      <c r="H407" s="448"/>
      <c r="I407" s="448">
        <f t="shared" si="28"/>
        <v>25.7</v>
      </c>
    </row>
    <row r="408" spans="1:9" ht="13.5">
      <c r="A408" s="45"/>
      <c r="B408" s="4"/>
      <c r="C408" s="112"/>
      <c r="D408" s="4" t="s">
        <v>879</v>
      </c>
      <c r="E408" s="45"/>
      <c r="F408" s="448">
        <v>5</v>
      </c>
      <c r="G408" s="448"/>
      <c r="H408" s="448"/>
      <c r="I408" s="448">
        <f t="shared" si="28"/>
        <v>5</v>
      </c>
    </row>
    <row r="409" spans="1:9" ht="13.5">
      <c r="A409" s="56"/>
      <c r="B409" s="450"/>
      <c r="C409" s="473" t="s">
        <v>481</v>
      </c>
      <c r="D409" s="450" t="s">
        <v>879</v>
      </c>
      <c r="E409" s="56"/>
      <c r="F409" s="453"/>
      <c r="G409" s="453"/>
      <c r="H409" s="453"/>
      <c r="I409" s="459"/>
    </row>
    <row r="410" spans="1:9" ht="13.5">
      <c r="A410" s="45"/>
      <c r="B410" s="4"/>
      <c r="C410" s="112"/>
      <c r="D410" s="4"/>
      <c r="E410" s="45"/>
      <c r="F410" s="448"/>
      <c r="G410" s="448"/>
      <c r="H410" s="448"/>
      <c r="I410" s="448"/>
    </row>
    <row r="411" spans="1:9" ht="13.5">
      <c r="A411" s="45">
        <v>83</v>
      </c>
      <c r="B411" s="4" t="s">
        <v>195</v>
      </c>
      <c r="C411" s="112" t="s">
        <v>917</v>
      </c>
      <c r="D411" s="4" t="s">
        <v>879</v>
      </c>
      <c r="E411" s="45"/>
      <c r="F411" s="448"/>
      <c r="G411" s="448"/>
      <c r="H411" s="448"/>
      <c r="I411" s="460"/>
    </row>
    <row r="412" spans="1:9" ht="13.5">
      <c r="A412" s="45"/>
      <c r="B412" s="4"/>
      <c r="C412" s="112" t="s">
        <v>1245</v>
      </c>
      <c r="D412" s="4" t="s">
        <v>879</v>
      </c>
      <c r="E412" s="45"/>
      <c r="F412" s="448">
        <f>3.5+3.5+2.5</f>
        <v>9.5</v>
      </c>
      <c r="G412" s="448"/>
      <c r="H412" s="448"/>
      <c r="I412" s="460">
        <f t="shared" ref="I412:I418" si="29">F412</f>
        <v>9.5</v>
      </c>
    </row>
    <row r="413" spans="1:9" ht="13.5">
      <c r="A413" s="45"/>
      <c r="B413" s="4"/>
      <c r="C413" s="112" t="s">
        <v>1246</v>
      </c>
      <c r="D413" s="4" t="s">
        <v>879</v>
      </c>
      <c r="E413" s="45"/>
      <c r="F413" s="448">
        <f>3.5+4.5+1.7</f>
        <v>9.6999999999999993</v>
      </c>
      <c r="G413" s="448"/>
      <c r="H413" s="448"/>
      <c r="I413" s="460">
        <f t="shared" si="29"/>
        <v>9.6999999999999993</v>
      </c>
    </row>
    <row r="414" spans="1:9" ht="13.5">
      <c r="A414" s="45"/>
      <c r="B414" s="4"/>
      <c r="C414" s="112" t="s">
        <v>1247</v>
      </c>
      <c r="D414" s="4" t="s">
        <v>879</v>
      </c>
      <c r="E414" s="45"/>
      <c r="F414" s="448">
        <f>4+2+2.2+0.8+2</f>
        <v>11</v>
      </c>
      <c r="G414" s="448"/>
      <c r="H414" s="448"/>
      <c r="I414" s="460">
        <f t="shared" si="29"/>
        <v>11</v>
      </c>
    </row>
    <row r="415" spans="1:9" ht="13.5">
      <c r="A415" s="45"/>
      <c r="B415" s="4"/>
      <c r="C415" s="112" t="s">
        <v>1248</v>
      </c>
      <c r="D415" s="4" t="s">
        <v>879</v>
      </c>
      <c r="E415" s="45"/>
      <c r="F415" s="448">
        <f>3.5+1.7+1.5+1.4</f>
        <v>8.1</v>
      </c>
      <c r="G415" s="448"/>
      <c r="H415" s="448"/>
      <c r="I415" s="460">
        <f t="shared" si="29"/>
        <v>8.1</v>
      </c>
    </row>
    <row r="416" spans="1:9" ht="13.5">
      <c r="A416" s="45"/>
      <c r="B416" s="4"/>
      <c r="C416" s="112" t="s">
        <v>1249</v>
      </c>
      <c r="D416" s="4" t="s">
        <v>879</v>
      </c>
      <c r="E416" s="45"/>
      <c r="F416" s="448">
        <v>6</v>
      </c>
      <c r="G416" s="448"/>
      <c r="H416" s="448"/>
      <c r="I416" s="460">
        <f t="shared" si="29"/>
        <v>6</v>
      </c>
    </row>
    <row r="417" spans="1:9" ht="13.5">
      <c r="A417" s="45"/>
      <c r="B417" s="4"/>
      <c r="C417" s="112" t="s">
        <v>1250</v>
      </c>
      <c r="D417" s="4" t="s">
        <v>879</v>
      </c>
      <c r="E417" s="45"/>
      <c r="F417" s="448">
        <v>6</v>
      </c>
      <c r="G417" s="448"/>
      <c r="H417" s="448"/>
      <c r="I417" s="460">
        <f t="shared" si="29"/>
        <v>6</v>
      </c>
    </row>
    <row r="418" spans="1:9" ht="13.5">
      <c r="A418" s="45"/>
      <c r="B418" s="4"/>
      <c r="C418" s="112" t="s">
        <v>1251</v>
      </c>
      <c r="D418" s="4" t="s">
        <v>879</v>
      </c>
      <c r="E418" s="45"/>
      <c r="F418" s="448">
        <v>1.5</v>
      </c>
      <c r="G418" s="448"/>
      <c r="H418" s="448"/>
      <c r="I418" s="460">
        <f t="shared" si="29"/>
        <v>1.5</v>
      </c>
    </row>
    <row r="419" spans="1:9" ht="13.5">
      <c r="A419" s="56"/>
      <c r="B419" s="450"/>
      <c r="C419" s="473" t="s">
        <v>481</v>
      </c>
      <c r="D419" s="450"/>
      <c r="E419" s="56"/>
      <c r="F419" s="453"/>
      <c r="G419" s="453"/>
      <c r="H419" s="453"/>
      <c r="I419" s="459"/>
    </row>
    <row r="420" spans="1:9" ht="13.5">
      <c r="A420" s="45"/>
      <c r="B420" s="4"/>
      <c r="C420" s="112"/>
      <c r="D420" s="4"/>
      <c r="E420" s="45"/>
      <c r="F420" s="448"/>
      <c r="G420" s="448"/>
      <c r="H420" s="448"/>
      <c r="I420" s="448"/>
    </row>
    <row r="421" spans="1:9" ht="13.5" customHeight="1">
      <c r="A421" s="45">
        <v>84</v>
      </c>
      <c r="B421" s="4" t="s">
        <v>534</v>
      </c>
      <c r="C421" s="112" t="s">
        <v>918</v>
      </c>
      <c r="D421" s="4" t="s">
        <v>879</v>
      </c>
      <c r="E421" s="45"/>
      <c r="F421" s="448"/>
      <c r="G421" s="448"/>
      <c r="H421" s="448"/>
      <c r="I421" s="448"/>
    </row>
    <row r="422" spans="1:9" ht="13.5" customHeight="1">
      <c r="A422" s="45"/>
      <c r="B422" s="4"/>
      <c r="C422" s="112" t="s">
        <v>1252</v>
      </c>
      <c r="D422" s="4" t="s">
        <v>879</v>
      </c>
      <c r="E422" s="45">
        <v>1</v>
      </c>
      <c r="F422" s="448">
        <f>4+1.5+2+1+1.8</f>
        <v>10.3</v>
      </c>
      <c r="G422" s="448"/>
      <c r="H422" s="448"/>
      <c r="I422" s="461">
        <f>F422*E422</f>
        <v>10.3</v>
      </c>
    </row>
    <row r="423" spans="1:9" ht="13.5" customHeight="1">
      <c r="A423" s="56"/>
      <c r="B423" s="450"/>
      <c r="C423" s="473" t="s">
        <v>481</v>
      </c>
      <c r="D423" s="450"/>
      <c r="E423" s="56"/>
      <c r="F423" s="453"/>
      <c r="G423" s="453"/>
      <c r="H423" s="453"/>
      <c r="I423" s="459"/>
    </row>
    <row r="424" spans="1:9" ht="13.5" customHeight="1">
      <c r="A424" s="45"/>
      <c r="B424" s="4"/>
      <c r="C424" s="449"/>
      <c r="D424" s="4"/>
      <c r="E424" s="45"/>
      <c r="F424" s="448"/>
      <c r="G424" s="448"/>
      <c r="H424" s="448"/>
      <c r="I424" s="461"/>
    </row>
    <row r="425" spans="1:9" ht="67.5">
      <c r="A425" s="45">
        <v>85</v>
      </c>
      <c r="B425" s="4">
        <v>4</v>
      </c>
      <c r="C425" s="469" t="s">
        <v>919</v>
      </c>
      <c r="D425" s="4"/>
      <c r="E425" s="45"/>
      <c r="F425" s="448"/>
      <c r="G425" s="448"/>
      <c r="H425" s="448"/>
      <c r="I425" s="448"/>
    </row>
    <row r="426" spans="1:9" ht="13.5">
      <c r="A426" s="45">
        <v>86</v>
      </c>
      <c r="B426" s="4" t="s">
        <v>883</v>
      </c>
      <c r="C426" s="112" t="s">
        <v>916</v>
      </c>
      <c r="D426" s="4" t="s">
        <v>390</v>
      </c>
      <c r="E426" s="45"/>
      <c r="F426" s="448"/>
      <c r="G426" s="448"/>
      <c r="H426" s="448"/>
      <c r="I426" s="448"/>
    </row>
    <row r="427" spans="1:9" ht="13.5">
      <c r="A427" s="45"/>
      <c r="B427" s="4"/>
      <c r="C427" s="112" t="s">
        <v>1240</v>
      </c>
      <c r="D427" s="4" t="s">
        <v>390</v>
      </c>
      <c r="E427" s="45">
        <v>2</v>
      </c>
      <c r="F427" s="448"/>
      <c r="G427" s="448"/>
      <c r="H427" s="448"/>
      <c r="I427" s="448">
        <f t="shared" ref="I427:I434" si="30">E427</f>
        <v>2</v>
      </c>
    </row>
    <row r="428" spans="1:9" ht="13.5">
      <c r="A428" s="45"/>
      <c r="B428" s="4"/>
      <c r="C428" s="112" t="s">
        <v>1241</v>
      </c>
      <c r="D428" s="4" t="s">
        <v>390</v>
      </c>
      <c r="E428" s="45">
        <v>2</v>
      </c>
      <c r="F428" s="448"/>
      <c r="G428" s="448"/>
      <c r="H428" s="448"/>
      <c r="I428" s="448">
        <f t="shared" si="30"/>
        <v>2</v>
      </c>
    </row>
    <row r="429" spans="1:9" ht="13.5">
      <c r="A429" s="56"/>
      <c r="B429" s="450"/>
      <c r="C429" s="473" t="s">
        <v>481</v>
      </c>
      <c r="D429" s="450"/>
      <c r="E429" s="56"/>
      <c r="F429" s="453"/>
      <c r="G429" s="453"/>
      <c r="H429" s="453"/>
      <c r="I429" s="459"/>
    </row>
    <row r="430" spans="1:9" ht="13.5">
      <c r="A430" s="45"/>
      <c r="B430" s="4"/>
      <c r="C430" s="112"/>
      <c r="D430" s="4"/>
      <c r="E430" s="45"/>
      <c r="F430" s="448"/>
      <c r="G430" s="448"/>
      <c r="H430" s="448"/>
      <c r="I430" s="448"/>
    </row>
    <row r="431" spans="1:9" ht="13.5">
      <c r="A431" s="45">
        <v>87</v>
      </c>
      <c r="B431" s="4" t="s">
        <v>195</v>
      </c>
      <c r="C431" s="119" t="s">
        <v>917</v>
      </c>
      <c r="D431" s="4" t="s">
        <v>390</v>
      </c>
      <c r="E431" s="45"/>
      <c r="F431" s="448"/>
      <c r="G431" s="448"/>
      <c r="H431" s="448"/>
      <c r="I431" s="448"/>
    </row>
    <row r="432" spans="1:9" ht="13.5">
      <c r="A432" s="45"/>
      <c r="B432" s="4"/>
      <c r="C432" s="112" t="s">
        <v>1245</v>
      </c>
      <c r="D432" s="4" t="s">
        <v>390</v>
      </c>
      <c r="E432" s="45">
        <v>2</v>
      </c>
      <c r="F432" s="448"/>
      <c r="G432" s="448"/>
      <c r="H432" s="448"/>
      <c r="I432" s="448">
        <f t="shared" si="30"/>
        <v>2</v>
      </c>
    </row>
    <row r="433" spans="1:9" ht="13.5">
      <c r="A433" s="45"/>
      <c r="B433" s="4"/>
      <c r="C433" s="112" t="s">
        <v>1246</v>
      </c>
      <c r="D433" s="4" t="s">
        <v>390</v>
      </c>
      <c r="E433" s="45">
        <v>2</v>
      </c>
      <c r="F433" s="448"/>
      <c r="G433" s="448"/>
      <c r="H433" s="448"/>
      <c r="I433" s="448">
        <f t="shared" si="30"/>
        <v>2</v>
      </c>
    </row>
    <row r="434" spans="1:9" ht="13.5">
      <c r="A434" s="45"/>
      <c r="B434" s="4"/>
      <c r="C434" s="112" t="s">
        <v>1247</v>
      </c>
      <c r="D434" s="4" t="s">
        <v>390</v>
      </c>
      <c r="E434" s="45">
        <v>2</v>
      </c>
      <c r="F434" s="448"/>
      <c r="G434" s="448"/>
      <c r="H434" s="448"/>
      <c r="I434" s="448">
        <f t="shared" si="30"/>
        <v>2</v>
      </c>
    </row>
    <row r="435" spans="1:9" ht="13.5">
      <c r="A435" s="56"/>
      <c r="B435" s="450"/>
      <c r="C435" s="473" t="s">
        <v>481</v>
      </c>
      <c r="D435" s="450"/>
      <c r="E435" s="56"/>
      <c r="F435" s="453"/>
      <c r="G435" s="453"/>
      <c r="H435" s="453"/>
      <c r="I435" s="459"/>
    </row>
    <row r="436" spans="1:9" ht="13.5">
      <c r="A436" s="45"/>
      <c r="B436" s="4"/>
      <c r="C436" s="449"/>
      <c r="D436" s="4"/>
      <c r="E436" s="45"/>
      <c r="F436" s="448"/>
      <c r="G436" s="448"/>
      <c r="H436" s="448"/>
      <c r="I436" s="461"/>
    </row>
    <row r="437" spans="1:9" ht="13.5">
      <c r="A437" s="45">
        <v>88</v>
      </c>
      <c r="B437" s="4" t="s">
        <v>534</v>
      </c>
      <c r="C437" s="119" t="s">
        <v>918</v>
      </c>
      <c r="D437" s="4" t="s">
        <v>390</v>
      </c>
      <c r="E437" s="45"/>
      <c r="F437" s="448"/>
      <c r="G437" s="448"/>
      <c r="H437" s="448"/>
      <c r="I437" s="448"/>
    </row>
    <row r="438" spans="1:9" ht="13.5">
      <c r="A438" s="45"/>
      <c r="B438" s="4"/>
      <c r="C438" s="112" t="s">
        <v>1252</v>
      </c>
      <c r="D438" s="4" t="s">
        <v>390</v>
      </c>
      <c r="E438" s="45">
        <v>2</v>
      </c>
      <c r="F438" s="448"/>
      <c r="G438" s="448"/>
      <c r="H438" s="448"/>
      <c r="I438" s="461">
        <f>E438</f>
        <v>2</v>
      </c>
    </row>
    <row r="439" spans="1:9" ht="13.5">
      <c r="A439" s="56"/>
      <c r="B439" s="450"/>
      <c r="C439" s="473" t="s">
        <v>481</v>
      </c>
      <c r="D439" s="450"/>
      <c r="E439" s="56"/>
      <c r="F439" s="453"/>
      <c r="G439" s="453"/>
      <c r="H439" s="453"/>
      <c r="I439" s="459"/>
    </row>
    <row r="440" spans="1:9" ht="13.5">
      <c r="A440" s="45"/>
      <c r="B440" s="4"/>
      <c r="C440" s="119"/>
      <c r="D440" s="4"/>
      <c r="E440" s="45"/>
      <c r="F440" s="448"/>
      <c r="G440" s="448"/>
      <c r="H440" s="448"/>
      <c r="I440" s="448"/>
    </row>
    <row r="441" spans="1:9" ht="57.75" customHeight="1">
      <c r="A441" s="45">
        <v>89</v>
      </c>
      <c r="B441" s="4">
        <v>5</v>
      </c>
      <c r="C441" s="471" t="s">
        <v>920</v>
      </c>
      <c r="D441" s="4"/>
      <c r="E441" s="45"/>
      <c r="F441" s="448"/>
      <c r="G441" s="448"/>
      <c r="H441" s="448"/>
      <c r="I441" s="448"/>
    </row>
    <row r="442" spans="1:9" ht="27">
      <c r="A442" s="45">
        <v>90</v>
      </c>
      <c r="B442" s="4" t="s">
        <v>883</v>
      </c>
      <c r="C442" s="471" t="s">
        <v>921</v>
      </c>
      <c r="D442" s="4" t="s">
        <v>879</v>
      </c>
      <c r="E442" s="45"/>
      <c r="F442" s="448"/>
      <c r="G442" s="448"/>
      <c r="H442" s="448"/>
      <c r="I442" s="448"/>
    </row>
    <row r="443" spans="1:9" ht="13.5">
      <c r="A443" s="45"/>
      <c r="B443" s="4"/>
      <c r="C443" s="471" t="s">
        <v>1253</v>
      </c>
      <c r="D443" s="4" t="s">
        <v>879</v>
      </c>
      <c r="E443" s="45">
        <v>1</v>
      </c>
      <c r="F443" s="448">
        <v>2.5</v>
      </c>
      <c r="G443" s="448"/>
      <c r="H443" s="448"/>
      <c r="I443" s="461">
        <f>E443*F443</f>
        <v>2.5</v>
      </c>
    </row>
    <row r="444" spans="1:9" ht="13.5">
      <c r="A444" s="56"/>
      <c r="B444" s="450"/>
      <c r="C444" s="473" t="s">
        <v>481</v>
      </c>
      <c r="D444" s="450"/>
      <c r="E444" s="56"/>
      <c r="F444" s="453"/>
      <c r="G444" s="453"/>
      <c r="H444" s="453"/>
      <c r="I444" s="459"/>
    </row>
    <row r="445" spans="1:9" ht="13.5">
      <c r="A445" s="45"/>
      <c r="B445" s="4"/>
      <c r="C445" s="471"/>
      <c r="D445" s="4"/>
      <c r="E445" s="45"/>
      <c r="F445" s="448"/>
      <c r="G445" s="448"/>
      <c r="H445" s="448"/>
      <c r="I445" s="448"/>
    </row>
    <row r="446" spans="1:9" ht="13.5">
      <c r="A446" s="45">
        <v>92</v>
      </c>
      <c r="B446" s="4"/>
      <c r="C446" s="474" t="s">
        <v>922</v>
      </c>
      <c r="D446" s="4"/>
      <c r="E446" s="45"/>
      <c r="F446" s="448"/>
      <c r="G446" s="448"/>
      <c r="H446" s="448"/>
      <c r="I446" s="448"/>
    </row>
    <row r="447" spans="1:9" ht="94.5">
      <c r="A447" s="45">
        <v>93</v>
      </c>
      <c r="B447" s="4">
        <v>4</v>
      </c>
      <c r="C447" s="471" t="s">
        <v>923</v>
      </c>
      <c r="D447" s="4"/>
      <c r="E447" s="45"/>
      <c r="F447" s="448"/>
      <c r="G447" s="448"/>
      <c r="H447" s="448"/>
      <c r="I447" s="448"/>
    </row>
    <row r="448" spans="1:9" ht="27">
      <c r="A448" s="45">
        <v>94</v>
      </c>
      <c r="B448" s="4" t="s">
        <v>883</v>
      </c>
      <c r="C448" s="471" t="s">
        <v>924</v>
      </c>
      <c r="D448" s="4" t="s">
        <v>879</v>
      </c>
      <c r="E448" s="45"/>
      <c r="F448" s="448"/>
      <c r="G448" s="448"/>
      <c r="H448" s="448"/>
      <c r="I448" s="448"/>
    </row>
    <row r="449" spans="1:9" ht="27">
      <c r="A449" s="45">
        <v>95</v>
      </c>
      <c r="B449" s="4" t="s">
        <v>886</v>
      </c>
      <c r="C449" s="471" t="s">
        <v>925</v>
      </c>
      <c r="D449" s="4" t="s">
        <v>879</v>
      </c>
      <c r="E449" s="45"/>
      <c r="F449" s="448"/>
      <c r="G449" s="448"/>
      <c r="H449" s="448"/>
      <c r="I449" s="448"/>
    </row>
    <row r="450" spans="1:9" ht="13.5">
      <c r="A450" s="45">
        <v>96</v>
      </c>
      <c r="B450" s="4" t="s">
        <v>888</v>
      </c>
      <c r="C450" s="471" t="s">
        <v>926</v>
      </c>
      <c r="D450" s="4" t="s">
        <v>879</v>
      </c>
      <c r="E450" s="45"/>
      <c r="F450" s="448"/>
      <c r="G450" s="448"/>
      <c r="H450" s="448"/>
      <c r="I450" s="448"/>
    </row>
    <row r="451" spans="1:9" ht="13.5">
      <c r="A451" s="45">
        <v>97</v>
      </c>
      <c r="B451" s="4" t="s">
        <v>890</v>
      </c>
      <c r="C451" s="471" t="s">
        <v>927</v>
      </c>
      <c r="D451" s="4" t="s">
        <v>879</v>
      </c>
      <c r="E451" s="45"/>
      <c r="F451" s="448"/>
      <c r="G451" s="448"/>
      <c r="H451" s="448"/>
      <c r="I451" s="448"/>
    </row>
    <row r="452" spans="1:9" ht="13.5">
      <c r="A452" s="45">
        <v>98</v>
      </c>
      <c r="B452" s="4" t="s">
        <v>892</v>
      </c>
      <c r="C452" s="471" t="s">
        <v>928</v>
      </c>
      <c r="D452" s="4" t="s">
        <v>390</v>
      </c>
      <c r="E452" s="45"/>
      <c r="F452" s="448"/>
      <c r="G452" s="448"/>
      <c r="H452" s="448"/>
      <c r="I452" s="448"/>
    </row>
    <row r="453" spans="1:9" ht="13.5">
      <c r="A453" s="45">
        <v>99</v>
      </c>
      <c r="B453" s="4" t="s">
        <v>894</v>
      </c>
      <c r="C453" s="471" t="s">
        <v>929</v>
      </c>
      <c r="D453" s="4" t="s">
        <v>390</v>
      </c>
      <c r="E453" s="45"/>
      <c r="F453" s="448"/>
      <c r="G453" s="448"/>
      <c r="H453" s="448"/>
      <c r="I453" s="448"/>
    </row>
    <row r="454" spans="1:9" ht="13.5">
      <c r="A454" s="45"/>
      <c r="B454" s="4"/>
      <c r="C454" s="471" t="s">
        <v>1254</v>
      </c>
      <c r="D454" s="4" t="s">
        <v>390</v>
      </c>
      <c r="E454" s="45">
        <v>22</v>
      </c>
      <c r="F454" s="448"/>
      <c r="G454" s="448"/>
      <c r="H454" s="448"/>
      <c r="I454" s="461">
        <f>E454</f>
        <v>22</v>
      </c>
    </row>
    <row r="455" spans="1:9" ht="13.5">
      <c r="A455" s="56"/>
      <c r="B455" s="450"/>
      <c r="C455" s="473" t="s">
        <v>481</v>
      </c>
      <c r="D455" s="450"/>
      <c r="E455" s="56"/>
      <c r="F455" s="453"/>
      <c r="G455" s="453"/>
      <c r="H455" s="453"/>
      <c r="I455" s="459"/>
    </row>
    <row r="456" spans="1:9" ht="13.5">
      <c r="A456" s="45"/>
      <c r="B456" s="4"/>
      <c r="C456" s="471"/>
      <c r="D456" s="4"/>
      <c r="E456" s="45"/>
      <c r="F456" s="448"/>
      <c r="G456" s="448"/>
      <c r="H456" s="448"/>
      <c r="I456" s="448"/>
    </row>
    <row r="457" spans="1:9" ht="13.5">
      <c r="A457" s="45">
        <v>100</v>
      </c>
      <c r="B457" s="4" t="s">
        <v>896</v>
      </c>
      <c r="C457" s="471" t="s">
        <v>930</v>
      </c>
      <c r="D457" s="4" t="s">
        <v>390</v>
      </c>
      <c r="E457" s="45"/>
      <c r="F457" s="448"/>
      <c r="G457" s="448"/>
      <c r="H457" s="448"/>
      <c r="I457" s="448"/>
    </row>
    <row r="458" spans="1:9" ht="13.5">
      <c r="A458" s="45">
        <v>101</v>
      </c>
      <c r="B458" s="471"/>
      <c r="C458" s="475"/>
      <c r="D458" s="4"/>
      <c r="E458" s="45"/>
      <c r="F458" s="448"/>
      <c r="G458" s="448"/>
      <c r="H458" s="448"/>
      <c r="I458" s="448"/>
    </row>
    <row r="459" spans="1:9">
      <c r="A459" s="45">
        <v>102</v>
      </c>
      <c r="B459" s="209"/>
      <c r="C459" s="209" t="s">
        <v>931</v>
      </c>
      <c r="D459" s="208"/>
      <c r="E459" s="45"/>
      <c r="F459" s="448"/>
      <c r="G459" s="448"/>
      <c r="H459" s="448"/>
      <c r="I459" s="448"/>
    </row>
    <row r="460" spans="1:9" ht="13.5">
      <c r="A460" s="45">
        <v>103</v>
      </c>
      <c r="B460" s="471"/>
      <c r="C460" s="471"/>
      <c r="D460" s="476"/>
      <c r="E460" s="45"/>
      <c r="F460" s="448"/>
      <c r="G460" s="448"/>
      <c r="H460" s="448"/>
      <c r="I460" s="448"/>
    </row>
    <row r="461" spans="1:9">
      <c r="A461" s="45">
        <v>104</v>
      </c>
      <c r="B461" s="208" t="s">
        <v>138</v>
      </c>
      <c r="C461" s="209" t="s">
        <v>932</v>
      </c>
      <c r="D461" s="208"/>
      <c r="E461" s="45"/>
      <c r="F461" s="448"/>
      <c r="G461" s="448"/>
      <c r="H461" s="448"/>
      <c r="I461" s="448"/>
    </row>
    <row r="462" spans="1:9" ht="13.5">
      <c r="A462" s="45">
        <v>105</v>
      </c>
      <c r="B462" s="471"/>
      <c r="C462" s="477"/>
      <c r="D462" s="476"/>
      <c r="E462" s="45"/>
      <c r="F462" s="448"/>
      <c r="G462" s="448"/>
      <c r="H462" s="448"/>
      <c r="I462" s="448"/>
    </row>
    <row r="463" spans="1:9" ht="108">
      <c r="A463" s="45">
        <v>106</v>
      </c>
      <c r="B463" s="113">
        <v>1</v>
      </c>
      <c r="C463" s="471" t="s">
        <v>933</v>
      </c>
      <c r="D463" s="113"/>
      <c r="E463" s="45"/>
      <c r="F463" s="448"/>
      <c r="G463" s="448"/>
      <c r="H463" s="448"/>
      <c r="I463" s="448"/>
    </row>
    <row r="464" spans="1:9" ht="13.5">
      <c r="A464" s="45">
        <v>107</v>
      </c>
      <c r="B464" s="4" t="s">
        <v>883</v>
      </c>
      <c r="C464" s="206" t="s">
        <v>934</v>
      </c>
      <c r="D464" s="4" t="s">
        <v>657</v>
      </c>
      <c r="E464" s="45">
        <v>1</v>
      </c>
      <c r="F464" s="448"/>
      <c r="G464" s="448"/>
      <c r="H464" s="448"/>
      <c r="I464" s="448">
        <f>E464</f>
        <v>1</v>
      </c>
    </row>
    <row r="465" spans="1:9" ht="13.5">
      <c r="A465" s="56"/>
      <c r="B465" s="450"/>
      <c r="C465" s="473" t="s">
        <v>481</v>
      </c>
      <c r="D465" s="450"/>
      <c r="E465" s="56"/>
      <c r="F465" s="453"/>
      <c r="G465" s="453"/>
      <c r="H465" s="453"/>
      <c r="I465" s="459">
        <f>SUM(I464)</f>
        <v>1</v>
      </c>
    </row>
    <row r="466" spans="1:9" ht="13.5">
      <c r="A466" s="45"/>
      <c r="B466" s="4"/>
      <c r="C466" s="206"/>
      <c r="D466" s="4"/>
      <c r="E466" s="45"/>
      <c r="F466" s="448"/>
      <c r="G466" s="448"/>
      <c r="H466" s="448"/>
      <c r="I466" s="448"/>
    </row>
    <row r="467" spans="1:9" ht="54">
      <c r="A467" s="45">
        <v>108</v>
      </c>
      <c r="B467" s="4"/>
      <c r="C467" s="471" t="s">
        <v>935</v>
      </c>
      <c r="D467" s="4"/>
      <c r="E467" s="45"/>
      <c r="F467" s="448"/>
      <c r="G467" s="448"/>
      <c r="H467" s="448"/>
      <c r="I467" s="448"/>
    </row>
    <row r="468" spans="1:9" ht="13.5">
      <c r="A468" s="45">
        <v>109</v>
      </c>
      <c r="B468" s="4" t="s">
        <v>886</v>
      </c>
      <c r="C468" s="206" t="s">
        <v>936</v>
      </c>
      <c r="D468" s="4" t="s">
        <v>657</v>
      </c>
      <c r="E468" s="45">
        <v>1</v>
      </c>
      <c r="F468" s="448"/>
      <c r="G468" s="448"/>
      <c r="H468" s="448"/>
      <c r="I468" s="448">
        <f>E468</f>
        <v>1</v>
      </c>
    </row>
    <row r="469" spans="1:9" ht="13.5">
      <c r="A469" s="56"/>
      <c r="B469" s="450"/>
      <c r="C469" s="473" t="s">
        <v>481</v>
      </c>
      <c r="D469" s="450"/>
      <c r="E469" s="56"/>
      <c r="F469" s="453"/>
      <c r="G469" s="453"/>
      <c r="H469" s="453"/>
      <c r="I469" s="459">
        <f>SUM(I468)</f>
        <v>1</v>
      </c>
    </row>
    <row r="470" spans="1:9" ht="13.5">
      <c r="A470" s="45"/>
      <c r="B470" s="4"/>
      <c r="C470" s="206"/>
      <c r="D470" s="4"/>
      <c r="E470" s="45"/>
      <c r="F470" s="448"/>
      <c r="G470" s="448"/>
      <c r="H470" s="448"/>
      <c r="I470" s="448"/>
    </row>
    <row r="471" spans="1:9" ht="54">
      <c r="A471" s="45">
        <v>110</v>
      </c>
      <c r="B471" s="4"/>
      <c r="C471" s="471" t="s">
        <v>937</v>
      </c>
      <c r="D471" s="4"/>
      <c r="E471" s="45"/>
      <c r="F471" s="448"/>
      <c r="G471" s="448"/>
      <c r="H471" s="448"/>
      <c r="I471" s="448"/>
    </row>
    <row r="472" spans="1:9" ht="13.5">
      <c r="A472" s="45">
        <v>111</v>
      </c>
      <c r="B472" s="4" t="s">
        <v>888</v>
      </c>
      <c r="C472" s="206" t="s">
        <v>938</v>
      </c>
      <c r="D472" s="4" t="s">
        <v>657</v>
      </c>
      <c r="E472" s="45"/>
      <c r="F472" s="448"/>
      <c r="G472" s="448"/>
      <c r="H472" s="448"/>
      <c r="I472" s="448"/>
    </row>
    <row r="473" spans="1:9" ht="54">
      <c r="A473" s="45">
        <v>112</v>
      </c>
      <c r="B473" s="4"/>
      <c r="C473" s="471" t="s">
        <v>939</v>
      </c>
      <c r="D473" s="4"/>
      <c r="E473" s="45"/>
      <c r="F473" s="448"/>
      <c r="G473" s="448"/>
      <c r="H473" s="448"/>
      <c r="I473" s="448"/>
    </row>
    <row r="474" spans="1:9" ht="13.5">
      <c r="A474" s="45">
        <v>113</v>
      </c>
      <c r="B474" s="4" t="s">
        <v>890</v>
      </c>
      <c r="C474" s="206" t="s">
        <v>1255</v>
      </c>
      <c r="D474" s="448"/>
      <c r="E474" s="45"/>
      <c r="F474" s="448"/>
      <c r="G474" s="448"/>
      <c r="H474" s="448"/>
      <c r="I474" s="448"/>
    </row>
    <row r="475" spans="1:9" ht="54">
      <c r="A475" s="45">
        <v>114</v>
      </c>
      <c r="B475" s="4"/>
      <c r="C475" s="471" t="s">
        <v>941</v>
      </c>
      <c r="D475" s="4" t="s">
        <v>657</v>
      </c>
      <c r="E475" s="45">
        <v>1</v>
      </c>
      <c r="F475" s="448"/>
      <c r="G475" s="448"/>
      <c r="H475" s="448"/>
      <c r="I475" s="448">
        <f>E475</f>
        <v>1</v>
      </c>
    </row>
    <row r="476" spans="1:9" ht="13.5">
      <c r="A476" s="56"/>
      <c r="B476" s="450"/>
      <c r="C476" s="473" t="s">
        <v>481</v>
      </c>
      <c r="D476" s="450"/>
      <c r="E476" s="56"/>
      <c r="F476" s="453"/>
      <c r="G476" s="453"/>
      <c r="H476" s="453"/>
      <c r="I476" s="459">
        <f>SUM(I475)</f>
        <v>1</v>
      </c>
    </row>
    <row r="477" spans="1:9" ht="13.5">
      <c r="A477" s="45"/>
      <c r="B477" s="4"/>
      <c r="C477" s="471"/>
      <c r="D477" s="4"/>
      <c r="E477" s="45"/>
      <c r="F477" s="448"/>
      <c r="G477" s="448"/>
      <c r="H477" s="448"/>
      <c r="I477" s="448"/>
    </row>
    <row r="478" spans="1:9" ht="13.5">
      <c r="A478" s="45">
        <v>115</v>
      </c>
      <c r="B478" s="4"/>
      <c r="C478" s="471"/>
      <c r="D478" s="4"/>
      <c r="E478" s="45"/>
      <c r="F478" s="448"/>
      <c r="G478" s="448"/>
      <c r="H478" s="448"/>
      <c r="I478" s="448"/>
    </row>
    <row r="479" spans="1:9" ht="121.5">
      <c r="A479" s="45">
        <v>116</v>
      </c>
      <c r="B479" s="4">
        <v>2</v>
      </c>
      <c r="C479" s="471" t="s">
        <v>942</v>
      </c>
      <c r="D479" s="4"/>
      <c r="E479" s="45"/>
      <c r="F479" s="448"/>
      <c r="G479" s="448"/>
      <c r="H479" s="448"/>
      <c r="I479" s="448"/>
    </row>
    <row r="480" spans="1:9" ht="27">
      <c r="A480" s="45">
        <v>117</v>
      </c>
      <c r="B480" s="4"/>
      <c r="C480" s="471" t="s">
        <v>943</v>
      </c>
      <c r="D480" s="4"/>
      <c r="E480" s="45"/>
      <c r="F480" s="448"/>
      <c r="G480" s="448"/>
      <c r="H480" s="448"/>
      <c r="I480" s="448"/>
    </row>
    <row r="481" spans="1:9" ht="13.5">
      <c r="A481" s="45">
        <v>118</v>
      </c>
      <c r="B481" s="4"/>
      <c r="C481" s="471" t="s">
        <v>409</v>
      </c>
      <c r="D481" s="4"/>
      <c r="E481" s="45"/>
      <c r="F481" s="448"/>
      <c r="G481" s="448"/>
      <c r="H481" s="448"/>
      <c r="I481" s="448"/>
    </row>
    <row r="482" spans="1:9" ht="13.5">
      <c r="A482" s="45">
        <v>119</v>
      </c>
      <c r="B482" s="4"/>
      <c r="C482" s="119" t="s">
        <v>945</v>
      </c>
      <c r="D482" s="4"/>
      <c r="E482" s="45"/>
      <c r="F482" s="448"/>
      <c r="G482" s="448"/>
      <c r="H482" s="448"/>
      <c r="I482" s="448"/>
    </row>
    <row r="483" spans="1:9" ht="13.5">
      <c r="A483" s="45">
        <v>120</v>
      </c>
      <c r="B483" s="4"/>
      <c r="C483" s="119" t="s">
        <v>946</v>
      </c>
      <c r="D483" s="4"/>
      <c r="E483" s="45"/>
      <c r="F483" s="448"/>
      <c r="G483" s="448"/>
      <c r="H483" s="448"/>
      <c r="I483" s="448"/>
    </row>
    <row r="484" spans="1:9" ht="27">
      <c r="A484" s="45">
        <v>121</v>
      </c>
      <c r="B484" s="4"/>
      <c r="C484" s="119" t="s">
        <v>947</v>
      </c>
      <c r="D484" s="4"/>
      <c r="E484" s="45"/>
      <c r="F484" s="448"/>
      <c r="G484" s="448"/>
      <c r="H484" s="448"/>
      <c r="I484" s="448"/>
    </row>
    <row r="485" spans="1:9" ht="27">
      <c r="A485" s="45">
        <v>122</v>
      </c>
      <c r="B485" s="4"/>
      <c r="C485" s="119" t="s">
        <v>948</v>
      </c>
      <c r="D485" s="4"/>
      <c r="E485" s="45"/>
      <c r="F485" s="448"/>
      <c r="G485" s="448"/>
      <c r="H485" s="448"/>
      <c r="I485" s="448"/>
    </row>
    <row r="486" spans="1:9" ht="13.5">
      <c r="A486" s="45">
        <v>123</v>
      </c>
      <c r="B486" s="4"/>
      <c r="C486" s="119" t="s">
        <v>949</v>
      </c>
      <c r="D486" s="4"/>
      <c r="E486" s="45"/>
      <c r="F486" s="448"/>
      <c r="G486" s="448"/>
      <c r="H486" s="448"/>
      <c r="I486" s="448"/>
    </row>
    <row r="487" spans="1:9" ht="27">
      <c r="A487" s="45">
        <v>124</v>
      </c>
      <c r="B487" s="4"/>
      <c r="C487" s="119" t="s">
        <v>950</v>
      </c>
      <c r="D487" s="4"/>
      <c r="E487" s="45"/>
      <c r="F487" s="448"/>
      <c r="G487" s="448"/>
      <c r="H487" s="448"/>
      <c r="I487" s="448"/>
    </row>
    <row r="488" spans="1:9" ht="27">
      <c r="A488" s="45">
        <v>125</v>
      </c>
      <c r="B488" s="4"/>
      <c r="C488" s="119" t="s">
        <v>951</v>
      </c>
      <c r="D488" s="4"/>
      <c r="E488" s="45"/>
      <c r="F488" s="448"/>
      <c r="G488" s="448"/>
      <c r="H488" s="448"/>
      <c r="I488" s="448"/>
    </row>
    <row r="489" spans="1:9" ht="13.5">
      <c r="A489" s="45">
        <v>126</v>
      </c>
      <c r="B489" s="4"/>
      <c r="C489" s="471"/>
      <c r="D489" s="4"/>
      <c r="E489" s="45"/>
      <c r="F489" s="448"/>
      <c r="G489" s="448"/>
      <c r="H489" s="448"/>
      <c r="I489" s="448"/>
    </row>
    <row r="490" spans="1:9" ht="13.5">
      <c r="A490" s="45">
        <v>127</v>
      </c>
      <c r="B490" s="478" t="s">
        <v>4</v>
      </c>
      <c r="C490" s="457" t="s">
        <v>952</v>
      </c>
      <c r="D490" s="4"/>
      <c r="E490" s="45"/>
      <c r="F490" s="448"/>
      <c r="G490" s="448"/>
      <c r="H490" s="448"/>
      <c r="I490" s="448"/>
    </row>
    <row r="491" spans="1:9" ht="13.5">
      <c r="A491" s="45">
        <v>128</v>
      </c>
      <c r="B491" s="4"/>
      <c r="C491" s="471" t="s">
        <v>953</v>
      </c>
      <c r="D491" s="4"/>
      <c r="E491" s="45"/>
      <c r="F491" s="448"/>
      <c r="G491" s="448"/>
      <c r="H491" s="448"/>
      <c r="I491" s="448"/>
    </row>
    <row r="492" spans="1:9" ht="13.5">
      <c r="A492" s="45">
        <v>129</v>
      </c>
      <c r="B492" s="4"/>
      <c r="C492" s="471"/>
      <c r="D492" s="4"/>
      <c r="E492" s="45"/>
      <c r="F492" s="448"/>
      <c r="G492" s="448"/>
      <c r="H492" s="448"/>
      <c r="I492" s="448"/>
    </row>
    <row r="493" spans="1:9" ht="13.5">
      <c r="A493" s="45">
        <v>130</v>
      </c>
      <c r="B493" s="4"/>
      <c r="C493" s="457" t="s">
        <v>954</v>
      </c>
      <c r="D493" s="4"/>
      <c r="E493" s="45"/>
      <c r="F493" s="448"/>
      <c r="G493" s="448"/>
      <c r="H493" s="448"/>
      <c r="I493" s="448"/>
    </row>
    <row r="494" spans="1:9" ht="13.5">
      <c r="A494" s="45">
        <v>131</v>
      </c>
      <c r="B494" s="4"/>
      <c r="C494" s="471"/>
      <c r="D494" s="4"/>
      <c r="E494" s="45"/>
      <c r="F494" s="448"/>
      <c r="G494" s="448"/>
      <c r="H494" s="448"/>
      <c r="I494" s="448"/>
    </row>
    <row r="495" spans="1:9" ht="13.5">
      <c r="A495" s="45">
        <v>132</v>
      </c>
      <c r="B495" s="4"/>
      <c r="C495" s="471" t="s">
        <v>955</v>
      </c>
      <c r="D495" s="4"/>
      <c r="E495" s="45"/>
      <c r="F495" s="448"/>
      <c r="G495" s="448"/>
      <c r="H495" s="448"/>
      <c r="I495" s="448"/>
    </row>
    <row r="496" spans="1:9" ht="27">
      <c r="A496" s="45">
        <v>133</v>
      </c>
      <c r="B496" s="4" t="s">
        <v>883</v>
      </c>
      <c r="C496" s="471" t="s">
        <v>956</v>
      </c>
      <c r="D496" s="4"/>
      <c r="E496" s="45"/>
      <c r="F496" s="448"/>
      <c r="G496" s="448"/>
      <c r="H496" s="448"/>
      <c r="I496" s="448"/>
    </row>
    <row r="497" spans="1:9" ht="13.5">
      <c r="A497" s="45">
        <v>134</v>
      </c>
      <c r="B497" s="4" t="s">
        <v>886</v>
      </c>
      <c r="C497" s="471" t="s">
        <v>957</v>
      </c>
      <c r="D497" s="4"/>
      <c r="E497" s="45"/>
      <c r="F497" s="448"/>
      <c r="G497" s="448"/>
      <c r="H497" s="448"/>
      <c r="I497" s="448"/>
    </row>
    <row r="498" spans="1:9" ht="13.5">
      <c r="A498" s="45">
        <v>135</v>
      </c>
      <c r="B498" s="4" t="s">
        <v>958</v>
      </c>
      <c r="C498" s="471" t="s">
        <v>959</v>
      </c>
      <c r="D498" s="4"/>
      <c r="E498" s="45"/>
      <c r="F498" s="448"/>
      <c r="G498" s="448"/>
      <c r="H498" s="448"/>
      <c r="I498" s="448"/>
    </row>
    <row r="499" spans="1:9" ht="13.5">
      <c r="A499" s="45">
        <v>136</v>
      </c>
      <c r="B499" s="4" t="s">
        <v>960</v>
      </c>
      <c r="C499" s="471" t="s">
        <v>961</v>
      </c>
      <c r="D499" s="4"/>
      <c r="E499" s="45"/>
      <c r="F499" s="448"/>
      <c r="G499" s="448"/>
      <c r="H499" s="448"/>
      <c r="I499" s="448"/>
    </row>
    <row r="500" spans="1:9" ht="13.5">
      <c r="A500" s="45">
        <v>137</v>
      </c>
      <c r="B500" s="4"/>
      <c r="C500" s="471"/>
      <c r="D500" s="4"/>
      <c r="E500" s="45"/>
      <c r="F500" s="448"/>
      <c r="G500" s="448"/>
      <c r="H500" s="448"/>
      <c r="I500" s="448"/>
    </row>
    <row r="501" spans="1:9" ht="13.5">
      <c r="A501" s="45">
        <v>138</v>
      </c>
      <c r="B501" s="4"/>
      <c r="C501" s="457" t="s">
        <v>962</v>
      </c>
      <c r="D501" s="4"/>
      <c r="E501" s="45"/>
      <c r="F501" s="448"/>
      <c r="G501" s="448"/>
      <c r="H501" s="448"/>
      <c r="I501" s="448"/>
    </row>
    <row r="502" spans="1:9" ht="40.5">
      <c r="A502" s="45">
        <v>139</v>
      </c>
      <c r="B502" s="4"/>
      <c r="C502" s="471" t="s">
        <v>963</v>
      </c>
      <c r="D502" s="4"/>
      <c r="E502" s="45"/>
      <c r="F502" s="448"/>
      <c r="G502" s="448"/>
      <c r="H502" s="448"/>
      <c r="I502" s="448"/>
    </row>
    <row r="503" spans="1:9" ht="13.5">
      <c r="A503" s="45">
        <v>140</v>
      </c>
      <c r="B503" s="4"/>
      <c r="C503" s="471"/>
      <c r="D503" s="4"/>
      <c r="E503" s="45"/>
      <c r="F503" s="448"/>
      <c r="G503" s="448"/>
      <c r="H503" s="448"/>
      <c r="I503" s="448"/>
    </row>
    <row r="504" spans="1:9" ht="13.5">
      <c r="A504" s="45">
        <v>141</v>
      </c>
      <c r="B504" s="4"/>
      <c r="C504" s="457" t="s">
        <v>964</v>
      </c>
      <c r="D504" s="4"/>
      <c r="E504" s="45"/>
      <c r="F504" s="448"/>
      <c r="G504" s="448"/>
      <c r="H504" s="448"/>
      <c r="I504" s="448"/>
    </row>
    <row r="505" spans="1:9" ht="13.5">
      <c r="A505" s="45">
        <v>142</v>
      </c>
      <c r="B505" s="4"/>
      <c r="C505" s="471" t="s">
        <v>965</v>
      </c>
      <c r="D505" s="4"/>
      <c r="E505" s="45"/>
      <c r="F505" s="448"/>
      <c r="G505" s="448"/>
      <c r="H505" s="448"/>
      <c r="I505" s="448"/>
    </row>
    <row r="506" spans="1:9" ht="13.5">
      <c r="A506" s="45">
        <v>143</v>
      </c>
      <c r="B506" s="4"/>
      <c r="C506" s="471" t="s">
        <v>966</v>
      </c>
      <c r="D506" s="4"/>
      <c r="E506" s="45"/>
      <c r="F506" s="448"/>
      <c r="G506" s="448"/>
      <c r="H506" s="448"/>
      <c r="I506" s="448"/>
    </row>
    <row r="507" spans="1:9" ht="13.5">
      <c r="A507" s="45">
        <v>144</v>
      </c>
      <c r="B507" s="4"/>
      <c r="C507" s="471" t="s">
        <v>967</v>
      </c>
      <c r="D507" s="4"/>
      <c r="E507" s="45"/>
      <c r="F507" s="448"/>
      <c r="G507" s="448"/>
      <c r="H507" s="448"/>
      <c r="I507" s="448"/>
    </row>
    <row r="508" spans="1:9" ht="13.5">
      <c r="A508" s="45">
        <v>145</v>
      </c>
      <c r="B508" s="4"/>
      <c r="C508" s="471" t="s">
        <v>968</v>
      </c>
      <c r="D508" s="4"/>
      <c r="E508" s="45"/>
      <c r="F508" s="448"/>
      <c r="G508" s="448"/>
      <c r="H508" s="448"/>
      <c r="I508" s="448"/>
    </row>
    <row r="509" spans="1:9" ht="13.5">
      <c r="A509" s="45">
        <v>146</v>
      </c>
      <c r="B509" s="4"/>
      <c r="C509" s="471" t="s">
        <v>969</v>
      </c>
      <c r="D509" s="4"/>
      <c r="E509" s="45"/>
      <c r="F509" s="448"/>
      <c r="G509" s="448"/>
      <c r="H509" s="448"/>
      <c r="I509" s="448"/>
    </row>
    <row r="510" spans="1:9" ht="27">
      <c r="A510" s="45">
        <v>147</v>
      </c>
      <c r="B510" s="4"/>
      <c r="C510" s="471" t="s">
        <v>970</v>
      </c>
      <c r="D510" s="448"/>
      <c r="E510" s="45"/>
      <c r="F510" s="448"/>
      <c r="G510" s="448"/>
      <c r="H510" s="448"/>
      <c r="I510" s="448"/>
    </row>
    <row r="511" spans="1:9" ht="13.5">
      <c r="A511" s="45">
        <v>148</v>
      </c>
      <c r="B511" s="4"/>
      <c r="C511" s="471"/>
      <c r="D511" s="4" t="s">
        <v>657</v>
      </c>
      <c r="E511" s="45">
        <v>1</v>
      </c>
      <c r="F511" s="448"/>
      <c r="G511" s="448"/>
      <c r="H511" s="448"/>
      <c r="I511" s="461">
        <f>E511</f>
        <v>1</v>
      </c>
    </row>
    <row r="512" spans="1:9" ht="13.5">
      <c r="A512" s="56"/>
      <c r="B512" s="450"/>
      <c r="C512" s="473" t="s">
        <v>481</v>
      </c>
      <c r="D512" s="450"/>
      <c r="E512" s="56"/>
      <c r="F512" s="453"/>
      <c r="G512" s="453"/>
      <c r="H512" s="453"/>
      <c r="I512" s="459">
        <f>SUM(I511)</f>
        <v>1</v>
      </c>
    </row>
    <row r="513" spans="1:9" ht="13.5">
      <c r="A513" s="45"/>
      <c r="B513" s="4"/>
      <c r="C513" s="471"/>
      <c r="D513" s="4"/>
      <c r="E513" s="45"/>
      <c r="F513" s="448"/>
      <c r="G513" s="448"/>
      <c r="H513" s="448"/>
      <c r="I513" s="461"/>
    </row>
    <row r="514" spans="1:9" ht="13.5">
      <c r="A514" s="45">
        <v>149</v>
      </c>
      <c r="B514" s="4"/>
      <c r="C514" s="457" t="s">
        <v>971</v>
      </c>
      <c r="D514" s="4"/>
      <c r="E514" s="45"/>
      <c r="F514" s="448"/>
      <c r="G514" s="448"/>
      <c r="H514" s="448"/>
      <c r="I514" s="448"/>
    </row>
    <row r="515" spans="1:9" ht="121.5">
      <c r="A515" s="45">
        <v>150</v>
      </c>
      <c r="B515" s="4">
        <v>3</v>
      </c>
      <c r="C515" s="471" t="s">
        <v>972</v>
      </c>
      <c r="D515" s="4" t="s">
        <v>657</v>
      </c>
      <c r="E515" s="45">
        <v>1</v>
      </c>
      <c r="F515" s="448"/>
      <c r="G515" s="448"/>
      <c r="H515" s="448"/>
      <c r="I515" s="461">
        <f>E515</f>
        <v>1</v>
      </c>
    </row>
    <row r="516" spans="1:9" ht="13.5">
      <c r="A516" s="56"/>
      <c r="B516" s="450"/>
      <c r="C516" s="473" t="s">
        <v>481</v>
      </c>
      <c r="D516" s="450"/>
      <c r="E516" s="56"/>
      <c r="F516" s="453"/>
      <c r="G516" s="453"/>
      <c r="H516" s="453"/>
      <c r="I516" s="459">
        <f>SUM(I515)</f>
        <v>1</v>
      </c>
    </row>
    <row r="517" spans="1:9" ht="13.5">
      <c r="A517" s="45"/>
      <c r="B517" s="4"/>
      <c r="C517" s="471"/>
      <c r="D517" s="4"/>
      <c r="E517" s="45"/>
      <c r="F517" s="448"/>
      <c r="G517" s="448"/>
      <c r="H517" s="448"/>
      <c r="I517" s="461"/>
    </row>
    <row r="518" spans="1:9" ht="67.5">
      <c r="A518" s="45">
        <v>151</v>
      </c>
      <c r="B518" s="4">
        <v>4</v>
      </c>
      <c r="C518" s="471" t="s">
        <v>973</v>
      </c>
      <c r="D518" s="4"/>
      <c r="E518" s="45"/>
      <c r="F518" s="448"/>
      <c r="G518" s="448"/>
      <c r="H518" s="448"/>
      <c r="I518" s="448"/>
    </row>
    <row r="519" spans="1:9" ht="13.5">
      <c r="A519" s="45">
        <v>152</v>
      </c>
      <c r="B519" s="4" t="s">
        <v>883</v>
      </c>
      <c r="C519" s="471" t="s">
        <v>974</v>
      </c>
      <c r="D519" s="4" t="s">
        <v>879</v>
      </c>
      <c r="E519" s="45"/>
      <c r="F519" s="448"/>
      <c r="G519" s="448"/>
      <c r="H519" s="448"/>
      <c r="I519" s="448"/>
    </row>
    <row r="520" spans="1:9" ht="13.5">
      <c r="A520" s="45">
        <v>153</v>
      </c>
      <c r="B520" s="4" t="s">
        <v>886</v>
      </c>
      <c r="C520" s="471" t="s">
        <v>975</v>
      </c>
      <c r="D520" s="4" t="s">
        <v>879</v>
      </c>
      <c r="E520" s="45"/>
      <c r="F520" s="448"/>
      <c r="G520" s="448"/>
      <c r="H520" s="448"/>
      <c r="I520" s="448"/>
    </row>
    <row r="521" spans="1:9" ht="13.5">
      <c r="A521" s="45">
        <v>154</v>
      </c>
      <c r="B521" s="4" t="s">
        <v>958</v>
      </c>
      <c r="C521" s="471" t="s">
        <v>976</v>
      </c>
      <c r="D521" s="4" t="s">
        <v>879</v>
      </c>
      <c r="E521" s="45"/>
      <c r="F521" s="448"/>
      <c r="G521" s="448"/>
      <c r="H521" s="448"/>
      <c r="I521" s="448"/>
    </row>
    <row r="522" spans="1:9" ht="13.5">
      <c r="A522" s="45">
        <v>155</v>
      </c>
      <c r="B522" s="4" t="s">
        <v>960</v>
      </c>
      <c r="C522" s="471" t="s">
        <v>977</v>
      </c>
      <c r="D522" s="4" t="s">
        <v>879</v>
      </c>
      <c r="E522" s="45"/>
      <c r="F522" s="448"/>
      <c r="G522" s="448"/>
      <c r="H522" s="448"/>
      <c r="I522" s="448"/>
    </row>
    <row r="523" spans="1:9" ht="13.5">
      <c r="A523" s="45"/>
      <c r="B523" s="4"/>
      <c r="C523" s="471" t="s">
        <v>1256</v>
      </c>
      <c r="D523" s="4" t="s">
        <v>879</v>
      </c>
      <c r="E523" s="45">
        <v>1</v>
      </c>
      <c r="F523" s="448">
        <v>25</v>
      </c>
      <c r="G523" s="448"/>
      <c r="H523" s="448"/>
      <c r="I523" s="461">
        <f>F523*E523</f>
        <v>25</v>
      </c>
    </row>
    <row r="524" spans="1:9" ht="13.5">
      <c r="A524" s="56"/>
      <c r="B524" s="450"/>
      <c r="C524" s="473" t="s">
        <v>481</v>
      </c>
      <c r="D524" s="450"/>
      <c r="E524" s="56"/>
      <c r="F524" s="453"/>
      <c r="G524" s="453"/>
      <c r="H524" s="453"/>
      <c r="I524" s="459"/>
    </row>
    <row r="525" spans="1:9" ht="13.5">
      <c r="A525" s="45"/>
      <c r="B525" s="4"/>
      <c r="C525" s="471"/>
      <c r="D525" s="4"/>
      <c r="E525" s="45"/>
      <c r="F525" s="448"/>
      <c r="G525" s="448"/>
      <c r="H525" s="448"/>
      <c r="I525" s="448"/>
    </row>
    <row r="526" spans="1:9" ht="13.5">
      <c r="A526" s="45">
        <v>156</v>
      </c>
      <c r="B526" s="4" t="s">
        <v>892</v>
      </c>
      <c r="C526" s="471" t="s">
        <v>978</v>
      </c>
      <c r="D526" s="4" t="s">
        <v>879</v>
      </c>
      <c r="E526" s="45"/>
      <c r="F526" s="448"/>
      <c r="G526" s="448"/>
      <c r="H526" s="448"/>
      <c r="I526" s="448"/>
    </row>
    <row r="527" spans="1:9">
      <c r="A527" s="45">
        <v>157</v>
      </c>
      <c r="B527" s="209"/>
      <c r="C527" s="209" t="s">
        <v>979</v>
      </c>
      <c r="D527" s="208"/>
      <c r="E527" s="45"/>
      <c r="F527" s="448"/>
      <c r="G527" s="448"/>
      <c r="H527" s="448"/>
      <c r="I527" s="448"/>
    </row>
    <row r="528" spans="1:9" ht="13.5">
      <c r="A528" s="45">
        <v>158</v>
      </c>
      <c r="B528" s="479"/>
      <c r="C528" s="480"/>
      <c r="D528" s="4"/>
      <c r="E528" s="45"/>
      <c r="F528" s="448"/>
      <c r="G528" s="448"/>
      <c r="H528" s="448"/>
      <c r="I528" s="448"/>
    </row>
    <row r="529" spans="1:9">
      <c r="A529" s="45">
        <v>159</v>
      </c>
      <c r="B529" s="208" t="s">
        <v>23</v>
      </c>
      <c r="C529" s="209" t="s">
        <v>980</v>
      </c>
      <c r="D529" s="208"/>
      <c r="E529" s="45"/>
      <c r="F529" s="448"/>
      <c r="G529" s="448"/>
      <c r="H529" s="448"/>
      <c r="I529" s="448"/>
    </row>
    <row r="530" spans="1:9" ht="13.5">
      <c r="A530" s="45">
        <v>160</v>
      </c>
      <c r="B530" s="479"/>
      <c r="C530" s="470"/>
      <c r="D530" s="4"/>
      <c r="E530" s="45"/>
      <c r="F530" s="448"/>
      <c r="G530" s="448"/>
      <c r="H530" s="448"/>
      <c r="I530" s="448"/>
    </row>
    <row r="531" spans="1:9" ht="13.5">
      <c r="A531" s="45">
        <v>161</v>
      </c>
      <c r="B531" s="470"/>
      <c r="C531" s="481" t="s">
        <v>981</v>
      </c>
      <c r="D531" s="4"/>
      <c r="E531" s="45"/>
      <c r="F531" s="448"/>
      <c r="G531" s="448"/>
      <c r="H531" s="448"/>
      <c r="I531" s="448"/>
    </row>
    <row r="532" spans="1:9" ht="175.5">
      <c r="A532" s="45">
        <v>162</v>
      </c>
      <c r="B532" s="113">
        <v>1</v>
      </c>
      <c r="C532" s="471" t="s">
        <v>982</v>
      </c>
      <c r="D532" s="4"/>
      <c r="E532" s="45"/>
      <c r="F532" s="448"/>
      <c r="G532" s="448"/>
      <c r="H532" s="448"/>
      <c r="I532" s="448"/>
    </row>
    <row r="533" spans="1:9" ht="81">
      <c r="A533" s="45">
        <v>163</v>
      </c>
      <c r="B533" s="117"/>
      <c r="C533" s="471" t="s">
        <v>983</v>
      </c>
      <c r="D533" s="4"/>
      <c r="E533" s="45"/>
      <c r="F533" s="448"/>
      <c r="G533" s="448"/>
      <c r="H533" s="448"/>
      <c r="I533" s="448"/>
    </row>
    <row r="534" spans="1:9" ht="13.5">
      <c r="A534" s="45">
        <v>164</v>
      </c>
      <c r="B534" s="117" t="s">
        <v>883</v>
      </c>
      <c r="C534" s="119" t="s">
        <v>984</v>
      </c>
      <c r="D534" s="4" t="s">
        <v>657</v>
      </c>
      <c r="E534" s="45">
        <v>1</v>
      </c>
      <c r="F534" s="448"/>
      <c r="G534" s="448"/>
      <c r="H534" s="448"/>
      <c r="I534" s="461">
        <f>E534</f>
        <v>1</v>
      </c>
    </row>
    <row r="535" spans="1:9" ht="13.5">
      <c r="A535" s="56"/>
      <c r="B535" s="450"/>
      <c r="C535" s="473" t="s">
        <v>481</v>
      </c>
      <c r="D535" s="450"/>
      <c r="E535" s="56"/>
      <c r="F535" s="453"/>
      <c r="G535" s="453"/>
      <c r="H535" s="453"/>
      <c r="I535" s="459">
        <f>SUM(I534)</f>
        <v>1</v>
      </c>
    </row>
    <row r="536" spans="1:9" ht="13.5">
      <c r="A536" s="45"/>
      <c r="B536" s="117"/>
      <c r="C536" s="119"/>
      <c r="D536" s="4"/>
      <c r="E536" s="45"/>
      <c r="F536" s="448"/>
      <c r="G536" s="448"/>
      <c r="H536" s="448"/>
      <c r="I536" s="448"/>
    </row>
    <row r="537" spans="1:9" ht="67.5">
      <c r="A537" s="45">
        <v>165</v>
      </c>
      <c r="B537" s="117">
        <v>2</v>
      </c>
      <c r="C537" s="471" t="s">
        <v>985</v>
      </c>
      <c r="D537" s="4" t="s">
        <v>657</v>
      </c>
      <c r="E537" s="45"/>
      <c r="F537" s="448"/>
      <c r="G537" s="448"/>
      <c r="H537" s="448"/>
      <c r="I537" s="448"/>
    </row>
    <row r="538" spans="1:9" ht="13.5">
      <c r="A538" s="45"/>
      <c r="B538" s="117"/>
      <c r="C538" s="482" t="s">
        <v>1257</v>
      </c>
      <c r="D538" s="4" t="s">
        <v>1024</v>
      </c>
      <c r="E538" s="45">
        <v>1</v>
      </c>
      <c r="F538" s="448"/>
      <c r="G538" s="448"/>
      <c r="H538" s="448"/>
      <c r="I538" s="448">
        <f t="shared" ref="I538:I562" si="31">E538</f>
        <v>1</v>
      </c>
    </row>
    <row r="539" spans="1:9" ht="13.5">
      <c r="A539" s="45"/>
      <c r="B539" s="117"/>
      <c r="C539" s="471" t="s">
        <v>354</v>
      </c>
      <c r="D539" s="4" t="s">
        <v>1024</v>
      </c>
      <c r="E539" s="45">
        <v>1</v>
      </c>
      <c r="F539" s="448"/>
      <c r="G539" s="448"/>
      <c r="H539" s="448"/>
      <c r="I539" s="448">
        <f t="shared" si="31"/>
        <v>1</v>
      </c>
    </row>
    <row r="540" spans="1:9" ht="13.5">
      <c r="A540" s="45"/>
      <c r="B540" s="117"/>
      <c r="C540" s="471" t="s">
        <v>1258</v>
      </c>
      <c r="D540" s="4" t="s">
        <v>1024</v>
      </c>
      <c r="E540" s="45">
        <v>1</v>
      </c>
      <c r="F540" s="448"/>
      <c r="G540" s="448"/>
      <c r="H540" s="448"/>
      <c r="I540" s="448">
        <f t="shared" si="31"/>
        <v>1</v>
      </c>
    </row>
    <row r="541" spans="1:9" ht="13.5">
      <c r="A541" s="45"/>
      <c r="B541" s="117"/>
      <c r="C541" s="471" t="s">
        <v>1259</v>
      </c>
      <c r="D541" s="4" t="s">
        <v>1024</v>
      </c>
      <c r="E541" s="45">
        <v>1</v>
      </c>
      <c r="F541" s="448"/>
      <c r="G541" s="448"/>
      <c r="H541" s="448"/>
      <c r="I541" s="448">
        <f t="shared" si="31"/>
        <v>1</v>
      </c>
    </row>
    <row r="542" spans="1:9" ht="13.5">
      <c r="A542" s="45"/>
      <c r="B542" s="117"/>
      <c r="C542" s="471" t="s">
        <v>1260</v>
      </c>
      <c r="D542" s="4" t="s">
        <v>1024</v>
      </c>
      <c r="E542" s="45">
        <v>1</v>
      </c>
      <c r="F542" s="448"/>
      <c r="G542" s="448"/>
      <c r="H542" s="448"/>
      <c r="I542" s="448">
        <f t="shared" si="31"/>
        <v>1</v>
      </c>
    </row>
    <row r="543" spans="1:9" ht="13.5">
      <c r="A543" s="45"/>
      <c r="B543" s="117"/>
      <c r="C543" s="471" t="s">
        <v>1261</v>
      </c>
      <c r="D543" s="4" t="s">
        <v>1024</v>
      </c>
      <c r="E543" s="45">
        <v>1</v>
      </c>
      <c r="F543" s="448"/>
      <c r="G543" s="448"/>
      <c r="H543" s="448"/>
      <c r="I543" s="448">
        <f t="shared" si="31"/>
        <v>1</v>
      </c>
    </row>
    <row r="544" spans="1:9" ht="13.5">
      <c r="A544" s="45"/>
      <c r="B544" s="117"/>
      <c r="C544" s="471" t="s">
        <v>1262</v>
      </c>
      <c r="D544" s="4" t="s">
        <v>1024</v>
      </c>
      <c r="E544" s="45">
        <v>1</v>
      </c>
      <c r="F544" s="448"/>
      <c r="G544" s="448"/>
      <c r="H544" s="448"/>
      <c r="I544" s="448">
        <f t="shared" si="31"/>
        <v>1</v>
      </c>
    </row>
    <row r="545" spans="1:9" ht="13.5">
      <c r="A545" s="45"/>
      <c r="B545" s="117"/>
      <c r="C545" s="471" t="s">
        <v>1263</v>
      </c>
      <c r="D545" s="4" t="s">
        <v>1024</v>
      </c>
      <c r="E545" s="45">
        <v>1</v>
      </c>
      <c r="F545" s="448"/>
      <c r="G545" s="448"/>
      <c r="H545" s="448"/>
      <c r="I545" s="448">
        <f t="shared" si="31"/>
        <v>1</v>
      </c>
    </row>
    <row r="546" spans="1:9" ht="13.5">
      <c r="A546" s="45"/>
      <c r="B546" s="117"/>
      <c r="C546" s="471" t="s">
        <v>1264</v>
      </c>
      <c r="D546" s="4" t="s">
        <v>1024</v>
      </c>
      <c r="E546" s="45">
        <v>1</v>
      </c>
      <c r="F546" s="448"/>
      <c r="G546" s="448"/>
      <c r="H546" s="448"/>
      <c r="I546" s="448">
        <f t="shared" si="31"/>
        <v>1</v>
      </c>
    </row>
    <row r="547" spans="1:9" ht="13.5">
      <c r="A547" s="45"/>
      <c r="B547" s="117"/>
      <c r="C547" s="471" t="s">
        <v>1265</v>
      </c>
      <c r="D547" s="4" t="s">
        <v>1024</v>
      </c>
      <c r="E547" s="45">
        <v>1</v>
      </c>
      <c r="F547" s="448"/>
      <c r="G547" s="448"/>
      <c r="H547" s="448"/>
      <c r="I547" s="448">
        <f t="shared" si="31"/>
        <v>1</v>
      </c>
    </row>
    <row r="548" spans="1:9" ht="13.5">
      <c r="A548" s="45"/>
      <c r="B548" s="117"/>
      <c r="C548" s="471" t="s">
        <v>1266</v>
      </c>
      <c r="D548" s="4" t="s">
        <v>1024</v>
      </c>
      <c r="E548" s="45">
        <v>1</v>
      </c>
      <c r="F548" s="448"/>
      <c r="G548" s="448"/>
      <c r="H548" s="448"/>
      <c r="I548" s="448">
        <f t="shared" si="31"/>
        <v>1</v>
      </c>
    </row>
    <row r="549" spans="1:9" ht="13.5">
      <c r="A549" s="45"/>
      <c r="B549" s="117"/>
      <c r="C549" s="471" t="s">
        <v>1267</v>
      </c>
      <c r="D549" s="4" t="s">
        <v>1024</v>
      </c>
      <c r="E549" s="45">
        <v>1</v>
      </c>
      <c r="F549" s="448"/>
      <c r="G549" s="448"/>
      <c r="H549" s="448"/>
      <c r="I549" s="448">
        <f t="shared" si="31"/>
        <v>1</v>
      </c>
    </row>
    <row r="550" spans="1:9" ht="13.5">
      <c r="A550" s="45"/>
      <c r="B550" s="117"/>
      <c r="C550" s="471" t="s">
        <v>1268</v>
      </c>
      <c r="D550" s="4" t="s">
        <v>1024</v>
      </c>
      <c r="E550" s="45">
        <v>1</v>
      </c>
      <c r="F550" s="448"/>
      <c r="G550" s="448"/>
      <c r="H550" s="448"/>
      <c r="I550" s="448">
        <f t="shared" si="31"/>
        <v>1</v>
      </c>
    </row>
    <row r="551" spans="1:9" ht="13.5">
      <c r="A551" s="45"/>
      <c r="B551" s="117"/>
      <c r="C551" s="471" t="s">
        <v>1269</v>
      </c>
      <c r="D551" s="4" t="s">
        <v>1024</v>
      </c>
      <c r="E551" s="45">
        <v>1</v>
      </c>
      <c r="F551" s="448"/>
      <c r="G551" s="448"/>
      <c r="H551" s="448"/>
      <c r="I551" s="448">
        <f t="shared" si="31"/>
        <v>1</v>
      </c>
    </row>
    <row r="552" spans="1:9" ht="13.5">
      <c r="A552" s="45"/>
      <c r="B552" s="117"/>
      <c r="C552" s="471" t="s">
        <v>1270</v>
      </c>
      <c r="D552" s="4" t="s">
        <v>1024</v>
      </c>
      <c r="E552" s="45">
        <v>1</v>
      </c>
      <c r="F552" s="448"/>
      <c r="G552" s="448"/>
      <c r="H552" s="448"/>
      <c r="I552" s="448">
        <f t="shared" si="31"/>
        <v>1</v>
      </c>
    </row>
    <row r="553" spans="1:9" ht="13.5">
      <c r="A553" s="45"/>
      <c r="B553" s="117"/>
      <c r="C553" s="471" t="s">
        <v>1271</v>
      </c>
      <c r="D553" s="4" t="s">
        <v>1024</v>
      </c>
      <c r="E553" s="45">
        <v>1</v>
      </c>
      <c r="F553" s="448"/>
      <c r="G553" s="448"/>
      <c r="H553" s="448"/>
      <c r="I553" s="448">
        <f t="shared" si="31"/>
        <v>1</v>
      </c>
    </row>
    <row r="554" spans="1:9" ht="13.5">
      <c r="A554" s="45"/>
      <c r="B554" s="117"/>
      <c r="C554" s="471" t="s">
        <v>1272</v>
      </c>
      <c r="D554" s="4" t="s">
        <v>1024</v>
      </c>
      <c r="E554" s="45">
        <v>1</v>
      </c>
      <c r="F554" s="448"/>
      <c r="G554" s="448"/>
      <c r="H554" s="448"/>
      <c r="I554" s="448">
        <f t="shared" si="31"/>
        <v>1</v>
      </c>
    </row>
    <row r="555" spans="1:9" ht="13.5">
      <c r="A555" s="45"/>
      <c r="B555" s="117"/>
      <c r="C555" s="471" t="s">
        <v>1273</v>
      </c>
      <c r="D555" s="4" t="s">
        <v>1024</v>
      </c>
      <c r="E555" s="45">
        <v>1</v>
      </c>
      <c r="F555" s="448"/>
      <c r="G555" s="448"/>
      <c r="H555" s="448"/>
      <c r="I555" s="448">
        <f t="shared" si="31"/>
        <v>1</v>
      </c>
    </row>
    <row r="556" spans="1:9" ht="13.5">
      <c r="A556" s="45"/>
      <c r="B556" s="117"/>
      <c r="C556" s="471" t="s">
        <v>1274</v>
      </c>
      <c r="D556" s="4" t="s">
        <v>1024</v>
      </c>
      <c r="E556" s="45">
        <v>1</v>
      </c>
      <c r="F556" s="448"/>
      <c r="G556" s="448"/>
      <c r="H556" s="448"/>
      <c r="I556" s="448">
        <f t="shared" si="31"/>
        <v>1</v>
      </c>
    </row>
    <row r="557" spans="1:9" ht="13.5">
      <c r="A557" s="45"/>
      <c r="B557" s="117"/>
      <c r="C557" s="471" t="s">
        <v>1275</v>
      </c>
      <c r="D557" s="4" t="s">
        <v>1024</v>
      </c>
      <c r="E557" s="45">
        <v>1</v>
      </c>
      <c r="F557" s="448"/>
      <c r="G557" s="448"/>
      <c r="H557" s="448"/>
      <c r="I557" s="448">
        <f t="shared" si="31"/>
        <v>1</v>
      </c>
    </row>
    <row r="558" spans="1:9" ht="13.5">
      <c r="A558" s="45"/>
      <c r="B558" s="117"/>
      <c r="C558" s="471" t="s">
        <v>1276</v>
      </c>
      <c r="D558" s="4" t="s">
        <v>1024</v>
      </c>
      <c r="E558" s="45">
        <v>1</v>
      </c>
      <c r="F558" s="448"/>
      <c r="G558" s="448"/>
      <c r="H558" s="448"/>
      <c r="I558" s="448">
        <f t="shared" si="31"/>
        <v>1</v>
      </c>
    </row>
    <row r="559" spans="1:9" ht="13.5">
      <c r="A559" s="45"/>
      <c r="B559" s="117"/>
      <c r="C559" s="471" t="s">
        <v>1277</v>
      </c>
      <c r="D559" s="4" t="s">
        <v>1024</v>
      </c>
      <c r="E559" s="45">
        <v>1</v>
      </c>
      <c r="F559" s="448"/>
      <c r="G559" s="448"/>
      <c r="H559" s="448"/>
      <c r="I559" s="448">
        <f t="shared" si="31"/>
        <v>1</v>
      </c>
    </row>
    <row r="560" spans="1:9" ht="13.5">
      <c r="A560" s="45"/>
      <c r="B560" s="117"/>
      <c r="C560" s="471" t="s">
        <v>1278</v>
      </c>
      <c r="D560" s="4" t="s">
        <v>1024</v>
      </c>
      <c r="E560" s="45">
        <v>1</v>
      </c>
      <c r="F560" s="448"/>
      <c r="G560" s="448"/>
      <c r="H560" s="448"/>
      <c r="I560" s="448">
        <f t="shared" si="31"/>
        <v>1</v>
      </c>
    </row>
    <row r="561" spans="1:9" ht="13.5">
      <c r="A561" s="45"/>
      <c r="B561" s="117"/>
      <c r="C561" s="471" t="s">
        <v>1279</v>
      </c>
      <c r="D561" s="4" t="s">
        <v>1024</v>
      </c>
      <c r="E561" s="45">
        <v>1</v>
      </c>
      <c r="F561" s="448"/>
      <c r="G561" s="448"/>
      <c r="H561" s="448"/>
      <c r="I561" s="448">
        <f t="shared" si="31"/>
        <v>1</v>
      </c>
    </row>
    <row r="562" spans="1:9" ht="13.5">
      <c r="A562" s="45"/>
      <c r="B562" s="117"/>
      <c r="C562" s="471" t="s">
        <v>1280</v>
      </c>
      <c r="D562" s="4" t="s">
        <v>1024</v>
      </c>
      <c r="E562" s="45">
        <v>1</v>
      </c>
      <c r="F562" s="448"/>
      <c r="G562" s="448"/>
      <c r="H562" s="448"/>
      <c r="I562" s="448">
        <f t="shared" si="31"/>
        <v>1</v>
      </c>
    </row>
    <row r="563" spans="1:9" ht="13.5">
      <c r="A563" s="45"/>
      <c r="B563" s="117"/>
      <c r="C563" s="471" t="s">
        <v>1281</v>
      </c>
      <c r="D563" s="4" t="s">
        <v>1024</v>
      </c>
      <c r="E563" s="45">
        <v>1</v>
      </c>
      <c r="F563" s="448"/>
      <c r="G563" s="448"/>
      <c r="H563" s="448"/>
      <c r="I563" s="483" t="s">
        <v>868</v>
      </c>
    </row>
    <row r="564" spans="1:9" ht="13.5">
      <c r="A564" s="56"/>
      <c r="B564" s="450"/>
      <c r="C564" s="473" t="s">
        <v>481</v>
      </c>
      <c r="D564" s="450"/>
      <c r="E564" s="56"/>
      <c r="F564" s="453"/>
      <c r="G564" s="453"/>
      <c r="H564" s="453"/>
      <c r="I564" s="484">
        <f>SUM(I538:I562)</f>
        <v>25</v>
      </c>
    </row>
    <row r="565" spans="1:9" ht="13.5">
      <c r="A565" s="56"/>
      <c r="B565" s="464"/>
      <c r="C565" s="456" t="s">
        <v>1892</v>
      </c>
      <c r="D565" s="452"/>
      <c r="E565" s="56"/>
      <c r="F565" s="453"/>
      <c r="G565" s="453"/>
      <c r="H565" s="453"/>
      <c r="I565" s="459">
        <v>23</v>
      </c>
    </row>
    <row r="566" spans="1:9" ht="13.5">
      <c r="A566" s="56"/>
      <c r="B566" s="464"/>
      <c r="C566" s="456" t="s">
        <v>1893</v>
      </c>
      <c r="D566" s="452"/>
      <c r="E566" s="56"/>
      <c r="F566" s="453"/>
      <c r="G566" s="453"/>
      <c r="H566" s="453"/>
      <c r="I566" s="459">
        <v>2</v>
      </c>
    </row>
    <row r="567" spans="1:9" ht="13.5">
      <c r="A567" s="56"/>
      <c r="B567" s="464"/>
      <c r="C567" s="1158" t="s">
        <v>813</v>
      </c>
      <c r="D567" s="452"/>
      <c r="E567" s="56"/>
      <c r="F567" s="453"/>
      <c r="G567" s="453"/>
      <c r="H567" s="453"/>
      <c r="I567" s="459">
        <f>SUM(I565:I566)</f>
        <v>25</v>
      </c>
    </row>
    <row r="568" spans="1:9" ht="13.5">
      <c r="A568" s="45"/>
      <c r="B568" s="117"/>
      <c r="C568" s="471"/>
      <c r="D568" s="4"/>
      <c r="E568" s="45"/>
      <c r="F568" s="448"/>
      <c r="G568" s="448"/>
      <c r="H568" s="448"/>
      <c r="I568" s="448"/>
    </row>
    <row r="569" spans="1:9" ht="67.5">
      <c r="A569" s="45">
        <v>166</v>
      </c>
      <c r="B569" s="117">
        <v>3</v>
      </c>
      <c r="C569" s="471" t="s">
        <v>986</v>
      </c>
      <c r="D569" s="4" t="s">
        <v>657</v>
      </c>
      <c r="E569" s="45"/>
      <c r="F569" s="448"/>
      <c r="G569" s="448"/>
      <c r="H569" s="448"/>
      <c r="I569" s="448"/>
    </row>
    <row r="570" spans="1:9" ht="13.5">
      <c r="A570" s="45"/>
      <c r="B570" s="117"/>
      <c r="C570" s="471" t="s">
        <v>1282</v>
      </c>
      <c r="D570" s="4" t="s">
        <v>1283</v>
      </c>
      <c r="E570" s="45">
        <v>2</v>
      </c>
      <c r="F570" s="448"/>
      <c r="G570" s="448"/>
      <c r="H570" s="448"/>
      <c r="I570" s="461">
        <f>E570</f>
        <v>2</v>
      </c>
    </row>
    <row r="571" spans="1:9" ht="13.5">
      <c r="A571" s="56"/>
      <c r="B571" s="450"/>
      <c r="C571" s="473" t="s">
        <v>481</v>
      </c>
      <c r="D571" s="450"/>
      <c r="E571" s="56"/>
      <c r="F571" s="453"/>
      <c r="G571" s="453"/>
      <c r="H571" s="453"/>
      <c r="I571" s="484">
        <f>SUM(I569:I570)</f>
        <v>2</v>
      </c>
    </row>
    <row r="572" spans="1:9" ht="13.5">
      <c r="A572" s="56"/>
      <c r="B572" s="450"/>
      <c r="C572" s="456" t="s">
        <v>1892</v>
      </c>
      <c r="D572" s="452"/>
      <c r="E572" s="56"/>
      <c r="F572" s="453"/>
      <c r="G572" s="453"/>
      <c r="H572" s="453"/>
      <c r="I572" s="459">
        <v>1</v>
      </c>
    </row>
    <row r="573" spans="1:9" ht="13.5">
      <c r="A573" s="56"/>
      <c r="B573" s="450"/>
      <c r="C573" s="456" t="s">
        <v>1893</v>
      </c>
      <c r="D573" s="452"/>
      <c r="E573" s="56"/>
      <c r="F573" s="453"/>
      <c r="G573" s="453"/>
      <c r="H573" s="453"/>
      <c r="I573" s="459">
        <v>1</v>
      </c>
    </row>
    <row r="574" spans="1:9" ht="13.5">
      <c r="A574" s="56"/>
      <c r="B574" s="450"/>
      <c r="C574" s="1158" t="s">
        <v>813</v>
      </c>
      <c r="D574" s="452"/>
      <c r="E574" s="56"/>
      <c r="F574" s="453"/>
      <c r="G574" s="453"/>
      <c r="H574" s="453"/>
      <c r="I574" s="459">
        <f>SUM(I572:I573)</f>
        <v>2</v>
      </c>
    </row>
    <row r="575" spans="1:9" ht="13.5">
      <c r="A575" s="45"/>
      <c r="B575" s="117"/>
      <c r="C575" s="471"/>
      <c r="D575" s="4"/>
      <c r="E575" s="45"/>
      <c r="F575" s="448"/>
      <c r="G575" s="448"/>
      <c r="H575" s="448"/>
      <c r="I575" s="448"/>
    </row>
    <row r="576" spans="1:9" ht="40.5">
      <c r="A576" s="45">
        <v>167</v>
      </c>
      <c r="B576" s="117">
        <v>4</v>
      </c>
      <c r="C576" s="471" t="s">
        <v>987</v>
      </c>
      <c r="D576" s="4" t="s">
        <v>657</v>
      </c>
      <c r="E576" s="45"/>
      <c r="F576" s="448"/>
      <c r="G576" s="448"/>
      <c r="H576" s="448"/>
      <c r="I576" s="448"/>
    </row>
    <row r="577" spans="1:9" ht="27">
      <c r="A577" s="45">
        <v>168</v>
      </c>
      <c r="B577" s="117">
        <v>5</v>
      </c>
      <c r="C577" s="471" t="s">
        <v>988</v>
      </c>
      <c r="D577" s="4" t="s">
        <v>657</v>
      </c>
      <c r="E577" s="45"/>
      <c r="F577" s="448"/>
      <c r="G577" s="448"/>
      <c r="H577" s="448"/>
      <c r="I577" s="448"/>
    </row>
    <row r="578" spans="1:9" ht="13.5">
      <c r="A578" s="45"/>
      <c r="B578" s="117"/>
      <c r="C578" s="471" t="s">
        <v>1284</v>
      </c>
      <c r="D578" s="4" t="s">
        <v>657</v>
      </c>
      <c r="E578" s="45">
        <v>13</v>
      </c>
      <c r="F578" s="448"/>
      <c r="G578" s="448"/>
      <c r="H578" s="448"/>
      <c r="I578" s="461">
        <f>E578</f>
        <v>13</v>
      </c>
    </row>
    <row r="579" spans="1:9" ht="13.5">
      <c r="A579" s="56"/>
      <c r="B579" s="450"/>
      <c r="C579" s="473" t="s">
        <v>481</v>
      </c>
      <c r="D579" s="450"/>
      <c r="E579" s="56"/>
      <c r="F579" s="453"/>
      <c r="G579" s="453"/>
      <c r="H579" s="453"/>
      <c r="I579" s="484">
        <f>SUM(I577:I578)</f>
        <v>13</v>
      </c>
    </row>
    <row r="580" spans="1:9" ht="13.5">
      <c r="A580" s="56"/>
      <c r="B580" s="464"/>
      <c r="C580" s="456" t="s">
        <v>1892</v>
      </c>
      <c r="D580" s="452"/>
      <c r="E580" s="56"/>
      <c r="F580" s="453"/>
      <c r="G580" s="453"/>
      <c r="H580" s="453"/>
      <c r="I580" s="459">
        <v>12</v>
      </c>
    </row>
    <row r="581" spans="1:9" ht="13.5">
      <c r="A581" s="56"/>
      <c r="B581" s="464"/>
      <c r="C581" s="456" t="s">
        <v>1893</v>
      </c>
      <c r="D581" s="452"/>
      <c r="E581" s="56"/>
      <c r="F581" s="453"/>
      <c r="G581" s="453"/>
      <c r="H581" s="453"/>
      <c r="I581" s="459">
        <v>1</v>
      </c>
    </row>
    <row r="582" spans="1:9" ht="13.5">
      <c r="A582" s="56"/>
      <c r="B582" s="464"/>
      <c r="C582" s="1158" t="s">
        <v>813</v>
      </c>
      <c r="D582" s="452"/>
      <c r="E582" s="56"/>
      <c r="F582" s="453"/>
      <c r="G582" s="453"/>
      <c r="H582" s="453"/>
      <c r="I582" s="459">
        <f>SUM(I580:I581)</f>
        <v>13</v>
      </c>
    </row>
    <row r="583" spans="1:9" ht="13.5">
      <c r="A583" s="45"/>
      <c r="B583" s="117"/>
      <c r="C583" s="471"/>
      <c r="D583" s="4"/>
      <c r="E583" s="45"/>
      <c r="F583" s="448"/>
      <c r="G583" s="448"/>
      <c r="H583" s="448"/>
      <c r="I583" s="448"/>
    </row>
    <row r="584" spans="1:9" ht="50.25" customHeight="1">
      <c r="A584" s="45">
        <v>169</v>
      </c>
      <c r="B584" s="117">
        <v>6</v>
      </c>
      <c r="C584" s="471" t="s">
        <v>989</v>
      </c>
      <c r="D584" s="4" t="s">
        <v>657</v>
      </c>
      <c r="E584" s="45">
        <v>3</v>
      </c>
      <c r="F584" s="448"/>
      <c r="G584" s="448"/>
      <c r="H584" s="448"/>
      <c r="I584" s="448">
        <f>E584</f>
        <v>3</v>
      </c>
    </row>
    <row r="585" spans="1:9" ht="13.5">
      <c r="A585" s="56"/>
      <c r="B585" s="450"/>
      <c r="C585" s="473" t="s">
        <v>481</v>
      </c>
      <c r="D585" s="450"/>
      <c r="E585" s="56"/>
      <c r="F585" s="453"/>
      <c r="G585" s="453"/>
      <c r="H585" s="453"/>
      <c r="I585" s="484"/>
    </row>
    <row r="586" spans="1:9" ht="13.5">
      <c r="A586" s="45"/>
      <c r="B586" s="117"/>
      <c r="C586" s="471"/>
      <c r="D586" s="4"/>
      <c r="E586" s="45"/>
      <c r="F586" s="448"/>
      <c r="G586" s="448"/>
      <c r="H586" s="448"/>
      <c r="I586" s="448"/>
    </row>
    <row r="587" spans="1:9" ht="54">
      <c r="A587" s="45">
        <v>170</v>
      </c>
      <c r="B587" s="117">
        <v>7</v>
      </c>
      <c r="C587" s="471" t="s">
        <v>990</v>
      </c>
      <c r="D587" s="4" t="s">
        <v>657</v>
      </c>
      <c r="E587" s="45"/>
      <c r="F587" s="448"/>
      <c r="G587" s="448"/>
      <c r="H587" s="448"/>
      <c r="I587" s="448"/>
    </row>
    <row r="588" spans="1:9" ht="67.5">
      <c r="A588" s="45">
        <v>171</v>
      </c>
      <c r="B588" s="117">
        <v>8</v>
      </c>
      <c r="C588" s="471" t="s">
        <v>991</v>
      </c>
      <c r="D588" s="4" t="s">
        <v>657</v>
      </c>
      <c r="E588" s="45">
        <v>1</v>
      </c>
      <c r="F588" s="448"/>
      <c r="G588" s="448"/>
      <c r="H588" s="448"/>
      <c r="I588" s="461">
        <f>E588</f>
        <v>1</v>
      </c>
    </row>
    <row r="589" spans="1:9" ht="13.5">
      <c r="A589" s="56"/>
      <c r="B589" s="450"/>
      <c r="C589" s="473" t="s">
        <v>481</v>
      </c>
      <c r="D589" s="450"/>
      <c r="E589" s="56"/>
      <c r="F589" s="453"/>
      <c r="G589" s="453"/>
      <c r="H589" s="453"/>
      <c r="I589" s="484">
        <f>SUM(I588)</f>
        <v>1</v>
      </c>
    </row>
    <row r="590" spans="1:9" ht="13.5">
      <c r="A590" s="45"/>
      <c r="B590" s="117"/>
      <c r="C590" s="471"/>
      <c r="D590" s="4"/>
      <c r="E590" s="45"/>
      <c r="F590" s="448"/>
      <c r="G590" s="448"/>
      <c r="H590" s="448"/>
      <c r="I590" s="461"/>
    </row>
    <row r="591" spans="1:9" ht="40.5">
      <c r="A591" s="45">
        <v>172</v>
      </c>
      <c r="B591" s="117">
        <v>9</v>
      </c>
      <c r="C591" s="471" t="s">
        <v>992</v>
      </c>
      <c r="D591" s="4" t="s">
        <v>657</v>
      </c>
      <c r="E591" s="45">
        <v>1</v>
      </c>
      <c r="F591" s="448"/>
      <c r="G591" s="448"/>
      <c r="H591" s="448"/>
      <c r="I591" s="461">
        <f>E591</f>
        <v>1</v>
      </c>
    </row>
    <row r="592" spans="1:9" ht="13.5">
      <c r="A592" s="56"/>
      <c r="B592" s="450"/>
      <c r="C592" s="473" t="s">
        <v>481</v>
      </c>
      <c r="D592" s="450"/>
      <c r="E592" s="56"/>
      <c r="F592" s="453"/>
      <c r="G592" s="453"/>
      <c r="H592" s="453"/>
      <c r="I592" s="484">
        <f>SUM(I591)</f>
        <v>1</v>
      </c>
    </row>
    <row r="593" spans="1:9" ht="13.5">
      <c r="A593" s="45"/>
      <c r="B593" s="117"/>
      <c r="C593" s="471"/>
      <c r="D593" s="4"/>
      <c r="E593" s="45"/>
      <c r="F593" s="448"/>
      <c r="G593" s="448"/>
      <c r="H593" s="448"/>
      <c r="I593" s="461"/>
    </row>
    <row r="594" spans="1:9" ht="94.5">
      <c r="A594" s="45">
        <v>173</v>
      </c>
      <c r="B594" s="117">
        <v>10</v>
      </c>
      <c r="C594" s="471" t="s">
        <v>993</v>
      </c>
      <c r="D594" s="4" t="s">
        <v>879</v>
      </c>
      <c r="E594" s="45"/>
      <c r="F594" s="448"/>
      <c r="G594" s="448"/>
      <c r="H594" s="448"/>
      <c r="I594" s="448"/>
    </row>
    <row r="595" spans="1:9" ht="13.5">
      <c r="A595" s="45"/>
      <c r="B595" s="117"/>
      <c r="C595" s="471" t="s">
        <v>1285</v>
      </c>
      <c r="D595" s="4" t="s">
        <v>879</v>
      </c>
      <c r="E595" s="45"/>
      <c r="F595" s="448">
        <f>4+1.5+1.8</f>
        <v>7.3</v>
      </c>
      <c r="G595" s="448"/>
      <c r="H595" s="448"/>
      <c r="I595" s="448">
        <f t="shared" ref="I595:I637" si="32">F595</f>
        <v>7.3</v>
      </c>
    </row>
    <row r="596" spans="1:9" ht="13.5">
      <c r="A596" s="45"/>
      <c r="B596" s="117"/>
      <c r="C596" s="471" t="s">
        <v>1286</v>
      </c>
      <c r="D596" s="4" t="s">
        <v>879</v>
      </c>
      <c r="E596" s="45"/>
      <c r="F596" s="448">
        <f>1.8+1.1+0.3</f>
        <v>3.2</v>
      </c>
      <c r="G596" s="448"/>
      <c r="H596" s="448"/>
      <c r="I596" s="448">
        <f t="shared" si="32"/>
        <v>3.2</v>
      </c>
    </row>
    <row r="597" spans="1:9" ht="13.5">
      <c r="A597" s="45"/>
      <c r="B597" s="117"/>
      <c r="C597" s="471" t="s">
        <v>1287</v>
      </c>
      <c r="D597" s="4" t="s">
        <v>879</v>
      </c>
      <c r="E597" s="45"/>
      <c r="F597" s="448">
        <f>0.3+1.8</f>
        <v>2.1</v>
      </c>
      <c r="G597" s="448"/>
      <c r="H597" s="448"/>
      <c r="I597" s="448">
        <f t="shared" si="32"/>
        <v>2.1</v>
      </c>
    </row>
    <row r="598" spans="1:9" ht="13.5">
      <c r="A598" s="45"/>
      <c r="B598" s="117"/>
      <c r="C598" s="471" t="s">
        <v>1288</v>
      </c>
      <c r="D598" s="4" t="s">
        <v>879</v>
      </c>
      <c r="E598" s="45"/>
      <c r="F598" s="448">
        <f>0.3+2.7+1.2+1.8</f>
        <v>6</v>
      </c>
      <c r="G598" s="448"/>
      <c r="H598" s="448"/>
      <c r="I598" s="448">
        <f t="shared" si="32"/>
        <v>6</v>
      </c>
    </row>
    <row r="599" spans="1:9" ht="13.5">
      <c r="A599" s="45"/>
      <c r="B599" s="117"/>
      <c r="C599" s="471" t="s">
        <v>1289</v>
      </c>
      <c r="D599" s="4" t="s">
        <v>879</v>
      </c>
      <c r="E599" s="45"/>
      <c r="F599" s="448">
        <f>1.8+0.5+0.3</f>
        <v>2.5999999999999996</v>
      </c>
      <c r="G599" s="448"/>
      <c r="H599" s="448"/>
      <c r="I599" s="448">
        <f t="shared" si="32"/>
        <v>2.5999999999999996</v>
      </c>
    </row>
    <row r="600" spans="1:9" ht="13.5">
      <c r="A600" s="45"/>
      <c r="B600" s="117"/>
      <c r="C600" s="471" t="s">
        <v>1290</v>
      </c>
      <c r="D600" s="4" t="s">
        <v>879</v>
      </c>
      <c r="E600" s="45"/>
      <c r="F600" s="448">
        <f>0.3+1.8</f>
        <v>2.1</v>
      </c>
      <c r="G600" s="448"/>
      <c r="H600" s="448"/>
      <c r="I600" s="448">
        <f t="shared" si="32"/>
        <v>2.1</v>
      </c>
    </row>
    <row r="601" spans="1:9" ht="13.5">
      <c r="A601" s="45"/>
      <c r="B601" s="117"/>
      <c r="C601" s="471" t="s">
        <v>1291</v>
      </c>
      <c r="D601" s="4" t="s">
        <v>879</v>
      </c>
      <c r="E601" s="45"/>
      <c r="F601" s="448">
        <f>0.3+6.4+1+1.8</f>
        <v>9.5</v>
      </c>
      <c r="G601" s="448"/>
      <c r="H601" s="448"/>
      <c r="I601" s="448">
        <f t="shared" si="32"/>
        <v>9.5</v>
      </c>
    </row>
    <row r="602" spans="1:9" ht="13.5">
      <c r="A602" s="45"/>
      <c r="B602" s="117"/>
      <c r="C602" s="471" t="s">
        <v>1292</v>
      </c>
      <c r="D602" s="4" t="s">
        <v>879</v>
      </c>
      <c r="E602" s="45"/>
      <c r="F602" s="448">
        <f>1.8+0.3+0.3</f>
        <v>2.4</v>
      </c>
      <c r="G602" s="448"/>
      <c r="H602" s="448"/>
      <c r="I602" s="448">
        <f t="shared" si="32"/>
        <v>2.4</v>
      </c>
    </row>
    <row r="603" spans="1:9" ht="13.5">
      <c r="A603" s="45"/>
      <c r="B603" s="117"/>
      <c r="C603" s="471" t="s">
        <v>1293</v>
      </c>
      <c r="D603" s="4" t="s">
        <v>879</v>
      </c>
      <c r="E603" s="45"/>
      <c r="F603" s="448">
        <f>0.3+1.8</f>
        <v>2.1</v>
      </c>
      <c r="G603" s="448"/>
      <c r="H603" s="448"/>
      <c r="I603" s="448">
        <f t="shared" si="32"/>
        <v>2.1</v>
      </c>
    </row>
    <row r="604" spans="1:9" ht="13.5">
      <c r="A604" s="45"/>
      <c r="B604" s="117"/>
      <c r="C604" s="471" t="s">
        <v>1294</v>
      </c>
      <c r="D604" s="4" t="s">
        <v>879</v>
      </c>
      <c r="E604" s="45"/>
      <c r="F604" s="448">
        <f>0.3+2.5+1+1.8</f>
        <v>5.6</v>
      </c>
      <c r="G604" s="448"/>
      <c r="H604" s="448"/>
      <c r="I604" s="448">
        <f t="shared" si="32"/>
        <v>5.6</v>
      </c>
    </row>
    <row r="605" spans="1:9" ht="13.5">
      <c r="A605" s="45"/>
      <c r="B605" s="117"/>
      <c r="C605" s="471" t="s">
        <v>1295</v>
      </c>
      <c r="D605" s="4" t="s">
        <v>879</v>
      </c>
      <c r="E605" s="45"/>
      <c r="F605" s="448">
        <f>1.8+0.7+0.3</f>
        <v>2.8</v>
      </c>
      <c r="G605" s="448"/>
      <c r="H605" s="448"/>
      <c r="I605" s="448">
        <f t="shared" si="32"/>
        <v>2.8</v>
      </c>
    </row>
    <row r="606" spans="1:9" ht="13.5">
      <c r="A606" s="45"/>
      <c r="B606" s="117"/>
      <c r="C606" s="471" t="s">
        <v>1296</v>
      </c>
      <c r="D606" s="4" t="s">
        <v>879</v>
      </c>
      <c r="E606" s="45"/>
      <c r="F606" s="448">
        <f>0.3+1.8</f>
        <v>2.1</v>
      </c>
      <c r="G606" s="448"/>
      <c r="H606" s="448"/>
      <c r="I606" s="448">
        <f t="shared" si="32"/>
        <v>2.1</v>
      </c>
    </row>
    <row r="607" spans="1:9" ht="13.5">
      <c r="A607" s="45"/>
      <c r="B607" s="117"/>
      <c r="C607" s="471" t="s">
        <v>1297</v>
      </c>
      <c r="D607" s="4" t="s">
        <v>879</v>
      </c>
      <c r="E607" s="45"/>
      <c r="F607" s="448">
        <f>0.3+2.2+1.8</f>
        <v>4.3</v>
      </c>
      <c r="G607" s="448"/>
      <c r="H607" s="448"/>
      <c r="I607" s="448">
        <f t="shared" si="32"/>
        <v>4.3</v>
      </c>
    </row>
    <row r="608" spans="1:9" ht="13.5">
      <c r="A608" s="45"/>
      <c r="B608" s="117"/>
      <c r="C608" s="471" t="s">
        <v>1298</v>
      </c>
      <c r="D608" s="4" t="s">
        <v>879</v>
      </c>
      <c r="E608" s="45"/>
      <c r="F608" s="448">
        <f>1.8+3.5+0.9+0.3</f>
        <v>6.5</v>
      </c>
      <c r="G608" s="448"/>
      <c r="H608" s="448"/>
      <c r="I608" s="448">
        <f t="shared" si="32"/>
        <v>6.5</v>
      </c>
    </row>
    <row r="609" spans="1:9" ht="13.5">
      <c r="A609" s="45"/>
      <c r="B609" s="117"/>
      <c r="C609" s="471" t="s">
        <v>1299</v>
      </c>
      <c r="D609" s="4" t="s">
        <v>879</v>
      </c>
      <c r="E609" s="45"/>
      <c r="F609" s="448">
        <f>0.3+1.8</f>
        <v>2.1</v>
      </c>
      <c r="G609" s="448"/>
      <c r="H609" s="448"/>
      <c r="I609" s="448">
        <f t="shared" si="32"/>
        <v>2.1</v>
      </c>
    </row>
    <row r="610" spans="1:9" ht="13.5">
      <c r="A610" s="45"/>
      <c r="B610" s="117"/>
      <c r="C610" s="471" t="s">
        <v>1300</v>
      </c>
      <c r="D610" s="4" t="s">
        <v>879</v>
      </c>
      <c r="E610" s="45"/>
      <c r="F610" s="448">
        <f>0.3+0.9+1+1.8</f>
        <v>4</v>
      </c>
      <c r="G610" s="448"/>
      <c r="H610" s="448"/>
      <c r="I610" s="448">
        <f t="shared" si="32"/>
        <v>4</v>
      </c>
    </row>
    <row r="611" spans="1:9" ht="13.5">
      <c r="A611" s="45"/>
      <c r="B611" s="117"/>
      <c r="C611" s="471" t="s">
        <v>1301</v>
      </c>
      <c r="D611" s="4" t="s">
        <v>879</v>
      </c>
      <c r="E611" s="45"/>
      <c r="F611" s="448">
        <f>1.8+1+2.5+0.3</f>
        <v>5.6</v>
      </c>
      <c r="G611" s="448"/>
      <c r="H611" s="448"/>
      <c r="I611" s="448">
        <f t="shared" si="32"/>
        <v>5.6</v>
      </c>
    </row>
    <row r="612" spans="1:9" ht="13.5">
      <c r="A612" s="45"/>
      <c r="B612" s="117"/>
      <c r="C612" s="471" t="s">
        <v>1302</v>
      </c>
      <c r="D612" s="4" t="s">
        <v>879</v>
      </c>
      <c r="E612" s="45"/>
      <c r="F612" s="448">
        <f>0.3+1.8</f>
        <v>2.1</v>
      </c>
      <c r="G612" s="448"/>
      <c r="H612" s="448"/>
      <c r="I612" s="448">
        <f t="shared" si="32"/>
        <v>2.1</v>
      </c>
    </row>
    <row r="613" spans="1:9" ht="13.5">
      <c r="A613" s="45"/>
      <c r="B613" s="117"/>
      <c r="C613" s="471" t="s">
        <v>1303</v>
      </c>
      <c r="D613" s="4" t="s">
        <v>879</v>
      </c>
      <c r="E613" s="45"/>
      <c r="F613" s="448">
        <f>1.8+1.7+0.9+1.6+0.3</f>
        <v>6.3</v>
      </c>
      <c r="G613" s="448"/>
      <c r="H613" s="448"/>
      <c r="I613" s="448">
        <f t="shared" si="32"/>
        <v>6.3</v>
      </c>
    </row>
    <row r="614" spans="1:9" ht="13.5">
      <c r="A614" s="45"/>
      <c r="B614" s="117"/>
      <c r="C614" s="471" t="s">
        <v>1304</v>
      </c>
      <c r="D614" s="4" t="s">
        <v>879</v>
      </c>
      <c r="E614" s="45"/>
      <c r="F614" s="448">
        <f>0.3+1.6+1.8</f>
        <v>3.7</v>
      </c>
      <c r="G614" s="448"/>
      <c r="H614" s="448"/>
      <c r="I614" s="448">
        <f t="shared" si="32"/>
        <v>3.7</v>
      </c>
    </row>
    <row r="615" spans="1:9" ht="13.5">
      <c r="A615" s="45"/>
      <c r="B615" s="117"/>
      <c r="C615" s="471" t="s">
        <v>1305</v>
      </c>
      <c r="D615" s="4" t="s">
        <v>879</v>
      </c>
      <c r="E615" s="45"/>
      <c r="F615" s="448">
        <f>1.8+0.3+0.3</f>
        <v>2.4</v>
      </c>
      <c r="G615" s="448"/>
      <c r="H615" s="448"/>
      <c r="I615" s="448">
        <f t="shared" si="32"/>
        <v>2.4</v>
      </c>
    </row>
    <row r="616" spans="1:9" ht="13.5">
      <c r="A616" s="45"/>
      <c r="B616" s="117"/>
      <c r="C616" s="471" t="s">
        <v>1306</v>
      </c>
      <c r="D616" s="4" t="s">
        <v>879</v>
      </c>
      <c r="E616" s="45"/>
      <c r="F616" s="448">
        <f t="shared" ref="F616:F621" si="33">0.3+1.8</f>
        <v>2.1</v>
      </c>
      <c r="G616" s="448"/>
      <c r="H616" s="448"/>
      <c r="I616" s="448">
        <f t="shared" si="32"/>
        <v>2.1</v>
      </c>
    </row>
    <row r="617" spans="1:9" ht="13.5">
      <c r="A617" s="45"/>
      <c r="B617" s="117"/>
      <c r="C617" s="471" t="s">
        <v>1307</v>
      </c>
      <c r="D617" s="4" t="s">
        <v>879</v>
      </c>
      <c r="E617" s="45"/>
      <c r="F617" s="448">
        <f>0.3+1.6+1.8</f>
        <v>3.7</v>
      </c>
      <c r="G617" s="448"/>
      <c r="H617" s="448"/>
      <c r="I617" s="448">
        <f t="shared" si="32"/>
        <v>3.7</v>
      </c>
    </row>
    <row r="618" spans="1:9" ht="13.5">
      <c r="A618" s="45"/>
      <c r="B618" s="117"/>
      <c r="C618" s="471" t="s">
        <v>1308</v>
      </c>
      <c r="D618" s="4" t="s">
        <v>879</v>
      </c>
      <c r="E618" s="45"/>
      <c r="F618" s="448">
        <f>1.8+0.4+0.3</f>
        <v>2.5</v>
      </c>
      <c r="G618" s="448"/>
      <c r="H618" s="448"/>
      <c r="I618" s="448">
        <f t="shared" si="32"/>
        <v>2.5</v>
      </c>
    </row>
    <row r="619" spans="1:9" ht="13.5">
      <c r="A619" s="45"/>
      <c r="B619" s="117"/>
      <c r="C619" s="471" t="s">
        <v>1309</v>
      </c>
      <c r="D619" s="4" t="s">
        <v>879</v>
      </c>
      <c r="E619" s="45"/>
      <c r="F619" s="448">
        <f t="shared" si="33"/>
        <v>2.1</v>
      </c>
      <c r="G619" s="448"/>
      <c r="H619" s="448"/>
      <c r="I619" s="448">
        <f t="shared" si="32"/>
        <v>2.1</v>
      </c>
    </row>
    <row r="620" spans="1:9" ht="13.5">
      <c r="A620" s="45"/>
      <c r="B620" s="117"/>
      <c r="C620" s="471" t="s">
        <v>1310</v>
      </c>
      <c r="D620" s="4" t="s">
        <v>879</v>
      </c>
      <c r="E620" s="45"/>
      <c r="F620" s="448">
        <f>0.3+5.6+0.9+0.3</f>
        <v>7.1</v>
      </c>
      <c r="G620" s="448"/>
      <c r="H620" s="448"/>
      <c r="I620" s="448">
        <f t="shared" si="32"/>
        <v>7.1</v>
      </c>
    </row>
    <row r="621" spans="1:9" ht="13.5">
      <c r="A621" s="45"/>
      <c r="B621" s="117"/>
      <c r="C621" s="471" t="s">
        <v>1311</v>
      </c>
      <c r="D621" s="4" t="s">
        <v>879</v>
      </c>
      <c r="E621" s="45"/>
      <c r="F621" s="448">
        <f t="shared" si="33"/>
        <v>2.1</v>
      </c>
      <c r="G621" s="448"/>
      <c r="H621" s="448"/>
      <c r="I621" s="448">
        <f t="shared" si="32"/>
        <v>2.1</v>
      </c>
    </row>
    <row r="622" spans="1:9" ht="13.5">
      <c r="A622" s="45"/>
      <c r="B622" s="117"/>
      <c r="C622" s="471" t="s">
        <v>1312</v>
      </c>
      <c r="D622" s="4" t="s">
        <v>879</v>
      </c>
      <c r="E622" s="45"/>
      <c r="F622" s="448">
        <f>0.3+0.5+1.8</f>
        <v>2.6</v>
      </c>
      <c r="G622" s="448"/>
      <c r="H622" s="448"/>
      <c r="I622" s="448">
        <f t="shared" si="32"/>
        <v>2.6</v>
      </c>
    </row>
    <row r="623" spans="1:9" ht="13.5">
      <c r="A623" s="45"/>
      <c r="B623" s="117"/>
      <c r="C623" s="471" t="s">
        <v>1313</v>
      </c>
      <c r="D623" s="4" t="s">
        <v>879</v>
      </c>
      <c r="E623" s="45"/>
      <c r="F623" s="448">
        <f>1.8+5.6+0.9+1.8</f>
        <v>10.1</v>
      </c>
      <c r="G623" s="448"/>
      <c r="H623" s="448"/>
      <c r="I623" s="448">
        <f t="shared" si="32"/>
        <v>10.1</v>
      </c>
    </row>
    <row r="624" spans="1:9" ht="13.5">
      <c r="A624" s="45"/>
      <c r="B624" s="117"/>
      <c r="C624" s="471" t="s">
        <v>1314</v>
      </c>
      <c r="D624" s="4" t="s">
        <v>879</v>
      </c>
      <c r="E624" s="45"/>
      <c r="F624" s="448">
        <f>1.8+0.9+0.3</f>
        <v>3</v>
      </c>
      <c r="G624" s="448"/>
      <c r="H624" s="448"/>
      <c r="I624" s="448">
        <f t="shared" si="32"/>
        <v>3</v>
      </c>
    </row>
    <row r="625" spans="1:9" ht="13.5">
      <c r="A625" s="45"/>
      <c r="B625" s="117"/>
      <c r="C625" s="471" t="s">
        <v>1315</v>
      </c>
      <c r="D625" s="4" t="s">
        <v>879</v>
      </c>
      <c r="E625" s="45"/>
      <c r="F625" s="448">
        <f>0.3+1.8</f>
        <v>2.1</v>
      </c>
      <c r="G625" s="448"/>
      <c r="H625" s="448"/>
      <c r="I625" s="448">
        <f t="shared" si="32"/>
        <v>2.1</v>
      </c>
    </row>
    <row r="626" spans="1:9" ht="13.5">
      <c r="A626" s="45"/>
      <c r="B626" s="117"/>
      <c r="C626" s="471" t="s">
        <v>1316</v>
      </c>
      <c r="D626" s="4" t="s">
        <v>879</v>
      </c>
      <c r="E626" s="45"/>
      <c r="F626" s="448">
        <f>0.3+5.5+0.9+4.1+1.8</f>
        <v>12.600000000000001</v>
      </c>
      <c r="G626" s="448"/>
      <c r="H626" s="448"/>
      <c r="I626" s="448">
        <f t="shared" si="32"/>
        <v>12.600000000000001</v>
      </c>
    </row>
    <row r="627" spans="1:9" ht="13.5">
      <c r="A627" s="45"/>
      <c r="B627" s="117"/>
      <c r="C627" s="471" t="s">
        <v>1317</v>
      </c>
      <c r="D627" s="4" t="s">
        <v>879</v>
      </c>
      <c r="E627" s="45"/>
      <c r="F627" s="448">
        <f>1.8+0.4+0.3</f>
        <v>2.5</v>
      </c>
      <c r="G627" s="448"/>
      <c r="H627" s="448"/>
      <c r="I627" s="448">
        <f t="shared" si="32"/>
        <v>2.5</v>
      </c>
    </row>
    <row r="628" spans="1:9" ht="13.5">
      <c r="A628" s="45"/>
      <c r="B628" s="117"/>
      <c r="C628" s="471" t="s">
        <v>1318</v>
      </c>
      <c r="D628" s="4" t="s">
        <v>879</v>
      </c>
      <c r="E628" s="45"/>
      <c r="F628" s="448">
        <f>0.3+1.8</f>
        <v>2.1</v>
      </c>
      <c r="G628" s="448"/>
      <c r="H628" s="448"/>
      <c r="I628" s="448">
        <f t="shared" si="32"/>
        <v>2.1</v>
      </c>
    </row>
    <row r="629" spans="1:9" ht="13.5">
      <c r="A629" s="45"/>
      <c r="B629" s="117"/>
      <c r="C629" s="471" t="s">
        <v>1319</v>
      </c>
      <c r="D629" s="4" t="s">
        <v>879</v>
      </c>
      <c r="E629" s="45"/>
      <c r="F629" s="448">
        <f>0.3+6.2+0.9+1.8</f>
        <v>9.2000000000000011</v>
      </c>
      <c r="G629" s="448"/>
      <c r="H629" s="448"/>
      <c r="I629" s="448">
        <f t="shared" si="32"/>
        <v>9.2000000000000011</v>
      </c>
    </row>
    <row r="630" spans="1:9" ht="13.5">
      <c r="A630" s="45"/>
      <c r="B630" s="117"/>
      <c r="C630" s="471" t="s">
        <v>1320</v>
      </c>
      <c r="D630" s="4" t="s">
        <v>879</v>
      </c>
      <c r="E630" s="45"/>
      <c r="F630" s="448">
        <f>1.8+0.4+0.3</f>
        <v>2.5</v>
      </c>
      <c r="G630" s="448"/>
      <c r="H630" s="448"/>
      <c r="I630" s="448">
        <f t="shared" si="32"/>
        <v>2.5</v>
      </c>
    </row>
    <row r="631" spans="1:9" ht="13.5">
      <c r="A631" s="45"/>
      <c r="B631" s="117"/>
      <c r="C631" s="471" t="s">
        <v>1321</v>
      </c>
      <c r="D631" s="4" t="s">
        <v>879</v>
      </c>
      <c r="E631" s="45"/>
      <c r="F631" s="448">
        <f>0.3+1.8</f>
        <v>2.1</v>
      </c>
      <c r="G631" s="448"/>
      <c r="H631" s="448"/>
      <c r="I631" s="448">
        <f t="shared" si="32"/>
        <v>2.1</v>
      </c>
    </row>
    <row r="632" spans="1:9" ht="13.5">
      <c r="A632" s="45"/>
      <c r="B632" s="117"/>
      <c r="C632" s="471" t="s">
        <v>1322</v>
      </c>
      <c r="D632" s="4" t="s">
        <v>879</v>
      </c>
      <c r="E632" s="45"/>
      <c r="F632" s="448">
        <f>0.3+3.2+1.2+2.8+0.3</f>
        <v>7.8</v>
      </c>
      <c r="G632" s="448"/>
      <c r="H632" s="448"/>
      <c r="I632" s="448">
        <f t="shared" si="32"/>
        <v>7.8</v>
      </c>
    </row>
    <row r="633" spans="1:9" ht="13.5">
      <c r="A633" s="45"/>
      <c r="B633" s="117"/>
      <c r="C633" s="471" t="s">
        <v>1323</v>
      </c>
      <c r="D633" s="4" t="s">
        <v>879</v>
      </c>
      <c r="E633" s="45"/>
      <c r="F633" s="448">
        <f>0.4+0.2+0.3</f>
        <v>0.90000000000000013</v>
      </c>
      <c r="G633" s="448"/>
      <c r="H633" s="448"/>
      <c r="I633" s="448">
        <f t="shared" si="32"/>
        <v>0.90000000000000013</v>
      </c>
    </row>
    <row r="634" spans="1:9" ht="13.5">
      <c r="A634" s="45"/>
      <c r="B634" s="117"/>
      <c r="C634" s="471" t="s">
        <v>1324</v>
      </c>
      <c r="D634" s="4" t="s">
        <v>879</v>
      </c>
      <c r="E634" s="45"/>
      <c r="F634" s="448">
        <f>0.4+2.8+1.4+1.9+1.8</f>
        <v>8.3000000000000007</v>
      </c>
      <c r="G634" s="448"/>
      <c r="H634" s="448"/>
      <c r="I634" s="448">
        <f t="shared" si="32"/>
        <v>8.3000000000000007</v>
      </c>
    </row>
    <row r="635" spans="1:9" ht="13.5">
      <c r="A635" s="45"/>
      <c r="B635" s="117"/>
      <c r="C635" s="471" t="s">
        <v>1325</v>
      </c>
      <c r="D635" s="4" t="s">
        <v>879</v>
      </c>
      <c r="E635" s="45"/>
      <c r="F635" s="448">
        <f>1.8+0.5+0.3</f>
        <v>2.5999999999999996</v>
      </c>
      <c r="G635" s="448"/>
      <c r="H635" s="448"/>
      <c r="I635" s="448">
        <f t="shared" si="32"/>
        <v>2.5999999999999996</v>
      </c>
    </row>
    <row r="636" spans="1:9" ht="13.5">
      <c r="A636" s="45"/>
      <c r="B636" s="117"/>
      <c r="C636" s="471" t="s">
        <v>1326</v>
      </c>
      <c r="D636" s="4" t="s">
        <v>879</v>
      </c>
      <c r="E636" s="45"/>
      <c r="F636" s="448">
        <f>0.3+1.8</f>
        <v>2.1</v>
      </c>
      <c r="G636" s="448"/>
      <c r="H636" s="448"/>
      <c r="I636" s="448">
        <f t="shared" si="32"/>
        <v>2.1</v>
      </c>
    </row>
    <row r="637" spans="1:9" ht="13.5">
      <c r="A637" s="45"/>
      <c r="B637" s="117"/>
      <c r="C637" s="471" t="s">
        <v>1327</v>
      </c>
      <c r="D637" s="4" t="s">
        <v>879</v>
      </c>
      <c r="E637" s="45"/>
      <c r="F637" s="448">
        <f>0.3+3.5+1.2+3.5</f>
        <v>8.5</v>
      </c>
      <c r="G637" s="448"/>
      <c r="H637" s="448"/>
      <c r="I637" s="448">
        <f t="shared" si="32"/>
        <v>8.5</v>
      </c>
    </row>
    <row r="638" spans="1:9" ht="13.5">
      <c r="A638" s="45"/>
      <c r="B638" s="117"/>
      <c r="C638" s="471"/>
      <c r="D638" s="4"/>
      <c r="E638" s="45"/>
      <c r="F638" s="448"/>
      <c r="G638" s="448"/>
      <c r="H638" s="448"/>
      <c r="I638" s="448"/>
    </row>
    <row r="639" spans="1:9" ht="13.5">
      <c r="A639" s="45"/>
      <c r="B639" s="117"/>
      <c r="C639" s="457" t="s">
        <v>1328</v>
      </c>
      <c r="D639" s="4"/>
      <c r="E639" s="45"/>
      <c r="F639" s="448"/>
      <c r="G639" s="448"/>
      <c r="H639" s="448"/>
      <c r="I639" s="448"/>
    </row>
    <row r="640" spans="1:9" ht="13.5">
      <c r="A640" s="45"/>
      <c r="B640" s="117"/>
      <c r="C640" s="471" t="s">
        <v>1329</v>
      </c>
      <c r="D640" s="4" t="s">
        <v>879</v>
      </c>
      <c r="E640" s="45"/>
      <c r="F640" s="448">
        <f>4+1.5+1.8</f>
        <v>7.3</v>
      </c>
      <c r="G640" s="448"/>
      <c r="H640" s="448"/>
      <c r="I640" s="448">
        <f t="shared" ref="I640:I652" si="34">F640</f>
        <v>7.3</v>
      </c>
    </row>
    <row r="641" spans="1:9" ht="13.5">
      <c r="A641" s="45"/>
      <c r="B641" s="117"/>
      <c r="C641" s="471" t="s">
        <v>1330</v>
      </c>
      <c r="D641" s="4" t="s">
        <v>879</v>
      </c>
      <c r="E641" s="45"/>
      <c r="F641" s="448">
        <f>1.8+4.5+0.9+1.8</f>
        <v>9</v>
      </c>
      <c r="G641" s="448"/>
      <c r="H641" s="448"/>
      <c r="I641" s="448">
        <f t="shared" si="34"/>
        <v>9</v>
      </c>
    </row>
    <row r="642" spans="1:9" ht="13.5">
      <c r="A642" s="45"/>
      <c r="B642" s="117"/>
      <c r="C642" s="471" t="s">
        <v>1331</v>
      </c>
      <c r="D642" s="4" t="s">
        <v>879</v>
      </c>
      <c r="E642" s="45"/>
      <c r="F642" s="448">
        <f>1.8+2.5+1.8</f>
        <v>6.1</v>
      </c>
      <c r="G642" s="448"/>
      <c r="H642" s="448"/>
      <c r="I642" s="448">
        <f t="shared" si="34"/>
        <v>6.1</v>
      </c>
    </row>
    <row r="643" spans="1:9" ht="13.5">
      <c r="A643" s="45"/>
      <c r="B643" s="117"/>
      <c r="C643" s="471" t="s">
        <v>1332</v>
      </c>
      <c r="D643" s="4" t="s">
        <v>879</v>
      </c>
      <c r="E643" s="45"/>
      <c r="F643" s="448">
        <f>1.8+4.9+1.8</f>
        <v>8.5</v>
      </c>
      <c r="G643" s="448"/>
      <c r="H643" s="448"/>
      <c r="I643" s="448">
        <f t="shared" si="34"/>
        <v>8.5</v>
      </c>
    </row>
    <row r="644" spans="1:9" ht="13.5">
      <c r="A644" s="45"/>
      <c r="B644" s="117"/>
      <c r="C644" s="471" t="s">
        <v>1333</v>
      </c>
      <c r="D644" s="4" t="s">
        <v>879</v>
      </c>
      <c r="E644" s="45"/>
      <c r="F644" s="448">
        <f>1.8+1.6+6.5+1.8</f>
        <v>11.700000000000001</v>
      </c>
      <c r="G644" s="448"/>
      <c r="H644" s="448"/>
      <c r="I644" s="448">
        <f t="shared" si="34"/>
        <v>11.700000000000001</v>
      </c>
    </row>
    <row r="645" spans="1:9" ht="13.5">
      <c r="A645" s="45"/>
      <c r="B645" s="117"/>
      <c r="C645" s="471" t="s">
        <v>1334</v>
      </c>
      <c r="D645" s="4" t="s">
        <v>879</v>
      </c>
      <c r="E645" s="45"/>
      <c r="F645" s="448">
        <f>1.8+0.8+4.8+0.9+1.8</f>
        <v>10.100000000000001</v>
      </c>
      <c r="G645" s="448"/>
      <c r="H645" s="448"/>
      <c r="I645" s="448">
        <f t="shared" si="34"/>
        <v>10.100000000000001</v>
      </c>
    </row>
    <row r="646" spans="1:9" ht="13.5">
      <c r="A646" s="45"/>
      <c r="B646" s="117"/>
      <c r="C646" s="471" t="s">
        <v>1335</v>
      </c>
      <c r="D646" s="4" t="s">
        <v>879</v>
      </c>
      <c r="E646" s="45"/>
      <c r="F646" s="448">
        <f>1.8+5.6+1.8</f>
        <v>9.1999999999999993</v>
      </c>
      <c r="G646" s="448"/>
      <c r="H646" s="448"/>
      <c r="I646" s="448">
        <f t="shared" si="34"/>
        <v>9.1999999999999993</v>
      </c>
    </row>
    <row r="647" spans="1:9" ht="13.5">
      <c r="A647" s="45"/>
      <c r="B647" s="117"/>
      <c r="C647" s="471" t="s">
        <v>1336</v>
      </c>
      <c r="D647" s="4" t="s">
        <v>879</v>
      </c>
      <c r="E647" s="45"/>
      <c r="F647" s="448">
        <f>1.8+1.3+1.8</f>
        <v>4.9000000000000004</v>
      </c>
      <c r="G647" s="448"/>
      <c r="H647" s="448"/>
      <c r="I647" s="448">
        <f t="shared" si="34"/>
        <v>4.9000000000000004</v>
      </c>
    </row>
    <row r="648" spans="1:9" ht="13.5">
      <c r="A648" s="45"/>
      <c r="B648" s="117"/>
      <c r="C648" s="471" t="s">
        <v>1337</v>
      </c>
      <c r="D648" s="4" t="s">
        <v>879</v>
      </c>
      <c r="E648" s="45"/>
      <c r="F648" s="448">
        <f>1.8+2.8+1.8</f>
        <v>6.3999999999999995</v>
      </c>
      <c r="G648" s="448"/>
      <c r="H648" s="448"/>
      <c r="I648" s="448">
        <f t="shared" si="34"/>
        <v>6.3999999999999995</v>
      </c>
    </row>
    <row r="649" spans="1:9" ht="13.5">
      <c r="A649" s="45"/>
      <c r="B649" s="117"/>
      <c r="C649" s="471" t="s">
        <v>1338</v>
      </c>
      <c r="D649" s="4" t="s">
        <v>879</v>
      </c>
      <c r="E649" s="45"/>
      <c r="F649" s="448">
        <f>1.8+5+0.9+1.8</f>
        <v>9.5</v>
      </c>
      <c r="G649" s="448"/>
      <c r="H649" s="448"/>
      <c r="I649" s="448">
        <f t="shared" si="34"/>
        <v>9.5</v>
      </c>
    </row>
    <row r="650" spans="1:9" ht="13.5">
      <c r="A650" s="45"/>
      <c r="B650" s="117"/>
      <c r="C650" s="471" t="s">
        <v>1339</v>
      </c>
      <c r="D650" s="4" t="s">
        <v>879</v>
      </c>
      <c r="E650" s="45"/>
      <c r="F650" s="448">
        <f>1.8+5+3.8+1.8</f>
        <v>12.4</v>
      </c>
      <c r="G650" s="448"/>
      <c r="H650" s="448"/>
      <c r="I650" s="448">
        <f t="shared" si="34"/>
        <v>12.4</v>
      </c>
    </row>
    <row r="651" spans="1:9" ht="13.5">
      <c r="A651" s="45"/>
      <c r="B651" s="117"/>
      <c r="C651" s="471" t="s">
        <v>1340</v>
      </c>
      <c r="D651" s="4" t="s">
        <v>879</v>
      </c>
      <c r="E651" s="45"/>
      <c r="F651" s="448">
        <f>1.8+6.8+1.8</f>
        <v>10.4</v>
      </c>
      <c r="G651" s="448"/>
      <c r="H651" s="448"/>
      <c r="I651" s="448">
        <f t="shared" si="34"/>
        <v>10.4</v>
      </c>
    </row>
    <row r="652" spans="1:9" ht="13.5">
      <c r="A652" s="45"/>
      <c r="B652" s="117"/>
      <c r="C652" s="471" t="s">
        <v>1341</v>
      </c>
      <c r="D652" s="4" t="s">
        <v>879</v>
      </c>
      <c r="E652" s="45"/>
      <c r="F652" s="448">
        <f>1.8+3.6+1.8</f>
        <v>7.2</v>
      </c>
      <c r="G652" s="448"/>
      <c r="H652" s="448"/>
      <c r="I652" s="448">
        <f t="shared" si="34"/>
        <v>7.2</v>
      </c>
    </row>
    <row r="653" spans="1:9" ht="13.5">
      <c r="A653" s="56"/>
      <c r="B653" s="450"/>
      <c r="C653" s="473" t="s">
        <v>481</v>
      </c>
      <c r="D653" s="450"/>
      <c r="E653" s="56"/>
      <c r="F653" s="453"/>
      <c r="G653" s="453"/>
      <c r="H653" s="453"/>
      <c r="I653" s="459"/>
    </row>
    <row r="654" spans="1:9">
      <c r="A654" s="45"/>
      <c r="B654" s="448"/>
      <c r="C654" s="448"/>
      <c r="D654" s="448"/>
      <c r="E654" s="45"/>
      <c r="F654" s="448"/>
      <c r="G654" s="448"/>
      <c r="H654" s="448"/>
      <c r="I654" s="448"/>
    </row>
    <row r="655" spans="1:9" ht="67.5">
      <c r="A655" s="45">
        <v>174</v>
      </c>
      <c r="B655" s="117">
        <v>11</v>
      </c>
      <c r="C655" s="471" t="s">
        <v>994</v>
      </c>
      <c r="D655" s="4"/>
      <c r="E655" s="45"/>
      <c r="F655" s="448"/>
      <c r="G655" s="448"/>
      <c r="H655" s="448"/>
      <c r="I655" s="448"/>
    </row>
    <row r="656" spans="1:9" ht="13.5">
      <c r="A656" s="45">
        <v>175</v>
      </c>
      <c r="B656" s="485" t="s">
        <v>883</v>
      </c>
      <c r="C656" s="486" t="s">
        <v>995</v>
      </c>
      <c r="D656" s="448"/>
      <c r="E656" s="45"/>
      <c r="F656" s="448"/>
      <c r="G656" s="448"/>
      <c r="H656" s="448"/>
      <c r="I656" s="448"/>
    </row>
    <row r="657" spans="1:9" ht="13.5">
      <c r="A657" s="45">
        <v>177</v>
      </c>
      <c r="B657" s="487"/>
      <c r="C657" s="488" t="s">
        <v>996</v>
      </c>
      <c r="D657" s="4"/>
      <c r="E657" s="45"/>
      <c r="F657" s="448"/>
      <c r="G657" s="448"/>
      <c r="H657" s="448"/>
      <c r="I657" s="448"/>
    </row>
    <row r="658" spans="1:9" ht="54">
      <c r="A658" s="45">
        <v>178</v>
      </c>
      <c r="B658" s="117">
        <v>1</v>
      </c>
      <c r="C658" s="471" t="s">
        <v>1342</v>
      </c>
      <c r="D658" s="4" t="s">
        <v>657</v>
      </c>
      <c r="E658" s="45"/>
      <c r="F658" s="448"/>
      <c r="G658" s="448"/>
      <c r="H658" s="448"/>
      <c r="I658" s="448"/>
    </row>
    <row r="659" spans="1:9" ht="13.5">
      <c r="A659" s="45"/>
      <c r="B659" s="117"/>
      <c r="C659" s="471" t="s">
        <v>1343</v>
      </c>
      <c r="D659" s="4" t="s">
        <v>1344</v>
      </c>
      <c r="E659" s="45">
        <v>1</v>
      </c>
      <c r="F659" s="448"/>
      <c r="G659" s="448"/>
      <c r="H659" s="448"/>
      <c r="I659" s="448">
        <f t="shared" ref="I659:I671" si="35">E659</f>
        <v>1</v>
      </c>
    </row>
    <row r="660" spans="1:9" ht="13.5">
      <c r="A660" s="45"/>
      <c r="B660" s="117"/>
      <c r="C660" s="471" t="s">
        <v>1345</v>
      </c>
      <c r="D660" s="4" t="s">
        <v>1344</v>
      </c>
      <c r="E660" s="45">
        <v>1</v>
      </c>
      <c r="F660" s="448"/>
      <c r="G660" s="448"/>
      <c r="H660" s="448"/>
      <c r="I660" s="448">
        <f t="shared" si="35"/>
        <v>1</v>
      </c>
    </row>
    <row r="661" spans="1:9" ht="13.5">
      <c r="A661" s="45"/>
      <c r="B661" s="117"/>
      <c r="C661" s="471" t="s">
        <v>1346</v>
      </c>
      <c r="D661" s="4" t="s">
        <v>1344</v>
      </c>
      <c r="E661" s="45">
        <v>1</v>
      </c>
      <c r="F661" s="448"/>
      <c r="G661" s="448"/>
      <c r="H661" s="448"/>
      <c r="I661" s="448">
        <f t="shared" si="35"/>
        <v>1</v>
      </c>
    </row>
    <row r="662" spans="1:9" ht="13.5">
      <c r="A662" s="45"/>
      <c r="B662" s="117"/>
      <c r="C662" s="471" t="s">
        <v>1347</v>
      </c>
      <c r="D662" s="4" t="s">
        <v>1344</v>
      </c>
      <c r="E662" s="45">
        <v>1</v>
      </c>
      <c r="F662" s="448"/>
      <c r="G662" s="448"/>
      <c r="H662" s="448"/>
      <c r="I662" s="448">
        <f t="shared" si="35"/>
        <v>1</v>
      </c>
    </row>
    <row r="663" spans="1:9" ht="13.5">
      <c r="A663" s="45"/>
      <c r="B663" s="117"/>
      <c r="C663" s="471" t="s">
        <v>1348</v>
      </c>
      <c r="D663" s="4" t="s">
        <v>1344</v>
      </c>
      <c r="E663" s="45">
        <v>1</v>
      </c>
      <c r="F663" s="448"/>
      <c r="G663" s="448"/>
      <c r="H663" s="448"/>
      <c r="I663" s="448">
        <f t="shared" si="35"/>
        <v>1</v>
      </c>
    </row>
    <row r="664" spans="1:9" ht="13.5">
      <c r="A664" s="45"/>
      <c r="B664" s="117"/>
      <c r="C664" s="471" t="s">
        <v>1349</v>
      </c>
      <c r="D664" s="4" t="s">
        <v>1344</v>
      </c>
      <c r="E664" s="45">
        <v>1</v>
      </c>
      <c r="F664" s="448"/>
      <c r="G664" s="448"/>
      <c r="H664" s="448"/>
      <c r="I664" s="448">
        <f t="shared" si="35"/>
        <v>1</v>
      </c>
    </row>
    <row r="665" spans="1:9" ht="13.5">
      <c r="A665" s="45"/>
      <c r="B665" s="117"/>
      <c r="C665" s="471" t="s">
        <v>1350</v>
      </c>
      <c r="D665" s="4" t="s">
        <v>1344</v>
      </c>
      <c r="E665" s="45">
        <v>1</v>
      </c>
      <c r="F665" s="448"/>
      <c r="G665" s="448"/>
      <c r="H665" s="448"/>
      <c r="I665" s="448">
        <f t="shared" si="35"/>
        <v>1</v>
      </c>
    </row>
    <row r="666" spans="1:9" ht="13.5">
      <c r="A666" s="45"/>
      <c r="B666" s="117"/>
      <c r="C666" s="471" t="s">
        <v>1351</v>
      </c>
      <c r="D666" s="4" t="s">
        <v>1344</v>
      </c>
      <c r="E666" s="45">
        <v>1</v>
      </c>
      <c r="F666" s="448"/>
      <c r="G666" s="448"/>
      <c r="H666" s="448"/>
      <c r="I666" s="448">
        <f t="shared" si="35"/>
        <v>1</v>
      </c>
    </row>
    <row r="667" spans="1:9" ht="13.5">
      <c r="A667" s="45"/>
      <c r="B667" s="117"/>
      <c r="C667" s="471" t="s">
        <v>1352</v>
      </c>
      <c r="D667" s="4" t="s">
        <v>1344</v>
      </c>
      <c r="E667" s="45">
        <v>1</v>
      </c>
      <c r="F667" s="448"/>
      <c r="G667" s="448"/>
      <c r="H667" s="448"/>
      <c r="I667" s="448">
        <f t="shared" si="35"/>
        <v>1</v>
      </c>
    </row>
    <row r="668" spans="1:9" ht="13.5">
      <c r="A668" s="45"/>
      <c r="B668" s="117"/>
      <c r="C668" s="471" t="s">
        <v>1353</v>
      </c>
      <c r="D668" s="4" t="s">
        <v>1344</v>
      </c>
      <c r="E668" s="45">
        <v>1</v>
      </c>
      <c r="F668" s="448"/>
      <c r="G668" s="448"/>
      <c r="H668" s="448"/>
      <c r="I668" s="448">
        <f t="shared" si="35"/>
        <v>1</v>
      </c>
    </row>
    <row r="669" spans="1:9" ht="13.5">
      <c r="A669" s="45"/>
      <c r="B669" s="117"/>
      <c r="C669" s="471" t="s">
        <v>1354</v>
      </c>
      <c r="D669" s="4" t="s">
        <v>1344</v>
      </c>
      <c r="E669" s="45">
        <v>1</v>
      </c>
      <c r="F669" s="448"/>
      <c r="G669" s="448"/>
      <c r="H669" s="448"/>
      <c r="I669" s="448">
        <f t="shared" si="35"/>
        <v>1</v>
      </c>
    </row>
    <row r="670" spans="1:9" ht="13.5">
      <c r="A670" s="45"/>
      <c r="B670" s="117"/>
      <c r="C670" s="471" t="s">
        <v>1355</v>
      </c>
      <c r="D670" s="4" t="s">
        <v>1344</v>
      </c>
      <c r="E670" s="45">
        <v>1</v>
      </c>
      <c r="F670" s="448"/>
      <c r="G670" s="448"/>
      <c r="H670" s="448"/>
      <c r="I670" s="448">
        <f t="shared" si="35"/>
        <v>1</v>
      </c>
    </row>
    <row r="671" spans="1:9" ht="13.5">
      <c r="A671" s="45"/>
      <c r="B671" s="117"/>
      <c r="C671" s="471" t="s">
        <v>1356</v>
      </c>
      <c r="D671" s="4" t="s">
        <v>1344</v>
      </c>
      <c r="E671" s="45">
        <v>1</v>
      </c>
      <c r="F671" s="448"/>
      <c r="G671" s="448"/>
      <c r="H671" s="448"/>
      <c r="I671" s="448">
        <f t="shared" si="35"/>
        <v>1</v>
      </c>
    </row>
    <row r="672" spans="1:9" ht="13.5">
      <c r="A672" s="45"/>
      <c r="B672" s="117"/>
      <c r="C672" s="471"/>
      <c r="D672" s="4"/>
      <c r="E672" s="45"/>
      <c r="F672" s="448"/>
      <c r="G672" s="448"/>
      <c r="H672" s="448"/>
      <c r="I672" s="448"/>
    </row>
    <row r="673" spans="1:9" ht="13.5">
      <c r="A673" s="56"/>
      <c r="B673" s="450"/>
      <c r="C673" s="473" t="s">
        <v>481</v>
      </c>
      <c r="D673" s="450"/>
      <c r="E673" s="56"/>
      <c r="F673" s="453"/>
      <c r="G673" s="453"/>
      <c r="H673" s="453"/>
      <c r="I673" s="459">
        <f>SUM(I659:I671)</f>
        <v>13</v>
      </c>
    </row>
    <row r="674" spans="1:9" ht="13.5">
      <c r="A674" s="56"/>
      <c r="B674" s="450"/>
      <c r="C674" s="456" t="s">
        <v>1892</v>
      </c>
      <c r="D674" s="450"/>
      <c r="E674" s="56"/>
      <c r="F674" s="453"/>
      <c r="G674" s="453"/>
      <c r="H674" s="453"/>
      <c r="I674" s="459">
        <v>9</v>
      </c>
    </row>
    <row r="675" spans="1:9" ht="13.5">
      <c r="A675" s="56"/>
      <c r="B675" s="450"/>
      <c r="C675" s="456" t="s">
        <v>1893</v>
      </c>
      <c r="D675" s="450"/>
      <c r="E675" s="56"/>
      <c r="F675" s="453"/>
      <c r="G675" s="453"/>
      <c r="H675" s="453"/>
      <c r="I675" s="459">
        <v>4</v>
      </c>
    </row>
    <row r="676" spans="1:9" ht="13.5">
      <c r="A676" s="56"/>
      <c r="B676" s="450"/>
      <c r="C676" s="1158" t="s">
        <v>813</v>
      </c>
      <c r="D676" s="450"/>
      <c r="E676" s="56"/>
      <c r="F676" s="453"/>
      <c r="G676" s="453"/>
      <c r="H676" s="453"/>
      <c r="I676" s="459">
        <f>SUM(I674:I675)</f>
        <v>13</v>
      </c>
    </row>
    <row r="677" spans="1:9" ht="13.5">
      <c r="A677" s="45"/>
      <c r="B677" s="117"/>
      <c r="C677" s="471"/>
      <c r="D677" s="4"/>
      <c r="E677" s="45"/>
      <c r="F677" s="448"/>
      <c r="G677" s="448"/>
      <c r="H677" s="448"/>
      <c r="I677" s="461"/>
    </row>
    <row r="678" spans="1:9" ht="54">
      <c r="A678" s="45">
        <v>179</v>
      </c>
      <c r="B678" s="117">
        <v>2</v>
      </c>
      <c r="C678" s="471" t="s">
        <v>998</v>
      </c>
      <c r="D678" s="4" t="s">
        <v>657</v>
      </c>
      <c r="E678" s="45">
        <v>1</v>
      </c>
      <c r="F678" s="448"/>
      <c r="G678" s="448"/>
      <c r="H678" s="448"/>
      <c r="I678" s="448">
        <f>E678</f>
        <v>1</v>
      </c>
    </row>
    <row r="679" spans="1:9" ht="13.5">
      <c r="A679" s="56"/>
      <c r="B679" s="450"/>
      <c r="C679" s="473" t="s">
        <v>481</v>
      </c>
      <c r="D679" s="450"/>
      <c r="E679" s="56"/>
      <c r="F679" s="453"/>
      <c r="G679" s="453"/>
      <c r="H679" s="453"/>
      <c r="I679" s="459"/>
    </row>
    <row r="680" spans="1:9" ht="13.5">
      <c r="A680" s="45"/>
      <c r="B680" s="117"/>
      <c r="C680" s="471"/>
      <c r="D680" s="4"/>
      <c r="E680" s="45"/>
      <c r="F680" s="448"/>
      <c r="G680" s="448"/>
      <c r="H680" s="448"/>
      <c r="I680" s="448"/>
    </row>
    <row r="681" spans="1:9" ht="94.5">
      <c r="A681" s="45">
        <v>180</v>
      </c>
      <c r="B681" s="117">
        <v>3</v>
      </c>
      <c r="C681" s="471" t="s">
        <v>1357</v>
      </c>
      <c r="D681" s="4" t="s">
        <v>657</v>
      </c>
      <c r="E681" s="45">
        <v>1</v>
      </c>
      <c r="F681" s="448"/>
      <c r="G681" s="448"/>
      <c r="H681" s="448"/>
      <c r="I681" s="448">
        <f>E681</f>
        <v>1</v>
      </c>
    </row>
    <row r="682" spans="1:9" ht="13.5">
      <c r="A682" s="56"/>
      <c r="B682" s="450"/>
      <c r="C682" s="473" t="s">
        <v>481</v>
      </c>
      <c r="D682" s="450"/>
      <c r="E682" s="56"/>
      <c r="F682" s="453"/>
      <c r="G682" s="453"/>
      <c r="H682" s="453"/>
      <c r="I682" s="459"/>
    </row>
    <row r="683" spans="1:9" ht="13.5">
      <c r="A683" s="45"/>
      <c r="B683" s="117"/>
      <c r="C683" s="471"/>
      <c r="D683" s="4"/>
      <c r="E683" s="45"/>
      <c r="F683" s="448"/>
      <c r="G683" s="448"/>
      <c r="H683" s="448"/>
      <c r="I683" s="448"/>
    </row>
    <row r="684" spans="1:9" ht="54">
      <c r="A684" s="45">
        <v>181</v>
      </c>
      <c r="B684" s="117">
        <v>4</v>
      </c>
      <c r="C684" s="471" t="s">
        <v>1358</v>
      </c>
      <c r="D684" s="4" t="s">
        <v>657</v>
      </c>
      <c r="E684" s="45">
        <v>1</v>
      </c>
      <c r="F684" s="448"/>
      <c r="G684" s="448"/>
      <c r="H684" s="448"/>
      <c r="I684" s="448">
        <f>E684</f>
        <v>1</v>
      </c>
    </row>
    <row r="685" spans="1:9" ht="13.5">
      <c r="A685" s="56"/>
      <c r="B685" s="450"/>
      <c r="C685" s="473" t="s">
        <v>481</v>
      </c>
      <c r="D685" s="450"/>
      <c r="E685" s="56"/>
      <c r="F685" s="453"/>
      <c r="G685" s="453"/>
      <c r="H685" s="453"/>
      <c r="I685" s="459"/>
    </row>
    <row r="686" spans="1:9" ht="13.5">
      <c r="A686" s="45"/>
      <c r="B686" s="117"/>
      <c r="C686" s="471"/>
      <c r="D686" s="4"/>
      <c r="E686" s="45"/>
      <c r="F686" s="448"/>
      <c r="G686" s="448"/>
      <c r="H686" s="448"/>
      <c r="I686" s="448"/>
    </row>
    <row r="687" spans="1:9" ht="27">
      <c r="A687" s="45">
        <v>182</v>
      </c>
      <c r="B687" s="117">
        <v>5</v>
      </c>
      <c r="C687" s="471" t="s">
        <v>1001</v>
      </c>
      <c r="D687" s="4" t="s">
        <v>657</v>
      </c>
      <c r="E687" s="45">
        <v>1</v>
      </c>
      <c r="F687" s="448"/>
      <c r="G687" s="448"/>
      <c r="H687" s="448"/>
      <c r="I687" s="448">
        <f>E687</f>
        <v>1</v>
      </c>
    </row>
    <row r="688" spans="1:9" ht="13.5">
      <c r="A688" s="56"/>
      <c r="B688" s="450"/>
      <c r="C688" s="473" t="s">
        <v>481</v>
      </c>
      <c r="D688" s="450"/>
      <c r="E688" s="56"/>
      <c r="F688" s="453"/>
      <c r="G688" s="453"/>
      <c r="H688" s="453"/>
      <c r="I688" s="459"/>
    </row>
    <row r="689" spans="1:9" ht="13.5">
      <c r="A689" s="45"/>
      <c r="B689" s="117"/>
      <c r="C689" s="471"/>
      <c r="D689" s="4"/>
      <c r="E689" s="45"/>
      <c r="F689" s="448"/>
      <c r="G689" s="448"/>
      <c r="H689" s="448"/>
      <c r="I689" s="448"/>
    </row>
    <row r="690" spans="1:9" ht="27">
      <c r="A690" s="45">
        <v>183</v>
      </c>
      <c r="B690" s="117">
        <v>6</v>
      </c>
      <c r="C690" s="471" t="s">
        <v>1002</v>
      </c>
      <c r="D690" s="4" t="s">
        <v>657</v>
      </c>
      <c r="E690" s="45">
        <v>1</v>
      </c>
      <c r="F690" s="448"/>
      <c r="G690" s="448"/>
      <c r="H690" s="448"/>
      <c r="I690" s="448">
        <f>E690</f>
        <v>1</v>
      </c>
    </row>
    <row r="691" spans="1:9" ht="13.5">
      <c r="A691" s="56"/>
      <c r="B691" s="450"/>
      <c r="C691" s="473" t="s">
        <v>481</v>
      </c>
      <c r="D691" s="450"/>
      <c r="E691" s="56"/>
      <c r="F691" s="453"/>
      <c r="G691" s="453"/>
      <c r="H691" s="453"/>
      <c r="I691" s="459">
        <f>SUM(I690)</f>
        <v>1</v>
      </c>
    </row>
    <row r="692" spans="1:9" ht="13.5">
      <c r="A692" s="45"/>
      <c r="B692" s="117"/>
      <c r="C692" s="471"/>
      <c r="D692" s="4"/>
      <c r="E692" s="45"/>
      <c r="F692" s="448"/>
      <c r="G692" s="448"/>
      <c r="H692" s="448"/>
      <c r="I692" s="448"/>
    </row>
    <row r="693" spans="1:9" ht="13.5">
      <c r="A693" s="45">
        <v>184</v>
      </c>
      <c r="B693" s="489"/>
      <c r="C693" s="469"/>
      <c r="D693" s="4"/>
      <c r="E693" s="45"/>
      <c r="F693" s="448"/>
      <c r="G693" s="448"/>
      <c r="H693" s="448"/>
      <c r="I693" s="448"/>
    </row>
    <row r="694" spans="1:9">
      <c r="A694" s="45">
        <v>185</v>
      </c>
      <c r="B694" s="209"/>
      <c r="C694" s="209" t="s">
        <v>1003</v>
      </c>
      <c r="D694" s="208"/>
      <c r="E694" s="45"/>
      <c r="F694" s="448"/>
      <c r="G694" s="448"/>
      <c r="H694" s="448"/>
      <c r="I694" s="448"/>
    </row>
    <row r="695" spans="1:9" ht="13.5">
      <c r="A695" s="45">
        <v>186</v>
      </c>
      <c r="B695" s="490"/>
      <c r="C695" s="470"/>
      <c r="D695" s="489"/>
      <c r="E695" s="45"/>
      <c r="F695" s="448"/>
      <c r="G695" s="448"/>
      <c r="H695" s="448"/>
      <c r="I695" s="448"/>
    </row>
    <row r="696" spans="1:9">
      <c r="A696" s="45">
        <v>187</v>
      </c>
      <c r="B696" s="208" t="s">
        <v>145</v>
      </c>
      <c r="C696" s="209" t="s">
        <v>1004</v>
      </c>
      <c r="D696" s="208"/>
      <c r="E696" s="45"/>
      <c r="F696" s="448"/>
      <c r="G696" s="448"/>
      <c r="H696" s="448"/>
      <c r="I696" s="448"/>
    </row>
    <row r="697" spans="1:9" ht="13.5">
      <c r="A697" s="45">
        <v>188</v>
      </c>
      <c r="B697" s="479"/>
      <c r="C697" s="491"/>
      <c r="D697" s="117"/>
      <c r="E697" s="45"/>
      <c r="F697" s="448"/>
      <c r="G697" s="448"/>
      <c r="H697" s="448"/>
      <c r="I697" s="448"/>
    </row>
    <row r="698" spans="1:9" ht="81">
      <c r="A698" s="45">
        <v>189</v>
      </c>
      <c r="B698" s="117">
        <v>1</v>
      </c>
      <c r="C698" s="471" t="s">
        <v>1359</v>
      </c>
      <c r="D698" s="4" t="s">
        <v>657</v>
      </c>
      <c r="E698" s="45"/>
      <c r="F698" s="448"/>
      <c r="G698" s="448"/>
      <c r="H698" s="448"/>
      <c r="I698" s="448"/>
    </row>
    <row r="699" spans="1:9" ht="13.5">
      <c r="A699" s="45"/>
      <c r="B699" s="117"/>
      <c r="C699" s="471" t="s">
        <v>1360</v>
      </c>
      <c r="D699" s="4" t="s">
        <v>657</v>
      </c>
      <c r="E699" s="45">
        <v>1</v>
      </c>
      <c r="F699" s="448"/>
      <c r="G699" s="448"/>
      <c r="H699" s="448"/>
      <c r="I699" s="448">
        <f t="shared" ref="I699:I710" si="36">E699</f>
        <v>1</v>
      </c>
    </row>
    <row r="700" spans="1:9" ht="13.5">
      <c r="A700" s="45"/>
      <c r="B700" s="117"/>
      <c r="C700" s="471" t="s">
        <v>1361</v>
      </c>
      <c r="D700" s="4" t="s">
        <v>657</v>
      </c>
      <c r="E700" s="45">
        <v>1</v>
      </c>
      <c r="F700" s="448"/>
      <c r="G700" s="448"/>
      <c r="H700" s="448"/>
      <c r="I700" s="448">
        <f t="shared" si="36"/>
        <v>1</v>
      </c>
    </row>
    <row r="701" spans="1:9" ht="13.5">
      <c r="A701" s="45"/>
      <c r="B701" s="117"/>
      <c r="C701" s="471" t="s">
        <v>1362</v>
      </c>
      <c r="D701" s="4" t="s">
        <v>657</v>
      </c>
      <c r="E701" s="45">
        <v>1</v>
      </c>
      <c r="F701" s="448"/>
      <c r="G701" s="448"/>
      <c r="H701" s="448"/>
      <c r="I701" s="448">
        <f t="shared" si="36"/>
        <v>1</v>
      </c>
    </row>
    <row r="702" spans="1:9" ht="13.5">
      <c r="A702" s="45"/>
      <c r="B702" s="117"/>
      <c r="C702" s="471" t="s">
        <v>1363</v>
      </c>
      <c r="D702" s="4" t="s">
        <v>657</v>
      </c>
      <c r="E702" s="45">
        <v>1</v>
      </c>
      <c r="F702" s="448"/>
      <c r="G702" s="448"/>
      <c r="H702" s="448"/>
      <c r="I702" s="448">
        <f t="shared" si="36"/>
        <v>1</v>
      </c>
    </row>
    <row r="703" spans="1:9" ht="13.5">
      <c r="A703" s="45"/>
      <c r="B703" s="117"/>
      <c r="C703" s="471" t="s">
        <v>1364</v>
      </c>
      <c r="D703" s="4" t="s">
        <v>657</v>
      </c>
      <c r="E703" s="45">
        <v>1</v>
      </c>
      <c r="F703" s="448"/>
      <c r="G703" s="448"/>
      <c r="H703" s="448"/>
      <c r="I703" s="448">
        <f t="shared" si="36"/>
        <v>1</v>
      </c>
    </row>
    <row r="704" spans="1:9" ht="13.5">
      <c r="A704" s="45"/>
      <c r="B704" s="117"/>
      <c r="C704" s="471" t="s">
        <v>1365</v>
      </c>
      <c r="D704" s="4" t="s">
        <v>657</v>
      </c>
      <c r="E704" s="45">
        <v>1</v>
      </c>
      <c r="F704" s="448"/>
      <c r="G704" s="448"/>
      <c r="H704" s="448"/>
      <c r="I704" s="448">
        <f t="shared" si="36"/>
        <v>1</v>
      </c>
    </row>
    <row r="705" spans="1:9" ht="13.5">
      <c r="A705" s="45"/>
      <c r="B705" s="117"/>
      <c r="C705" s="471" t="s">
        <v>1366</v>
      </c>
      <c r="D705" s="4" t="s">
        <v>657</v>
      </c>
      <c r="E705" s="45">
        <v>1</v>
      </c>
      <c r="F705" s="448"/>
      <c r="G705" s="448"/>
      <c r="H705" s="448"/>
      <c r="I705" s="448">
        <f t="shared" si="36"/>
        <v>1</v>
      </c>
    </row>
    <row r="706" spans="1:9" ht="13.5">
      <c r="A706" s="45"/>
      <c r="B706" s="117"/>
      <c r="C706" s="471" t="s">
        <v>1367</v>
      </c>
      <c r="D706" s="4" t="s">
        <v>657</v>
      </c>
      <c r="E706" s="45">
        <v>1</v>
      </c>
      <c r="F706" s="448"/>
      <c r="G706" s="448"/>
      <c r="H706" s="448"/>
      <c r="I706" s="448">
        <f t="shared" si="36"/>
        <v>1</v>
      </c>
    </row>
    <row r="707" spans="1:9" ht="13.5">
      <c r="A707" s="45"/>
      <c r="B707" s="117"/>
      <c r="C707" s="471" t="s">
        <v>1368</v>
      </c>
      <c r="D707" s="4" t="s">
        <v>657</v>
      </c>
      <c r="E707" s="45">
        <v>1</v>
      </c>
      <c r="F707" s="448"/>
      <c r="G707" s="448"/>
      <c r="H707" s="448"/>
      <c r="I707" s="448">
        <f t="shared" si="36"/>
        <v>1</v>
      </c>
    </row>
    <row r="708" spans="1:9" ht="13.5">
      <c r="A708" s="45"/>
      <c r="B708" s="117"/>
      <c r="C708" s="471" t="s">
        <v>1369</v>
      </c>
      <c r="D708" s="4" t="s">
        <v>657</v>
      </c>
      <c r="E708" s="45">
        <v>1</v>
      </c>
      <c r="F708" s="448"/>
      <c r="G708" s="448"/>
      <c r="H708" s="448"/>
      <c r="I708" s="448">
        <f t="shared" si="36"/>
        <v>1</v>
      </c>
    </row>
    <row r="709" spans="1:9" ht="13.5">
      <c r="A709" s="45"/>
      <c r="B709" s="117"/>
      <c r="C709" s="471" t="s">
        <v>1370</v>
      </c>
      <c r="D709" s="4" t="s">
        <v>657</v>
      </c>
      <c r="E709" s="45">
        <v>1</v>
      </c>
      <c r="F709" s="448"/>
      <c r="G709" s="448"/>
      <c r="H709" s="448"/>
      <c r="I709" s="448">
        <f t="shared" si="36"/>
        <v>1</v>
      </c>
    </row>
    <row r="710" spans="1:9" ht="13.5">
      <c r="A710" s="45"/>
      <c r="B710" s="117"/>
      <c r="C710" s="471" t="s">
        <v>1371</v>
      </c>
      <c r="D710" s="4" t="s">
        <v>657</v>
      </c>
      <c r="E710" s="45">
        <v>1</v>
      </c>
      <c r="F710" s="448"/>
      <c r="G710" s="448"/>
      <c r="H710" s="448"/>
      <c r="I710" s="448">
        <f t="shared" si="36"/>
        <v>1</v>
      </c>
    </row>
    <row r="711" spans="1:9" ht="13.5">
      <c r="A711" s="56"/>
      <c r="B711" s="450"/>
      <c r="C711" s="473" t="s">
        <v>481</v>
      </c>
      <c r="D711" s="450"/>
      <c r="E711" s="56"/>
      <c r="F711" s="453"/>
      <c r="G711" s="453"/>
      <c r="H711" s="453"/>
      <c r="I711" s="459">
        <f>SUM(I699:I710)</f>
        <v>12</v>
      </c>
    </row>
    <row r="712" spans="1:9" ht="13.5">
      <c r="A712" s="56"/>
      <c r="B712" s="450"/>
      <c r="C712" s="456" t="s">
        <v>1892</v>
      </c>
      <c r="D712" s="450"/>
      <c r="E712" s="56"/>
      <c r="F712" s="453"/>
      <c r="G712" s="453"/>
      <c r="H712" s="453"/>
      <c r="I712" s="459">
        <v>6</v>
      </c>
    </row>
    <row r="713" spans="1:9" ht="13.5">
      <c r="A713" s="56"/>
      <c r="B713" s="450"/>
      <c r="C713" s="456" t="s">
        <v>1893</v>
      </c>
      <c r="D713" s="450"/>
      <c r="E713" s="56"/>
      <c r="F713" s="453"/>
      <c r="G713" s="453"/>
      <c r="H713" s="453"/>
      <c r="I713" s="459">
        <v>6</v>
      </c>
    </row>
    <row r="714" spans="1:9" ht="13.5">
      <c r="A714" s="56"/>
      <c r="B714" s="450"/>
      <c r="C714" s="1158" t="s">
        <v>813</v>
      </c>
      <c r="D714" s="450"/>
      <c r="E714" s="56"/>
      <c r="F714" s="453"/>
      <c r="G714" s="453"/>
      <c r="H714" s="453"/>
      <c r="I714" s="459">
        <f>SUM(I712:I713)</f>
        <v>12</v>
      </c>
    </row>
    <row r="715" spans="1:9" ht="67.5">
      <c r="A715" s="45">
        <v>190</v>
      </c>
      <c r="B715" s="117">
        <v>2</v>
      </c>
      <c r="C715" s="490" t="s">
        <v>1372</v>
      </c>
      <c r="D715" s="4" t="s">
        <v>657</v>
      </c>
      <c r="E715" s="45">
        <v>1</v>
      </c>
      <c r="F715" s="448"/>
      <c r="G715" s="448"/>
      <c r="H715" s="448"/>
      <c r="I715" s="45">
        <f>E715</f>
        <v>1</v>
      </c>
    </row>
    <row r="716" spans="1:9" ht="13.5">
      <c r="A716" s="56"/>
      <c r="B716" s="450"/>
      <c r="C716" s="473" t="s">
        <v>481</v>
      </c>
      <c r="D716" s="450"/>
      <c r="E716" s="56"/>
      <c r="F716" s="453"/>
      <c r="G716" s="453"/>
      <c r="H716" s="453"/>
      <c r="I716" s="459"/>
    </row>
    <row r="717" spans="1:9" ht="13.5">
      <c r="A717" s="45"/>
      <c r="B717" s="117"/>
      <c r="C717" s="490"/>
      <c r="D717" s="4"/>
      <c r="E717" s="45"/>
      <c r="F717" s="448"/>
      <c r="G717" s="448"/>
      <c r="H717" s="448"/>
      <c r="I717" s="448"/>
    </row>
    <row r="718" spans="1:9" ht="40.5">
      <c r="A718" s="45">
        <v>191</v>
      </c>
      <c r="B718" s="117">
        <v>3</v>
      </c>
      <c r="C718" s="479" t="s">
        <v>1007</v>
      </c>
      <c r="D718" s="4" t="s">
        <v>879</v>
      </c>
      <c r="E718" s="45"/>
      <c r="F718" s="448"/>
      <c r="G718" s="448"/>
      <c r="H718" s="448"/>
      <c r="I718" s="448">
        <f>E718</f>
        <v>0</v>
      </c>
    </row>
    <row r="719" spans="1:9" ht="13">
      <c r="A719" s="45">
        <v>192</v>
      </c>
      <c r="B719" s="448"/>
      <c r="C719" s="461" t="s">
        <v>1373</v>
      </c>
      <c r="D719" s="485"/>
      <c r="E719" s="45"/>
      <c r="F719" s="448"/>
      <c r="G719" s="448"/>
      <c r="H719" s="448"/>
      <c r="I719" s="448"/>
    </row>
    <row r="720" spans="1:9" ht="13.5">
      <c r="A720" s="45">
        <v>193</v>
      </c>
      <c r="B720" s="448"/>
      <c r="C720" s="471" t="s">
        <v>1360</v>
      </c>
      <c r="D720" s="485" t="s">
        <v>879</v>
      </c>
      <c r="E720" s="45"/>
      <c r="F720" s="448">
        <f>3+3+3+2</f>
        <v>11</v>
      </c>
      <c r="G720" s="448"/>
      <c r="H720" s="448"/>
      <c r="I720" s="448">
        <f t="shared" ref="I720:I731" si="37">F720</f>
        <v>11</v>
      </c>
    </row>
    <row r="721" spans="1:9" ht="13.5">
      <c r="A721" s="45">
        <v>194</v>
      </c>
      <c r="B721" s="448"/>
      <c r="C721" s="471" t="s">
        <v>1361</v>
      </c>
      <c r="D721" s="485" t="s">
        <v>879</v>
      </c>
      <c r="E721" s="45"/>
      <c r="F721" s="448">
        <f>3+10.6+1+0.5+2</f>
        <v>17.100000000000001</v>
      </c>
      <c r="G721" s="448"/>
      <c r="H721" s="448"/>
      <c r="I721" s="448">
        <f t="shared" si="37"/>
        <v>17.100000000000001</v>
      </c>
    </row>
    <row r="722" spans="1:9" ht="13.5">
      <c r="A722" s="45">
        <v>195</v>
      </c>
      <c r="B722" s="448"/>
      <c r="C722" s="471" t="s">
        <v>1362</v>
      </c>
      <c r="D722" s="485" t="s">
        <v>879</v>
      </c>
      <c r="E722" s="45"/>
      <c r="F722" s="448">
        <f>3+6+7+1+2</f>
        <v>19</v>
      </c>
      <c r="G722" s="448"/>
      <c r="H722" s="448"/>
      <c r="I722" s="448">
        <f t="shared" si="37"/>
        <v>19</v>
      </c>
    </row>
    <row r="723" spans="1:9" ht="13.5">
      <c r="A723" s="45">
        <v>196</v>
      </c>
      <c r="B723" s="448"/>
      <c r="C723" s="471" t="s">
        <v>1363</v>
      </c>
      <c r="D723" s="485" t="s">
        <v>879</v>
      </c>
      <c r="E723" s="45"/>
      <c r="F723" s="448">
        <f>3+7.4+1+7.8+1.2+2</f>
        <v>22.4</v>
      </c>
      <c r="G723" s="448"/>
      <c r="H723" s="448"/>
      <c r="I723" s="448">
        <f t="shared" si="37"/>
        <v>22.4</v>
      </c>
    </row>
    <row r="724" spans="1:9" ht="13.5">
      <c r="A724" s="45">
        <v>197</v>
      </c>
      <c r="B724" s="448"/>
      <c r="C724" s="471" t="s">
        <v>1364</v>
      </c>
      <c r="D724" s="485" t="s">
        <v>879</v>
      </c>
      <c r="E724" s="45"/>
      <c r="F724" s="448">
        <f>3+7.4+1+9.4+1.2+2</f>
        <v>24</v>
      </c>
      <c r="G724" s="448"/>
      <c r="H724" s="448"/>
      <c r="I724" s="448">
        <f t="shared" si="37"/>
        <v>24</v>
      </c>
    </row>
    <row r="725" spans="1:9" ht="13.5">
      <c r="A725" s="45">
        <v>198</v>
      </c>
      <c r="B725" s="448"/>
      <c r="C725" s="471" t="s">
        <v>1365</v>
      </c>
      <c r="D725" s="485" t="s">
        <v>879</v>
      </c>
      <c r="E725" s="45"/>
      <c r="F725" s="448">
        <f>3+10.5+1+1+2.4+2</f>
        <v>19.899999999999999</v>
      </c>
      <c r="G725" s="448"/>
      <c r="H725" s="448"/>
      <c r="I725" s="448">
        <f t="shared" si="37"/>
        <v>19.899999999999999</v>
      </c>
    </row>
    <row r="726" spans="1:9" ht="13.5">
      <c r="A726" s="45">
        <v>199</v>
      </c>
      <c r="B726" s="448"/>
      <c r="C726" s="471" t="s">
        <v>1366</v>
      </c>
      <c r="D726" s="485" t="s">
        <v>879</v>
      </c>
      <c r="E726" s="45"/>
      <c r="F726" s="448">
        <f>3+7.4+1+9.4+2+2</f>
        <v>24.8</v>
      </c>
      <c r="G726" s="448"/>
      <c r="H726" s="448"/>
      <c r="I726" s="448">
        <f t="shared" si="37"/>
        <v>24.8</v>
      </c>
    </row>
    <row r="727" spans="1:9" ht="13.5">
      <c r="A727" s="45">
        <v>200</v>
      </c>
      <c r="B727" s="448"/>
      <c r="C727" s="471" t="s">
        <v>1367</v>
      </c>
      <c r="D727" s="485" t="s">
        <v>879</v>
      </c>
      <c r="E727" s="45"/>
      <c r="F727" s="448">
        <f>3+6+7+1.4+2</f>
        <v>19.399999999999999</v>
      </c>
      <c r="G727" s="448"/>
      <c r="H727" s="448"/>
      <c r="I727" s="448">
        <f t="shared" si="37"/>
        <v>19.399999999999999</v>
      </c>
    </row>
    <row r="728" spans="1:9" ht="13.5">
      <c r="A728" s="45">
        <v>201</v>
      </c>
      <c r="B728" s="448"/>
      <c r="C728" s="471" t="s">
        <v>1368</v>
      </c>
      <c r="D728" s="485" t="s">
        <v>879</v>
      </c>
      <c r="E728" s="45"/>
      <c r="F728" s="448">
        <f>3+10.6+1+1+9.2+1+2</f>
        <v>27.799999999999997</v>
      </c>
      <c r="G728" s="448"/>
      <c r="H728" s="448"/>
      <c r="I728" s="448">
        <f t="shared" si="37"/>
        <v>27.799999999999997</v>
      </c>
    </row>
    <row r="729" spans="1:9" ht="13.5">
      <c r="A729" s="45">
        <v>202</v>
      </c>
      <c r="B729" s="448"/>
      <c r="C729" s="471" t="s">
        <v>1369</v>
      </c>
      <c r="D729" s="485" t="s">
        <v>879</v>
      </c>
      <c r="E729" s="45"/>
      <c r="F729" s="448">
        <f>3+10.6+1+4.5+1+2</f>
        <v>22.1</v>
      </c>
      <c r="G729" s="448"/>
      <c r="H729" s="448"/>
      <c r="I729" s="448">
        <f t="shared" si="37"/>
        <v>22.1</v>
      </c>
    </row>
    <row r="730" spans="1:9" ht="13.5">
      <c r="A730" s="45">
        <v>203</v>
      </c>
      <c r="B730" s="448"/>
      <c r="C730" s="471" t="s">
        <v>1370</v>
      </c>
      <c r="D730" s="485" t="s">
        <v>879</v>
      </c>
      <c r="E730" s="45"/>
      <c r="F730" s="448">
        <f>3+2.5+1+2</f>
        <v>8.5</v>
      </c>
      <c r="G730" s="448"/>
      <c r="H730" s="448"/>
      <c r="I730" s="448">
        <f t="shared" si="37"/>
        <v>8.5</v>
      </c>
    </row>
    <row r="731" spans="1:9" ht="13.5">
      <c r="A731" s="45">
        <v>204</v>
      </c>
      <c r="B731" s="448"/>
      <c r="C731" s="471" t="s">
        <v>1371</v>
      </c>
      <c r="D731" s="485" t="s">
        <v>879</v>
      </c>
      <c r="E731" s="45"/>
      <c r="F731" s="448">
        <f>3+2.2+1+2</f>
        <v>8.1999999999999993</v>
      </c>
      <c r="G731" s="448"/>
      <c r="H731" s="448"/>
      <c r="I731" s="448">
        <f t="shared" si="37"/>
        <v>8.1999999999999993</v>
      </c>
    </row>
    <row r="732" spans="1:9" ht="13.5">
      <c r="A732" s="56"/>
      <c r="B732" s="450"/>
      <c r="C732" s="473" t="s">
        <v>481</v>
      </c>
      <c r="D732" s="450"/>
      <c r="E732" s="56"/>
      <c r="F732" s="453"/>
      <c r="G732" s="453"/>
      <c r="H732" s="453"/>
      <c r="I732" s="459"/>
    </row>
    <row r="733" spans="1:9">
      <c r="A733" s="45">
        <v>206</v>
      </c>
      <c r="B733" s="448"/>
      <c r="C733" s="448"/>
      <c r="D733" s="485"/>
      <c r="E733" s="45"/>
      <c r="F733" s="448"/>
      <c r="G733" s="448"/>
      <c r="H733" s="448"/>
      <c r="I733" s="448"/>
    </row>
    <row r="734" spans="1:9" ht="13">
      <c r="A734" s="45">
        <v>207</v>
      </c>
      <c r="B734" s="492"/>
      <c r="C734" s="493" t="s">
        <v>1374</v>
      </c>
      <c r="D734" s="494"/>
      <c r="E734" s="495"/>
      <c r="F734" s="492"/>
      <c r="G734" s="492"/>
      <c r="H734" s="492"/>
      <c r="I734" s="492"/>
    </row>
    <row r="735" spans="1:9" ht="75">
      <c r="A735" s="45">
        <v>208</v>
      </c>
      <c r="B735" s="448" t="s">
        <v>4</v>
      </c>
      <c r="C735" s="496" t="s">
        <v>1016</v>
      </c>
      <c r="D735" s="485"/>
      <c r="E735" s="45"/>
      <c r="F735" s="448"/>
      <c r="G735" s="448"/>
      <c r="H735" s="448"/>
      <c r="I735" s="448"/>
    </row>
    <row r="736" spans="1:9">
      <c r="A736" s="45">
        <v>210</v>
      </c>
      <c r="B736" s="448"/>
      <c r="C736" s="448" t="s">
        <v>1375</v>
      </c>
      <c r="D736" s="485" t="s">
        <v>1376</v>
      </c>
      <c r="E736" s="45">
        <v>1</v>
      </c>
      <c r="F736" s="448"/>
      <c r="G736" s="448"/>
      <c r="H736" s="448"/>
      <c r="I736" s="448">
        <f t="shared" ref="I736:I750" si="38">E736</f>
        <v>1</v>
      </c>
    </row>
    <row r="737" spans="1:9">
      <c r="A737" s="45">
        <v>211</v>
      </c>
      <c r="B737" s="448"/>
      <c r="C737" s="448" t="s">
        <v>1377</v>
      </c>
      <c r="D737" s="485" t="s">
        <v>1376</v>
      </c>
      <c r="E737" s="45">
        <v>1</v>
      </c>
      <c r="F737" s="448"/>
      <c r="G737" s="448"/>
      <c r="H737" s="448"/>
      <c r="I737" s="448">
        <f t="shared" si="38"/>
        <v>1</v>
      </c>
    </row>
    <row r="738" spans="1:9">
      <c r="A738" s="45">
        <v>212</v>
      </c>
      <c r="B738" s="448"/>
      <c r="C738" s="448" t="s">
        <v>1378</v>
      </c>
      <c r="D738" s="485" t="s">
        <v>1376</v>
      </c>
      <c r="E738" s="45">
        <v>1</v>
      </c>
      <c r="F738" s="448"/>
      <c r="G738" s="448"/>
      <c r="H738" s="448"/>
      <c r="I738" s="448">
        <f t="shared" si="38"/>
        <v>1</v>
      </c>
    </row>
    <row r="739" spans="1:9">
      <c r="A739" s="45">
        <v>213</v>
      </c>
      <c r="B739" s="448"/>
      <c r="C739" s="448" t="s">
        <v>1379</v>
      </c>
      <c r="D739" s="485" t="s">
        <v>1376</v>
      </c>
      <c r="E739" s="45">
        <v>1</v>
      </c>
      <c r="F739" s="448"/>
      <c r="G739" s="448"/>
      <c r="H739" s="448"/>
      <c r="I739" s="448">
        <f t="shared" si="38"/>
        <v>1</v>
      </c>
    </row>
    <row r="740" spans="1:9">
      <c r="A740" s="45">
        <v>214</v>
      </c>
      <c r="B740" s="448"/>
      <c r="C740" s="448" t="s">
        <v>1380</v>
      </c>
      <c r="D740" s="485" t="s">
        <v>1376</v>
      </c>
      <c r="E740" s="45">
        <v>1</v>
      </c>
      <c r="F740" s="448"/>
      <c r="G740" s="448"/>
      <c r="H740" s="448"/>
      <c r="I740" s="448">
        <f t="shared" si="38"/>
        <v>1</v>
      </c>
    </row>
    <row r="741" spans="1:9">
      <c r="A741" s="45">
        <v>215</v>
      </c>
      <c r="B741" s="448"/>
      <c r="C741" s="448" t="s">
        <v>1381</v>
      </c>
      <c r="D741" s="485" t="s">
        <v>1376</v>
      </c>
      <c r="E741" s="45">
        <v>1</v>
      </c>
      <c r="F741" s="448"/>
      <c r="G741" s="448"/>
      <c r="H741" s="448"/>
      <c r="I741" s="448">
        <f t="shared" si="38"/>
        <v>1</v>
      </c>
    </row>
    <row r="742" spans="1:9">
      <c r="A742" s="45">
        <v>216</v>
      </c>
      <c r="B742" s="448"/>
      <c r="C742" s="448" t="s">
        <v>1382</v>
      </c>
      <c r="D742" s="485" t="s">
        <v>1376</v>
      </c>
      <c r="E742" s="45">
        <v>1</v>
      </c>
      <c r="F742" s="448"/>
      <c r="G742" s="448"/>
      <c r="H742" s="448"/>
      <c r="I742" s="448">
        <f t="shared" si="38"/>
        <v>1</v>
      </c>
    </row>
    <row r="743" spans="1:9">
      <c r="A743" s="45">
        <v>217</v>
      </c>
      <c r="B743" s="448"/>
      <c r="C743" s="448" t="s">
        <v>1383</v>
      </c>
      <c r="D743" s="485" t="s">
        <v>1376</v>
      </c>
      <c r="E743" s="45">
        <v>1</v>
      </c>
      <c r="F743" s="448"/>
      <c r="G743" s="448"/>
      <c r="H743" s="448"/>
      <c r="I743" s="448">
        <f t="shared" si="38"/>
        <v>1</v>
      </c>
    </row>
    <row r="744" spans="1:9">
      <c r="A744" s="45">
        <v>218</v>
      </c>
      <c r="B744" s="448"/>
      <c r="C744" s="448" t="s">
        <v>1384</v>
      </c>
      <c r="D744" s="485" t="s">
        <v>1376</v>
      </c>
      <c r="E744" s="45">
        <v>1</v>
      </c>
      <c r="F744" s="448"/>
      <c r="G744" s="448"/>
      <c r="H744" s="448"/>
      <c r="I744" s="448">
        <f t="shared" si="38"/>
        <v>1</v>
      </c>
    </row>
    <row r="745" spans="1:9">
      <c r="A745" s="45">
        <v>219</v>
      </c>
      <c r="B745" s="448"/>
      <c r="C745" s="448" t="s">
        <v>1385</v>
      </c>
      <c r="D745" s="485" t="s">
        <v>1376</v>
      </c>
      <c r="E745" s="45">
        <v>1</v>
      </c>
      <c r="F745" s="448"/>
      <c r="G745" s="448"/>
      <c r="H745" s="448"/>
      <c r="I745" s="448">
        <f t="shared" si="38"/>
        <v>1</v>
      </c>
    </row>
    <row r="746" spans="1:9">
      <c r="A746" s="45">
        <v>221</v>
      </c>
      <c r="B746" s="448"/>
      <c r="C746" s="448" t="s">
        <v>1386</v>
      </c>
      <c r="D746" s="485" t="s">
        <v>1376</v>
      </c>
      <c r="E746" s="45">
        <v>1</v>
      </c>
      <c r="F746" s="448"/>
      <c r="G746" s="448"/>
      <c r="H746" s="448"/>
      <c r="I746" s="448">
        <f t="shared" si="38"/>
        <v>1</v>
      </c>
    </row>
    <row r="747" spans="1:9">
      <c r="A747" s="45">
        <v>222</v>
      </c>
      <c r="B747" s="448"/>
      <c r="C747" s="448" t="s">
        <v>1387</v>
      </c>
      <c r="D747" s="485" t="s">
        <v>1376</v>
      </c>
      <c r="E747" s="45">
        <v>1</v>
      </c>
      <c r="F747" s="448"/>
      <c r="G747" s="448"/>
      <c r="H747" s="448"/>
      <c r="I747" s="448">
        <f t="shared" si="38"/>
        <v>1</v>
      </c>
    </row>
    <row r="748" spans="1:9">
      <c r="A748" s="45">
        <v>223</v>
      </c>
      <c r="B748" s="448"/>
      <c r="C748" s="448" t="s">
        <v>1388</v>
      </c>
      <c r="D748" s="485" t="s">
        <v>1376</v>
      </c>
      <c r="E748" s="45">
        <v>1</v>
      </c>
      <c r="F748" s="448"/>
      <c r="G748" s="448"/>
      <c r="H748" s="448"/>
      <c r="I748" s="448">
        <f t="shared" si="38"/>
        <v>1</v>
      </c>
    </row>
    <row r="749" spans="1:9">
      <c r="A749" s="45">
        <v>224</v>
      </c>
      <c r="B749" s="448"/>
      <c r="C749" s="448" t="s">
        <v>1389</v>
      </c>
      <c r="D749" s="485" t="s">
        <v>1376</v>
      </c>
      <c r="E749" s="45">
        <v>1</v>
      </c>
      <c r="F749" s="448"/>
      <c r="G749" s="448"/>
      <c r="H749" s="448"/>
      <c r="I749" s="448">
        <f t="shared" si="38"/>
        <v>1</v>
      </c>
    </row>
    <row r="750" spans="1:9">
      <c r="A750" s="45">
        <v>225</v>
      </c>
      <c r="B750" s="448"/>
      <c r="C750" s="448" t="s">
        <v>1390</v>
      </c>
      <c r="D750" s="485" t="s">
        <v>1376</v>
      </c>
      <c r="E750" s="45">
        <v>1</v>
      </c>
      <c r="F750" s="448"/>
      <c r="G750" s="448"/>
      <c r="H750" s="448"/>
      <c r="I750" s="448">
        <f t="shared" si="38"/>
        <v>1</v>
      </c>
    </row>
    <row r="751" spans="1:9" ht="13.5">
      <c r="A751" s="56"/>
      <c r="B751" s="450"/>
      <c r="C751" s="473" t="s">
        <v>481</v>
      </c>
      <c r="D751" s="450"/>
      <c r="E751" s="56"/>
      <c r="F751" s="453"/>
      <c r="G751" s="453"/>
      <c r="H751" s="453"/>
      <c r="I751" s="459"/>
    </row>
    <row r="752" spans="1:9" ht="87.5">
      <c r="A752" s="45"/>
      <c r="B752" s="448" t="s">
        <v>883</v>
      </c>
      <c r="C752" s="496" t="s">
        <v>1017</v>
      </c>
      <c r="D752" s="485"/>
      <c r="E752" s="45"/>
      <c r="F752" s="448"/>
      <c r="G752" s="448"/>
      <c r="H752" s="448"/>
      <c r="I752" s="448"/>
    </row>
    <row r="753" spans="1:9" ht="13">
      <c r="A753" s="45"/>
      <c r="B753" s="448"/>
      <c r="C753" s="461" t="s">
        <v>1391</v>
      </c>
      <c r="D753" s="485"/>
      <c r="E753" s="45"/>
      <c r="F753" s="448"/>
      <c r="G753" s="448"/>
      <c r="H753" s="448"/>
      <c r="I753" s="448"/>
    </row>
    <row r="754" spans="1:9" ht="13">
      <c r="A754" s="45"/>
      <c r="B754" s="448"/>
      <c r="C754" s="461" t="s">
        <v>1392</v>
      </c>
      <c r="D754" s="485"/>
      <c r="E754" s="45">
        <v>1</v>
      </c>
      <c r="F754" s="448"/>
      <c r="G754" s="448"/>
      <c r="H754" s="448"/>
      <c r="I754" s="460">
        <f t="shared" ref="I754:I758" si="39">E754</f>
        <v>1</v>
      </c>
    </row>
    <row r="755" spans="1:9" ht="13">
      <c r="A755" s="45"/>
      <c r="B755" s="448"/>
      <c r="C755" s="461" t="s">
        <v>1393</v>
      </c>
      <c r="D755" s="485"/>
      <c r="E755" s="45">
        <v>2</v>
      </c>
      <c r="F755" s="448"/>
      <c r="G755" s="448"/>
      <c r="H755" s="448"/>
      <c r="I755" s="460">
        <f t="shared" si="39"/>
        <v>2</v>
      </c>
    </row>
    <row r="756" spans="1:9" ht="13">
      <c r="A756" s="45"/>
      <c r="B756" s="448"/>
      <c r="C756" s="461" t="s">
        <v>1394</v>
      </c>
      <c r="D756" s="485"/>
      <c r="E756" s="45">
        <v>2</v>
      </c>
      <c r="F756" s="448"/>
      <c r="G756" s="448"/>
      <c r="H756" s="448"/>
      <c r="I756" s="460">
        <f t="shared" si="39"/>
        <v>2</v>
      </c>
    </row>
    <row r="757" spans="1:9" ht="13">
      <c r="A757" s="45"/>
      <c r="B757" s="448"/>
      <c r="C757" s="461" t="s">
        <v>1395</v>
      </c>
      <c r="D757" s="485"/>
      <c r="E757" s="45">
        <v>1</v>
      </c>
      <c r="F757" s="448"/>
      <c r="G757" s="448"/>
      <c r="H757" s="448"/>
      <c r="I757" s="460">
        <f t="shared" si="39"/>
        <v>1</v>
      </c>
    </row>
    <row r="758" spans="1:9" ht="13">
      <c r="A758" s="45"/>
      <c r="B758" s="448"/>
      <c r="C758" s="461" t="s">
        <v>1396</v>
      </c>
      <c r="D758" s="485"/>
      <c r="E758" s="45">
        <v>1</v>
      </c>
      <c r="F758" s="448"/>
      <c r="G758" s="448"/>
      <c r="H758" s="448"/>
      <c r="I758" s="460">
        <f t="shared" si="39"/>
        <v>1</v>
      </c>
    </row>
    <row r="759" spans="1:9" ht="13">
      <c r="A759" s="45"/>
      <c r="B759" s="448"/>
      <c r="C759" s="461"/>
      <c r="D759" s="485"/>
      <c r="E759" s="45"/>
      <c r="F759" s="448"/>
      <c r="G759" s="448"/>
      <c r="H759" s="448"/>
      <c r="I759" s="448"/>
    </row>
    <row r="760" spans="1:9" ht="13.5">
      <c r="A760" s="56"/>
      <c r="B760" s="450"/>
      <c r="C760" s="473" t="s">
        <v>481</v>
      </c>
      <c r="D760" s="450"/>
      <c r="E760" s="56"/>
      <c r="F760" s="453"/>
      <c r="G760" s="453"/>
      <c r="H760" s="453"/>
      <c r="I760" s="459"/>
    </row>
    <row r="761" spans="1:9" ht="75">
      <c r="A761" s="45"/>
      <c r="B761" s="448" t="s">
        <v>10</v>
      </c>
      <c r="C761" s="496" t="s">
        <v>1018</v>
      </c>
      <c r="D761" s="485" t="s">
        <v>1024</v>
      </c>
      <c r="E761" s="45"/>
      <c r="F761" s="448"/>
      <c r="G761" s="448"/>
      <c r="H761" s="448"/>
      <c r="I761" s="460"/>
    </row>
    <row r="762" spans="1:9">
      <c r="A762" s="45"/>
      <c r="B762" s="448"/>
      <c r="C762" s="448"/>
      <c r="D762" s="485"/>
      <c r="E762" s="45"/>
      <c r="F762" s="448"/>
      <c r="G762" s="448"/>
      <c r="H762" s="448"/>
      <c r="I762" s="458"/>
    </row>
    <row r="763" spans="1:9" ht="13">
      <c r="A763" s="45">
        <v>226</v>
      </c>
      <c r="B763" s="448"/>
      <c r="C763" s="461" t="s">
        <v>1397</v>
      </c>
      <c r="D763" s="485"/>
      <c r="E763" s="45"/>
      <c r="F763" s="448"/>
      <c r="G763" s="448"/>
      <c r="H763" s="448"/>
      <c r="I763" s="448"/>
    </row>
    <row r="764" spans="1:9">
      <c r="A764" s="45">
        <v>228</v>
      </c>
      <c r="B764" s="448"/>
      <c r="C764" s="448" t="s">
        <v>1398</v>
      </c>
      <c r="D764" s="485" t="s">
        <v>1376</v>
      </c>
      <c r="E764" s="45">
        <v>1</v>
      </c>
      <c r="F764" s="448"/>
      <c r="G764" s="448"/>
      <c r="H764" s="448"/>
      <c r="I764" s="448">
        <f t="shared" ref="I764:I769" si="40">E764</f>
        <v>1</v>
      </c>
    </row>
    <row r="765" spans="1:9">
      <c r="A765" s="45">
        <v>229</v>
      </c>
      <c r="B765" s="448"/>
      <c r="C765" s="448" t="s">
        <v>1399</v>
      </c>
      <c r="D765" s="485" t="s">
        <v>1376</v>
      </c>
      <c r="E765" s="45">
        <v>1</v>
      </c>
      <c r="F765" s="448"/>
      <c r="G765" s="448"/>
      <c r="H765" s="448"/>
      <c r="I765" s="448">
        <f t="shared" si="40"/>
        <v>1</v>
      </c>
    </row>
    <row r="766" spans="1:9">
      <c r="A766" s="45">
        <v>230</v>
      </c>
      <c r="B766" s="448"/>
      <c r="C766" s="448" t="s">
        <v>1400</v>
      </c>
      <c r="D766" s="485" t="s">
        <v>1376</v>
      </c>
      <c r="E766" s="45">
        <v>1</v>
      </c>
      <c r="F766" s="448"/>
      <c r="G766" s="448"/>
      <c r="H766" s="448"/>
      <c r="I766" s="448">
        <f t="shared" si="40"/>
        <v>1</v>
      </c>
    </row>
    <row r="767" spans="1:9">
      <c r="A767" s="45">
        <v>231</v>
      </c>
      <c r="B767" s="448"/>
      <c r="C767" s="448" t="s">
        <v>1401</v>
      </c>
      <c r="D767" s="485" t="s">
        <v>1376</v>
      </c>
      <c r="E767" s="45">
        <v>1</v>
      </c>
      <c r="F767" s="448"/>
      <c r="G767" s="448"/>
      <c r="H767" s="448"/>
      <c r="I767" s="448">
        <f t="shared" si="40"/>
        <v>1</v>
      </c>
    </row>
    <row r="768" spans="1:9">
      <c r="A768" s="45">
        <v>232</v>
      </c>
      <c r="B768" s="448"/>
      <c r="C768" s="448" t="s">
        <v>1402</v>
      </c>
      <c r="D768" s="485" t="s">
        <v>1376</v>
      </c>
      <c r="E768" s="45">
        <v>1</v>
      </c>
      <c r="F768" s="448"/>
      <c r="G768" s="448"/>
      <c r="H768" s="448"/>
      <c r="I768" s="448">
        <f t="shared" si="40"/>
        <v>1</v>
      </c>
    </row>
    <row r="769" spans="1:9">
      <c r="A769" s="45">
        <v>233</v>
      </c>
      <c r="B769" s="448"/>
      <c r="C769" s="448" t="s">
        <v>1403</v>
      </c>
      <c r="D769" s="485" t="s">
        <v>1376</v>
      </c>
      <c r="E769" s="45">
        <v>1</v>
      </c>
      <c r="F769" s="448"/>
      <c r="G769" s="448"/>
      <c r="H769" s="448"/>
      <c r="I769" s="448">
        <f t="shared" si="40"/>
        <v>1</v>
      </c>
    </row>
    <row r="770" spans="1:9" ht="13.5">
      <c r="A770" s="56"/>
      <c r="B770" s="450"/>
      <c r="C770" s="473" t="s">
        <v>481</v>
      </c>
      <c r="D770" s="450"/>
      <c r="E770" s="56"/>
      <c r="F770" s="453"/>
      <c r="G770" s="453"/>
      <c r="H770" s="453"/>
      <c r="I770" s="459"/>
    </row>
    <row r="771" spans="1:9">
      <c r="A771" s="45"/>
      <c r="B771" s="448"/>
      <c r="C771" s="448"/>
      <c r="D771" s="485"/>
      <c r="E771" s="45"/>
      <c r="F771" s="448"/>
      <c r="G771" s="448"/>
      <c r="H771" s="448"/>
      <c r="I771" s="448"/>
    </row>
    <row r="772" spans="1:9" ht="75">
      <c r="A772" s="45"/>
      <c r="B772" s="448" t="s">
        <v>886</v>
      </c>
      <c r="C772" s="496" t="s">
        <v>1019</v>
      </c>
      <c r="D772" s="485"/>
      <c r="E772" s="45"/>
      <c r="F772" s="448"/>
      <c r="G772" s="448"/>
      <c r="H772" s="448"/>
      <c r="I772" s="448"/>
    </row>
    <row r="773" spans="1:9">
      <c r="A773" s="45"/>
      <c r="B773" s="448"/>
      <c r="C773" s="448"/>
      <c r="D773" s="485"/>
      <c r="E773" s="45"/>
      <c r="F773" s="448"/>
      <c r="G773" s="448"/>
      <c r="H773" s="448"/>
      <c r="I773" s="448"/>
    </row>
    <row r="774" spans="1:9" ht="13">
      <c r="A774" s="45">
        <v>236</v>
      </c>
      <c r="B774" s="448"/>
      <c r="C774" s="461" t="s">
        <v>1391</v>
      </c>
      <c r="D774" s="485"/>
      <c r="E774" s="45"/>
      <c r="F774" s="448"/>
      <c r="G774" s="448"/>
      <c r="H774" s="448"/>
      <c r="I774" s="448"/>
    </row>
    <row r="775" spans="1:9">
      <c r="A775" s="45">
        <v>238</v>
      </c>
      <c r="B775" s="448"/>
      <c r="C775" s="448" t="s">
        <v>1404</v>
      </c>
      <c r="D775" s="485" t="s">
        <v>1376</v>
      </c>
      <c r="E775" s="45">
        <v>1</v>
      </c>
      <c r="F775" s="448"/>
      <c r="G775" s="448"/>
      <c r="H775" s="448"/>
      <c r="I775" s="448"/>
    </row>
    <row r="776" spans="1:9">
      <c r="A776" s="45">
        <v>239</v>
      </c>
      <c r="B776" s="448"/>
      <c r="C776" s="448" t="s">
        <v>1405</v>
      </c>
      <c r="D776" s="485" t="s">
        <v>1376</v>
      </c>
      <c r="E776" s="45">
        <v>1</v>
      </c>
      <c r="F776" s="448"/>
      <c r="G776" s="448"/>
      <c r="H776" s="448"/>
      <c r="I776" s="448">
        <f t="shared" ref="I776:I781" si="41">E776</f>
        <v>1</v>
      </c>
    </row>
    <row r="777" spans="1:9">
      <c r="A777" s="45">
        <v>240</v>
      </c>
      <c r="B777" s="448"/>
      <c r="C777" s="448" t="s">
        <v>1406</v>
      </c>
      <c r="D777" s="485" t="s">
        <v>1376</v>
      </c>
      <c r="E777" s="45">
        <v>1</v>
      </c>
      <c r="F777" s="448"/>
      <c r="G777" s="448"/>
      <c r="H777" s="448"/>
      <c r="I777" s="448">
        <f t="shared" si="41"/>
        <v>1</v>
      </c>
    </row>
    <row r="778" spans="1:9">
      <c r="A778" s="45">
        <v>241</v>
      </c>
      <c r="B778" s="448"/>
      <c r="C778" s="448" t="s">
        <v>1407</v>
      </c>
      <c r="D778" s="485" t="s">
        <v>1376</v>
      </c>
      <c r="E778" s="45">
        <v>1</v>
      </c>
      <c r="F778" s="448"/>
      <c r="G778" s="448"/>
      <c r="H778" s="448"/>
      <c r="I778" s="448">
        <f t="shared" si="41"/>
        <v>1</v>
      </c>
    </row>
    <row r="779" spans="1:9">
      <c r="A779" s="45">
        <v>242</v>
      </c>
      <c r="B779" s="448"/>
      <c r="C779" s="448" t="s">
        <v>1408</v>
      </c>
      <c r="D779" s="485" t="s">
        <v>1376</v>
      </c>
      <c r="E779" s="45">
        <v>1</v>
      </c>
      <c r="F779" s="448"/>
      <c r="G779" s="448"/>
      <c r="H779" s="448"/>
      <c r="I779" s="448">
        <f t="shared" si="41"/>
        <v>1</v>
      </c>
    </row>
    <row r="780" spans="1:9">
      <c r="A780" s="45">
        <v>243</v>
      </c>
      <c r="B780" s="448"/>
      <c r="C780" s="448" t="s">
        <v>1409</v>
      </c>
      <c r="D780" s="485" t="s">
        <v>1376</v>
      </c>
      <c r="E780" s="45">
        <v>1</v>
      </c>
      <c r="F780" s="448"/>
      <c r="G780" s="448"/>
      <c r="H780" s="448"/>
      <c r="I780" s="448">
        <f t="shared" si="41"/>
        <v>1</v>
      </c>
    </row>
    <row r="781" spans="1:9">
      <c r="A781" s="45">
        <v>245</v>
      </c>
      <c r="B781" s="448"/>
      <c r="C781" s="448"/>
      <c r="D781" s="485" t="s">
        <v>1376</v>
      </c>
      <c r="E781" s="45">
        <v>1</v>
      </c>
      <c r="F781" s="448"/>
      <c r="G781" s="448"/>
      <c r="H781" s="448"/>
      <c r="I781" s="448">
        <f t="shared" si="41"/>
        <v>1</v>
      </c>
    </row>
    <row r="782" spans="1:9" ht="13.5">
      <c r="A782" s="56"/>
      <c r="B782" s="450"/>
      <c r="C782" s="473" t="s">
        <v>481</v>
      </c>
      <c r="D782" s="450"/>
      <c r="E782" s="56"/>
      <c r="F782" s="453"/>
      <c r="G782" s="453"/>
      <c r="H782" s="453"/>
      <c r="I782" s="459"/>
    </row>
    <row r="783" spans="1:9" ht="13.5">
      <c r="A783" s="45"/>
      <c r="B783" s="4"/>
      <c r="C783" s="449"/>
      <c r="D783" s="4"/>
      <c r="E783" s="45"/>
      <c r="F783" s="448"/>
      <c r="G783" s="448"/>
      <c r="H783" s="448"/>
      <c r="I783" s="461"/>
    </row>
    <row r="784" spans="1:9" ht="67.5">
      <c r="A784" s="45">
        <v>247</v>
      </c>
      <c r="B784" s="117" t="s">
        <v>138</v>
      </c>
      <c r="C784" s="471" t="s">
        <v>1020</v>
      </c>
      <c r="D784" s="4"/>
      <c r="E784" s="45"/>
      <c r="F784" s="448"/>
      <c r="G784" s="448"/>
      <c r="H784" s="448"/>
      <c r="I784" s="448"/>
    </row>
    <row r="785" spans="1:9" ht="13.5">
      <c r="A785" s="45">
        <v>248</v>
      </c>
      <c r="B785" s="117">
        <v>1</v>
      </c>
      <c r="C785" s="486" t="s">
        <v>1410</v>
      </c>
      <c r="D785" s="4" t="s">
        <v>879</v>
      </c>
      <c r="E785" s="45"/>
      <c r="F785" s="448"/>
      <c r="G785" s="448"/>
      <c r="H785" s="448"/>
      <c r="I785" s="448"/>
    </row>
    <row r="786" spans="1:9" ht="13.5">
      <c r="A786" s="45">
        <v>249</v>
      </c>
      <c r="B786" s="117"/>
      <c r="C786" s="457" t="s">
        <v>1411</v>
      </c>
      <c r="D786" s="4" t="s">
        <v>879</v>
      </c>
      <c r="E786" s="45"/>
      <c r="F786" s="448"/>
      <c r="G786" s="448"/>
      <c r="H786" s="448"/>
      <c r="I786" s="448"/>
    </row>
    <row r="787" spans="1:9" ht="13.5">
      <c r="A787" s="45">
        <v>250</v>
      </c>
      <c r="B787" s="117"/>
      <c r="C787" s="471" t="s">
        <v>1329</v>
      </c>
      <c r="D787" s="4" t="s">
        <v>879</v>
      </c>
      <c r="E787" s="45"/>
      <c r="F787" s="448">
        <f>4+1.5</f>
        <v>5.5</v>
      </c>
      <c r="G787" s="448"/>
      <c r="H787" s="448"/>
      <c r="I787" s="448">
        <f t="shared" ref="I787:I799" si="42">F787</f>
        <v>5.5</v>
      </c>
    </row>
    <row r="788" spans="1:9" ht="13.5">
      <c r="A788" s="45">
        <v>251</v>
      </c>
      <c r="B788" s="117"/>
      <c r="C788" s="471" t="s">
        <v>1330</v>
      </c>
      <c r="D788" s="4" t="s">
        <v>879</v>
      </c>
      <c r="E788" s="45"/>
      <c r="F788" s="448">
        <f>4.5+0.9</f>
        <v>5.4</v>
      </c>
      <c r="G788" s="448"/>
      <c r="H788" s="448"/>
      <c r="I788" s="448">
        <f t="shared" si="42"/>
        <v>5.4</v>
      </c>
    </row>
    <row r="789" spans="1:9" ht="13.5">
      <c r="A789" s="45">
        <v>252</v>
      </c>
      <c r="B789" s="117"/>
      <c r="C789" s="471" t="s">
        <v>1331</v>
      </c>
      <c r="D789" s="4" t="s">
        <v>879</v>
      </c>
      <c r="E789" s="45"/>
      <c r="F789" s="448">
        <f>2.5</f>
        <v>2.5</v>
      </c>
      <c r="G789" s="448"/>
      <c r="H789" s="448"/>
      <c r="I789" s="448">
        <f t="shared" si="42"/>
        <v>2.5</v>
      </c>
    </row>
    <row r="790" spans="1:9" ht="13.5">
      <c r="A790" s="45">
        <v>253</v>
      </c>
      <c r="B790" s="117"/>
      <c r="C790" s="471" t="s">
        <v>1332</v>
      </c>
      <c r="D790" s="4" t="s">
        <v>879</v>
      </c>
      <c r="E790" s="45"/>
      <c r="F790" s="448">
        <f>4.9</f>
        <v>4.9000000000000004</v>
      </c>
      <c r="G790" s="448"/>
      <c r="H790" s="448"/>
      <c r="I790" s="448">
        <f t="shared" si="42"/>
        <v>4.9000000000000004</v>
      </c>
    </row>
    <row r="791" spans="1:9" ht="13.5">
      <c r="A791" s="45">
        <v>254</v>
      </c>
      <c r="B791" s="117"/>
      <c r="C791" s="471" t="s">
        <v>1333</v>
      </c>
      <c r="D791" s="4" t="s">
        <v>879</v>
      </c>
      <c r="E791" s="45"/>
      <c r="F791" s="448">
        <f>1.6+6.5</f>
        <v>8.1</v>
      </c>
      <c r="G791" s="448"/>
      <c r="H791" s="448"/>
      <c r="I791" s="448">
        <f t="shared" si="42"/>
        <v>8.1</v>
      </c>
    </row>
    <row r="792" spans="1:9" ht="13.5">
      <c r="A792" s="45">
        <v>255</v>
      </c>
      <c r="B792" s="117"/>
      <c r="C792" s="471" t="s">
        <v>1334</v>
      </c>
      <c r="D792" s="4" t="s">
        <v>879</v>
      </c>
      <c r="E792" s="45"/>
      <c r="F792" s="448">
        <f>0.8+4.8+0.9</f>
        <v>6.5</v>
      </c>
      <c r="G792" s="448"/>
      <c r="H792" s="448"/>
      <c r="I792" s="448">
        <f t="shared" si="42"/>
        <v>6.5</v>
      </c>
    </row>
    <row r="793" spans="1:9" ht="13.5">
      <c r="A793" s="45">
        <v>256</v>
      </c>
      <c r="B793" s="117"/>
      <c r="C793" s="471" t="s">
        <v>1335</v>
      </c>
      <c r="D793" s="4" t="s">
        <v>879</v>
      </c>
      <c r="E793" s="45"/>
      <c r="F793" s="448">
        <f>5.6</f>
        <v>5.6</v>
      </c>
      <c r="G793" s="448"/>
      <c r="H793" s="448"/>
      <c r="I793" s="448">
        <f t="shared" si="42"/>
        <v>5.6</v>
      </c>
    </row>
    <row r="794" spans="1:9" ht="13.5">
      <c r="A794" s="45">
        <v>257</v>
      </c>
      <c r="B794" s="117"/>
      <c r="C794" s="471" t="s">
        <v>1336</v>
      </c>
      <c r="D794" s="4" t="s">
        <v>879</v>
      </c>
      <c r="E794" s="45"/>
      <c r="F794" s="448">
        <f>1.3</f>
        <v>1.3</v>
      </c>
      <c r="G794" s="448"/>
      <c r="H794" s="448"/>
      <c r="I794" s="448">
        <f t="shared" si="42"/>
        <v>1.3</v>
      </c>
    </row>
    <row r="795" spans="1:9" ht="13.5">
      <c r="A795" s="45">
        <v>258</v>
      </c>
      <c r="B795" s="117"/>
      <c r="C795" s="471" t="s">
        <v>1337</v>
      </c>
      <c r="D795" s="4" t="s">
        <v>879</v>
      </c>
      <c r="E795" s="45"/>
      <c r="F795" s="448">
        <f>2.8</f>
        <v>2.8</v>
      </c>
      <c r="G795" s="448"/>
      <c r="H795" s="448"/>
      <c r="I795" s="448">
        <f t="shared" si="42"/>
        <v>2.8</v>
      </c>
    </row>
    <row r="796" spans="1:9" ht="13.5">
      <c r="A796" s="45">
        <v>259</v>
      </c>
      <c r="B796" s="117"/>
      <c r="C796" s="471" t="s">
        <v>1338</v>
      </c>
      <c r="D796" s="4" t="s">
        <v>879</v>
      </c>
      <c r="E796" s="45"/>
      <c r="F796" s="448">
        <f>5+0.9</f>
        <v>5.9</v>
      </c>
      <c r="G796" s="448"/>
      <c r="H796" s="448"/>
      <c r="I796" s="448">
        <f t="shared" si="42"/>
        <v>5.9</v>
      </c>
    </row>
    <row r="797" spans="1:9" ht="13.5">
      <c r="A797" s="45">
        <v>260</v>
      </c>
      <c r="B797" s="117"/>
      <c r="C797" s="471" t="s">
        <v>1339</v>
      </c>
      <c r="D797" s="4" t="s">
        <v>879</v>
      </c>
      <c r="E797" s="45"/>
      <c r="F797" s="448">
        <f>5+3.8</f>
        <v>8.8000000000000007</v>
      </c>
      <c r="G797" s="448"/>
      <c r="H797" s="448"/>
      <c r="I797" s="448">
        <f t="shared" si="42"/>
        <v>8.8000000000000007</v>
      </c>
    </row>
    <row r="798" spans="1:9" ht="13.5">
      <c r="A798" s="45">
        <v>261</v>
      </c>
      <c r="B798" s="117"/>
      <c r="C798" s="471" t="s">
        <v>1340</v>
      </c>
      <c r="D798" s="4" t="s">
        <v>879</v>
      </c>
      <c r="E798" s="45"/>
      <c r="F798" s="448">
        <f>6.8</f>
        <v>6.8</v>
      </c>
      <c r="G798" s="448"/>
      <c r="H798" s="448"/>
      <c r="I798" s="448">
        <f t="shared" si="42"/>
        <v>6.8</v>
      </c>
    </row>
    <row r="799" spans="1:9" ht="13.5">
      <c r="A799" s="45">
        <v>262</v>
      </c>
      <c r="B799" s="117"/>
      <c r="C799" s="471" t="s">
        <v>1341</v>
      </c>
      <c r="D799" s="4" t="s">
        <v>879</v>
      </c>
      <c r="E799" s="45"/>
      <c r="F799" s="448">
        <f>3.6</f>
        <v>3.6</v>
      </c>
      <c r="G799" s="448"/>
      <c r="H799" s="448"/>
      <c r="I799" s="448">
        <f t="shared" si="42"/>
        <v>3.6</v>
      </c>
    </row>
    <row r="800" spans="1:9" ht="13.5">
      <c r="A800" s="45">
        <v>263</v>
      </c>
      <c r="B800" s="117"/>
      <c r="C800" s="471"/>
      <c r="D800" s="4" t="s">
        <v>879</v>
      </c>
      <c r="E800" s="45"/>
      <c r="F800" s="448"/>
      <c r="G800" s="448"/>
      <c r="H800" s="448"/>
      <c r="I800" s="448"/>
    </row>
    <row r="801" spans="1:9" ht="13.5">
      <c r="A801" s="45">
        <v>264</v>
      </c>
      <c r="B801" s="117"/>
      <c r="C801" s="334" t="s">
        <v>1412</v>
      </c>
      <c r="D801" s="4" t="s">
        <v>879</v>
      </c>
      <c r="E801" s="45"/>
      <c r="F801" s="448"/>
      <c r="G801" s="448"/>
      <c r="H801" s="448"/>
      <c r="I801" s="448"/>
    </row>
    <row r="802" spans="1:9" ht="13.5">
      <c r="A802" s="45">
        <v>265</v>
      </c>
      <c r="B802" s="117"/>
      <c r="C802" s="471" t="s">
        <v>1158</v>
      </c>
      <c r="D802" s="447" t="s">
        <v>879</v>
      </c>
      <c r="E802" s="45"/>
      <c r="F802" s="448">
        <f>3+10+9+3</f>
        <v>25</v>
      </c>
      <c r="G802" s="448"/>
      <c r="H802" s="448"/>
      <c r="I802" s="448">
        <f t="shared" ref="I802:I811" si="43">F802</f>
        <v>25</v>
      </c>
    </row>
    <row r="803" spans="1:9" ht="13.5">
      <c r="A803" s="45">
        <v>266</v>
      </c>
      <c r="B803" s="117"/>
      <c r="C803" s="471" t="s">
        <v>1159</v>
      </c>
      <c r="D803" s="447" t="s">
        <v>879</v>
      </c>
      <c r="E803" s="45"/>
      <c r="F803" s="448">
        <f>3+10+9+3</f>
        <v>25</v>
      </c>
      <c r="G803" s="448"/>
      <c r="H803" s="448"/>
      <c r="I803" s="448">
        <f t="shared" si="43"/>
        <v>25</v>
      </c>
    </row>
    <row r="804" spans="1:9" ht="13.5">
      <c r="A804" s="45">
        <v>267</v>
      </c>
      <c r="B804" s="117"/>
      <c r="C804" s="471" t="s">
        <v>1160</v>
      </c>
      <c r="D804" s="447" t="s">
        <v>879</v>
      </c>
      <c r="E804" s="45"/>
      <c r="F804" s="448">
        <f>10+7.5</f>
        <v>17.5</v>
      </c>
      <c r="G804" s="448"/>
      <c r="H804" s="448"/>
      <c r="I804" s="448">
        <f t="shared" si="43"/>
        <v>17.5</v>
      </c>
    </row>
    <row r="805" spans="1:9" ht="13.5">
      <c r="A805" s="45">
        <v>268</v>
      </c>
      <c r="B805" s="117"/>
      <c r="C805" s="471" t="s">
        <v>1161</v>
      </c>
      <c r="D805" s="447" t="s">
        <v>879</v>
      </c>
      <c r="E805" s="45"/>
      <c r="F805" s="448">
        <f>3+10+6.5+3</f>
        <v>22.5</v>
      </c>
      <c r="G805" s="448"/>
      <c r="H805" s="448"/>
      <c r="I805" s="448">
        <f t="shared" si="43"/>
        <v>22.5</v>
      </c>
    </row>
    <row r="806" spans="1:9" ht="13.5">
      <c r="A806" s="45">
        <v>269</v>
      </c>
      <c r="B806" s="117"/>
      <c r="C806" s="471" t="s">
        <v>1162</v>
      </c>
      <c r="D806" s="447" t="s">
        <v>879</v>
      </c>
      <c r="E806" s="45"/>
      <c r="F806" s="448">
        <f>3+6.8+7.7+0.5+0.5+3</f>
        <v>21.5</v>
      </c>
      <c r="G806" s="448"/>
      <c r="H806" s="448"/>
      <c r="I806" s="448">
        <f t="shared" si="43"/>
        <v>21.5</v>
      </c>
    </row>
    <row r="807" spans="1:9" ht="13.5">
      <c r="A807" s="45">
        <v>270</v>
      </c>
      <c r="B807" s="117"/>
      <c r="C807" s="471" t="s">
        <v>1413</v>
      </c>
      <c r="D807" s="447" t="s">
        <v>879</v>
      </c>
      <c r="E807" s="45"/>
      <c r="F807" s="448">
        <f>3+10+2+3</f>
        <v>18</v>
      </c>
      <c r="G807" s="448"/>
      <c r="H807" s="448"/>
      <c r="I807" s="448">
        <f t="shared" si="43"/>
        <v>18</v>
      </c>
    </row>
    <row r="808" spans="1:9" ht="13.5">
      <c r="A808" s="45">
        <v>271</v>
      </c>
      <c r="B808" s="117"/>
      <c r="C808" s="471" t="s">
        <v>1414</v>
      </c>
      <c r="D808" s="447" t="s">
        <v>879</v>
      </c>
      <c r="E808" s="45"/>
      <c r="F808" s="448">
        <f>2+10+2+0.9+0.9+3</f>
        <v>18.8</v>
      </c>
      <c r="G808" s="448"/>
      <c r="H808" s="448"/>
      <c r="I808" s="448">
        <f t="shared" si="43"/>
        <v>18.8</v>
      </c>
    </row>
    <row r="809" spans="1:9" ht="13.5">
      <c r="A809" s="45">
        <v>272</v>
      </c>
      <c r="B809" s="117"/>
      <c r="C809" s="471" t="s">
        <v>1167</v>
      </c>
      <c r="D809" s="447" t="s">
        <v>879</v>
      </c>
      <c r="E809" s="45"/>
      <c r="F809" s="448">
        <f>3+12.5+3</f>
        <v>18.5</v>
      </c>
      <c r="G809" s="448"/>
      <c r="H809" s="448"/>
      <c r="I809" s="448">
        <f t="shared" si="43"/>
        <v>18.5</v>
      </c>
    </row>
    <row r="810" spans="1:9" ht="13.5">
      <c r="A810" s="45">
        <v>273</v>
      </c>
      <c r="B810" s="117"/>
      <c r="C810" s="471" t="s">
        <v>1415</v>
      </c>
      <c r="D810" s="447" t="s">
        <v>879</v>
      </c>
      <c r="E810" s="45"/>
      <c r="F810" s="448">
        <f>4+2+4</f>
        <v>10</v>
      </c>
      <c r="G810" s="448"/>
      <c r="H810" s="448"/>
      <c r="I810" s="448">
        <f t="shared" si="43"/>
        <v>10</v>
      </c>
    </row>
    <row r="811" spans="1:9" ht="13.5">
      <c r="A811" s="45">
        <v>274</v>
      </c>
      <c r="B811" s="117"/>
      <c r="C811" s="471" t="s">
        <v>1170</v>
      </c>
      <c r="D811" s="447" t="s">
        <v>879</v>
      </c>
      <c r="E811" s="45"/>
      <c r="F811" s="448">
        <f>3+6+3.5+3</f>
        <v>15.5</v>
      </c>
      <c r="G811" s="448"/>
      <c r="H811" s="448"/>
      <c r="I811" s="448">
        <f t="shared" si="43"/>
        <v>15.5</v>
      </c>
    </row>
    <row r="812" spans="1:9" ht="13.5">
      <c r="A812" s="45">
        <v>275</v>
      </c>
      <c r="B812" s="117"/>
      <c r="C812" s="471"/>
      <c r="D812" s="447" t="s">
        <v>879</v>
      </c>
      <c r="E812" s="45"/>
      <c r="F812" s="448"/>
      <c r="G812" s="448"/>
      <c r="H812" s="448"/>
      <c r="I812" s="448"/>
    </row>
    <row r="813" spans="1:9" ht="13.5">
      <c r="A813" s="45">
        <v>276</v>
      </c>
      <c r="B813" s="117"/>
      <c r="C813" s="461" t="s">
        <v>1416</v>
      </c>
      <c r="D813" s="447" t="s">
        <v>879</v>
      </c>
      <c r="E813" s="45"/>
      <c r="F813" s="448"/>
      <c r="G813" s="448"/>
      <c r="H813" s="448"/>
      <c r="I813" s="448"/>
    </row>
    <row r="814" spans="1:9" ht="13.5">
      <c r="A814" s="45">
        <v>277</v>
      </c>
      <c r="B814" s="117"/>
      <c r="C814" s="471" t="s">
        <v>1417</v>
      </c>
      <c r="D814" s="447" t="s">
        <v>879</v>
      </c>
      <c r="E814" s="45"/>
      <c r="F814" s="448">
        <f>10.5+1+1+2.4+3</f>
        <v>17.899999999999999</v>
      </c>
      <c r="G814" s="448"/>
      <c r="H814" s="448"/>
      <c r="I814" s="448">
        <f t="shared" ref="I814:I818" si="44">F814</f>
        <v>17.899999999999999</v>
      </c>
    </row>
    <row r="815" spans="1:9" ht="13.5">
      <c r="A815" s="45">
        <v>278</v>
      </c>
      <c r="B815" s="117"/>
      <c r="C815" s="471" t="s">
        <v>1418</v>
      </c>
      <c r="D815" s="447" t="s">
        <v>879</v>
      </c>
      <c r="E815" s="45"/>
      <c r="F815" s="448">
        <f>10.6+1+1+0.5+9.3</f>
        <v>22.4</v>
      </c>
      <c r="G815" s="448"/>
      <c r="H815" s="448"/>
      <c r="I815" s="448">
        <f t="shared" si="44"/>
        <v>22.4</v>
      </c>
    </row>
    <row r="816" spans="1:9" ht="13.5">
      <c r="A816" s="45">
        <v>279</v>
      </c>
      <c r="B816" s="117"/>
      <c r="C816" s="471" t="s">
        <v>1419</v>
      </c>
      <c r="D816" s="447" t="s">
        <v>879</v>
      </c>
      <c r="E816" s="45"/>
      <c r="F816" s="448">
        <f>6+9.4</f>
        <v>15.4</v>
      </c>
      <c r="G816" s="448"/>
      <c r="H816" s="448"/>
      <c r="I816" s="448">
        <f t="shared" si="44"/>
        <v>15.4</v>
      </c>
    </row>
    <row r="817" spans="1:9" ht="13.5">
      <c r="A817" s="45">
        <v>280</v>
      </c>
      <c r="B817" s="117"/>
      <c r="C817" s="471" t="s">
        <v>1420</v>
      </c>
      <c r="D817" s="447" t="s">
        <v>879</v>
      </c>
      <c r="E817" s="45"/>
      <c r="F817" s="448">
        <f>7.4+10+1.2</f>
        <v>18.599999999999998</v>
      </c>
      <c r="G817" s="448"/>
      <c r="H817" s="448"/>
      <c r="I817" s="448">
        <f t="shared" si="44"/>
        <v>18.599999999999998</v>
      </c>
    </row>
    <row r="818" spans="1:9" ht="13.5">
      <c r="A818" s="45">
        <v>281</v>
      </c>
      <c r="B818" s="117"/>
      <c r="C818" s="471" t="s">
        <v>1421</v>
      </c>
      <c r="D818" s="447" t="s">
        <v>879</v>
      </c>
      <c r="E818" s="45"/>
      <c r="F818" s="448">
        <f>2.5</f>
        <v>2.5</v>
      </c>
      <c r="G818" s="448"/>
      <c r="H818" s="448"/>
      <c r="I818" s="448">
        <f t="shared" si="44"/>
        <v>2.5</v>
      </c>
    </row>
    <row r="819" spans="1:9" ht="13.5">
      <c r="A819" s="56"/>
      <c r="B819" s="450"/>
      <c r="C819" s="473" t="s">
        <v>481</v>
      </c>
      <c r="D819" s="450"/>
      <c r="E819" s="56"/>
      <c r="F819" s="453"/>
      <c r="G819" s="453"/>
      <c r="H819" s="453"/>
      <c r="I819" s="459"/>
    </row>
    <row r="820" spans="1:9" ht="13.5">
      <c r="A820" s="45">
        <v>283</v>
      </c>
      <c r="B820" s="117"/>
      <c r="C820" s="486"/>
      <c r="D820" s="4"/>
      <c r="E820" s="45"/>
      <c r="F820" s="448"/>
      <c r="G820" s="448"/>
      <c r="H820" s="448"/>
      <c r="I820" s="448"/>
    </row>
    <row r="821" spans="1:9" ht="34.5" customHeight="1">
      <c r="A821" s="45"/>
      <c r="B821" s="117" t="s">
        <v>23</v>
      </c>
      <c r="C821" s="497" t="s">
        <v>1021</v>
      </c>
      <c r="D821" s="4"/>
      <c r="E821" s="45"/>
      <c r="F821" s="448"/>
      <c r="G821" s="448"/>
      <c r="H821" s="448"/>
      <c r="I821" s="460"/>
    </row>
    <row r="822" spans="1:9" ht="13">
      <c r="A822" s="45">
        <v>284</v>
      </c>
      <c r="B822" s="485"/>
      <c r="C822" s="498" t="s">
        <v>1422</v>
      </c>
      <c r="D822" s="485" t="s">
        <v>1024</v>
      </c>
      <c r="E822" s="45"/>
      <c r="F822" s="448">
        <v>1</v>
      </c>
      <c r="G822" s="448"/>
      <c r="H822" s="448"/>
      <c r="I822" s="461">
        <f>F822</f>
        <v>1</v>
      </c>
    </row>
    <row r="823" spans="1:9" ht="13.5">
      <c r="A823" s="56"/>
      <c r="B823" s="450"/>
      <c r="C823" s="473" t="s">
        <v>481</v>
      </c>
      <c r="D823" s="450"/>
      <c r="E823" s="56"/>
      <c r="F823" s="453"/>
      <c r="G823" s="453"/>
      <c r="H823" s="453"/>
      <c r="I823" s="459"/>
    </row>
  </sheetData>
  <mergeCells count="1">
    <mergeCell ref="A2:I2"/>
  </mergeCells>
  <pageMargins left="0.7" right="0.7" top="0.75" bottom="0.75" header="0.3" footer="0.3"/>
  <pageSetup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378"/>
  <sheetViews>
    <sheetView view="pageBreakPreview" zoomScale="60" zoomScaleNormal="81" workbookViewId="0">
      <pane ySplit="5" topLeftCell="A197" activePane="bottomLeft" state="frozen"/>
      <selection pane="bottomLeft" activeCell="F203" sqref="F203"/>
    </sheetView>
  </sheetViews>
  <sheetFormatPr defaultColWidth="9.08984375" defaultRowHeight="12"/>
  <cols>
    <col min="1" max="1" width="10" style="341" customWidth="1"/>
    <col min="2" max="2" width="77.453125" style="342" customWidth="1"/>
    <col min="3" max="3" width="8" style="343" customWidth="1"/>
    <col min="4" max="4" width="6" style="344" customWidth="1"/>
    <col min="5" max="5" width="10.81640625" style="345" customWidth="1"/>
    <col min="6" max="6" width="14.6328125" style="345" customWidth="1"/>
    <col min="7" max="7" width="17.54296875" style="345" hidden="1" customWidth="1"/>
    <col min="8" max="8" width="15.7265625" style="345" hidden="1" customWidth="1"/>
    <col min="9" max="9" width="15.81640625" style="346" customWidth="1"/>
    <col min="10" max="10" width="16" style="346" customWidth="1"/>
    <col min="11" max="11" width="14.08984375" style="346" hidden="1" customWidth="1"/>
    <col min="12" max="12" width="19.36328125" style="346" hidden="1" customWidth="1"/>
    <col min="13" max="16384" width="9.08984375" style="346"/>
  </cols>
  <sheetData>
    <row r="1" spans="1:12" s="335" customFormat="1" ht="31.5" customHeight="1">
      <c r="A1" s="1268" t="s">
        <v>1423</v>
      </c>
      <c r="B1" s="1268"/>
      <c r="C1" s="1268"/>
      <c r="D1" s="1268"/>
      <c r="E1" s="1268"/>
      <c r="F1" s="1268"/>
      <c r="G1" s="1268"/>
      <c r="H1" s="1268"/>
      <c r="I1" s="1268"/>
      <c r="J1" s="1268"/>
      <c r="K1" s="349"/>
      <c r="L1" s="349"/>
    </row>
    <row r="2" spans="1:12" ht="18.5">
      <c r="A2" s="347" t="s">
        <v>833</v>
      </c>
      <c r="B2" s="348" t="s">
        <v>1424</v>
      </c>
      <c r="C2" s="347"/>
      <c r="D2" s="347"/>
      <c r="E2" s="347"/>
      <c r="F2" s="347"/>
      <c r="G2" s="347"/>
      <c r="H2" s="347"/>
      <c r="I2" s="349"/>
      <c r="J2" s="349"/>
      <c r="K2" s="349"/>
      <c r="L2" s="349"/>
    </row>
    <row r="3" spans="1:12" ht="18.5">
      <c r="A3" s="347"/>
      <c r="B3" s="348" t="s">
        <v>1425</v>
      </c>
      <c r="C3" s="347"/>
      <c r="D3" s="347"/>
      <c r="E3" s="347"/>
      <c r="F3" s="347"/>
      <c r="G3" s="347"/>
      <c r="H3" s="347"/>
      <c r="I3" s="349"/>
      <c r="J3" s="349"/>
      <c r="K3" s="349"/>
      <c r="L3" s="349"/>
    </row>
    <row r="4" spans="1:12" s="336" customFormat="1" ht="18.5">
      <c r="A4" s="350" t="s">
        <v>1426</v>
      </c>
      <c r="B4" s="351" t="s">
        <v>1427</v>
      </c>
      <c r="C4" s="350"/>
      <c r="D4" s="350"/>
      <c r="E4" s="350"/>
      <c r="F4" s="350"/>
      <c r="G4" s="350"/>
      <c r="H4" s="350"/>
      <c r="I4" s="352"/>
      <c r="J4" s="352"/>
      <c r="K4" s="349"/>
      <c r="L4" s="349"/>
    </row>
    <row r="5" spans="1:12" s="336" customFormat="1" ht="74">
      <c r="A5" s="350"/>
      <c r="B5" s="351"/>
      <c r="C5" s="350" t="s">
        <v>742</v>
      </c>
      <c r="D5" s="353" t="s">
        <v>743</v>
      </c>
      <c r="E5" s="353" t="s">
        <v>1428</v>
      </c>
      <c r="F5" s="353" t="s">
        <v>91</v>
      </c>
      <c r="G5" s="353" t="s">
        <v>1878</v>
      </c>
      <c r="H5" s="353" t="s">
        <v>1877</v>
      </c>
      <c r="I5" s="1145" t="s">
        <v>1905</v>
      </c>
      <c r="J5" s="1145" t="s">
        <v>1906</v>
      </c>
      <c r="K5" s="1145" t="s">
        <v>1907</v>
      </c>
      <c r="L5" s="1145" t="s">
        <v>1908</v>
      </c>
    </row>
    <row r="6" spans="1:12" s="337" customFormat="1" ht="15.5">
      <c r="A6" s="354">
        <v>1.1000000000000001</v>
      </c>
      <c r="B6" s="355" t="s">
        <v>1429</v>
      </c>
      <c r="C6" s="354"/>
      <c r="D6" s="354"/>
      <c r="E6" s="356"/>
      <c r="F6" s="356"/>
      <c r="G6" s="357"/>
      <c r="H6" s="356"/>
      <c r="I6" s="357"/>
      <c r="J6" s="357"/>
      <c r="K6" s="1178"/>
      <c r="L6" s="1178"/>
    </row>
    <row r="7" spans="1:12" s="337" customFormat="1" ht="15.5">
      <c r="A7" s="354"/>
      <c r="B7" s="355"/>
      <c r="C7" s="354"/>
      <c r="D7" s="354"/>
      <c r="E7" s="356"/>
      <c r="F7" s="356"/>
      <c r="G7" s="357"/>
      <c r="H7" s="356"/>
      <c r="I7" s="357"/>
      <c r="J7" s="357"/>
      <c r="K7" s="1178"/>
      <c r="L7" s="1178"/>
    </row>
    <row r="8" spans="1:12" s="337" customFormat="1" ht="15.5">
      <c r="A8" s="354" t="s">
        <v>1430</v>
      </c>
      <c r="B8" s="355" t="s">
        <v>1431</v>
      </c>
      <c r="C8" s="354"/>
      <c r="D8" s="354"/>
      <c r="E8" s="356"/>
      <c r="F8" s="356"/>
      <c r="G8" s="357"/>
      <c r="H8" s="356"/>
      <c r="I8" s="357"/>
      <c r="J8" s="357"/>
      <c r="K8" s="1178"/>
      <c r="L8" s="1178"/>
    </row>
    <row r="9" spans="1:12" s="337" customFormat="1" ht="100.5" customHeight="1">
      <c r="A9" s="354"/>
      <c r="B9" s="358" t="s">
        <v>1432</v>
      </c>
      <c r="C9" s="354"/>
      <c r="D9" s="354"/>
      <c r="E9" s="356"/>
      <c r="F9" s="356"/>
      <c r="G9" s="357"/>
      <c r="H9" s="356"/>
      <c r="I9" s="357"/>
      <c r="J9" s="357"/>
      <c r="K9" s="1178"/>
      <c r="L9" s="1178"/>
    </row>
    <row r="10" spans="1:12" s="337" customFormat="1" ht="45.75" customHeight="1">
      <c r="A10" s="354"/>
      <c r="B10" s="359" t="s">
        <v>1433</v>
      </c>
      <c r="C10" s="354"/>
      <c r="D10" s="354"/>
      <c r="E10" s="356"/>
      <c r="F10" s="356"/>
      <c r="G10" s="357"/>
      <c r="H10" s="356"/>
      <c r="I10" s="357"/>
      <c r="J10" s="357"/>
      <c r="K10" s="1178"/>
      <c r="L10" s="1178"/>
    </row>
    <row r="11" spans="1:12" s="337" customFormat="1" ht="15.5">
      <c r="A11" s="354"/>
      <c r="B11" s="360" t="s">
        <v>1434</v>
      </c>
      <c r="C11" s="354"/>
      <c r="D11" s="354"/>
      <c r="E11" s="356"/>
      <c r="F11" s="356"/>
      <c r="G11" s="357"/>
      <c r="H11" s="356"/>
      <c r="I11" s="357"/>
      <c r="J11" s="357"/>
      <c r="K11" s="1178"/>
      <c r="L11" s="1178"/>
    </row>
    <row r="12" spans="1:12" s="337" customFormat="1" ht="15.5">
      <c r="A12" s="354"/>
      <c r="B12" s="355" t="s">
        <v>1435</v>
      </c>
      <c r="C12" s="354"/>
      <c r="D12" s="354"/>
      <c r="E12" s="356"/>
      <c r="F12" s="356"/>
      <c r="G12" s="357"/>
      <c r="H12" s="356"/>
      <c r="I12" s="357"/>
      <c r="J12" s="357"/>
      <c r="K12" s="1178"/>
      <c r="L12" s="1178"/>
    </row>
    <row r="13" spans="1:12" s="337" customFormat="1" ht="15.5">
      <c r="A13" s="354"/>
      <c r="B13" s="355" t="s">
        <v>1436</v>
      </c>
      <c r="C13" s="354"/>
      <c r="D13" s="354"/>
      <c r="E13" s="356"/>
      <c r="F13" s="356"/>
      <c r="G13" s="357"/>
      <c r="H13" s="356"/>
      <c r="I13" s="357"/>
      <c r="J13" s="357"/>
      <c r="K13" s="1178"/>
      <c r="L13" s="1178"/>
    </row>
    <row r="14" spans="1:12" s="337" customFormat="1" ht="15.5">
      <c r="A14" s="354"/>
      <c r="B14" s="360"/>
      <c r="C14" s="354"/>
      <c r="D14" s="354"/>
      <c r="E14" s="356"/>
      <c r="F14" s="356"/>
      <c r="G14" s="357"/>
      <c r="H14" s="356"/>
      <c r="I14" s="357"/>
      <c r="J14" s="357"/>
      <c r="K14" s="1178"/>
      <c r="L14" s="1178"/>
    </row>
    <row r="15" spans="1:12" s="337" customFormat="1" ht="15.5">
      <c r="A15" s="354" t="s">
        <v>1437</v>
      </c>
      <c r="B15" s="360" t="s">
        <v>1438</v>
      </c>
      <c r="C15" s="354" t="s">
        <v>169</v>
      </c>
      <c r="D15" s="1085" t="s">
        <v>864</v>
      </c>
      <c r="E15" s="356">
        <v>9604</v>
      </c>
      <c r="F15" s="356"/>
      <c r="G15" s="357"/>
      <c r="H15" s="356"/>
      <c r="I15" s="357"/>
      <c r="J15" s="357"/>
      <c r="K15" s="1178"/>
      <c r="L15" s="1178"/>
    </row>
    <row r="16" spans="1:12" s="337" customFormat="1" ht="15.5">
      <c r="A16" s="354"/>
      <c r="B16" s="355" t="s">
        <v>1439</v>
      </c>
      <c r="C16" s="354"/>
      <c r="D16" s="354"/>
      <c r="E16" s="356"/>
      <c r="F16" s="356"/>
      <c r="G16" s="357"/>
      <c r="H16" s="356"/>
      <c r="I16" s="357"/>
      <c r="J16" s="357"/>
      <c r="K16" s="1178"/>
      <c r="L16" s="1178"/>
    </row>
    <row r="17" spans="1:12" s="337" customFormat="1" ht="15.5">
      <c r="A17" s="354"/>
      <c r="B17" s="360"/>
      <c r="C17" s="354"/>
      <c r="D17" s="354"/>
      <c r="E17" s="356"/>
      <c r="F17" s="356"/>
      <c r="G17" s="357"/>
      <c r="H17" s="356"/>
      <c r="I17" s="357"/>
      <c r="J17" s="357"/>
      <c r="K17" s="1178"/>
      <c r="L17" s="1178"/>
    </row>
    <row r="18" spans="1:12" s="337" customFormat="1" ht="15.5">
      <c r="A18" s="361"/>
      <c r="B18" s="362" t="s">
        <v>1440</v>
      </c>
      <c r="C18" s="363"/>
      <c r="D18" s="363"/>
      <c r="E18" s="363" t="s">
        <v>831</v>
      </c>
      <c r="F18" s="364">
        <f>+SUM(F6:F17)</f>
        <v>0</v>
      </c>
      <c r="G18" s="357"/>
      <c r="H18" s="364"/>
      <c r="I18" s="357"/>
      <c r="J18" s="357"/>
      <c r="K18" s="1178"/>
      <c r="L18" s="1178"/>
    </row>
    <row r="19" spans="1:12" s="337" customFormat="1" ht="15.5">
      <c r="A19" s="361"/>
      <c r="B19" s="365"/>
      <c r="C19" s="361"/>
      <c r="D19" s="361"/>
      <c r="E19" s="366"/>
      <c r="F19" s="367"/>
      <c r="G19" s="357"/>
      <c r="H19" s="367"/>
      <c r="I19" s="357"/>
      <c r="J19" s="357"/>
      <c r="K19" s="1178"/>
      <c r="L19" s="1178"/>
    </row>
    <row r="20" spans="1:12" s="337" customFormat="1" ht="15.5">
      <c r="A20" s="354">
        <v>2</v>
      </c>
      <c r="B20" s="355" t="s">
        <v>1441</v>
      </c>
      <c r="C20" s="354"/>
      <c r="D20" s="354"/>
      <c r="E20" s="354"/>
      <c r="F20" s="354"/>
      <c r="G20" s="357"/>
      <c r="H20" s="354"/>
      <c r="I20" s="357"/>
      <c r="J20" s="357"/>
      <c r="K20" s="1178"/>
      <c r="L20" s="1178"/>
    </row>
    <row r="21" spans="1:12" s="337" customFormat="1" ht="15.5">
      <c r="A21" s="354"/>
      <c r="B21" s="360"/>
      <c r="C21" s="354"/>
      <c r="D21" s="354"/>
      <c r="E21" s="354"/>
      <c r="F21" s="354"/>
      <c r="G21" s="357"/>
      <c r="H21" s="354"/>
      <c r="I21" s="357"/>
      <c r="J21" s="357"/>
      <c r="K21" s="1178"/>
      <c r="L21" s="1178"/>
    </row>
    <row r="22" spans="1:12" s="337" customFormat="1" ht="132.75" customHeight="1">
      <c r="A22" s="368">
        <v>2.1</v>
      </c>
      <c r="B22" s="358" t="s">
        <v>1442</v>
      </c>
      <c r="C22" s="354"/>
      <c r="D22" s="368"/>
      <c r="E22" s="369"/>
      <c r="F22" s="369"/>
      <c r="G22" s="357"/>
      <c r="H22" s="369"/>
      <c r="I22" s="357"/>
      <c r="J22" s="357"/>
      <c r="K22" s="1178"/>
      <c r="L22" s="1178"/>
    </row>
    <row r="23" spans="1:12" s="337" customFormat="1" ht="15.5">
      <c r="A23" s="368"/>
      <c r="B23" s="358"/>
      <c r="C23" s="354"/>
      <c r="D23" s="368"/>
      <c r="E23" s="369"/>
      <c r="F23" s="369"/>
      <c r="G23" s="357"/>
      <c r="H23" s="369"/>
      <c r="I23" s="357"/>
      <c r="J23" s="357"/>
      <c r="K23" s="1178"/>
      <c r="L23" s="1178"/>
    </row>
    <row r="24" spans="1:12" s="337" customFormat="1" ht="15.5">
      <c r="A24" s="368" t="s">
        <v>1443</v>
      </c>
      <c r="B24" s="358" t="s">
        <v>1444</v>
      </c>
      <c r="C24" s="354" t="s">
        <v>1445</v>
      </c>
      <c r="D24" s="354">
        <v>225</v>
      </c>
      <c r="E24" s="370">
        <v>1440.6</v>
      </c>
      <c r="F24" s="356">
        <f t="shared" ref="F24:F26" si="0">E24*D24</f>
        <v>324135</v>
      </c>
      <c r="G24" s="357">
        <f>'[4]MB HVAC '!D125</f>
        <v>197.64500000000001</v>
      </c>
      <c r="H24" s="356">
        <f>G24*E24</f>
        <v>284727.38699999999</v>
      </c>
      <c r="I24" s="357">
        <f>'MB HVAC '!E127</f>
        <v>104.785</v>
      </c>
      <c r="J24" s="371">
        <f t="shared" ref="J24:J29" si="1">I24*E24</f>
        <v>150953.27099999998</v>
      </c>
      <c r="K24" s="1178"/>
      <c r="L24" s="1178">
        <f>K24*E24</f>
        <v>0</v>
      </c>
    </row>
    <row r="25" spans="1:12" s="337" customFormat="1" ht="15.5">
      <c r="A25" s="368" t="s">
        <v>1446</v>
      </c>
      <c r="B25" s="358" t="s">
        <v>1447</v>
      </c>
      <c r="C25" s="354" t="s">
        <v>1445</v>
      </c>
      <c r="D25" s="354">
        <v>5</v>
      </c>
      <c r="E25" s="370">
        <v>1728.72</v>
      </c>
      <c r="F25" s="356">
        <f t="shared" si="0"/>
        <v>8643.6</v>
      </c>
      <c r="G25" s="357">
        <f>'[4]MB HVAC '!D126</f>
        <v>37.9</v>
      </c>
      <c r="H25" s="356">
        <f>G25*E25</f>
        <v>65518.487999999998</v>
      </c>
      <c r="I25" s="357">
        <f>'MB HVAC '!E128</f>
        <v>5</v>
      </c>
      <c r="J25" s="371">
        <f t="shared" si="1"/>
        <v>8643.6</v>
      </c>
      <c r="K25" s="1178">
        <f>'MB HVAC '!F128</f>
        <v>22.5</v>
      </c>
      <c r="L25" s="1184">
        <f>K25*E25</f>
        <v>38896.199999999997</v>
      </c>
    </row>
    <row r="26" spans="1:12" s="337" customFormat="1" ht="15.5">
      <c r="A26" s="368" t="s">
        <v>1448</v>
      </c>
      <c r="B26" s="358" t="s">
        <v>1449</v>
      </c>
      <c r="C26" s="354" t="s">
        <v>1445</v>
      </c>
      <c r="D26" s="354">
        <v>5</v>
      </c>
      <c r="E26" s="370">
        <v>2112.88</v>
      </c>
      <c r="F26" s="356">
        <f t="shared" si="0"/>
        <v>10564.400000000001</v>
      </c>
      <c r="G26" s="357"/>
      <c r="H26" s="356"/>
      <c r="I26" s="357"/>
      <c r="J26" s="357"/>
      <c r="K26" s="1178"/>
      <c r="L26" s="1178"/>
    </row>
    <row r="27" spans="1:12" s="337" customFormat="1" ht="15.5">
      <c r="A27" s="368" t="s">
        <v>1450</v>
      </c>
      <c r="B27" s="358" t="s">
        <v>1451</v>
      </c>
      <c r="C27" s="354" t="s">
        <v>1445</v>
      </c>
      <c r="D27" s="1085" t="s">
        <v>864</v>
      </c>
      <c r="E27" s="370">
        <v>2881.2</v>
      </c>
      <c r="F27" s="356"/>
      <c r="G27" s="357"/>
      <c r="H27" s="356"/>
      <c r="I27" s="357"/>
      <c r="J27" s="357"/>
      <c r="K27" s="1178"/>
      <c r="L27" s="1178"/>
    </row>
    <row r="28" spans="1:12" s="337" customFormat="1" ht="15.5">
      <c r="A28" s="368"/>
      <c r="B28" s="358"/>
      <c r="C28" s="354"/>
      <c r="D28" s="354"/>
      <c r="E28" s="370"/>
      <c r="F28" s="356"/>
      <c r="G28" s="357"/>
      <c r="H28" s="356"/>
      <c r="I28" s="357"/>
      <c r="J28" s="357"/>
      <c r="K28" s="1178"/>
      <c r="L28" s="1178"/>
    </row>
    <row r="29" spans="1:12" s="337" customFormat="1" ht="31">
      <c r="A29" s="368" t="s">
        <v>1452</v>
      </c>
      <c r="B29" s="358" t="s">
        <v>1453</v>
      </c>
      <c r="C29" s="354" t="s">
        <v>1445</v>
      </c>
      <c r="D29" s="354">
        <v>600</v>
      </c>
      <c r="E29" s="370">
        <v>144.06</v>
      </c>
      <c r="F29" s="356">
        <f t="shared" ref="F29:F31" si="2">E29*D29</f>
        <v>86436</v>
      </c>
      <c r="G29" s="357">
        <v>231.45</v>
      </c>
      <c r="H29" s="356">
        <f>G29*E29</f>
        <v>33342.686999999998</v>
      </c>
      <c r="I29" s="357"/>
      <c r="J29" s="371">
        <f t="shared" si="1"/>
        <v>0</v>
      </c>
      <c r="K29" s="1178"/>
      <c r="L29" s="1178"/>
    </row>
    <row r="30" spans="1:12" s="337" customFormat="1" ht="15.5">
      <c r="A30" s="368"/>
      <c r="B30" s="358"/>
      <c r="C30" s="354"/>
      <c r="D30" s="354"/>
      <c r="E30" s="370"/>
      <c r="F30" s="356"/>
      <c r="G30" s="357"/>
      <c r="H30" s="356"/>
      <c r="I30" s="357"/>
      <c r="J30" s="357"/>
      <c r="K30" s="1178"/>
      <c r="L30" s="1178"/>
    </row>
    <row r="31" spans="1:12" s="337" customFormat="1" ht="15.5">
      <c r="A31" s="368" t="s">
        <v>1454</v>
      </c>
      <c r="B31" s="358" t="s">
        <v>1455</v>
      </c>
      <c r="C31" s="354" t="s">
        <v>1445</v>
      </c>
      <c r="D31" s="354">
        <v>50</v>
      </c>
      <c r="E31" s="370">
        <v>192.08</v>
      </c>
      <c r="F31" s="356">
        <f t="shared" si="2"/>
        <v>9604</v>
      </c>
      <c r="G31" s="357"/>
      <c r="H31" s="356"/>
      <c r="I31" s="357"/>
      <c r="J31" s="357"/>
      <c r="K31" s="1178"/>
      <c r="L31" s="1178"/>
    </row>
    <row r="32" spans="1:12" s="337" customFormat="1" ht="15.5">
      <c r="A32" s="368"/>
      <c r="B32" s="358"/>
      <c r="C32" s="354"/>
      <c r="D32" s="354"/>
      <c r="E32" s="356"/>
      <c r="F32" s="356"/>
      <c r="G32" s="357"/>
      <c r="H32" s="356"/>
      <c r="I32" s="357"/>
      <c r="J32" s="357"/>
      <c r="K32" s="1178"/>
      <c r="L32" s="1178"/>
    </row>
    <row r="33" spans="1:12" s="337" customFormat="1" ht="15.5">
      <c r="A33" s="368"/>
      <c r="B33" s="358"/>
      <c r="C33" s="354"/>
      <c r="D33" s="368"/>
      <c r="E33" s="356"/>
      <c r="F33" s="356"/>
      <c r="G33" s="357"/>
      <c r="H33" s="356"/>
      <c r="I33" s="357"/>
      <c r="J33" s="357"/>
      <c r="K33" s="1178"/>
      <c r="L33" s="1178"/>
    </row>
    <row r="34" spans="1:12" s="337" customFormat="1" ht="78" customHeight="1">
      <c r="A34" s="368">
        <v>2.2000000000000002</v>
      </c>
      <c r="B34" s="358" t="s">
        <v>1456</v>
      </c>
      <c r="C34" s="354"/>
      <c r="D34" s="368"/>
      <c r="E34" s="369"/>
      <c r="F34" s="369"/>
      <c r="G34" s="357"/>
      <c r="H34" s="369"/>
      <c r="I34" s="357"/>
      <c r="J34" s="357"/>
      <c r="K34" s="1178"/>
      <c r="L34" s="1178"/>
    </row>
    <row r="35" spans="1:12" s="337" customFormat="1" ht="15.5">
      <c r="A35" s="368"/>
      <c r="B35" s="358"/>
      <c r="C35" s="354"/>
      <c r="D35" s="368"/>
      <c r="E35" s="369"/>
      <c r="F35" s="369"/>
      <c r="G35" s="357"/>
      <c r="H35" s="369"/>
      <c r="I35" s="357"/>
      <c r="J35" s="357"/>
      <c r="K35" s="1178"/>
      <c r="L35" s="1178"/>
    </row>
    <row r="36" spans="1:12" s="337" customFormat="1" ht="15.5">
      <c r="A36" s="368" t="s">
        <v>1457</v>
      </c>
      <c r="B36" s="358" t="s">
        <v>1458</v>
      </c>
      <c r="C36" s="354" t="s">
        <v>1459</v>
      </c>
      <c r="D36" s="1085" t="s">
        <v>1460</v>
      </c>
      <c r="E36" s="356">
        <v>1920.8</v>
      </c>
      <c r="F36" s="356"/>
      <c r="G36" s="357"/>
      <c r="H36" s="356"/>
      <c r="I36" s="357"/>
      <c r="J36" s="357"/>
      <c r="K36" s="1178"/>
      <c r="L36" s="1178"/>
    </row>
    <row r="37" spans="1:12" s="337" customFormat="1" ht="15.5">
      <c r="A37" s="368" t="s">
        <v>1461</v>
      </c>
      <c r="B37" s="358" t="s">
        <v>1462</v>
      </c>
      <c r="C37" s="354" t="s">
        <v>1459</v>
      </c>
      <c r="D37" s="1085" t="s">
        <v>1460</v>
      </c>
      <c r="E37" s="356">
        <v>1824.76</v>
      </c>
      <c r="F37" s="356"/>
      <c r="G37" s="357"/>
      <c r="H37" s="356"/>
      <c r="I37" s="357"/>
      <c r="J37" s="357"/>
      <c r="K37" s="1178"/>
      <c r="L37" s="1178"/>
    </row>
    <row r="38" spans="1:12" s="337" customFormat="1" ht="15.5">
      <c r="A38" s="368" t="s">
        <v>1463</v>
      </c>
      <c r="B38" s="358" t="s">
        <v>1464</v>
      </c>
      <c r="C38" s="354" t="s">
        <v>1459</v>
      </c>
      <c r="D38" s="1085" t="s">
        <v>1460</v>
      </c>
      <c r="E38" s="356">
        <v>1680.7</v>
      </c>
      <c r="F38" s="356"/>
      <c r="G38" s="357"/>
      <c r="H38" s="356"/>
      <c r="I38" s="357"/>
      <c r="J38" s="357"/>
      <c r="K38" s="1178"/>
      <c r="L38" s="1178"/>
    </row>
    <row r="39" spans="1:12" s="337" customFormat="1" ht="15.5">
      <c r="A39" s="368" t="s">
        <v>1465</v>
      </c>
      <c r="B39" s="358" t="s">
        <v>1466</v>
      </c>
      <c r="C39" s="354" t="s">
        <v>1459</v>
      </c>
      <c r="D39" s="1085" t="s">
        <v>1460</v>
      </c>
      <c r="E39" s="356">
        <v>1440.6</v>
      </c>
      <c r="F39" s="356"/>
      <c r="G39" s="357"/>
      <c r="H39" s="356"/>
      <c r="I39" s="357"/>
      <c r="J39" s="357"/>
      <c r="K39" s="1178"/>
      <c r="L39" s="1178"/>
    </row>
    <row r="40" spans="1:12" s="337" customFormat="1" ht="15.5">
      <c r="A40" s="368" t="s">
        <v>1467</v>
      </c>
      <c r="B40" s="358" t="s">
        <v>1468</v>
      </c>
      <c r="C40" s="354" t="s">
        <v>1459</v>
      </c>
      <c r="D40" s="1085" t="s">
        <v>1460</v>
      </c>
      <c r="E40" s="356">
        <v>1344.6</v>
      </c>
      <c r="F40" s="356"/>
      <c r="G40" s="357"/>
      <c r="H40" s="356"/>
      <c r="I40" s="357"/>
      <c r="J40" s="357"/>
      <c r="K40" s="1178"/>
      <c r="L40" s="1178"/>
    </row>
    <row r="41" spans="1:12" s="337" customFormat="1" ht="15.5">
      <c r="A41" s="368"/>
      <c r="B41" s="358"/>
      <c r="C41" s="354"/>
      <c r="D41" s="368"/>
      <c r="E41" s="356"/>
      <c r="F41" s="356"/>
      <c r="G41" s="357"/>
      <c r="H41" s="356"/>
      <c r="I41" s="357"/>
      <c r="J41" s="357"/>
      <c r="K41" s="1178"/>
      <c r="L41" s="1178"/>
    </row>
    <row r="42" spans="1:12" s="337" customFormat="1" ht="62">
      <c r="A42" s="368">
        <v>2.2999999999999998</v>
      </c>
      <c r="B42" s="358" t="s">
        <v>1469</v>
      </c>
      <c r="C42" s="354" t="s">
        <v>1445</v>
      </c>
      <c r="D42" s="368">
        <v>1.5</v>
      </c>
      <c r="E42" s="356">
        <v>9604</v>
      </c>
      <c r="F42" s="356">
        <f t="shared" ref="F42" si="3">E42*D42</f>
        <v>14406</v>
      </c>
      <c r="G42" s="357"/>
      <c r="H42" s="356"/>
      <c r="I42" s="357"/>
      <c r="J42" s="357"/>
      <c r="K42" s="1178"/>
      <c r="L42" s="1178"/>
    </row>
    <row r="43" spans="1:12" s="337" customFormat="1" ht="15.5">
      <c r="A43" s="368"/>
      <c r="B43" s="372"/>
      <c r="C43" s="354"/>
      <c r="D43" s="368"/>
      <c r="E43" s="356"/>
      <c r="F43" s="356"/>
      <c r="G43" s="357"/>
      <c r="H43" s="356"/>
      <c r="I43" s="357"/>
      <c r="J43" s="357"/>
      <c r="K43" s="1178"/>
      <c r="L43" s="1178"/>
    </row>
    <row r="44" spans="1:12" s="337" customFormat="1" ht="46.5">
      <c r="A44" s="368">
        <v>2.4</v>
      </c>
      <c r="B44" s="358" t="s">
        <v>1470</v>
      </c>
      <c r="C44" s="373" t="s">
        <v>1445</v>
      </c>
      <c r="D44" s="368">
        <v>3.5</v>
      </c>
      <c r="E44" s="356">
        <v>9604</v>
      </c>
      <c r="F44" s="356">
        <f t="shared" ref="F44" si="4">E44*D44</f>
        <v>33614</v>
      </c>
      <c r="G44" s="357">
        <v>4.5999999999999996</v>
      </c>
      <c r="H44" s="356">
        <f>G44*E44</f>
        <v>44178.399999999994</v>
      </c>
      <c r="I44" s="357"/>
      <c r="J44" s="371">
        <f>I44*E44</f>
        <v>0</v>
      </c>
      <c r="K44" s="1178"/>
      <c r="L44" s="1178"/>
    </row>
    <row r="45" spans="1:12" s="337" customFormat="1" ht="15.5">
      <c r="A45" s="368"/>
      <c r="B45" s="358"/>
      <c r="C45" s="354"/>
      <c r="D45" s="374"/>
      <c r="E45" s="357"/>
      <c r="F45" s="356"/>
      <c r="G45" s="357"/>
      <c r="H45" s="356"/>
      <c r="I45" s="357"/>
      <c r="J45" s="357"/>
      <c r="K45" s="1178"/>
      <c r="L45" s="1178"/>
    </row>
    <row r="46" spans="1:12" s="337" customFormat="1" ht="39.5" customHeight="1">
      <c r="A46" s="368">
        <v>2.5</v>
      </c>
      <c r="B46" s="358" t="s">
        <v>1471</v>
      </c>
      <c r="C46" s="373" t="s">
        <v>1445</v>
      </c>
      <c r="D46" s="368">
        <v>3</v>
      </c>
      <c r="E46" s="373">
        <v>8163.4</v>
      </c>
      <c r="F46" s="356">
        <f t="shared" ref="F46" si="5">E46*D46</f>
        <v>24490.199999999997</v>
      </c>
      <c r="G46" s="357">
        <v>1.96</v>
      </c>
      <c r="H46" s="356">
        <f>G46*E46</f>
        <v>16000.263999999999</v>
      </c>
      <c r="I46" s="357"/>
      <c r="J46" s="371">
        <f>I46*E46</f>
        <v>0</v>
      </c>
      <c r="K46" s="1178"/>
      <c r="L46" s="1178"/>
    </row>
    <row r="47" spans="1:12" s="337" customFormat="1" ht="15.5">
      <c r="A47" s="368"/>
      <c r="B47" s="358"/>
      <c r="C47" s="354"/>
      <c r="D47" s="374"/>
      <c r="E47" s="357">
        <v>0</v>
      </c>
      <c r="F47" s="356"/>
      <c r="G47" s="357"/>
      <c r="H47" s="356"/>
      <c r="I47" s="357"/>
      <c r="J47" s="357"/>
      <c r="K47" s="1178"/>
      <c r="L47" s="1178"/>
    </row>
    <row r="48" spans="1:12" s="337" customFormat="1" ht="62">
      <c r="A48" s="368">
        <v>2.6</v>
      </c>
      <c r="B48" s="358" t="s">
        <v>1472</v>
      </c>
      <c r="C48" s="354" t="s">
        <v>1445</v>
      </c>
      <c r="D48" s="1085" t="s">
        <v>1460</v>
      </c>
      <c r="E48" s="357">
        <v>12965.4</v>
      </c>
      <c r="F48" s="356"/>
      <c r="G48" s="357"/>
      <c r="H48" s="356"/>
      <c r="I48" s="357"/>
      <c r="J48" s="357"/>
      <c r="K48" s="1178"/>
      <c r="L48" s="1178"/>
    </row>
    <row r="49" spans="1:12" s="337" customFormat="1" ht="15.5">
      <c r="A49" s="368"/>
      <c r="B49" s="358"/>
      <c r="C49" s="354"/>
      <c r="D49" s="368"/>
      <c r="E49" s="357">
        <v>0</v>
      </c>
      <c r="F49" s="356"/>
      <c r="G49" s="357"/>
      <c r="H49" s="356"/>
      <c r="I49" s="357"/>
      <c r="J49" s="357"/>
      <c r="K49" s="1178"/>
      <c r="L49" s="1178"/>
    </row>
    <row r="50" spans="1:12" s="337" customFormat="1" ht="46.5">
      <c r="A50" s="368">
        <v>2.7</v>
      </c>
      <c r="B50" s="358" t="s">
        <v>1473</v>
      </c>
      <c r="C50" s="354" t="s">
        <v>1445</v>
      </c>
      <c r="D50" s="1085" t="s">
        <v>1460</v>
      </c>
      <c r="E50" s="357">
        <v>14406</v>
      </c>
      <c r="F50" s="356"/>
      <c r="G50" s="357"/>
      <c r="H50" s="356"/>
      <c r="I50" s="357"/>
      <c r="J50" s="357"/>
      <c r="K50" s="1178"/>
      <c r="L50" s="1178"/>
    </row>
    <row r="51" spans="1:12" s="337" customFormat="1" ht="15.5">
      <c r="A51" s="368"/>
      <c r="B51" s="358"/>
      <c r="C51" s="354"/>
      <c r="D51" s="368"/>
      <c r="E51" s="357">
        <v>0</v>
      </c>
      <c r="F51" s="356"/>
      <c r="G51" s="357"/>
      <c r="H51" s="356"/>
      <c r="I51" s="357"/>
      <c r="J51" s="357"/>
      <c r="K51" s="1178"/>
      <c r="L51" s="1178"/>
    </row>
    <row r="52" spans="1:12" s="337" customFormat="1" ht="46.5">
      <c r="A52" s="368">
        <v>2.8</v>
      </c>
      <c r="B52" s="358" t="s">
        <v>1474</v>
      </c>
      <c r="C52" s="373" t="s">
        <v>1445</v>
      </c>
      <c r="D52" s="368">
        <v>0.5</v>
      </c>
      <c r="E52" s="357">
        <v>9604</v>
      </c>
      <c r="F52" s="356">
        <f t="shared" ref="F52" si="6">E52*D52</f>
        <v>4802</v>
      </c>
      <c r="G52" s="354">
        <v>1</v>
      </c>
      <c r="H52" s="356">
        <f>G52*E52</f>
        <v>9604</v>
      </c>
      <c r="I52" s="357"/>
      <c r="J52" s="371">
        <f>I52*E52</f>
        <v>0</v>
      </c>
      <c r="K52" s="1178"/>
      <c r="L52" s="1178"/>
    </row>
    <row r="53" spans="1:12" s="337" customFormat="1" ht="15.5">
      <c r="A53" s="368"/>
      <c r="B53" s="358"/>
      <c r="C53" s="354"/>
      <c r="D53" s="368"/>
      <c r="E53" s="357">
        <v>0</v>
      </c>
      <c r="F53" s="356"/>
      <c r="G53" s="357"/>
      <c r="H53" s="356"/>
      <c r="I53" s="357"/>
      <c r="J53" s="357"/>
      <c r="K53" s="1178"/>
      <c r="L53" s="1178"/>
    </row>
    <row r="54" spans="1:12" s="337" customFormat="1" ht="15.5">
      <c r="A54" s="375">
        <v>2.9</v>
      </c>
      <c r="B54" s="372" t="s">
        <v>1475</v>
      </c>
      <c r="C54" s="354"/>
      <c r="D54" s="368"/>
      <c r="E54" s="357">
        <v>0</v>
      </c>
      <c r="F54" s="356"/>
      <c r="G54" s="357"/>
      <c r="H54" s="356"/>
      <c r="I54" s="357"/>
      <c r="J54" s="357"/>
      <c r="K54" s="1178"/>
      <c r="L54" s="1178"/>
    </row>
    <row r="55" spans="1:12" s="337" customFormat="1" ht="15.5">
      <c r="A55" s="368"/>
      <c r="B55" s="358"/>
      <c r="C55" s="354"/>
      <c r="D55" s="368"/>
      <c r="E55" s="357">
        <v>0</v>
      </c>
      <c r="F55" s="356"/>
      <c r="G55" s="357"/>
      <c r="H55" s="356"/>
      <c r="I55" s="357"/>
      <c r="J55" s="357"/>
      <c r="K55" s="1178"/>
      <c r="L55" s="1178"/>
    </row>
    <row r="56" spans="1:12" s="337" customFormat="1" ht="15.5">
      <c r="A56" s="368" t="s">
        <v>1476</v>
      </c>
      <c r="B56" s="372" t="s">
        <v>1477</v>
      </c>
      <c r="C56" s="354"/>
      <c r="D56" s="368"/>
      <c r="E56" s="357">
        <v>0</v>
      </c>
      <c r="F56" s="356"/>
      <c r="G56" s="357"/>
      <c r="H56" s="356"/>
      <c r="I56" s="357"/>
      <c r="J56" s="357"/>
      <c r="K56" s="1178"/>
      <c r="L56" s="1178"/>
    </row>
    <row r="57" spans="1:12" s="337" customFormat="1" ht="77.5">
      <c r="A57" s="368"/>
      <c r="B57" s="358" t="s">
        <v>1478</v>
      </c>
      <c r="C57" s="354"/>
      <c r="D57" s="368"/>
      <c r="E57" s="357">
        <v>0</v>
      </c>
      <c r="F57" s="356"/>
      <c r="G57" s="357"/>
      <c r="H57" s="356"/>
      <c r="I57" s="357"/>
      <c r="J57" s="357"/>
      <c r="K57" s="1178"/>
      <c r="L57" s="1178"/>
    </row>
    <row r="58" spans="1:12" s="337" customFormat="1" ht="15.5">
      <c r="A58" s="368"/>
      <c r="B58" s="358" t="s">
        <v>1479</v>
      </c>
      <c r="C58" s="354"/>
      <c r="D58" s="368"/>
      <c r="E58" s="357">
        <v>0</v>
      </c>
      <c r="F58" s="356"/>
      <c r="G58" s="357"/>
      <c r="H58" s="356"/>
      <c r="I58" s="357"/>
      <c r="J58" s="357"/>
      <c r="K58" s="1178"/>
      <c r="L58" s="1178"/>
    </row>
    <row r="59" spans="1:12" s="337" customFormat="1" ht="15.5">
      <c r="A59" s="354" t="s">
        <v>1437</v>
      </c>
      <c r="B59" s="358" t="s">
        <v>1480</v>
      </c>
      <c r="C59" s="354" t="s">
        <v>111</v>
      </c>
      <c r="D59" s="1085" t="s">
        <v>1460</v>
      </c>
      <c r="E59" s="357">
        <v>2401</v>
      </c>
      <c r="F59" s="356"/>
      <c r="G59" s="357"/>
      <c r="H59" s="356"/>
      <c r="I59" s="357"/>
      <c r="J59" s="357"/>
      <c r="K59" s="1178"/>
      <c r="L59" s="1178"/>
    </row>
    <row r="60" spans="1:12" s="337" customFormat="1" ht="15.5">
      <c r="A60" s="354" t="s">
        <v>1481</v>
      </c>
      <c r="B60" s="358" t="s">
        <v>1482</v>
      </c>
      <c r="C60" s="354" t="s">
        <v>111</v>
      </c>
      <c r="D60" s="1085" t="s">
        <v>1460</v>
      </c>
      <c r="E60" s="357">
        <v>2016.84</v>
      </c>
      <c r="F60" s="356"/>
      <c r="G60" s="357"/>
      <c r="H60" s="356"/>
      <c r="I60" s="357"/>
      <c r="J60" s="357"/>
      <c r="K60" s="1178"/>
      <c r="L60" s="1178"/>
    </row>
    <row r="61" spans="1:12" s="337" customFormat="1" ht="15.5">
      <c r="A61" s="354" t="s">
        <v>1483</v>
      </c>
      <c r="B61" s="358" t="s">
        <v>1484</v>
      </c>
      <c r="C61" s="354" t="s">
        <v>111</v>
      </c>
      <c r="D61" s="1085" t="s">
        <v>1460</v>
      </c>
      <c r="E61" s="357">
        <v>1728.72</v>
      </c>
      <c r="F61" s="356"/>
      <c r="G61" s="357"/>
      <c r="H61" s="356"/>
      <c r="I61" s="357"/>
      <c r="J61" s="357"/>
      <c r="K61" s="1178"/>
      <c r="L61" s="1178"/>
    </row>
    <row r="62" spans="1:12" s="337" customFormat="1" ht="15.5">
      <c r="A62" s="354" t="s">
        <v>1485</v>
      </c>
      <c r="B62" s="358" t="s">
        <v>1486</v>
      </c>
      <c r="C62" s="354" t="s">
        <v>111</v>
      </c>
      <c r="D62" s="354">
        <v>225</v>
      </c>
      <c r="E62" s="357">
        <v>1200.56</v>
      </c>
      <c r="F62" s="356">
        <f t="shared" ref="F62" si="7">E62*D62</f>
        <v>270126</v>
      </c>
      <c r="G62" s="357">
        <f>'[4]MB HVAC '!D129</f>
        <v>258.5</v>
      </c>
      <c r="H62" s="356">
        <f>G62*E62</f>
        <v>310344.76</v>
      </c>
      <c r="I62" s="357">
        <f>'MB HVAC '!G131</f>
        <v>0</v>
      </c>
      <c r="J62" s="371">
        <f>I62*E62</f>
        <v>0</v>
      </c>
      <c r="K62" s="1178"/>
      <c r="L62" s="1178"/>
    </row>
    <row r="63" spans="1:12" s="337" customFormat="1" ht="15.5">
      <c r="A63" s="354" t="s">
        <v>1487</v>
      </c>
      <c r="B63" s="358" t="s">
        <v>1488</v>
      </c>
      <c r="C63" s="354" t="s">
        <v>111</v>
      </c>
      <c r="D63" s="1085" t="s">
        <v>1460</v>
      </c>
      <c r="E63" s="357">
        <v>1152.48</v>
      </c>
      <c r="F63" s="356"/>
      <c r="G63" s="357"/>
      <c r="H63" s="356"/>
      <c r="I63" s="357"/>
      <c r="J63" s="357"/>
      <c r="K63" s="1178"/>
      <c r="L63" s="1178"/>
    </row>
    <row r="64" spans="1:12" s="337" customFormat="1" ht="15.5">
      <c r="A64" s="368"/>
      <c r="B64" s="358"/>
      <c r="C64" s="354"/>
      <c r="D64" s="368"/>
      <c r="E64" s="357">
        <v>0</v>
      </c>
      <c r="F64" s="356"/>
      <c r="G64" s="357"/>
      <c r="H64" s="356"/>
      <c r="I64" s="357"/>
      <c r="J64" s="357"/>
      <c r="K64" s="1178"/>
      <c r="L64" s="1178"/>
    </row>
    <row r="65" spans="1:12" s="337" customFormat="1" ht="15.5">
      <c r="A65" s="354" t="s">
        <v>1489</v>
      </c>
      <c r="B65" s="355" t="s">
        <v>1490</v>
      </c>
      <c r="C65" s="354"/>
      <c r="D65" s="354"/>
      <c r="E65" s="357">
        <v>0</v>
      </c>
      <c r="F65" s="356"/>
      <c r="G65" s="357"/>
      <c r="H65" s="356"/>
      <c r="I65" s="357"/>
      <c r="J65" s="357"/>
      <c r="K65" s="1178"/>
      <c r="L65" s="1178"/>
    </row>
    <row r="66" spans="1:12" s="337" customFormat="1" ht="15.5">
      <c r="A66" s="354"/>
      <c r="B66" s="360"/>
      <c r="C66" s="354"/>
      <c r="D66" s="354"/>
      <c r="E66" s="357">
        <v>0</v>
      </c>
      <c r="F66" s="356"/>
      <c r="G66" s="357"/>
      <c r="H66" s="356"/>
      <c r="I66" s="357"/>
      <c r="J66" s="357"/>
      <c r="K66" s="1178"/>
      <c r="L66" s="1178"/>
    </row>
    <row r="67" spans="1:12" s="338" customFormat="1" ht="62">
      <c r="A67" s="354"/>
      <c r="B67" s="358" t="s">
        <v>1491</v>
      </c>
      <c r="C67" s="354"/>
      <c r="D67" s="354"/>
      <c r="E67" s="357">
        <v>0</v>
      </c>
      <c r="F67" s="356"/>
      <c r="G67" s="357"/>
      <c r="H67" s="356"/>
      <c r="I67" s="357"/>
      <c r="J67" s="357"/>
      <c r="K67" s="734"/>
      <c r="L67" s="734"/>
    </row>
    <row r="68" spans="1:12" s="338" customFormat="1" ht="15.5">
      <c r="A68" s="354"/>
      <c r="B68" s="360"/>
      <c r="C68" s="354"/>
      <c r="D68" s="354"/>
      <c r="E68" s="357">
        <v>0</v>
      </c>
      <c r="F68" s="356"/>
      <c r="G68" s="357"/>
      <c r="H68" s="356"/>
      <c r="I68" s="357"/>
      <c r="J68" s="357"/>
      <c r="K68" s="734"/>
      <c r="L68" s="734"/>
    </row>
    <row r="69" spans="1:12" s="338" customFormat="1" ht="15.5">
      <c r="A69" s="354" t="s">
        <v>1437</v>
      </c>
      <c r="B69" s="360" t="s">
        <v>1492</v>
      </c>
      <c r="C69" s="354" t="s">
        <v>1493</v>
      </c>
      <c r="D69" s="354">
        <v>20</v>
      </c>
      <c r="E69" s="357">
        <v>1200.5</v>
      </c>
      <c r="F69" s="356">
        <f t="shared" ref="F69" si="8">E69*D69</f>
        <v>24010</v>
      </c>
      <c r="G69" s="357"/>
      <c r="H69" s="356">
        <f>G69*E69</f>
        <v>0</v>
      </c>
      <c r="I69" s="357"/>
      <c r="J69" s="357"/>
      <c r="K69" s="734"/>
      <c r="L69" s="734"/>
    </row>
    <row r="70" spans="1:12" s="338" customFormat="1" ht="15.5">
      <c r="A70" s="354" t="s">
        <v>1481</v>
      </c>
      <c r="B70" s="360" t="s">
        <v>1494</v>
      </c>
      <c r="C70" s="354" t="s">
        <v>1493</v>
      </c>
      <c r="D70" s="1085" t="s">
        <v>864</v>
      </c>
      <c r="E70" s="357">
        <v>1920.8</v>
      </c>
      <c r="F70" s="356"/>
      <c r="G70" s="357"/>
      <c r="H70" s="356"/>
      <c r="I70" s="357"/>
      <c r="J70" s="357"/>
      <c r="K70" s="734"/>
      <c r="L70" s="734"/>
    </row>
    <row r="71" spans="1:12" s="338" customFormat="1" ht="15.5">
      <c r="A71" s="354"/>
      <c r="B71" s="360"/>
      <c r="C71" s="354"/>
      <c r="D71" s="354"/>
      <c r="E71" s="357">
        <v>0</v>
      </c>
      <c r="F71" s="356"/>
      <c r="G71" s="357"/>
      <c r="H71" s="356"/>
      <c r="I71" s="357"/>
      <c r="J71" s="357"/>
      <c r="K71" s="734"/>
      <c r="L71" s="734"/>
    </row>
    <row r="72" spans="1:12" s="337" customFormat="1" ht="15.5">
      <c r="A72" s="376">
        <v>2.1</v>
      </c>
      <c r="B72" s="355" t="s">
        <v>1495</v>
      </c>
      <c r="C72" s="354"/>
      <c r="D72" s="354"/>
      <c r="E72" s="357">
        <v>0</v>
      </c>
      <c r="F72" s="356"/>
      <c r="G72" s="357"/>
      <c r="H72" s="356"/>
      <c r="I72" s="357"/>
      <c r="J72" s="357"/>
      <c r="K72" s="1178"/>
      <c r="L72" s="1178"/>
    </row>
    <row r="73" spans="1:12" s="337" customFormat="1" ht="31">
      <c r="A73" s="354"/>
      <c r="B73" s="360" t="s">
        <v>1496</v>
      </c>
      <c r="C73" s="354" t="s">
        <v>1493</v>
      </c>
      <c r="D73" s="354">
        <v>0.2</v>
      </c>
      <c r="E73" s="357">
        <v>14406</v>
      </c>
      <c r="F73" s="356">
        <f>E73*D73</f>
        <v>2881.2000000000003</v>
      </c>
      <c r="G73" s="357"/>
      <c r="H73" s="356">
        <f>G73*E73</f>
        <v>0</v>
      </c>
      <c r="I73" s="357"/>
      <c r="J73" s="357"/>
      <c r="K73" s="1178"/>
      <c r="L73" s="1178"/>
    </row>
    <row r="74" spans="1:12" s="337" customFormat="1" ht="15.5">
      <c r="A74" s="377"/>
      <c r="B74" s="360"/>
      <c r="C74" s="354"/>
      <c r="D74" s="354"/>
      <c r="E74" s="356"/>
      <c r="F74" s="356"/>
      <c r="G74" s="357"/>
      <c r="H74" s="356"/>
      <c r="I74" s="357"/>
      <c r="J74" s="357"/>
      <c r="K74" s="1178"/>
      <c r="L74" s="1178"/>
    </row>
    <row r="75" spans="1:12" s="337" customFormat="1" ht="15.5">
      <c r="A75" s="378"/>
      <c r="B75" s="379" t="s">
        <v>1497</v>
      </c>
      <c r="C75" s="363"/>
      <c r="D75" s="363"/>
      <c r="E75" s="380"/>
      <c r="F75" s="381">
        <f>+SUM(F22:F74)</f>
        <v>813712.39999999991</v>
      </c>
      <c r="G75" s="357"/>
      <c r="H75" s="381">
        <f>+SUM(H22:H74)</f>
        <v>763715.98600000003</v>
      </c>
      <c r="I75" s="357"/>
      <c r="J75" s="381">
        <f>+SUM(J22:J74)</f>
        <v>159596.87099999998</v>
      </c>
      <c r="K75" s="1178"/>
      <c r="L75" s="381">
        <f>+SUM(L22:L74)</f>
        <v>38896.199999999997</v>
      </c>
    </row>
    <row r="76" spans="1:12" s="336" customFormat="1" ht="15.5">
      <c r="A76" s="382"/>
      <c r="B76" s="383" t="s">
        <v>1498</v>
      </c>
      <c r="C76" s="384"/>
      <c r="D76" s="384"/>
      <c r="E76" s="384" t="s">
        <v>831</v>
      </c>
      <c r="F76" s="385">
        <f>F75+F18</f>
        <v>813712.39999999991</v>
      </c>
      <c r="G76" s="1146"/>
      <c r="H76" s="385">
        <f>H75+H18</f>
        <v>763715.98600000003</v>
      </c>
      <c r="I76" s="386"/>
      <c r="J76" s="385">
        <f>J75+J18</f>
        <v>159596.87099999998</v>
      </c>
      <c r="K76" s="1183"/>
      <c r="L76" s="385">
        <f>L75+L18</f>
        <v>38896.199999999997</v>
      </c>
    </row>
    <row r="77" spans="1:12" s="337" customFormat="1" ht="15.5">
      <c r="A77" s="378"/>
      <c r="B77" s="362"/>
      <c r="C77" s="363"/>
      <c r="D77" s="363"/>
      <c r="E77" s="363"/>
      <c r="F77" s="364"/>
      <c r="G77" s="357"/>
      <c r="H77" s="364"/>
      <c r="I77" s="357"/>
      <c r="J77" s="357"/>
      <c r="K77" s="1178"/>
      <c r="L77" s="1178"/>
    </row>
    <row r="78" spans="1:12" s="337" customFormat="1" ht="15.5">
      <c r="A78" s="1269" t="s">
        <v>1499</v>
      </c>
      <c r="B78" s="1269"/>
      <c r="C78" s="1269"/>
      <c r="D78" s="1269"/>
      <c r="E78" s="1269"/>
      <c r="F78" s="1269"/>
      <c r="G78" s="357"/>
      <c r="H78" s="387"/>
      <c r="I78" s="357"/>
      <c r="J78" s="357"/>
      <c r="K78" s="1178"/>
      <c r="L78" s="1178"/>
    </row>
    <row r="79" spans="1:12" s="337" customFormat="1" ht="15.5">
      <c r="A79" s="377"/>
      <c r="B79" s="377"/>
      <c r="C79" s="354"/>
      <c r="D79" s="354"/>
      <c r="E79" s="354"/>
      <c r="F79" s="354"/>
      <c r="G79" s="357"/>
      <c r="H79" s="354"/>
      <c r="I79" s="357"/>
      <c r="J79" s="357"/>
      <c r="K79" s="1178"/>
      <c r="L79" s="1178"/>
    </row>
    <row r="80" spans="1:12" s="337" customFormat="1" ht="15.5">
      <c r="A80" s="361" t="s">
        <v>1426</v>
      </c>
      <c r="B80" s="362" t="s">
        <v>1427</v>
      </c>
      <c r="C80" s="388"/>
      <c r="D80" s="388"/>
      <c r="E80" s="388"/>
      <c r="F80" s="388"/>
      <c r="G80" s="357"/>
      <c r="H80" s="388"/>
      <c r="I80" s="357"/>
      <c r="J80" s="357"/>
      <c r="K80" s="1178"/>
      <c r="L80" s="1178"/>
    </row>
    <row r="81" spans="1:12" s="337" customFormat="1" ht="15.5">
      <c r="A81" s="378"/>
      <c r="B81" s="362"/>
      <c r="C81" s="388"/>
      <c r="D81" s="388"/>
      <c r="E81" s="388"/>
      <c r="F81" s="388"/>
      <c r="G81" s="357"/>
      <c r="H81" s="388"/>
      <c r="I81" s="357"/>
      <c r="J81" s="357"/>
      <c r="K81" s="1178"/>
      <c r="L81" s="1178"/>
    </row>
    <row r="82" spans="1:12" s="336" customFormat="1" ht="62">
      <c r="A82" s="354" t="s">
        <v>1430</v>
      </c>
      <c r="B82" s="358" t="s">
        <v>1500</v>
      </c>
      <c r="C82" s="373"/>
      <c r="D82" s="373"/>
      <c r="E82" s="356"/>
      <c r="F82" s="356"/>
      <c r="G82" s="389"/>
      <c r="H82" s="356"/>
      <c r="I82" s="389"/>
      <c r="J82" s="389"/>
      <c r="K82" s="1179"/>
      <c r="L82" s="1179"/>
    </row>
    <row r="83" spans="1:12" s="336" customFormat="1" ht="15.5">
      <c r="A83" s="377"/>
      <c r="B83" s="390"/>
      <c r="C83" s="373"/>
      <c r="D83" s="373"/>
      <c r="E83" s="356"/>
      <c r="F83" s="356"/>
      <c r="G83" s="389"/>
      <c r="H83" s="356"/>
      <c r="I83" s="389"/>
      <c r="J83" s="389"/>
      <c r="K83" s="1179"/>
      <c r="L83" s="1179"/>
    </row>
    <row r="84" spans="1:12" s="336" customFormat="1" ht="217">
      <c r="A84" s="377"/>
      <c r="B84" s="358" t="s">
        <v>1501</v>
      </c>
      <c r="C84" s="373"/>
      <c r="D84" s="373"/>
      <c r="E84" s="356"/>
      <c r="F84" s="356"/>
      <c r="G84" s="389"/>
      <c r="H84" s="356"/>
      <c r="I84" s="389"/>
      <c r="J84" s="389"/>
      <c r="K84" s="1179"/>
      <c r="L84" s="1179"/>
    </row>
    <row r="85" spans="1:12" s="336" customFormat="1" ht="52.5" customHeight="1">
      <c r="A85" s="377"/>
      <c r="B85" s="358" t="s">
        <v>1502</v>
      </c>
      <c r="C85" s="373"/>
      <c r="D85" s="373"/>
      <c r="E85" s="356"/>
      <c r="F85" s="356"/>
      <c r="G85" s="389"/>
      <c r="H85" s="356"/>
      <c r="I85" s="389"/>
      <c r="J85" s="389"/>
      <c r="K85" s="1179"/>
      <c r="L85" s="1179"/>
    </row>
    <row r="86" spans="1:12" s="336" customFormat="1" ht="15.5">
      <c r="A86" s="377"/>
      <c r="B86" s="390"/>
      <c r="C86" s="373"/>
      <c r="D86" s="373"/>
      <c r="E86" s="356"/>
      <c r="F86" s="356"/>
      <c r="G86" s="389"/>
      <c r="H86" s="356"/>
      <c r="I86" s="389"/>
      <c r="J86" s="389"/>
      <c r="K86" s="1179"/>
      <c r="L86" s="1179"/>
    </row>
    <row r="87" spans="1:12" s="336" customFormat="1" ht="15.5">
      <c r="A87" s="377"/>
      <c r="B87" s="360" t="s">
        <v>1503</v>
      </c>
      <c r="C87" s="373"/>
      <c r="D87" s="373"/>
      <c r="E87" s="356"/>
      <c r="F87" s="356"/>
      <c r="G87" s="389"/>
      <c r="H87" s="356"/>
      <c r="I87" s="389"/>
      <c r="J87" s="389"/>
      <c r="K87" s="1179"/>
      <c r="L87" s="1179"/>
    </row>
    <row r="88" spans="1:12" s="336" customFormat="1" ht="15.5">
      <c r="A88" s="377"/>
      <c r="B88" s="360"/>
      <c r="C88" s="373"/>
      <c r="D88" s="373"/>
      <c r="E88" s="356"/>
      <c r="F88" s="356"/>
      <c r="G88" s="389"/>
      <c r="H88" s="356"/>
      <c r="I88" s="389"/>
      <c r="J88" s="389"/>
      <c r="K88" s="1179"/>
      <c r="L88" s="1179"/>
    </row>
    <row r="89" spans="1:12" s="336" customFormat="1" ht="16.5" customHeight="1">
      <c r="A89" s="377"/>
      <c r="B89" s="355" t="s">
        <v>1504</v>
      </c>
      <c r="C89" s="357"/>
      <c r="D89" s="357"/>
      <c r="E89" s="356"/>
      <c r="F89" s="356"/>
      <c r="G89" s="389"/>
      <c r="H89" s="356"/>
      <c r="I89" s="389"/>
      <c r="J89" s="389"/>
      <c r="K89" s="1179"/>
      <c r="L89" s="1179"/>
    </row>
    <row r="90" spans="1:12" s="337" customFormat="1" ht="15.5">
      <c r="A90" s="377"/>
      <c r="B90" s="355" t="s">
        <v>1505</v>
      </c>
      <c r="C90" s="357"/>
      <c r="D90" s="357"/>
      <c r="E90" s="356"/>
      <c r="F90" s="356"/>
      <c r="G90" s="357"/>
      <c r="H90" s="356"/>
      <c r="I90" s="357"/>
      <c r="J90" s="357"/>
      <c r="K90" s="1178"/>
      <c r="L90" s="1178"/>
    </row>
    <row r="91" spans="1:12" s="337" customFormat="1" ht="15" customHeight="1">
      <c r="A91" s="377"/>
      <c r="B91" s="360" t="s">
        <v>1506</v>
      </c>
      <c r="C91" s="373" t="s">
        <v>169</v>
      </c>
      <c r="D91" s="373">
        <v>1</v>
      </c>
      <c r="E91" s="357">
        <v>216090</v>
      </c>
      <c r="F91" s="356">
        <f>E91*D91</f>
        <v>216090</v>
      </c>
      <c r="G91" s="357">
        <v>1</v>
      </c>
      <c r="H91" s="356">
        <f>G91*E91</f>
        <v>216090</v>
      </c>
      <c r="I91" s="357">
        <v>1</v>
      </c>
      <c r="J91" s="357">
        <f>I91*E91</f>
        <v>216090</v>
      </c>
      <c r="K91" s="1178"/>
      <c r="L91" s="1178"/>
    </row>
    <row r="92" spans="1:12" s="337" customFormat="1" ht="15" customHeight="1">
      <c r="A92" s="377"/>
      <c r="B92" s="360"/>
      <c r="C92" s="373"/>
      <c r="D92" s="373"/>
      <c r="E92" s="357">
        <v>0</v>
      </c>
      <c r="F92" s="356"/>
      <c r="G92" s="357"/>
      <c r="H92" s="356"/>
      <c r="I92" s="357"/>
      <c r="J92" s="357"/>
      <c r="K92" s="1178"/>
      <c r="L92" s="1178"/>
    </row>
    <row r="93" spans="1:12" s="337" customFormat="1" ht="124">
      <c r="A93" s="354" t="s">
        <v>1507</v>
      </c>
      <c r="B93" s="360" t="s">
        <v>1508</v>
      </c>
      <c r="C93" s="373"/>
      <c r="D93" s="373"/>
      <c r="E93" s="357">
        <v>0</v>
      </c>
      <c r="F93" s="356"/>
      <c r="G93" s="357"/>
      <c r="H93" s="356"/>
      <c r="I93" s="357"/>
      <c r="J93" s="357"/>
      <c r="K93" s="1178"/>
      <c r="L93" s="1178"/>
    </row>
    <row r="94" spans="1:12" s="337" customFormat="1" ht="15" customHeight="1">
      <c r="A94" s="377"/>
      <c r="B94" s="360"/>
      <c r="C94" s="373"/>
      <c r="D94" s="373"/>
      <c r="E94" s="357">
        <v>0</v>
      </c>
      <c r="F94" s="356"/>
      <c r="G94" s="357"/>
      <c r="H94" s="356"/>
      <c r="I94" s="357"/>
      <c r="J94" s="357"/>
      <c r="K94" s="1178"/>
      <c r="L94" s="1178"/>
    </row>
    <row r="95" spans="1:12" s="337" customFormat="1" ht="15" customHeight="1">
      <c r="A95" s="377"/>
      <c r="B95" s="355" t="s">
        <v>1509</v>
      </c>
      <c r="C95" s="357"/>
      <c r="D95" s="357"/>
      <c r="E95" s="357">
        <v>0</v>
      </c>
      <c r="F95" s="356"/>
      <c r="G95" s="357"/>
      <c r="H95" s="356"/>
      <c r="I95" s="357"/>
      <c r="J95" s="357"/>
      <c r="K95" s="1178"/>
      <c r="L95" s="1178"/>
    </row>
    <row r="96" spans="1:12" s="337" customFormat="1" ht="15" customHeight="1">
      <c r="A96" s="377"/>
      <c r="B96" s="355"/>
      <c r="C96" s="357"/>
      <c r="D96" s="357"/>
      <c r="E96" s="357">
        <v>0</v>
      </c>
      <c r="F96" s="356"/>
      <c r="G96" s="357"/>
      <c r="H96" s="356"/>
      <c r="I96" s="357"/>
      <c r="J96" s="357"/>
      <c r="K96" s="1178"/>
      <c r="L96" s="1178"/>
    </row>
    <row r="97" spans="1:12" s="337" customFormat="1" ht="15" customHeight="1">
      <c r="A97" s="377"/>
      <c r="B97" s="360" t="s">
        <v>1510</v>
      </c>
      <c r="C97" s="373" t="s">
        <v>169</v>
      </c>
      <c r="D97" s="373">
        <v>1</v>
      </c>
      <c r="E97" s="357">
        <v>105644</v>
      </c>
      <c r="F97" s="356">
        <f>D97*E97</f>
        <v>105644</v>
      </c>
      <c r="G97" s="357">
        <v>1</v>
      </c>
      <c r="H97" s="356">
        <f>G97*E97</f>
        <v>105644</v>
      </c>
      <c r="I97" s="357">
        <v>1</v>
      </c>
      <c r="J97" s="357">
        <f>I97*E97</f>
        <v>105644</v>
      </c>
      <c r="K97" s="1178"/>
      <c r="L97" s="1178"/>
    </row>
    <row r="98" spans="1:12" s="337" customFormat="1" ht="15" customHeight="1">
      <c r="A98" s="377"/>
      <c r="B98" s="360"/>
      <c r="C98" s="373"/>
      <c r="D98" s="373"/>
      <c r="E98" s="357">
        <v>0</v>
      </c>
      <c r="F98" s="356"/>
      <c r="G98" s="357"/>
      <c r="H98" s="356"/>
      <c r="I98" s="357"/>
      <c r="J98" s="357"/>
      <c r="K98" s="1178"/>
      <c r="L98" s="1178"/>
    </row>
    <row r="99" spans="1:12" s="337" customFormat="1" ht="170.5">
      <c r="A99" s="354" t="s">
        <v>1511</v>
      </c>
      <c r="B99" s="360" t="s">
        <v>1512</v>
      </c>
      <c r="C99" s="373"/>
      <c r="D99" s="373"/>
      <c r="E99" s="357">
        <v>0</v>
      </c>
      <c r="F99" s="356"/>
      <c r="G99" s="357"/>
      <c r="H99" s="356"/>
      <c r="I99" s="357"/>
      <c r="J99" s="357"/>
      <c r="K99" s="1178"/>
      <c r="L99" s="1178"/>
    </row>
    <row r="100" spans="1:12" s="337" customFormat="1" ht="15.5">
      <c r="A100" s="377"/>
      <c r="B100" s="355" t="s">
        <v>1513</v>
      </c>
      <c r="C100" s="373"/>
      <c r="D100" s="373"/>
      <c r="E100" s="357">
        <v>0</v>
      </c>
      <c r="F100" s="356"/>
      <c r="G100" s="357"/>
      <c r="H100" s="356"/>
      <c r="I100" s="357"/>
      <c r="J100" s="357"/>
      <c r="K100" s="1178"/>
      <c r="L100" s="1178"/>
    </row>
    <row r="101" spans="1:12" s="337" customFormat="1" ht="15.5">
      <c r="A101" s="377"/>
      <c r="B101" s="360" t="s">
        <v>1514</v>
      </c>
      <c r="C101" s="373" t="s">
        <v>169</v>
      </c>
      <c r="D101" s="373">
        <v>1</v>
      </c>
      <c r="E101" s="357">
        <v>57624</v>
      </c>
      <c r="F101" s="356">
        <f>D101*E101</f>
        <v>57624</v>
      </c>
      <c r="G101" s="357">
        <v>1</v>
      </c>
      <c r="H101" s="356">
        <f>G101*E101</f>
        <v>57624</v>
      </c>
      <c r="I101" s="357">
        <v>1</v>
      </c>
      <c r="J101" s="357">
        <f>I101*E101</f>
        <v>57624</v>
      </c>
      <c r="K101" s="1178"/>
      <c r="L101" s="1178"/>
    </row>
    <row r="102" spans="1:12" s="337" customFormat="1" ht="15.5">
      <c r="A102" s="377"/>
      <c r="B102" s="360"/>
      <c r="C102" s="373"/>
      <c r="D102" s="373"/>
      <c r="E102" s="357">
        <v>0</v>
      </c>
      <c r="F102" s="356"/>
      <c r="G102" s="357"/>
      <c r="H102" s="356"/>
      <c r="I102" s="357"/>
      <c r="J102" s="357"/>
      <c r="K102" s="1178"/>
      <c r="L102" s="1178"/>
    </row>
    <row r="103" spans="1:12" s="337" customFormat="1" ht="15.5">
      <c r="A103" s="378"/>
      <c r="B103" s="362" t="s">
        <v>1440</v>
      </c>
      <c r="C103" s="363"/>
      <c r="D103" s="363"/>
      <c r="E103" s="357">
        <v>0</v>
      </c>
      <c r="F103" s="364">
        <f>+SUM(F82:F101)</f>
        <v>379358</v>
      </c>
      <c r="G103" s="357"/>
      <c r="H103" s="364">
        <f>+SUM(H82:H101)</f>
        <v>379358</v>
      </c>
      <c r="I103" s="357"/>
      <c r="J103" s="364">
        <f>+SUM(J82:J101)</f>
        <v>379358</v>
      </c>
      <c r="K103" s="1178"/>
      <c r="L103" s="364">
        <f>+SUM(L82:L101)</f>
        <v>0</v>
      </c>
    </row>
    <row r="104" spans="1:12" s="337" customFormat="1" ht="15.5">
      <c r="A104" s="377"/>
      <c r="B104" s="360"/>
      <c r="C104" s="354"/>
      <c r="D104" s="354"/>
      <c r="E104" s="357">
        <v>0</v>
      </c>
      <c r="F104" s="354"/>
      <c r="G104" s="357"/>
      <c r="H104" s="354"/>
      <c r="I104" s="357"/>
      <c r="J104" s="357"/>
      <c r="K104" s="1178"/>
      <c r="L104" s="1178"/>
    </row>
    <row r="105" spans="1:12" s="337" customFormat="1" ht="15.5">
      <c r="A105" s="354">
        <v>2</v>
      </c>
      <c r="B105" s="355" t="s">
        <v>1441</v>
      </c>
      <c r="C105" s="354"/>
      <c r="D105" s="354"/>
      <c r="E105" s="357">
        <v>0</v>
      </c>
      <c r="F105" s="354"/>
      <c r="G105" s="357"/>
      <c r="H105" s="354"/>
      <c r="I105" s="357"/>
      <c r="J105" s="357"/>
      <c r="K105" s="1178"/>
      <c r="L105" s="1178"/>
    </row>
    <row r="106" spans="1:12" s="337" customFormat="1" ht="15.5">
      <c r="A106" s="354"/>
      <c r="B106" s="360"/>
      <c r="C106" s="354"/>
      <c r="D106" s="354"/>
      <c r="E106" s="357">
        <v>0</v>
      </c>
      <c r="F106" s="354"/>
      <c r="G106" s="357"/>
      <c r="H106" s="354"/>
      <c r="I106" s="357"/>
      <c r="J106" s="357"/>
      <c r="K106" s="1178"/>
      <c r="L106" s="1178"/>
    </row>
    <row r="107" spans="1:12" s="337" customFormat="1" ht="155">
      <c r="A107" s="368">
        <v>2.1</v>
      </c>
      <c r="B107" s="358" t="s">
        <v>1515</v>
      </c>
      <c r="C107" s="354"/>
      <c r="D107" s="368"/>
      <c r="E107" s="357">
        <v>0</v>
      </c>
      <c r="F107" s="369"/>
      <c r="G107" s="357"/>
      <c r="H107" s="369"/>
      <c r="I107" s="357"/>
      <c r="J107" s="357"/>
      <c r="K107" s="1178"/>
      <c r="L107" s="1178"/>
    </row>
    <row r="108" spans="1:12" s="337" customFormat="1" ht="15.5">
      <c r="A108" s="368"/>
      <c r="B108" s="358"/>
      <c r="C108" s="354"/>
      <c r="D108" s="368"/>
      <c r="E108" s="357">
        <v>0</v>
      </c>
      <c r="F108" s="356"/>
      <c r="G108" s="357"/>
      <c r="H108" s="356"/>
      <c r="I108" s="357"/>
      <c r="J108" s="357"/>
      <c r="K108" s="1178"/>
      <c r="L108" s="1178"/>
    </row>
    <row r="109" spans="1:12" s="337" customFormat="1" ht="15.5">
      <c r="A109" s="368" t="s">
        <v>1443</v>
      </c>
      <c r="B109" s="358" t="s">
        <v>1444</v>
      </c>
      <c r="C109" s="354" t="s">
        <v>1445</v>
      </c>
      <c r="D109" s="354">
        <v>130</v>
      </c>
      <c r="E109" s="357">
        <v>1440.6</v>
      </c>
      <c r="F109" s="356">
        <f t="shared" ref="F109:F112" si="9">E109*D109</f>
        <v>187278</v>
      </c>
      <c r="G109" s="357">
        <f>'[4]MB HVAC '!D133</f>
        <v>82.89</v>
      </c>
      <c r="H109" s="356">
        <f>G109*E109</f>
        <v>119411.33399999999</v>
      </c>
      <c r="I109" s="357"/>
      <c r="J109" s="391">
        <f>I109*E109</f>
        <v>0</v>
      </c>
      <c r="K109" s="1178"/>
      <c r="L109" s="1178"/>
    </row>
    <row r="110" spans="1:12" s="337" customFormat="1" ht="15.5">
      <c r="A110" s="368" t="s">
        <v>1446</v>
      </c>
      <c r="B110" s="358" t="s">
        <v>1447</v>
      </c>
      <c r="C110" s="354" t="s">
        <v>1445</v>
      </c>
      <c r="D110" s="354">
        <v>10</v>
      </c>
      <c r="E110" s="357">
        <v>1632.68</v>
      </c>
      <c r="F110" s="356">
        <f t="shared" si="9"/>
        <v>16326.800000000001</v>
      </c>
      <c r="G110" s="357">
        <f>'[4]MB HVAC '!D134</f>
        <v>79.44</v>
      </c>
      <c r="H110" s="356">
        <f>G110*E110</f>
        <v>129700.0992</v>
      </c>
      <c r="I110" s="357"/>
      <c r="J110" s="391">
        <f>I110*E110</f>
        <v>0</v>
      </c>
      <c r="K110" s="1178"/>
      <c r="L110" s="1178"/>
    </row>
    <row r="111" spans="1:12" s="337" customFormat="1" ht="15.5">
      <c r="A111" s="368" t="s">
        <v>1448</v>
      </c>
      <c r="B111" s="358" t="s">
        <v>1449</v>
      </c>
      <c r="C111" s="354" t="s">
        <v>1445</v>
      </c>
      <c r="D111" s="354">
        <v>5</v>
      </c>
      <c r="E111" s="357">
        <v>1920.8</v>
      </c>
      <c r="F111" s="356">
        <f t="shared" si="9"/>
        <v>9604</v>
      </c>
      <c r="G111" s="357"/>
      <c r="H111" s="356"/>
      <c r="I111" s="357"/>
      <c r="J111" s="357"/>
      <c r="K111" s="1178"/>
      <c r="L111" s="1178"/>
    </row>
    <row r="112" spans="1:12" s="337" customFormat="1" ht="15.5">
      <c r="A112" s="368" t="s">
        <v>1450</v>
      </c>
      <c r="B112" s="358" t="s">
        <v>1451</v>
      </c>
      <c r="C112" s="354" t="s">
        <v>1445</v>
      </c>
      <c r="D112" s="354">
        <v>0</v>
      </c>
      <c r="E112" s="357">
        <v>2881.2</v>
      </c>
      <c r="F112" s="356">
        <f t="shared" si="9"/>
        <v>0</v>
      </c>
      <c r="G112" s="357"/>
      <c r="H112" s="356"/>
      <c r="I112" s="357"/>
      <c r="J112" s="357"/>
      <c r="K112" s="1178"/>
      <c r="L112" s="1178"/>
    </row>
    <row r="113" spans="1:12" s="337" customFormat="1" ht="15.5">
      <c r="A113" s="368"/>
      <c r="B113" s="358"/>
      <c r="C113" s="354"/>
      <c r="D113" s="354"/>
      <c r="E113" s="357">
        <v>0</v>
      </c>
      <c r="F113" s="356"/>
      <c r="G113" s="357"/>
      <c r="H113" s="356"/>
      <c r="I113" s="357"/>
      <c r="J113" s="357"/>
      <c r="K113" s="1178"/>
      <c r="L113" s="1178"/>
    </row>
    <row r="114" spans="1:12" s="337" customFormat="1" ht="15.5">
      <c r="A114" s="368"/>
      <c r="B114" s="358"/>
      <c r="C114" s="354"/>
      <c r="D114" s="368"/>
      <c r="E114" s="357">
        <v>0</v>
      </c>
      <c r="F114" s="356"/>
      <c r="G114" s="357"/>
      <c r="H114" s="356"/>
      <c r="I114" s="357"/>
      <c r="J114" s="357"/>
      <c r="K114" s="1178"/>
      <c r="L114" s="1178"/>
    </row>
    <row r="115" spans="1:12" s="337" customFormat="1" ht="62">
      <c r="A115" s="368">
        <v>2.2000000000000002</v>
      </c>
      <c r="B115" s="358" t="s">
        <v>1469</v>
      </c>
      <c r="C115" s="354" t="s">
        <v>1445</v>
      </c>
      <c r="D115" s="354">
        <v>0.5</v>
      </c>
      <c r="E115" s="357">
        <v>9604</v>
      </c>
      <c r="F115" s="356">
        <f t="shared" ref="F115" si="10">E115*D115</f>
        <v>4802</v>
      </c>
      <c r="G115" s="357">
        <v>1.25</v>
      </c>
      <c r="H115" s="356">
        <f>G115*E115</f>
        <v>12005</v>
      </c>
      <c r="I115" s="357"/>
      <c r="J115" s="357">
        <f>I115*E115</f>
        <v>0</v>
      </c>
      <c r="K115" s="1178"/>
      <c r="L115" s="1178"/>
    </row>
    <row r="116" spans="1:12" s="337" customFormat="1" ht="15.5">
      <c r="A116" s="368"/>
      <c r="B116" s="372"/>
      <c r="C116" s="354"/>
      <c r="D116" s="368"/>
      <c r="E116" s="357">
        <v>0</v>
      </c>
      <c r="F116" s="356"/>
      <c r="G116" s="357"/>
      <c r="H116" s="356"/>
      <c r="I116" s="357"/>
      <c r="J116" s="357"/>
      <c r="K116" s="1178"/>
      <c r="L116" s="1178"/>
    </row>
    <row r="117" spans="1:12" s="337" customFormat="1" ht="62">
      <c r="A117" s="368">
        <v>2.2999999999999998</v>
      </c>
      <c r="B117" s="358" t="s">
        <v>1472</v>
      </c>
      <c r="C117" s="354" t="s">
        <v>1445</v>
      </c>
      <c r="D117" s="368">
        <v>2</v>
      </c>
      <c r="E117" s="357">
        <v>12485.2</v>
      </c>
      <c r="F117" s="356">
        <f t="shared" ref="F117" si="11">E117*D117</f>
        <v>24970.400000000001</v>
      </c>
      <c r="G117" s="357"/>
      <c r="H117" s="356"/>
      <c r="I117" s="357"/>
      <c r="J117" s="357"/>
      <c r="K117" s="1178"/>
      <c r="L117" s="1178"/>
    </row>
    <row r="118" spans="1:12" s="337" customFormat="1" ht="15.5">
      <c r="A118" s="368"/>
      <c r="B118" s="358"/>
      <c r="C118" s="354"/>
      <c r="D118" s="368"/>
      <c r="E118" s="357">
        <v>0</v>
      </c>
      <c r="F118" s="356"/>
      <c r="G118" s="357"/>
      <c r="H118" s="356"/>
      <c r="I118" s="357"/>
      <c r="J118" s="357"/>
      <c r="K118" s="1178"/>
      <c r="L118" s="1178"/>
    </row>
    <row r="119" spans="1:12" s="337" customFormat="1" ht="46.5">
      <c r="A119" s="368">
        <v>2.4</v>
      </c>
      <c r="B119" s="358" t="s">
        <v>1473</v>
      </c>
      <c r="C119" s="354" t="s">
        <v>1445</v>
      </c>
      <c r="D119" s="368" t="s">
        <v>1460</v>
      </c>
      <c r="E119" s="357">
        <v>14406</v>
      </c>
      <c r="F119" s="356"/>
      <c r="G119" s="357"/>
      <c r="H119" s="356"/>
      <c r="I119" s="357"/>
      <c r="J119" s="357"/>
      <c r="K119" s="1178"/>
      <c r="L119" s="1178"/>
    </row>
    <row r="120" spans="1:12" s="337" customFormat="1" ht="15.5">
      <c r="A120" s="368"/>
      <c r="B120" s="358"/>
      <c r="C120" s="354"/>
      <c r="D120" s="368"/>
      <c r="E120" s="357">
        <v>0</v>
      </c>
      <c r="F120" s="356"/>
      <c r="G120" s="357"/>
      <c r="H120" s="356"/>
      <c r="I120" s="357"/>
      <c r="J120" s="357"/>
      <c r="K120" s="1178"/>
      <c r="L120" s="1178"/>
    </row>
    <row r="121" spans="1:12" s="337" customFormat="1" ht="46.5">
      <c r="A121" s="368">
        <v>2.5</v>
      </c>
      <c r="B121" s="358" t="s">
        <v>1474</v>
      </c>
      <c r="C121" s="373" t="s">
        <v>1445</v>
      </c>
      <c r="D121" s="368">
        <v>1</v>
      </c>
      <c r="E121" s="357">
        <v>11524.8</v>
      </c>
      <c r="F121" s="356">
        <f>D121*E121</f>
        <v>11524.8</v>
      </c>
      <c r="G121" s="357"/>
      <c r="H121" s="356"/>
      <c r="I121" s="357"/>
      <c r="J121" s="357"/>
      <c r="K121" s="1178"/>
      <c r="L121" s="1178"/>
    </row>
    <row r="122" spans="1:12" s="337" customFormat="1" ht="15.5">
      <c r="A122" s="368"/>
      <c r="B122" s="358"/>
      <c r="C122" s="354"/>
      <c r="D122" s="368"/>
      <c r="E122" s="357">
        <v>0</v>
      </c>
      <c r="F122" s="356"/>
      <c r="G122" s="357"/>
      <c r="H122" s="356"/>
      <c r="I122" s="357"/>
      <c r="J122" s="357"/>
      <c r="K122" s="1178"/>
      <c r="L122" s="1178"/>
    </row>
    <row r="123" spans="1:12" s="337" customFormat="1" ht="62">
      <c r="A123" s="392">
        <v>2.6</v>
      </c>
      <c r="B123" s="358" t="s">
        <v>1516</v>
      </c>
      <c r="C123" s="354" t="s">
        <v>1517</v>
      </c>
      <c r="D123" s="354">
        <v>1</v>
      </c>
      <c r="E123" s="357">
        <v>4802</v>
      </c>
      <c r="F123" s="356">
        <f>D123*E123</f>
        <v>4802</v>
      </c>
      <c r="G123" s="357"/>
      <c r="H123" s="356"/>
      <c r="I123" s="357"/>
      <c r="J123" s="357"/>
      <c r="K123" s="1178"/>
      <c r="L123" s="1178"/>
    </row>
    <row r="124" spans="1:12" s="337" customFormat="1" ht="15.5">
      <c r="A124" s="354"/>
      <c r="B124" s="360"/>
      <c r="C124" s="354"/>
      <c r="D124" s="354"/>
      <c r="E124" s="357">
        <v>0</v>
      </c>
      <c r="F124" s="356"/>
      <c r="G124" s="357"/>
      <c r="H124" s="356"/>
      <c r="I124" s="357"/>
      <c r="J124" s="357"/>
      <c r="K124" s="1178"/>
      <c r="L124" s="1178"/>
    </row>
    <row r="125" spans="1:12" s="337" customFormat="1" ht="39.75" customHeight="1">
      <c r="A125" s="368">
        <v>2.7</v>
      </c>
      <c r="B125" s="393" t="s">
        <v>1475</v>
      </c>
      <c r="C125" s="354"/>
      <c r="D125" s="368"/>
      <c r="E125" s="357">
        <v>0</v>
      </c>
      <c r="F125" s="356"/>
      <c r="G125" s="357"/>
      <c r="H125" s="356"/>
      <c r="I125" s="357"/>
      <c r="J125" s="357"/>
      <c r="K125" s="1178"/>
      <c r="L125" s="1178"/>
    </row>
    <row r="126" spans="1:12" s="337" customFormat="1" ht="15.5">
      <c r="A126" s="368"/>
      <c r="B126" s="358"/>
      <c r="C126" s="354"/>
      <c r="D126" s="368"/>
      <c r="E126" s="357">
        <v>0</v>
      </c>
      <c r="F126" s="356"/>
      <c r="G126" s="357"/>
      <c r="H126" s="356"/>
      <c r="I126" s="357"/>
      <c r="J126" s="357"/>
      <c r="K126" s="1178"/>
      <c r="L126" s="1178"/>
    </row>
    <row r="127" spans="1:12" s="337" customFormat="1" ht="15.5">
      <c r="A127" s="394" t="s">
        <v>1518</v>
      </c>
      <c r="B127" s="372" t="s">
        <v>1519</v>
      </c>
      <c r="C127" s="354"/>
      <c r="D127" s="354"/>
      <c r="E127" s="357">
        <v>0</v>
      </c>
      <c r="F127" s="356"/>
      <c r="G127" s="357"/>
      <c r="H127" s="356"/>
      <c r="I127" s="357"/>
      <c r="J127" s="357"/>
      <c r="K127" s="1178"/>
      <c r="L127" s="1178"/>
    </row>
    <row r="128" spans="1:12" s="337" customFormat="1" ht="15.5">
      <c r="A128" s="394"/>
      <c r="B128" s="355" t="s">
        <v>1520</v>
      </c>
      <c r="C128" s="354"/>
      <c r="D128" s="354"/>
      <c r="E128" s="357">
        <v>0</v>
      </c>
      <c r="F128" s="356"/>
      <c r="G128" s="357"/>
      <c r="H128" s="356"/>
      <c r="I128" s="357"/>
      <c r="J128" s="357"/>
      <c r="K128" s="1178"/>
      <c r="L128" s="1178"/>
    </row>
    <row r="129" spans="1:12" s="337" customFormat="1" ht="27.75" customHeight="1">
      <c r="A129" s="394"/>
      <c r="B129" s="355"/>
      <c r="C129" s="354"/>
      <c r="D129" s="354"/>
      <c r="E129" s="357">
        <v>0</v>
      </c>
      <c r="F129" s="356"/>
      <c r="G129" s="357"/>
      <c r="H129" s="356"/>
      <c r="I129" s="357"/>
      <c r="J129" s="357"/>
      <c r="K129" s="1178"/>
      <c r="L129" s="1178"/>
    </row>
    <row r="130" spans="1:12" s="337" customFormat="1" ht="46.5">
      <c r="A130" s="394"/>
      <c r="B130" s="358" t="s">
        <v>1521</v>
      </c>
      <c r="C130" s="354"/>
      <c r="D130" s="354"/>
      <c r="E130" s="357">
        <v>0</v>
      </c>
      <c r="F130" s="356"/>
      <c r="G130" s="357"/>
      <c r="H130" s="356"/>
      <c r="I130" s="357"/>
      <c r="J130" s="357"/>
      <c r="K130" s="1178"/>
      <c r="L130" s="1178"/>
    </row>
    <row r="131" spans="1:12" s="337" customFormat="1" ht="15.5">
      <c r="A131" s="394" t="s">
        <v>1437</v>
      </c>
      <c r="B131" s="358" t="s">
        <v>1522</v>
      </c>
      <c r="C131" s="354" t="s">
        <v>1493</v>
      </c>
      <c r="D131" s="1085" t="s">
        <v>1460</v>
      </c>
      <c r="E131" s="357">
        <v>960.4</v>
      </c>
      <c r="F131" s="356"/>
      <c r="G131" s="357"/>
      <c r="H131" s="356"/>
      <c r="I131" s="357"/>
      <c r="J131" s="357"/>
      <c r="K131" s="1178"/>
      <c r="L131" s="1178"/>
    </row>
    <row r="132" spans="1:12" s="337" customFormat="1" ht="15.5">
      <c r="A132" s="394" t="s">
        <v>1481</v>
      </c>
      <c r="B132" s="358" t="s">
        <v>1523</v>
      </c>
      <c r="C132" s="354" t="s">
        <v>1493</v>
      </c>
      <c r="D132" s="1085" t="s">
        <v>1460</v>
      </c>
      <c r="E132" s="357">
        <v>1440.6</v>
      </c>
      <c r="F132" s="356"/>
      <c r="G132" s="357"/>
      <c r="H132" s="356"/>
      <c r="I132" s="357"/>
      <c r="J132" s="357"/>
      <c r="K132" s="1178"/>
      <c r="L132" s="1178"/>
    </row>
    <row r="133" spans="1:12" s="337" customFormat="1" ht="15.5">
      <c r="A133" s="394"/>
      <c r="B133" s="358"/>
      <c r="C133" s="354"/>
      <c r="D133" s="354"/>
      <c r="E133" s="357">
        <v>0</v>
      </c>
      <c r="F133" s="356"/>
      <c r="G133" s="357"/>
      <c r="H133" s="356"/>
      <c r="I133" s="357"/>
      <c r="J133" s="357"/>
      <c r="K133" s="1178"/>
      <c r="L133" s="1178"/>
    </row>
    <row r="134" spans="1:12" s="337" customFormat="1" ht="15.5">
      <c r="A134" s="394" t="s">
        <v>1524</v>
      </c>
      <c r="B134" s="372" t="s">
        <v>1525</v>
      </c>
      <c r="C134" s="354"/>
      <c r="D134" s="354"/>
      <c r="E134" s="357">
        <v>0</v>
      </c>
      <c r="F134" s="356"/>
      <c r="G134" s="357"/>
      <c r="H134" s="356"/>
      <c r="I134" s="357"/>
      <c r="J134" s="357"/>
      <c r="K134" s="1178"/>
      <c r="L134" s="1178"/>
    </row>
    <row r="135" spans="1:12" s="337" customFormat="1" ht="15.5">
      <c r="A135" s="394"/>
      <c r="B135" s="355" t="s">
        <v>1520</v>
      </c>
      <c r="C135" s="354"/>
      <c r="D135" s="354"/>
      <c r="E135" s="357">
        <v>0</v>
      </c>
      <c r="F135" s="356"/>
      <c r="G135" s="357"/>
      <c r="H135" s="356"/>
      <c r="I135" s="357"/>
      <c r="J135" s="357"/>
      <c r="K135" s="1178"/>
      <c r="L135" s="1178"/>
    </row>
    <row r="136" spans="1:12" s="337" customFormat="1" ht="15.5">
      <c r="A136" s="394"/>
      <c r="B136" s="355"/>
      <c r="C136" s="354"/>
      <c r="D136" s="354"/>
      <c r="E136" s="357">
        <v>0</v>
      </c>
      <c r="F136" s="356"/>
      <c r="G136" s="357"/>
      <c r="H136" s="356"/>
      <c r="I136" s="357"/>
      <c r="J136" s="357"/>
      <c r="K136" s="1178"/>
      <c r="L136" s="1178"/>
    </row>
    <row r="137" spans="1:12" s="337" customFormat="1" ht="15.75" customHeight="1">
      <c r="A137" s="394"/>
      <c r="B137" s="358" t="s">
        <v>1526</v>
      </c>
      <c r="C137" s="354"/>
      <c r="D137" s="354"/>
      <c r="E137" s="357">
        <v>0</v>
      </c>
      <c r="F137" s="356"/>
      <c r="G137" s="357"/>
      <c r="H137" s="356"/>
      <c r="I137" s="357"/>
      <c r="J137" s="357"/>
      <c r="K137" s="1178"/>
      <c r="L137" s="1178"/>
    </row>
    <row r="138" spans="1:12" s="337" customFormat="1" ht="15.5">
      <c r="A138" s="394"/>
      <c r="B138" s="360"/>
      <c r="C138" s="354"/>
      <c r="D138" s="354"/>
      <c r="E138" s="357">
        <v>0</v>
      </c>
      <c r="F138" s="356"/>
      <c r="G138" s="357"/>
      <c r="H138" s="356"/>
      <c r="I138" s="357"/>
      <c r="J138" s="357"/>
      <c r="K138" s="1178"/>
      <c r="L138" s="1178"/>
    </row>
    <row r="139" spans="1:12" s="336" customFormat="1" ht="15.5">
      <c r="A139" s="394" t="s">
        <v>1437</v>
      </c>
      <c r="B139" s="358" t="s">
        <v>1527</v>
      </c>
      <c r="C139" s="354" t="s">
        <v>1493</v>
      </c>
      <c r="D139" s="1085" t="s">
        <v>1460</v>
      </c>
      <c r="E139" s="389">
        <v>1200.5</v>
      </c>
      <c r="F139" s="356"/>
      <c r="G139" s="389"/>
      <c r="H139" s="356"/>
      <c r="I139" s="389"/>
      <c r="J139" s="389"/>
      <c r="K139" s="1179"/>
      <c r="L139" s="1179"/>
    </row>
    <row r="140" spans="1:12" s="336" customFormat="1" ht="15.5">
      <c r="A140" s="394" t="s">
        <v>1481</v>
      </c>
      <c r="B140" s="358" t="s">
        <v>1528</v>
      </c>
      <c r="C140" s="354" t="s">
        <v>1493</v>
      </c>
      <c r="D140" s="1085" t="s">
        <v>1460</v>
      </c>
      <c r="E140" s="389">
        <v>1920.8</v>
      </c>
      <c r="F140" s="356"/>
      <c r="G140" s="389"/>
      <c r="H140" s="356"/>
      <c r="I140" s="389"/>
      <c r="J140" s="389"/>
      <c r="K140" s="1179"/>
      <c r="L140" s="1179"/>
    </row>
    <row r="141" spans="1:12" s="337" customFormat="1" ht="15.5">
      <c r="A141" s="394"/>
      <c r="B141" s="358"/>
      <c r="C141" s="354"/>
      <c r="D141" s="354"/>
      <c r="E141" s="357">
        <v>0</v>
      </c>
      <c r="F141" s="356"/>
      <c r="G141" s="357"/>
      <c r="H141" s="356"/>
      <c r="I141" s="357"/>
      <c r="J141" s="357"/>
      <c r="K141" s="1178"/>
      <c r="L141" s="1178"/>
    </row>
    <row r="142" spans="1:12" s="337" customFormat="1" ht="15.5">
      <c r="A142" s="354" t="s">
        <v>1529</v>
      </c>
      <c r="B142" s="355" t="s">
        <v>1530</v>
      </c>
      <c r="C142" s="354"/>
      <c r="D142" s="354"/>
      <c r="E142" s="357">
        <v>0</v>
      </c>
      <c r="F142" s="356"/>
      <c r="G142" s="357"/>
      <c r="H142" s="356"/>
      <c r="I142" s="357"/>
      <c r="J142" s="357"/>
      <c r="K142" s="1178"/>
      <c r="L142" s="1178"/>
    </row>
    <row r="143" spans="1:12" s="337" customFormat="1" ht="15.5">
      <c r="A143" s="354"/>
      <c r="B143" s="360"/>
      <c r="C143" s="354"/>
      <c r="D143" s="354"/>
      <c r="E143" s="357">
        <v>0</v>
      </c>
      <c r="F143" s="356"/>
      <c r="G143" s="357"/>
      <c r="H143" s="356"/>
      <c r="I143" s="357"/>
      <c r="J143" s="357"/>
      <c r="K143" s="1178"/>
      <c r="L143" s="1178"/>
    </row>
    <row r="144" spans="1:12" s="337" customFormat="1" ht="93">
      <c r="A144" s="394"/>
      <c r="B144" s="358" t="s">
        <v>1531</v>
      </c>
      <c r="C144" s="354"/>
      <c r="D144" s="354"/>
      <c r="E144" s="357">
        <v>0</v>
      </c>
      <c r="F144" s="356"/>
      <c r="G144" s="357"/>
      <c r="H144" s="356"/>
      <c r="I144" s="357"/>
      <c r="J144" s="357"/>
      <c r="K144" s="1178"/>
      <c r="L144" s="1178"/>
    </row>
    <row r="145" spans="1:12" s="337" customFormat="1" ht="15.5">
      <c r="A145" s="394"/>
      <c r="B145" s="358"/>
      <c r="C145" s="354"/>
      <c r="D145" s="354"/>
      <c r="E145" s="357">
        <v>0</v>
      </c>
      <c r="F145" s="356"/>
      <c r="G145" s="357"/>
      <c r="H145" s="356"/>
      <c r="I145" s="357"/>
      <c r="J145" s="357"/>
      <c r="K145" s="1178"/>
      <c r="L145" s="1178"/>
    </row>
    <row r="146" spans="1:12" s="337" customFormat="1" ht="15.5">
      <c r="A146" s="354" t="s">
        <v>1437</v>
      </c>
      <c r="B146" s="358" t="s">
        <v>1480</v>
      </c>
      <c r="C146" s="354" t="s">
        <v>111</v>
      </c>
      <c r="D146" s="1085" t="s">
        <v>1460</v>
      </c>
      <c r="E146" s="357">
        <v>2401</v>
      </c>
      <c r="F146" s="356"/>
      <c r="G146" s="357"/>
      <c r="H146" s="356"/>
      <c r="I146" s="357"/>
      <c r="J146" s="357"/>
      <c r="K146" s="1178"/>
      <c r="L146" s="1178"/>
    </row>
    <row r="147" spans="1:12" s="337" customFormat="1" ht="15.5">
      <c r="A147" s="354" t="s">
        <v>1437</v>
      </c>
      <c r="B147" s="358" t="s">
        <v>1532</v>
      </c>
      <c r="C147" s="354" t="s">
        <v>1493</v>
      </c>
      <c r="D147" s="1085" t="s">
        <v>1460</v>
      </c>
      <c r="E147" s="357">
        <v>2016.84</v>
      </c>
      <c r="F147" s="356"/>
      <c r="G147" s="357"/>
      <c r="H147" s="356"/>
      <c r="I147" s="357"/>
      <c r="J147" s="357"/>
      <c r="K147" s="1178"/>
      <c r="L147" s="1178"/>
    </row>
    <row r="148" spans="1:12" s="337" customFormat="1" ht="15.5">
      <c r="A148" s="354"/>
      <c r="B148" s="358"/>
      <c r="C148" s="354"/>
      <c r="D148" s="354"/>
      <c r="E148" s="357">
        <v>0</v>
      </c>
      <c r="F148" s="356"/>
      <c r="G148" s="357"/>
      <c r="H148" s="356"/>
      <c r="I148" s="357"/>
      <c r="J148" s="357"/>
      <c r="K148" s="1178"/>
      <c r="L148" s="1178"/>
    </row>
    <row r="149" spans="1:12" s="337" customFormat="1" ht="15.5">
      <c r="A149" s="354" t="s">
        <v>1533</v>
      </c>
      <c r="B149" s="372" t="s">
        <v>1534</v>
      </c>
      <c r="C149" s="354"/>
      <c r="D149" s="368"/>
      <c r="E149" s="357">
        <v>0</v>
      </c>
      <c r="F149" s="356"/>
      <c r="G149" s="357"/>
      <c r="H149" s="356"/>
      <c r="I149" s="357"/>
      <c r="J149" s="357"/>
      <c r="K149" s="1178"/>
      <c r="L149" s="1178"/>
    </row>
    <row r="150" spans="1:12" s="337" customFormat="1" ht="77.5">
      <c r="A150" s="368"/>
      <c r="B150" s="358" t="s">
        <v>1535</v>
      </c>
      <c r="C150" s="354"/>
      <c r="D150" s="368"/>
      <c r="E150" s="357">
        <v>0</v>
      </c>
      <c r="F150" s="356"/>
      <c r="G150" s="357"/>
      <c r="H150" s="356"/>
      <c r="I150" s="357"/>
      <c r="J150" s="357"/>
      <c r="K150" s="1178"/>
      <c r="L150" s="1178"/>
    </row>
    <row r="151" spans="1:12" s="336" customFormat="1" ht="15.5">
      <c r="A151" s="368"/>
      <c r="B151" s="358"/>
      <c r="C151" s="354"/>
      <c r="D151" s="368"/>
      <c r="E151" s="389">
        <v>0</v>
      </c>
      <c r="F151" s="356"/>
      <c r="G151" s="389"/>
      <c r="H151" s="356"/>
      <c r="I151" s="389"/>
      <c r="J151" s="389"/>
      <c r="K151" s="1179"/>
      <c r="L151" s="1179"/>
    </row>
    <row r="152" spans="1:12" s="336" customFormat="1" ht="15.5">
      <c r="A152" s="354" t="s">
        <v>1437</v>
      </c>
      <c r="B152" s="358" t="s">
        <v>1480</v>
      </c>
      <c r="C152" s="354" t="s">
        <v>111</v>
      </c>
      <c r="D152" s="1085" t="s">
        <v>1460</v>
      </c>
      <c r="E152" s="389">
        <v>1920.8</v>
      </c>
      <c r="F152" s="356"/>
      <c r="G152" s="389"/>
      <c r="H152" s="356"/>
      <c r="I152" s="389"/>
      <c r="J152" s="389"/>
      <c r="K152" s="1179"/>
      <c r="L152" s="1179"/>
    </row>
    <row r="153" spans="1:12" s="336" customFormat="1" ht="15.5">
      <c r="A153" s="354"/>
      <c r="B153" s="358"/>
      <c r="C153" s="354"/>
      <c r="D153" s="354"/>
      <c r="E153" s="356"/>
      <c r="F153" s="356"/>
      <c r="G153" s="389"/>
      <c r="H153" s="356"/>
      <c r="I153" s="389"/>
      <c r="J153" s="389"/>
      <c r="K153" s="1179"/>
      <c r="L153" s="1179"/>
    </row>
    <row r="154" spans="1:12" s="339" customFormat="1" ht="21" customHeight="1">
      <c r="A154" s="361"/>
      <c r="B154" s="395" t="s">
        <v>1536</v>
      </c>
      <c r="C154" s="363"/>
      <c r="D154" s="363"/>
      <c r="E154" s="363" t="s">
        <v>831</v>
      </c>
      <c r="F154" s="364">
        <f>+SUM(F107:F153)</f>
        <v>259307.99999999997</v>
      </c>
      <c r="G154" s="396"/>
      <c r="H154" s="364">
        <f>+SUM(H107:H153)</f>
        <v>261116.43319999997</v>
      </c>
      <c r="I154" s="396"/>
      <c r="J154" s="364">
        <f>+SUM(J107:J153)</f>
        <v>0</v>
      </c>
      <c r="K154" s="1180"/>
      <c r="L154" s="1180"/>
    </row>
    <row r="155" spans="1:12" s="336" customFormat="1" ht="15.5">
      <c r="A155" s="397"/>
      <c r="B155" s="358"/>
      <c r="C155" s="354"/>
      <c r="D155" s="368"/>
      <c r="E155" s="369"/>
      <c r="F155" s="369"/>
      <c r="G155" s="389"/>
      <c r="H155" s="369"/>
      <c r="I155" s="389"/>
      <c r="J155" s="389"/>
      <c r="K155" s="1179"/>
      <c r="L155" s="1179"/>
    </row>
    <row r="156" spans="1:12" s="336" customFormat="1" ht="15.5">
      <c r="A156" s="392">
        <v>3</v>
      </c>
      <c r="B156" s="355" t="s">
        <v>1537</v>
      </c>
      <c r="C156" s="354"/>
      <c r="D156" s="354"/>
      <c r="E156" s="398"/>
      <c r="F156" s="398"/>
      <c r="G156" s="389"/>
      <c r="H156" s="398"/>
      <c r="I156" s="389"/>
      <c r="J156" s="389"/>
      <c r="K156" s="1179"/>
      <c r="L156" s="1179"/>
    </row>
    <row r="157" spans="1:12" s="336" customFormat="1" ht="15.5">
      <c r="A157" s="354"/>
      <c r="B157" s="360"/>
      <c r="C157" s="354"/>
      <c r="D157" s="354"/>
      <c r="E157" s="398"/>
      <c r="F157" s="398"/>
      <c r="G157" s="389"/>
      <c r="H157" s="398"/>
      <c r="I157" s="389"/>
      <c r="J157" s="389"/>
      <c r="K157" s="1179"/>
      <c r="L157" s="1179"/>
    </row>
    <row r="158" spans="1:12" s="336" customFormat="1" ht="15.5">
      <c r="A158" s="399">
        <v>3.1</v>
      </c>
      <c r="B158" s="355" t="s">
        <v>1538</v>
      </c>
      <c r="C158" s="400"/>
      <c r="D158" s="354"/>
      <c r="E158" s="401"/>
      <c r="F158" s="401"/>
      <c r="G158" s="389"/>
      <c r="H158" s="401"/>
      <c r="I158" s="389"/>
      <c r="J158" s="389"/>
      <c r="K158" s="1179"/>
      <c r="L158" s="1179"/>
    </row>
    <row r="159" spans="1:12" s="336" customFormat="1" ht="15.5">
      <c r="A159" s="402"/>
      <c r="B159" s="360"/>
      <c r="C159" s="354"/>
      <c r="D159" s="354"/>
      <c r="E159" s="401"/>
      <c r="F159" s="401"/>
      <c r="G159" s="389"/>
      <c r="H159" s="401"/>
      <c r="I159" s="389"/>
      <c r="J159" s="389"/>
      <c r="K159" s="1179"/>
      <c r="L159" s="1179"/>
    </row>
    <row r="160" spans="1:12" s="336" customFormat="1" ht="108.5">
      <c r="A160" s="402"/>
      <c r="B160" s="358" t="s">
        <v>1539</v>
      </c>
      <c r="C160" s="354"/>
      <c r="D160" s="354"/>
      <c r="E160" s="401"/>
      <c r="F160" s="401"/>
      <c r="G160" s="389"/>
      <c r="H160" s="401"/>
      <c r="I160" s="389"/>
      <c r="J160" s="389"/>
      <c r="K160" s="1179"/>
      <c r="L160" s="1179"/>
    </row>
    <row r="161" spans="1:12" s="336" customFormat="1" ht="15.5">
      <c r="A161" s="377"/>
      <c r="B161" s="360"/>
      <c r="C161" s="354"/>
      <c r="D161" s="354"/>
      <c r="E161" s="401"/>
      <c r="F161" s="401"/>
      <c r="G161" s="389"/>
      <c r="H161" s="401"/>
      <c r="I161" s="389"/>
      <c r="J161" s="389"/>
      <c r="K161" s="1179"/>
      <c r="L161" s="1179"/>
    </row>
    <row r="162" spans="1:12" s="336" customFormat="1" ht="15.5">
      <c r="A162" s="377"/>
      <c r="B162" s="360" t="s">
        <v>1540</v>
      </c>
      <c r="C162" s="354"/>
      <c r="D162" s="354"/>
      <c r="E162" s="401"/>
      <c r="F162" s="401"/>
      <c r="G162" s="389"/>
      <c r="H162" s="401"/>
      <c r="I162" s="389"/>
      <c r="J162" s="389"/>
      <c r="K162" s="1179"/>
      <c r="L162" s="1179"/>
    </row>
    <row r="163" spans="1:12" s="336" customFormat="1" ht="15.5">
      <c r="A163" s="377"/>
      <c r="B163" s="360"/>
      <c r="C163" s="354"/>
      <c r="D163" s="354"/>
      <c r="E163" s="401"/>
      <c r="F163" s="401"/>
      <c r="G163" s="389"/>
      <c r="H163" s="401"/>
      <c r="I163" s="389"/>
      <c r="J163" s="389"/>
      <c r="K163" s="1179"/>
      <c r="L163" s="1179"/>
    </row>
    <row r="164" spans="1:12" s="336" customFormat="1" ht="31">
      <c r="A164" s="377"/>
      <c r="B164" s="360" t="s">
        <v>1541</v>
      </c>
      <c r="C164" s="354"/>
      <c r="D164" s="354"/>
      <c r="E164" s="356"/>
      <c r="F164" s="356"/>
      <c r="G164" s="389"/>
      <c r="H164" s="356"/>
      <c r="I164" s="389"/>
      <c r="J164" s="389"/>
      <c r="K164" s="1179"/>
      <c r="L164" s="1179"/>
    </row>
    <row r="165" spans="1:12" s="336" customFormat="1" ht="15.5">
      <c r="A165" s="377"/>
      <c r="B165" s="360"/>
      <c r="C165" s="354"/>
      <c r="D165" s="354"/>
      <c r="E165" s="356"/>
      <c r="F165" s="356"/>
      <c r="G165" s="389"/>
      <c r="H165" s="356"/>
      <c r="I165" s="389"/>
      <c r="J165" s="389"/>
      <c r="K165" s="1179"/>
      <c r="L165" s="1179"/>
    </row>
    <row r="166" spans="1:12" s="336" customFormat="1" ht="15.5">
      <c r="A166" s="377"/>
      <c r="B166" s="360" t="s">
        <v>1542</v>
      </c>
      <c r="C166" s="354"/>
      <c r="D166" s="354"/>
      <c r="E166" s="356"/>
      <c r="F166" s="356"/>
      <c r="G166" s="389"/>
      <c r="H166" s="356"/>
      <c r="I166" s="389"/>
      <c r="J166" s="389"/>
      <c r="K166" s="1179"/>
      <c r="L166" s="1179"/>
    </row>
    <row r="167" spans="1:12" s="336" customFormat="1" ht="15.5">
      <c r="A167" s="377"/>
      <c r="B167" s="360"/>
      <c r="C167" s="354"/>
      <c r="D167" s="354"/>
      <c r="E167" s="356"/>
      <c r="F167" s="356"/>
      <c r="G167" s="389"/>
      <c r="H167" s="356"/>
      <c r="I167" s="389"/>
      <c r="J167" s="389"/>
      <c r="K167" s="1179"/>
      <c r="L167" s="1179"/>
    </row>
    <row r="168" spans="1:12" s="336" customFormat="1" ht="15.5">
      <c r="A168" s="377"/>
      <c r="B168" s="360" t="s">
        <v>1543</v>
      </c>
      <c r="C168" s="354"/>
      <c r="D168" s="354"/>
      <c r="E168" s="356"/>
      <c r="F168" s="356"/>
      <c r="G168" s="389"/>
      <c r="H168" s="356"/>
      <c r="I168" s="389"/>
      <c r="J168" s="389"/>
      <c r="K168" s="1179"/>
      <c r="L168" s="1179"/>
    </row>
    <row r="169" spans="1:12" s="336" customFormat="1" ht="15.5">
      <c r="A169" s="377"/>
      <c r="B169" s="360"/>
      <c r="C169" s="354"/>
      <c r="D169" s="354"/>
      <c r="E169" s="356"/>
      <c r="F169" s="356"/>
      <c r="G169" s="389"/>
      <c r="H169" s="356"/>
      <c r="I169" s="389"/>
      <c r="J169" s="389"/>
      <c r="K169" s="1179"/>
      <c r="L169" s="1179"/>
    </row>
    <row r="170" spans="1:12" s="336" customFormat="1" ht="15.5">
      <c r="A170" s="377"/>
      <c r="B170" s="360" t="s">
        <v>1544</v>
      </c>
      <c r="C170" s="354"/>
      <c r="D170" s="354"/>
      <c r="E170" s="356"/>
      <c r="F170" s="356"/>
      <c r="G170" s="389"/>
      <c r="H170" s="356"/>
      <c r="I170" s="389"/>
      <c r="J170" s="389"/>
      <c r="K170" s="1179"/>
      <c r="L170" s="1179"/>
    </row>
    <row r="171" spans="1:12" s="336" customFormat="1" ht="15.5">
      <c r="A171" s="377"/>
      <c r="B171" s="360"/>
      <c r="C171" s="354"/>
      <c r="D171" s="354"/>
      <c r="E171" s="356"/>
      <c r="F171" s="356"/>
      <c r="G171" s="389"/>
      <c r="H171" s="356"/>
      <c r="I171" s="389"/>
      <c r="J171" s="389"/>
      <c r="K171" s="1179"/>
      <c r="L171" s="1179"/>
    </row>
    <row r="172" spans="1:12" s="336" customFormat="1" ht="31">
      <c r="A172" s="377"/>
      <c r="B172" s="360" t="s">
        <v>1545</v>
      </c>
      <c r="C172" s="354"/>
      <c r="D172" s="354"/>
      <c r="E172" s="356"/>
      <c r="F172" s="356"/>
      <c r="G172" s="389"/>
      <c r="H172" s="356"/>
      <c r="I172" s="389"/>
      <c r="J172" s="389"/>
      <c r="K172" s="1179"/>
      <c r="L172" s="1179"/>
    </row>
    <row r="173" spans="1:12" s="336" customFormat="1" ht="15.5">
      <c r="A173" s="377"/>
      <c r="B173" s="360"/>
      <c r="C173" s="354"/>
      <c r="D173" s="354"/>
      <c r="E173" s="356"/>
      <c r="F173" s="356"/>
      <c r="G173" s="389"/>
      <c r="H173" s="356"/>
      <c r="I173" s="389"/>
      <c r="J173" s="389"/>
      <c r="K173" s="1179"/>
      <c r="L173" s="1179"/>
    </row>
    <row r="174" spans="1:12" s="336" customFormat="1" ht="15.5">
      <c r="A174" s="377"/>
      <c r="B174" s="360" t="s">
        <v>1546</v>
      </c>
      <c r="C174" s="354"/>
      <c r="D174" s="354"/>
      <c r="E174" s="356"/>
      <c r="F174" s="356"/>
      <c r="G174" s="389"/>
      <c r="H174" s="356"/>
      <c r="I174" s="389"/>
      <c r="J174" s="389"/>
      <c r="K174" s="1179"/>
      <c r="L174" s="1179"/>
    </row>
    <row r="175" spans="1:12" s="336" customFormat="1" ht="15.5">
      <c r="A175" s="377"/>
      <c r="B175" s="360"/>
      <c r="C175" s="354"/>
      <c r="D175" s="354"/>
      <c r="E175" s="356"/>
      <c r="F175" s="356"/>
      <c r="G175" s="389"/>
      <c r="H175" s="356"/>
      <c r="I175" s="389"/>
      <c r="J175" s="389"/>
      <c r="K175" s="1179"/>
      <c r="L175" s="1179"/>
    </row>
    <row r="176" spans="1:12" s="336" customFormat="1" ht="15.5">
      <c r="A176" s="377"/>
      <c r="B176" s="360" t="s">
        <v>1547</v>
      </c>
      <c r="C176" s="354"/>
      <c r="D176" s="354"/>
      <c r="E176" s="356"/>
      <c r="F176" s="356"/>
      <c r="G176" s="389"/>
      <c r="H176" s="356"/>
      <c r="I176" s="389"/>
      <c r="J176" s="389"/>
      <c r="K176" s="1179"/>
      <c r="L176" s="1179"/>
    </row>
    <row r="177" spans="1:12" s="336" customFormat="1" ht="15.5">
      <c r="A177" s="377"/>
      <c r="B177" s="360"/>
      <c r="C177" s="354"/>
      <c r="D177" s="354"/>
      <c r="E177" s="356"/>
      <c r="F177" s="356"/>
      <c r="G177" s="389"/>
      <c r="H177" s="356"/>
      <c r="I177" s="389"/>
      <c r="J177" s="389"/>
      <c r="K177" s="1179"/>
      <c r="L177" s="1179"/>
    </row>
    <row r="178" spans="1:12" s="336" customFormat="1" ht="15.5">
      <c r="A178" s="377"/>
      <c r="B178" s="360" t="s">
        <v>1548</v>
      </c>
      <c r="C178" s="354"/>
      <c r="D178" s="354"/>
      <c r="E178" s="356"/>
      <c r="F178" s="356"/>
      <c r="G178" s="389"/>
      <c r="H178" s="356"/>
      <c r="I178" s="389"/>
      <c r="J178" s="389"/>
      <c r="K178" s="1179"/>
      <c r="L178" s="1179"/>
    </row>
    <row r="179" spans="1:12" s="336" customFormat="1" ht="15.5">
      <c r="A179" s="377"/>
      <c r="B179" s="360"/>
      <c r="C179" s="354"/>
      <c r="D179" s="354"/>
      <c r="E179" s="356"/>
      <c r="F179" s="356"/>
      <c r="G179" s="389"/>
      <c r="H179" s="356"/>
      <c r="I179" s="389"/>
      <c r="J179" s="389"/>
      <c r="K179" s="1179"/>
      <c r="L179" s="1179"/>
    </row>
    <row r="180" spans="1:12" s="336" customFormat="1" ht="31">
      <c r="A180" s="377"/>
      <c r="B180" s="360" t="s">
        <v>1549</v>
      </c>
      <c r="C180" s="354"/>
      <c r="D180" s="354"/>
      <c r="E180" s="356"/>
      <c r="F180" s="356"/>
      <c r="G180" s="389"/>
      <c r="H180" s="356"/>
      <c r="I180" s="389"/>
      <c r="J180" s="389"/>
      <c r="K180" s="1179"/>
      <c r="L180" s="1179"/>
    </row>
    <row r="181" spans="1:12" s="336" customFormat="1" ht="15.5">
      <c r="A181" s="377"/>
      <c r="B181" s="360"/>
      <c r="C181" s="354"/>
      <c r="D181" s="354"/>
      <c r="E181" s="356"/>
      <c r="F181" s="356"/>
      <c r="G181" s="389"/>
      <c r="H181" s="356"/>
      <c r="I181" s="389"/>
      <c r="J181" s="389"/>
      <c r="K181" s="1179"/>
      <c r="L181" s="1179"/>
    </row>
    <row r="182" spans="1:12" s="336" customFormat="1" ht="31">
      <c r="A182" s="377"/>
      <c r="B182" s="360" t="s">
        <v>1550</v>
      </c>
      <c r="C182" s="354"/>
      <c r="D182" s="354"/>
      <c r="E182" s="356"/>
      <c r="F182" s="356"/>
      <c r="G182" s="389"/>
      <c r="H182" s="356"/>
      <c r="I182" s="389"/>
      <c r="J182" s="389"/>
      <c r="K182" s="1179"/>
      <c r="L182" s="1179"/>
    </row>
    <row r="183" spans="1:12" s="336" customFormat="1" ht="15.5">
      <c r="A183" s="377"/>
      <c r="B183" s="360"/>
      <c r="C183" s="354"/>
      <c r="D183" s="354"/>
      <c r="E183" s="356"/>
      <c r="F183" s="356"/>
      <c r="G183" s="389"/>
      <c r="H183" s="356"/>
      <c r="I183" s="389"/>
      <c r="J183" s="389"/>
      <c r="K183" s="1179"/>
      <c r="L183" s="1179"/>
    </row>
    <row r="184" spans="1:12" s="336" customFormat="1" ht="15.5">
      <c r="A184" s="377"/>
      <c r="B184" s="360" t="s">
        <v>1551</v>
      </c>
      <c r="C184" s="354"/>
      <c r="D184" s="354"/>
      <c r="E184" s="356"/>
      <c r="F184" s="356"/>
      <c r="G184" s="389"/>
      <c r="H184" s="356"/>
      <c r="I184" s="389"/>
      <c r="J184" s="389"/>
      <c r="K184" s="1179"/>
      <c r="L184" s="1179"/>
    </row>
    <row r="185" spans="1:12" s="336" customFormat="1" ht="15.5">
      <c r="A185" s="377"/>
      <c r="B185" s="360"/>
      <c r="C185" s="354"/>
      <c r="D185" s="354"/>
      <c r="E185" s="356"/>
      <c r="F185" s="356"/>
      <c r="G185" s="389"/>
      <c r="H185" s="356"/>
      <c r="I185" s="389"/>
      <c r="J185" s="389"/>
      <c r="K185" s="1179"/>
      <c r="L185" s="1179"/>
    </row>
    <row r="186" spans="1:12" s="336" customFormat="1" ht="15.5">
      <c r="A186" s="377"/>
      <c r="B186" s="360" t="s">
        <v>1552</v>
      </c>
      <c r="C186" s="354"/>
      <c r="D186" s="354"/>
      <c r="E186" s="356"/>
      <c r="F186" s="356"/>
      <c r="G186" s="389"/>
      <c r="H186" s="356"/>
      <c r="I186" s="389"/>
      <c r="J186" s="389"/>
      <c r="K186" s="1179"/>
      <c r="L186" s="1179"/>
    </row>
    <row r="187" spans="1:12" s="336" customFormat="1" ht="15.5">
      <c r="A187" s="358"/>
      <c r="B187" s="355"/>
      <c r="C187" s="373"/>
      <c r="D187" s="373"/>
      <c r="E187" s="356"/>
      <c r="F187" s="356"/>
      <c r="G187" s="389"/>
      <c r="H187" s="356"/>
      <c r="I187" s="389"/>
      <c r="J187" s="389"/>
      <c r="K187" s="1179"/>
      <c r="L187" s="1179"/>
    </row>
    <row r="188" spans="1:12" s="336" customFormat="1" ht="15.5">
      <c r="A188" s="354" t="s">
        <v>1553</v>
      </c>
      <c r="B188" s="355" t="s">
        <v>1554</v>
      </c>
      <c r="C188" s="354"/>
      <c r="D188" s="354"/>
      <c r="E188" s="356"/>
      <c r="F188" s="356"/>
      <c r="G188" s="389"/>
      <c r="H188" s="356"/>
      <c r="I188" s="389"/>
      <c r="J188" s="389"/>
      <c r="K188" s="1179"/>
      <c r="L188" s="1179"/>
    </row>
    <row r="189" spans="1:12" s="336" customFormat="1" ht="15.5">
      <c r="A189" s="354"/>
      <c r="B189" s="355" t="s">
        <v>1555</v>
      </c>
      <c r="C189" s="354"/>
      <c r="D189" s="354"/>
      <c r="E189" s="356"/>
      <c r="F189" s="356"/>
      <c r="G189" s="389"/>
      <c r="H189" s="356"/>
      <c r="I189" s="389"/>
      <c r="J189" s="389"/>
      <c r="K189" s="1179"/>
      <c r="L189" s="1179"/>
    </row>
    <row r="190" spans="1:12" s="336" customFormat="1" ht="15.5">
      <c r="A190" s="354"/>
      <c r="B190" s="355"/>
      <c r="C190" s="354"/>
      <c r="D190" s="354"/>
      <c r="E190" s="356"/>
      <c r="F190" s="356"/>
      <c r="G190" s="389"/>
      <c r="H190" s="356"/>
      <c r="I190" s="389"/>
      <c r="J190" s="389"/>
      <c r="K190" s="1179"/>
      <c r="L190" s="1179"/>
    </row>
    <row r="191" spans="1:12" s="336" customFormat="1" ht="15.5">
      <c r="A191" s="354"/>
      <c r="B191" s="360" t="s">
        <v>1556</v>
      </c>
      <c r="C191" s="1270" t="s">
        <v>169</v>
      </c>
      <c r="D191" s="1270">
        <v>1</v>
      </c>
      <c r="E191" s="389">
        <v>72030</v>
      </c>
      <c r="F191" s="354">
        <f>E191*D191</f>
        <v>72030</v>
      </c>
      <c r="G191" s="389">
        <v>1</v>
      </c>
      <c r="H191" s="356">
        <f>G191*E191</f>
        <v>72030</v>
      </c>
      <c r="I191" s="389">
        <f>'MB HVAC '!E139</f>
        <v>1</v>
      </c>
      <c r="J191" s="389">
        <f>I191*E191</f>
        <v>72030</v>
      </c>
      <c r="K191" s="1179">
        <f>'MB HVAC '!F139</f>
        <v>1</v>
      </c>
      <c r="L191" s="1178">
        <f>K191*E191</f>
        <v>72030</v>
      </c>
    </row>
    <row r="192" spans="1:12" s="336" customFormat="1" ht="31">
      <c r="A192" s="354"/>
      <c r="B192" s="360" t="s">
        <v>1557</v>
      </c>
      <c r="C192" s="1270"/>
      <c r="D192" s="1270"/>
      <c r="E192" s="389">
        <v>0</v>
      </c>
      <c r="F192" s="354"/>
      <c r="G192" s="389"/>
      <c r="H192" s="354"/>
      <c r="I192" s="389"/>
      <c r="J192" s="389"/>
      <c r="K192" s="1179"/>
      <c r="L192" s="1179"/>
    </row>
    <row r="193" spans="1:12" s="336" customFormat="1" ht="15.5">
      <c r="A193" s="354"/>
      <c r="B193" s="360"/>
      <c r="C193" s="354"/>
      <c r="D193" s="354"/>
      <c r="E193" s="389">
        <v>0</v>
      </c>
      <c r="F193" s="354"/>
      <c r="G193" s="389"/>
      <c r="H193" s="354"/>
      <c r="I193" s="389"/>
      <c r="J193" s="389"/>
      <c r="K193" s="1179"/>
      <c r="L193" s="1179"/>
    </row>
    <row r="194" spans="1:12" s="336" customFormat="1" ht="15.5">
      <c r="A194" s="354" t="s">
        <v>1558</v>
      </c>
      <c r="B194" s="360" t="s">
        <v>1559</v>
      </c>
      <c r="C194" s="354" t="s">
        <v>169</v>
      </c>
      <c r="D194" s="354">
        <v>1</v>
      </c>
      <c r="E194" s="389">
        <v>14406</v>
      </c>
      <c r="F194" s="354">
        <f>E194*D194</f>
        <v>14406</v>
      </c>
      <c r="G194" s="389">
        <v>1</v>
      </c>
      <c r="H194" s="356">
        <f>G194*E194</f>
        <v>14406</v>
      </c>
      <c r="I194" s="389">
        <f>'MB HVAC '!E140</f>
        <v>1</v>
      </c>
      <c r="J194" s="389">
        <f>I194*E194</f>
        <v>14406</v>
      </c>
      <c r="K194" s="1179">
        <f>'MB HVAC '!F140</f>
        <v>1</v>
      </c>
      <c r="L194" s="1178">
        <f>K194*E194</f>
        <v>14406</v>
      </c>
    </row>
    <row r="195" spans="1:12" s="336" customFormat="1" ht="15.5">
      <c r="A195" s="354"/>
      <c r="B195" s="360"/>
      <c r="C195" s="354"/>
      <c r="D195" s="354"/>
      <c r="E195" s="389">
        <v>0</v>
      </c>
      <c r="F195" s="354"/>
      <c r="G195" s="389"/>
      <c r="H195" s="354"/>
      <c r="I195" s="389"/>
      <c r="J195" s="389"/>
      <c r="K195" s="1179"/>
      <c r="L195" s="1179"/>
    </row>
    <row r="196" spans="1:12" s="337" customFormat="1" ht="15.5">
      <c r="A196" s="354">
        <v>3.2</v>
      </c>
      <c r="B196" s="355" t="s">
        <v>1560</v>
      </c>
      <c r="C196" s="354"/>
      <c r="D196" s="354"/>
      <c r="E196" s="357">
        <v>0</v>
      </c>
      <c r="F196" s="356"/>
      <c r="G196" s="357"/>
      <c r="H196" s="356"/>
      <c r="I196" s="357"/>
      <c r="J196" s="357"/>
      <c r="K196" s="1178"/>
      <c r="L196" s="1178"/>
    </row>
    <row r="197" spans="1:12" s="337" customFormat="1" ht="15.5">
      <c r="A197" s="354"/>
      <c r="B197" s="360"/>
      <c r="C197" s="354"/>
      <c r="D197" s="354"/>
      <c r="E197" s="357">
        <v>0</v>
      </c>
      <c r="F197" s="356"/>
      <c r="G197" s="357"/>
      <c r="H197" s="356"/>
      <c r="I197" s="357"/>
      <c r="J197" s="357"/>
      <c r="K197" s="1178"/>
      <c r="L197" s="1178"/>
    </row>
    <row r="198" spans="1:12" s="337" customFormat="1" ht="139.5">
      <c r="A198" s="354" t="s">
        <v>1561</v>
      </c>
      <c r="B198" s="360" t="s">
        <v>1562</v>
      </c>
      <c r="C198" s="354"/>
      <c r="D198" s="354"/>
      <c r="E198" s="357">
        <v>0</v>
      </c>
      <c r="F198" s="356"/>
      <c r="G198" s="357"/>
      <c r="H198" s="356"/>
      <c r="I198" s="357"/>
      <c r="J198" s="357"/>
      <c r="K198" s="1178"/>
      <c r="L198" s="1178"/>
    </row>
    <row r="199" spans="1:12" s="337" customFormat="1" ht="15.5">
      <c r="A199" s="354"/>
      <c r="B199" s="360"/>
      <c r="C199" s="354"/>
      <c r="D199" s="354"/>
      <c r="E199" s="357">
        <v>0</v>
      </c>
      <c r="F199" s="356"/>
      <c r="G199" s="357"/>
      <c r="H199" s="356"/>
      <c r="I199" s="357"/>
      <c r="J199" s="357"/>
      <c r="K199" s="1178"/>
      <c r="L199" s="1178"/>
    </row>
    <row r="200" spans="1:12" s="337" customFormat="1" ht="15.5">
      <c r="A200" s="373" t="s">
        <v>1437</v>
      </c>
      <c r="B200" s="360" t="s">
        <v>1563</v>
      </c>
      <c r="C200" s="354" t="s">
        <v>1517</v>
      </c>
      <c r="D200" s="354">
        <v>10</v>
      </c>
      <c r="E200" s="357">
        <v>720.3</v>
      </c>
      <c r="F200" s="356">
        <f>D200*E200</f>
        <v>7203</v>
      </c>
      <c r="G200" s="357">
        <v>10</v>
      </c>
      <c r="H200" s="356">
        <f>G200*E200</f>
        <v>7203</v>
      </c>
      <c r="I200" s="357">
        <v>0</v>
      </c>
      <c r="J200" s="389">
        <f t="shared" ref="J200:J201" si="12">I200*E200</f>
        <v>0</v>
      </c>
      <c r="K200" s="1178"/>
      <c r="L200" s="1178"/>
    </row>
    <row r="201" spans="1:12" s="337" customFormat="1" ht="15.5">
      <c r="A201" s="373" t="s">
        <v>1481</v>
      </c>
      <c r="B201" s="360" t="s">
        <v>1564</v>
      </c>
      <c r="C201" s="354" t="s">
        <v>1517</v>
      </c>
      <c r="D201" s="354">
        <v>50</v>
      </c>
      <c r="E201" s="357">
        <v>672.28</v>
      </c>
      <c r="F201" s="356">
        <f>D201*E201</f>
        <v>33614</v>
      </c>
      <c r="G201" s="357">
        <v>50</v>
      </c>
      <c r="H201" s="356">
        <f>G201*E201</f>
        <v>33614</v>
      </c>
      <c r="I201" s="357">
        <v>0</v>
      </c>
      <c r="J201" s="389">
        <f t="shared" si="12"/>
        <v>0</v>
      </c>
      <c r="K201" s="1178"/>
      <c r="L201" s="1178"/>
    </row>
    <row r="202" spans="1:12" s="337" customFormat="1" ht="15.5">
      <c r="A202" s="373" t="s">
        <v>1483</v>
      </c>
      <c r="B202" s="360" t="s">
        <v>1565</v>
      </c>
      <c r="C202" s="354" t="s">
        <v>1517</v>
      </c>
      <c r="D202" s="354">
        <v>10</v>
      </c>
      <c r="E202" s="357">
        <v>576.24</v>
      </c>
      <c r="F202" s="356">
        <f>D202*E202</f>
        <v>5762.4</v>
      </c>
      <c r="G202" s="357"/>
      <c r="H202" s="356"/>
      <c r="I202" s="357"/>
      <c r="J202" s="357"/>
      <c r="K202" s="1178"/>
      <c r="L202" s="1178"/>
    </row>
    <row r="203" spans="1:12" s="337" customFormat="1" ht="15.5">
      <c r="A203" s="373" t="s">
        <v>1485</v>
      </c>
      <c r="B203" s="360" t="s">
        <v>1566</v>
      </c>
      <c r="C203" s="354" t="s">
        <v>1517</v>
      </c>
      <c r="D203" s="354">
        <v>10</v>
      </c>
      <c r="E203" s="357">
        <v>576.24</v>
      </c>
      <c r="F203" s="356">
        <f>D203*E203</f>
        <v>5762.4</v>
      </c>
      <c r="G203" s="357"/>
      <c r="H203" s="356"/>
      <c r="I203" s="357"/>
      <c r="J203" s="357"/>
      <c r="K203" s="1178"/>
      <c r="L203" s="1178"/>
    </row>
    <row r="204" spans="1:12" s="337" customFormat="1" ht="15.5">
      <c r="A204" s="373" t="s">
        <v>1487</v>
      </c>
      <c r="B204" s="360" t="s">
        <v>1567</v>
      </c>
      <c r="C204" s="354" t="s">
        <v>1517</v>
      </c>
      <c r="D204" s="354">
        <v>50</v>
      </c>
      <c r="E204" s="357">
        <v>576.24</v>
      </c>
      <c r="F204" s="356">
        <f>D204*E204</f>
        <v>28812</v>
      </c>
      <c r="G204" s="357"/>
      <c r="H204" s="356"/>
      <c r="I204" s="357"/>
      <c r="J204" s="357"/>
      <c r="K204" s="1178"/>
      <c r="L204" s="1178"/>
    </row>
    <row r="205" spans="1:12" s="337" customFormat="1" ht="15.5">
      <c r="A205" s="354"/>
      <c r="B205" s="360"/>
      <c r="C205" s="354"/>
      <c r="D205" s="354"/>
      <c r="E205" s="403"/>
      <c r="F205" s="356"/>
      <c r="G205" s="357"/>
      <c r="H205" s="356"/>
      <c r="I205" s="357"/>
      <c r="J205" s="357"/>
      <c r="K205" s="1178"/>
      <c r="L205" s="1178"/>
    </row>
    <row r="206" spans="1:12" s="340" customFormat="1" ht="18.75" hidden="1" customHeight="1">
      <c r="A206" s="354"/>
      <c r="B206" s="360" t="s">
        <v>1568</v>
      </c>
      <c r="C206" s="354"/>
      <c r="D206" s="354"/>
      <c r="E206" s="403"/>
      <c r="F206" s="356"/>
      <c r="G206" s="404"/>
      <c r="H206" s="356"/>
      <c r="I206" s="404"/>
      <c r="J206" s="404"/>
      <c r="K206" s="1181"/>
      <c r="L206" s="1181"/>
    </row>
    <row r="207" spans="1:12" s="340" customFormat="1" ht="12.75" hidden="1" customHeight="1">
      <c r="A207" s="354"/>
      <c r="B207" s="360" t="s">
        <v>1569</v>
      </c>
      <c r="C207" s="354" t="s">
        <v>1517</v>
      </c>
      <c r="D207" s="354">
        <v>1</v>
      </c>
      <c r="E207" s="403">
        <v>1800</v>
      </c>
      <c r="F207" s="356"/>
      <c r="G207" s="404"/>
      <c r="H207" s="356"/>
      <c r="I207" s="404"/>
      <c r="J207" s="404"/>
      <c r="K207" s="1181"/>
      <c r="L207" s="1181"/>
    </row>
    <row r="208" spans="1:12" s="340" customFormat="1" ht="15.5" hidden="1">
      <c r="A208" s="354"/>
      <c r="B208" s="360"/>
      <c r="C208" s="354"/>
      <c r="D208" s="354"/>
      <c r="E208" s="356"/>
      <c r="F208" s="356"/>
      <c r="G208" s="404"/>
      <c r="H208" s="356"/>
      <c r="I208" s="404"/>
      <c r="J208" s="404"/>
      <c r="K208" s="1181"/>
      <c r="L208" s="1181"/>
    </row>
    <row r="209" spans="1:12" s="340" customFormat="1" ht="15.5" hidden="1">
      <c r="A209" s="387"/>
      <c r="B209" s="355" t="s">
        <v>1570</v>
      </c>
      <c r="C209" s="387"/>
      <c r="D209" s="387"/>
      <c r="E209" s="387" t="s">
        <v>831</v>
      </c>
      <c r="F209" s="398"/>
      <c r="G209" s="404"/>
      <c r="H209" s="398"/>
      <c r="I209" s="404"/>
      <c r="J209" s="404"/>
      <c r="K209" s="1181"/>
      <c r="L209" s="1181"/>
    </row>
    <row r="210" spans="1:12" s="340" customFormat="1" ht="15.5" hidden="1">
      <c r="A210" s="387"/>
      <c r="B210" s="355" t="s">
        <v>1571</v>
      </c>
      <c r="C210" s="387"/>
      <c r="D210" s="387"/>
      <c r="E210" s="387"/>
      <c r="F210" s="398"/>
      <c r="G210" s="404"/>
      <c r="H210" s="398"/>
      <c r="I210" s="404"/>
      <c r="J210" s="404"/>
      <c r="K210" s="1181"/>
      <c r="L210" s="1181"/>
    </row>
    <row r="211" spans="1:12" s="340" customFormat="1" ht="15.5" hidden="1">
      <c r="A211" s="405" t="s">
        <v>836</v>
      </c>
      <c r="B211" s="405" t="s">
        <v>837</v>
      </c>
      <c r="C211" s="405"/>
      <c r="D211" s="405"/>
      <c r="E211" s="405"/>
      <c r="F211" s="405"/>
      <c r="G211" s="404"/>
      <c r="H211" s="405"/>
      <c r="I211" s="404"/>
      <c r="J211" s="404"/>
      <c r="K211" s="1181"/>
      <c r="L211" s="1181"/>
    </row>
    <row r="212" spans="1:12" s="340" customFormat="1" ht="15.5" hidden="1">
      <c r="A212" s="406" t="s">
        <v>1572</v>
      </c>
      <c r="B212" s="407" t="s">
        <v>1573</v>
      </c>
      <c r="C212" s="354"/>
      <c r="D212" s="368"/>
      <c r="E212" s="408"/>
      <c r="F212" s="369"/>
      <c r="G212" s="404"/>
      <c r="H212" s="369"/>
      <c r="I212" s="404"/>
      <c r="J212" s="404"/>
      <c r="K212" s="1181"/>
      <c r="L212" s="1181"/>
    </row>
    <row r="213" spans="1:12" s="340" customFormat="1" ht="15.5" hidden="1">
      <c r="A213" s="406"/>
      <c r="B213" s="409" t="s">
        <v>1574</v>
      </c>
      <c r="C213" s="354"/>
      <c r="D213" s="368"/>
      <c r="E213" s="408"/>
      <c r="F213" s="369"/>
      <c r="G213" s="404"/>
      <c r="H213" s="369"/>
      <c r="I213" s="404"/>
      <c r="J213" s="404"/>
      <c r="K213" s="1181"/>
      <c r="L213" s="1181"/>
    </row>
    <row r="214" spans="1:12" s="340" customFormat="1" ht="108.5" hidden="1">
      <c r="A214" s="369" t="s">
        <v>883</v>
      </c>
      <c r="B214" s="410" t="s">
        <v>1575</v>
      </c>
      <c r="C214" s="354"/>
      <c r="D214" s="368"/>
      <c r="E214" s="408"/>
      <c r="F214" s="369"/>
      <c r="G214" s="404"/>
      <c r="H214" s="369"/>
      <c r="I214" s="404"/>
      <c r="J214" s="404"/>
      <c r="K214" s="1181"/>
      <c r="L214" s="1181"/>
    </row>
    <row r="215" spans="1:12" s="340" customFormat="1" ht="31" hidden="1">
      <c r="A215" s="411" t="s">
        <v>886</v>
      </c>
      <c r="B215" s="410" t="s">
        <v>1576</v>
      </c>
      <c r="C215" s="354"/>
      <c r="D215" s="368"/>
      <c r="E215" s="408"/>
      <c r="F215" s="369"/>
      <c r="G215" s="404"/>
      <c r="H215" s="369"/>
      <c r="I215" s="404"/>
      <c r="J215" s="404"/>
      <c r="K215" s="1181"/>
      <c r="L215" s="1181"/>
    </row>
    <row r="216" spans="1:12" s="340" customFormat="1" ht="107.25" hidden="1" customHeight="1">
      <c r="A216" s="411" t="s">
        <v>888</v>
      </c>
      <c r="B216" s="410" t="s">
        <v>1577</v>
      </c>
      <c r="C216" s="354"/>
      <c r="D216" s="368"/>
      <c r="E216" s="408"/>
      <c r="F216" s="369"/>
      <c r="G216" s="404"/>
      <c r="H216" s="369"/>
      <c r="I216" s="404"/>
      <c r="J216" s="404"/>
      <c r="K216" s="1181"/>
      <c r="L216" s="1181"/>
    </row>
    <row r="217" spans="1:12" s="340" customFormat="1" ht="93" hidden="1" customHeight="1">
      <c r="A217" s="411" t="s">
        <v>890</v>
      </c>
      <c r="B217" s="410" t="s">
        <v>1578</v>
      </c>
      <c r="C217" s="354"/>
      <c r="D217" s="368"/>
      <c r="E217" s="408"/>
      <c r="F217" s="369"/>
      <c r="G217" s="404"/>
      <c r="H217" s="369"/>
      <c r="I217" s="404"/>
      <c r="J217" s="404"/>
      <c r="K217" s="1181"/>
      <c r="L217" s="1181"/>
    </row>
    <row r="218" spans="1:12" s="340" customFormat="1" ht="15.5" hidden="1">
      <c r="A218" s="411" t="s">
        <v>892</v>
      </c>
      <c r="B218" s="410" t="s">
        <v>1579</v>
      </c>
      <c r="C218" s="354"/>
      <c r="D218" s="368"/>
      <c r="E218" s="408"/>
      <c r="F218" s="369"/>
      <c r="G218" s="404"/>
      <c r="H218" s="369"/>
      <c r="I218" s="404"/>
      <c r="J218" s="404"/>
      <c r="K218" s="1181"/>
      <c r="L218" s="1181"/>
    </row>
    <row r="219" spans="1:12" s="340" customFormat="1" ht="15.5" hidden="1">
      <c r="A219" s="368"/>
      <c r="B219" s="412"/>
      <c r="C219" s="354"/>
      <c r="D219" s="368"/>
      <c r="E219" s="408"/>
      <c r="F219" s="369"/>
      <c r="G219" s="404"/>
      <c r="H219" s="369"/>
      <c r="I219" s="404"/>
      <c r="J219" s="404"/>
      <c r="K219" s="1181"/>
      <c r="L219" s="1181"/>
    </row>
    <row r="220" spans="1:12" s="340" customFormat="1" ht="139.5" hidden="1">
      <c r="A220" s="368">
        <v>1</v>
      </c>
      <c r="B220" s="359" t="s">
        <v>1580</v>
      </c>
      <c r="C220" s="354" t="s">
        <v>1581</v>
      </c>
      <c r="D220" s="368">
        <v>9</v>
      </c>
      <c r="E220" s="408">
        <v>14400</v>
      </c>
      <c r="F220" s="413"/>
      <c r="G220" s="404"/>
      <c r="H220" s="413"/>
      <c r="I220" s="404"/>
      <c r="J220" s="404"/>
      <c r="K220" s="1181"/>
      <c r="L220" s="1181"/>
    </row>
    <row r="221" spans="1:12" s="340" customFormat="1" ht="139.5" hidden="1">
      <c r="A221" s="368">
        <f>A220+1</f>
        <v>2</v>
      </c>
      <c r="B221" s="410" t="s">
        <v>1582</v>
      </c>
      <c r="C221" s="354" t="s">
        <v>1581</v>
      </c>
      <c r="D221" s="368">
        <v>1</v>
      </c>
      <c r="E221" s="408">
        <v>17725</v>
      </c>
      <c r="F221" s="413"/>
      <c r="G221" s="404"/>
      <c r="H221" s="413"/>
      <c r="I221" s="404"/>
      <c r="J221" s="404"/>
      <c r="K221" s="1181"/>
      <c r="L221" s="1181"/>
    </row>
    <row r="222" spans="1:12" s="340" customFormat="1" ht="108.5" hidden="1">
      <c r="A222" s="368">
        <f>A221+1</f>
        <v>3</v>
      </c>
      <c r="B222" s="410" t="s">
        <v>1583</v>
      </c>
      <c r="C222" s="354" t="s">
        <v>1581</v>
      </c>
      <c r="D222" s="368">
        <v>1</v>
      </c>
      <c r="E222" s="408">
        <v>7130</v>
      </c>
      <c r="F222" s="413"/>
      <c r="G222" s="404"/>
      <c r="H222" s="413"/>
      <c r="I222" s="404"/>
      <c r="J222" s="404"/>
      <c r="K222" s="1181"/>
      <c r="L222" s="1181"/>
    </row>
    <row r="223" spans="1:12" s="340" customFormat="1" ht="31" hidden="1">
      <c r="A223" s="368">
        <f>A222+1</f>
        <v>4</v>
      </c>
      <c r="B223" s="359" t="s">
        <v>1584</v>
      </c>
      <c r="C223" s="354" t="s">
        <v>1581</v>
      </c>
      <c r="D223" s="368">
        <v>12</v>
      </c>
      <c r="E223" s="408">
        <v>3400</v>
      </c>
      <c r="F223" s="413"/>
      <c r="G223" s="404"/>
      <c r="H223" s="413"/>
      <c r="I223" s="404"/>
      <c r="J223" s="404"/>
      <c r="K223" s="1181"/>
      <c r="L223" s="1181"/>
    </row>
    <row r="224" spans="1:12" s="340" customFormat="1" ht="46.5" hidden="1">
      <c r="A224" s="368">
        <f>A223+1</f>
        <v>5</v>
      </c>
      <c r="B224" s="410" t="s">
        <v>1585</v>
      </c>
      <c r="C224" s="354" t="s">
        <v>1581</v>
      </c>
      <c r="D224" s="368">
        <v>1</v>
      </c>
      <c r="E224" s="408">
        <v>7700</v>
      </c>
      <c r="F224" s="413"/>
      <c r="G224" s="404"/>
      <c r="H224" s="413"/>
      <c r="I224" s="404"/>
      <c r="J224" s="404"/>
      <c r="K224" s="1181"/>
      <c r="L224" s="1181"/>
    </row>
    <row r="225" spans="1:12" s="340" customFormat="1" ht="31" hidden="1">
      <c r="A225" s="368">
        <f t="shared" ref="A225:A246" si="13">A224+1</f>
        <v>6</v>
      </c>
      <c r="B225" s="410" t="s">
        <v>1586</v>
      </c>
      <c r="C225" s="354" t="s">
        <v>1581</v>
      </c>
      <c r="D225" s="368">
        <v>1</v>
      </c>
      <c r="E225" s="408">
        <v>2425</v>
      </c>
      <c r="F225" s="413"/>
      <c r="G225" s="404"/>
      <c r="H225" s="413"/>
      <c r="I225" s="404"/>
      <c r="J225" s="404"/>
      <c r="K225" s="1181"/>
      <c r="L225" s="1181"/>
    </row>
    <row r="226" spans="1:12" s="340" customFormat="1" ht="46.5" hidden="1">
      <c r="A226" s="368">
        <f t="shared" si="13"/>
        <v>7</v>
      </c>
      <c r="B226" s="410" t="s">
        <v>1587</v>
      </c>
      <c r="C226" s="354" t="s">
        <v>1581</v>
      </c>
      <c r="D226" s="368">
        <v>10</v>
      </c>
      <c r="E226" s="408">
        <v>1100</v>
      </c>
      <c r="F226" s="413"/>
      <c r="G226" s="404"/>
      <c r="H226" s="413"/>
      <c r="I226" s="404"/>
      <c r="J226" s="404"/>
      <c r="K226" s="1181"/>
      <c r="L226" s="1181"/>
    </row>
    <row r="227" spans="1:12" s="340" customFormat="1" ht="46.5" hidden="1">
      <c r="A227" s="368">
        <f t="shared" si="13"/>
        <v>8</v>
      </c>
      <c r="B227" s="410" t="s">
        <v>1588</v>
      </c>
      <c r="C227" s="354" t="s">
        <v>1581</v>
      </c>
      <c r="D227" s="368">
        <v>2</v>
      </c>
      <c r="E227" s="408">
        <v>2600</v>
      </c>
      <c r="F227" s="413"/>
      <c r="G227" s="404"/>
      <c r="H227" s="413"/>
      <c r="I227" s="404"/>
      <c r="J227" s="404"/>
      <c r="K227" s="1181"/>
      <c r="L227" s="1181"/>
    </row>
    <row r="228" spans="1:12" s="340" customFormat="1" ht="46.5" hidden="1">
      <c r="A228" s="368">
        <f t="shared" si="13"/>
        <v>9</v>
      </c>
      <c r="B228" s="410" t="s">
        <v>1589</v>
      </c>
      <c r="C228" s="354" t="s">
        <v>1581</v>
      </c>
      <c r="D228" s="368">
        <v>10</v>
      </c>
      <c r="E228" s="408">
        <v>360</v>
      </c>
      <c r="F228" s="413"/>
      <c r="G228" s="404"/>
      <c r="H228" s="413"/>
      <c r="I228" s="404"/>
      <c r="J228" s="404"/>
      <c r="K228" s="1181"/>
      <c r="L228" s="1181"/>
    </row>
    <row r="229" spans="1:12" s="340" customFormat="1" ht="46.5" hidden="1">
      <c r="A229" s="368">
        <f t="shared" si="13"/>
        <v>10</v>
      </c>
      <c r="B229" s="410" t="s">
        <v>1590</v>
      </c>
      <c r="C229" s="354" t="s">
        <v>1581</v>
      </c>
      <c r="D229" s="368">
        <v>8</v>
      </c>
      <c r="E229" s="408">
        <v>3410</v>
      </c>
      <c r="F229" s="413"/>
      <c r="G229" s="404"/>
      <c r="H229" s="413"/>
      <c r="I229" s="404"/>
      <c r="J229" s="404"/>
      <c r="K229" s="1181"/>
      <c r="L229" s="1181"/>
    </row>
    <row r="230" spans="1:12" s="340" customFormat="1" ht="46.5" hidden="1">
      <c r="A230" s="368">
        <f t="shared" si="13"/>
        <v>11</v>
      </c>
      <c r="B230" s="410" t="s">
        <v>1591</v>
      </c>
      <c r="C230" s="354" t="s">
        <v>1581</v>
      </c>
      <c r="D230" s="368">
        <v>1</v>
      </c>
      <c r="E230" s="408">
        <v>3100</v>
      </c>
      <c r="F230" s="413"/>
      <c r="G230" s="404"/>
      <c r="H230" s="413"/>
      <c r="I230" s="404"/>
      <c r="J230" s="404"/>
      <c r="K230" s="1181"/>
      <c r="L230" s="1181"/>
    </row>
    <row r="231" spans="1:12" s="340" customFormat="1" ht="31" hidden="1">
      <c r="A231" s="368">
        <f t="shared" si="13"/>
        <v>12</v>
      </c>
      <c r="B231" s="359" t="s">
        <v>1592</v>
      </c>
      <c r="C231" s="354" t="s">
        <v>1581</v>
      </c>
      <c r="D231" s="368">
        <v>1</v>
      </c>
      <c r="E231" s="408">
        <v>44150</v>
      </c>
      <c r="F231" s="413"/>
      <c r="G231" s="404"/>
      <c r="H231" s="413"/>
      <c r="I231" s="404"/>
      <c r="J231" s="404"/>
      <c r="K231" s="1181"/>
      <c r="L231" s="1181"/>
    </row>
    <row r="232" spans="1:12" s="340" customFormat="1" ht="15.5" hidden="1">
      <c r="A232" s="368">
        <f t="shared" si="13"/>
        <v>13</v>
      </c>
      <c r="B232" s="359" t="s">
        <v>1593</v>
      </c>
      <c r="C232" s="354" t="s">
        <v>1581</v>
      </c>
      <c r="D232" s="368">
        <v>13</v>
      </c>
      <c r="E232" s="408">
        <v>1770</v>
      </c>
      <c r="F232" s="413"/>
      <c r="G232" s="404"/>
      <c r="H232" s="413"/>
      <c r="I232" s="404"/>
      <c r="J232" s="404"/>
      <c r="K232" s="1181"/>
      <c r="L232" s="1181"/>
    </row>
    <row r="233" spans="1:12" s="340" customFormat="1" ht="46.5" hidden="1">
      <c r="A233" s="368">
        <f t="shared" si="13"/>
        <v>14</v>
      </c>
      <c r="B233" s="359" t="s">
        <v>1594</v>
      </c>
      <c r="C233" s="354" t="s">
        <v>1581</v>
      </c>
      <c r="D233" s="368">
        <v>6</v>
      </c>
      <c r="E233" s="408">
        <v>1925</v>
      </c>
      <c r="F233" s="413"/>
      <c r="G233" s="404"/>
      <c r="H233" s="413"/>
      <c r="I233" s="404"/>
      <c r="J233" s="404"/>
      <c r="K233" s="1181"/>
      <c r="L233" s="1181"/>
    </row>
    <row r="234" spans="1:12" s="340" customFormat="1" ht="93" hidden="1">
      <c r="A234" s="368">
        <f t="shared" si="13"/>
        <v>15</v>
      </c>
      <c r="B234" s="410" t="s">
        <v>1595</v>
      </c>
      <c r="C234" s="354" t="s">
        <v>1581</v>
      </c>
      <c r="D234" s="368">
        <v>11</v>
      </c>
      <c r="E234" s="408">
        <v>5150</v>
      </c>
      <c r="F234" s="413"/>
      <c r="G234" s="404"/>
      <c r="H234" s="413"/>
      <c r="I234" s="404"/>
      <c r="J234" s="404"/>
      <c r="K234" s="1181"/>
      <c r="L234" s="1181"/>
    </row>
    <row r="235" spans="1:12" s="340" customFormat="1" ht="62" hidden="1">
      <c r="A235" s="368">
        <f t="shared" ref="A235:A240" si="14">A234+1</f>
        <v>16</v>
      </c>
      <c r="B235" s="410" t="s">
        <v>1596</v>
      </c>
      <c r="C235" s="354" t="s">
        <v>1581</v>
      </c>
      <c r="D235" s="368">
        <v>2</v>
      </c>
      <c r="E235" s="408">
        <v>520</v>
      </c>
      <c r="F235" s="413"/>
      <c r="G235" s="404"/>
      <c r="H235" s="413"/>
      <c r="I235" s="404"/>
      <c r="J235" s="404"/>
      <c r="K235" s="1181"/>
      <c r="L235" s="1181"/>
    </row>
    <row r="236" spans="1:12" s="340" customFormat="1" ht="46.5" hidden="1">
      <c r="A236" s="368">
        <f t="shared" si="14"/>
        <v>17</v>
      </c>
      <c r="B236" s="410" t="s">
        <v>1597</v>
      </c>
      <c r="C236" s="354" t="s">
        <v>1598</v>
      </c>
      <c r="D236" s="368">
        <v>2</v>
      </c>
      <c r="E236" s="408">
        <v>44700</v>
      </c>
      <c r="F236" s="413"/>
      <c r="G236" s="404"/>
      <c r="H236" s="413"/>
      <c r="I236" s="404"/>
      <c r="J236" s="404"/>
      <c r="K236" s="1181"/>
      <c r="L236" s="1181"/>
    </row>
    <row r="237" spans="1:12" s="340" customFormat="1" ht="124" hidden="1">
      <c r="A237" s="368">
        <f t="shared" si="14"/>
        <v>18</v>
      </c>
      <c r="B237" s="410" t="s">
        <v>1599</v>
      </c>
      <c r="C237" s="354" t="s">
        <v>1581</v>
      </c>
      <c r="D237" s="368">
        <v>6</v>
      </c>
      <c r="E237" s="408">
        <v>2100</v>
      </c>
      <c r="F237" s="413"/>
      <c r="G237" s="404"/>
      <c r="H237" s="413"/>
      <c r="I237" s="404"/>
      <c r="J237" s="404"/>
      <c r="K237" s="1181"/>
      <c r="L237" s="1181"/>
    </row>
    <row r="238" spans="1:12" s="340" customFormat="1" ht="93" hidden="1">
      <c r="A238" s="368">
        <f t="shared" si="14"/>
        <v>19</v>
      </c>
      <c r="B238" s="410" t="s">
        <v>1600</v>
      </c>
      <c r="C238" s="354" t="s">
        <v>1581</v>
      </c>
      <c r="D238" s="368">
        <v>2</v>
      </c>
      <c r="E238" s="408">
        <v>17500</v>
      </c>
      <c r="F238" s="413"/>
      <c r="G238" s="404"/>
      <c r="H238" s="413"/>
      <c r="I238" s="404"/>
      <c r="J238" s="404"/>
      <c r="K238" s="1181"/>
      <c r="L238" s="1181"/>
    </row>
    <row r="239" spans="1:12" s="340" customFormat="1" ht="31" hidden="1">
      <c r="A239" s="368">
        <f t="shared" si="14"/>
        <v>20</v>
      </c>
      <c r="B239" s="410" t="s">
        <v>1601</v>
      </c>
      <c r="C239" s="354" t="s">
        <v>1581</v>
      </c>
      <c r="D239" s="368">
        <v>2</v>
      </c>
      <c r="E239" s="408">
        <v>3410</v>
      </c>
      <c r="F239" s="413"/>
      <c r="G239" s="404"/>
      <c r="H239" s="413"/>
      <c r="I239" s="404"/>
      <c r="J239" s="404"/>
      <c r="K239" s="1181"/>
      <c r="L239" s="1181"/>
    </row>
    <row r="240" spans="1:12" s="340" customFormat="1" ht="46.5" hidden="1">
      <c r="A240" s="368">
        <f t="shared" si="14"/>
        <v>21</v>
      </c>
      <c r="B240" s="410" t="s">
        <v>1602</v>
      </c>
      <c r="C240" s="354" t="s">
        <v>1581</v>
      </c>
      <c r="D240" s="368">
        <v>30</v>
      </c>
      <c r="E240" s="408">
        <v>560</v>
      </c>
      <c r="F240" s="413"/>
      <c r="G240" s="404"/>
      <c r="H240" s="413"/>
      <c r="I240" s="404"/>
      <c r="J240" s="404"/>
      <c r="K240" s="1181"/>
      <c r="L240" s="1181"/>
    </row>
    <row r="241" spans="1:12" s="340" customFormat="1" ht="31" hidden="1">
      <c r="A241" s="368">
        <f t="shared" si="13"/>
        <v>22</v>
      </c>
      <c r="B241" s="414" t="s">
        <v>1603</v>
      </c>
      <c r="C241" s="368" t="s">
        <v>1581</v>
      </c>
      <c r="D241" s="368">
        <v>2</v>
      </c>
      <c r="E241" s="408">
        <v>340</v>
      </c>
      <c r="F241" s="413"/>
      <c r="G241" s="404"/>
      <c r="H241" s="413"/>
      <c r="I241" s="404"/>
      <c r="J241" s="404"/>
      <c r="K241" s="1181"/>
      <c r="L241" s="1181"/>
    </row>
    <row r="242" spans="1:12" s="340" customFormat="1" ht="93" hidden="1">
      <c r="A242" s="368">
        <f t="shared" si="13"/>
        <v>23</v>
      </c>
      <c r="B242" s="410" t="s">
        <v>1604</v>
      </c>
      <c r="C242" s="354" t="s">
        <v>1581</v>
      </c>
      <c r="D242" s="368">
        <v>3</v>
      </c>
      <c r="E242" s="408">
        <v>11100</v>
      </c>
      <c r="F242" s="413"/>
      <c r="G242" s="404"/>
      <c r="H242" s="413"/>
      <c r="I242" s="404"/>
      <c r="J242" s="404"/>
      <c r="K242" s="1181"/>
      <c r="L242" s="1181"/>
    </row>
    <row r="243" spans="1:12" s="340" customFormat="1" ht="46.5" hidden="1">
      <c r="A243" s="368">
        <f t="shared" si="13"/>
        <v>24</v>
      </c>
      <c r="B243" s="410" t="s">
        <v>1605</v>
      </c>
      <c r="C243" s="354" t="s">
        <v>1598</v>
      </c>
      <c r="D243" s="368">
        <v>3</v>
      </c>
      <c r="E243" s="408">
        <v>6625</v>
      </c>
      <c r="F243" s="413"/>
      <c r="G243" s="404"/>
      <c r="H243" s="413"/>
      <c r="I243" s="404"/>
      <c r="J243" s="404"/>
      <c r="K243" s="1181"/>
      <c r="L243" s="1181"/>
    </row>
    <row r="244" spans="1:12" s="340" customFormat="1" ht="62" hidden="1">
      <c r="A244" s="368">
        <f t="shared" si="13"/>
        <v>25</v>
      </c>
      <c r="B244" s="410" t="s">
        <v>1606</v>
      </c>
      <c r="C244" s="354" t="s">
        <v>1581</v>
      </c>
      <c r="D244" s="368">
        <v>6</v>
      </c>
      <c r="E244" s="408">
        <v>12700</v>
      </c>
      <c r="F244" s="413"/>
      <c r="G244" s="404"/>
      <c r="H244" s="413"/>
      <c r="I244" s="404"/>
      <c r="J244" s="404"/>
      <c r="K244" s="1181"/>
      <c r="L244" s="1181"/>
    </row>
    <row r="245" spans="1:12" s="340" customFormat="1" ht="31" hidden="1">
      <c r="A245" s="368">
        <f t="shared" si="13"/>
        <v>26</v>
      </c>
      <c r="B245" s="410" t="s">
        <v>1607</v>
      </c>
      <c r="C245" s="354" t="s">
        <v>1581</v>
      </c>
      <c r="D245" s="368">
        <v>14</v>
      </c>
      <c r="E245" s="408">
        <v>975</v>
      </c>
      <c r="F245" s="413"/>
      <c r="G245" s="404"/>
      <c r="H245" s="413"/>
      <c r="I245" s="404"/>
      <c r="J245" s="404"/>
      <c r="K245" s="1181"/>
      <c r="L245" s="1181"/>
    </row>
    <row r="246" spans="1:12" s="340" customFormat="1" ht="124" hidden="1">
      <c r="A246" s="368">
        <f t="shared" si="13"/>
        <v>27</v>
      </c>
      <c r="B246" s="415" t="s">
        <v>1608</v>
      </c>
      <c r="C246" s="354" t="s">
        <v>176</v>
      </c>
      <c r="D246" s="368" t="s">
        <v>1609</v>
      </c>
      <c r="E246" s="408">
        <v>61</v>
      </c>
      <c r="F246" s="413"/>
      <c r="G246" s="404"/>
      <c r="H246" s="413"/>
      <c r="I246" s="404"/>
      <c r="J246" s="404"/>
      <c r="K246" s="1181"/>
      <c r="L246" s="1181"/>
    </row>
    <row r="247" spans="1:12" s="340" customFormat="1" ht="15.5" hidden="1">
      <c r="A247" s="368"/>
      <c r="B247" s="416" t="s">
        <v>243</v>
      </c>
      <c r="C247" s="354"/>
      <c r="D247" s="368"/>
      <c r="E247" s="417"/>
      <c r="F247" s="417"/>
      <c r="G247" s="404"/>
      <c r="H247" s="417"/>
      <c r="I247" s="404"/>
      <c r="J247" s="404"/>
      <c r="K247" s="1181"/>
      <c r="L247" s="1181"/>
    </row>
    <row r="248" spans="1:12" s="340" customFormat="1" ht="15.5" hidden="1">
      <c r="A248" s="368"/>
      <c r="B248" s="415"/>
      <c r="C248" s="354"/>
      <c r="D248" s="368"/>
      <c r="E248" s="408"/>
      <c r="F248" s="369"/>
      <c r="G248" s="404"/>
      <c r="H248" s="369"/>
      <c r="I248" s="404"/>
      <c r="J248" s="404"/>
      <c r="K248" s="1181"/>
      <c r="L248" s="1181"/>
    </row>
    <row r="249" spans="1:12" s="340" customFormat="1" ht="15.5" hidden="1">
      <c r="A249" s="406" t="s">
        <v>10</v>
      </c>
      <c r="B249" s="418" t="s">
        <v>838</v>
      </c>
      <c r="C249" s="354"/>
      <c r="D249" s="368"/>
      <c r="E249" s="408"/>
      <c r="F249" s="369"/>
      <c r="G249" s="404"/>
      <c r="H249" s="369"/>
      <c r="I249" s="404"/>
      <c r="J249" s="404"/>
      <c r="K249" s="1181"/>
      <c r="L249" s="1181"/>
    </row>
    <row r="250" spans="1:12" s="340" customFormat="1" ht="15.5" hidden="1">
      <c r="A250" s="406"/>
      <c r="B250" s="418"/>
      <c r="C250" s="354"/>
      <c r="D250" s="368"/>
      <c r="E250" s="408"/>
      <c r="F250" s="369"/>
      <c r="G250" s="404"/>
      <c r="H250" s="369"/>
      <c r="I250" s="404"/>
      <c r="J250" s="404"/>
      <c r="K250" s="1181"/>
      <c r="L250" s="1181"/>
    </row>
    <row r="251" spans="1:12" s="340" customFormat="1" ht="77.5" hidden="1">
      <c r="A251" s="368">
        <f>A246+1</f>
        <v>28</v>
      </c>
      <c r="B251" s="358" t="s">
        <v>1610</v>
      </c>
      <c r="C251" s="354"/>
      <c r="D251" s="368"/>
      <c r="E251" s="408"/>
      <c r="F251" s="369"/>
      <c r="G251" s="404"/>
      <c r="H251" s="369"/>
      <c r="I251" s="404"/>
      <c r="J251" s="404"/>
      <c r="K251" s="1181"/>
      <c r="L251" s="1181"/>
    </row>
    <row r="252" spans="1:12" s="340" customFormat="1" ht="15.5" hidden="1">
      <c r="A252" s="406"/>
      <c r="B252" s="418"/>
      <c r="C252" s="354"/>
      <c r="D252" s="368"/>
      <c r="E252" s="408"/>
      <c r="F252" s="369"/>
      <c r="G252" s="404"/>
      <c r="H252" s="369"/>
      <c r="I252" s="404"/>
      <c r="J252" s="404"/>
      <c r="K252" s="1181"/>
      <c r="L252" s="1181"/>
    </row>
    <row r="253" spans="1:12" s="340" customFormat="1" ht="15.5" hidden="1">
      <c r="A253" s="406"/>
      <c r="B253" s="418" t="s">
        <v>1611</v>
      </c>
      <c r="C253" s="354"/>
      <c r="D253" s="368"/>
      <c r="E253" s="408"/>
      <c r="F253" s="369"/>
      <c r="G253" s="404"/>
      <c r="H253" s="369"/>
      <c r="I253" s="404"/>
      <c r="J253" s="404"/>
      <c r="K253" s="1181"/>
      <c r="L253" s="1181"/>
    </row>
    <row r="254" spans="1:12" s="340" customFormat="1" ht="15.5" hidden="1">
      <c r="A254" s="406"/>
      <c r="B254" s="409" t="s">
        <v>1612</v>
      </c>
      <c r="C254" s="368" t="s">
        <v>1517</v>
      </c>
      <c r="D254" s="419">
        <v>185</v>
      </c>
      <c r="E254" s="408">
        <v>255.9</v>
      </c>
      <c r="F254" s="413"/>
      <c r="G254" s="404"/>
      <c r="H254" s="413"/>
      <c r="I254" s="404"/>
      <c r="J254" s="404"/>
      <c r="K254" s="1181"/>
      <c r="L254" s="1181"/>
    </row>
    <row r="255" spans="1:12" s="340" customFormat="1" ht="15.5" hidden="1">
      <c r="A255" s="406"/>
      <c r="B255" s="409" t="s">
        <v>1613</v>
      </c>
      <c r="C255" s="368" t="s">
        <v>1517</v>
      </c>
      <c r="D255" s="419">
        <v>110</v>
      </c>
      <c r="E255" s="408">
        <v>325.10000000000002</v>
      </c>
      <c r="F255" s="413"/>
      <c r="G255" s="404"/>
      <c r="H255" s="413"/>
      <c r="I255" s="404"/>
      <c r="J255" s="404"/>
      <c r="K255" s="1181"/>
      <c r="L255" s="1181"/>
    </row>
    <row r="256" spans="1:12" s="340" customFormat="1" ht="15.5" hidden="1">
      <c r="A256" s="406"/>
      <c r="B256" s="409" t="s">
        <v>1614</v>
      </c>
      <c r="C256" s="368" t="s">
        <v>1517</v>
      </c>
      <c r="D256" s="419">
        <v>40</v>
      </c>
      <c r="E256" s="408">
        <v>408.55</v>
      </c>
      <c r="F256" s="413"/>
      <c r="G256" s="404"/>
      <c r="H256" s="413"/>
      <c r="I256" s="404"/>
      <c r="J256" s="404"/>
      <c r="K256" s="1181"/>
      <c r="L256" s="1181"/>
    </row>
    <row r="257" spans="1:12" s="340" customFormat="1" ht="15.5" hidden="1">
      <c r="A257" s="406"/>
      <c r="B257" s="409" t="s">
        <v>1615</v>
      </c>
      <c r="C257" s="368" t="s">
        <v>1517</v>
      </c>
      <c r="D257" s="419">
        <v>30</v>
      </c>
      <c r="E257" s="408">
        <v>500.95</v>
      </c>
      <c r="F257" s="413"/>
      <c r="G257" s="404"/>
      <c r="H257" s="413"/>
      <c r="I257" s="404"/>
      <c r="J257" s="404"/>
      <c r="K257" s="1181"/>
      <c r="L257" s="1181"/>
    </row>
    <row r="258" spans="1:12" s="340" customFormat="1" ht="15.5" hidden="1">
      <c r="A258" s="406"/>
      <c r="B258" s="409" t="s">
        <v>1616</v>
      </c>
      <c r="C258" s="368" t="s">
        <v>1517</v>
      </c>
      <c r="D258" s="419">
        <v>25</v>
      </c>
      <c r="E258" s="408">
        <v>674.35</v>
      </c>
      <c r="F258" s="413"/>
      <c r="G258" s="404"/>
      <c r="H258" s="413"/>
      <c r="I258" s="404"/>
      <c r="J258" s="404"/>
      <c r="K258" s="1181"/>
      <c r="L258" s="1181"/>
    </row>
    <row r="259" spans="1:12" s="340" customFormat="1" ht="15.5" hidden="1">
      <c r="A259" s="406"/>
      <c r="B259" s="409" t="s">
        <v>1617</v>
      </c>
      <c r="C259" s="368" t="s">
        <v>1517</v>
      </c>
      <c r="D259" s="419">
        <v>25</v>
      </c>
      <c r="E259" s="408">
        <v>927</v>
      </c>
      <c r="F259" s="413"/>
      <c r="G259" s="404"/>
      <c r="H259" s="413"/>
      <c r="I259" s="404"/>
      <c r="J259" s="404"/>
      <c r="K259" s="1181"/>
      <c r="L259" s="1181"/>
    </row>
    <row r="260" spans="1:12" s="340" customFormat="1" ht="15.5" hidden="1">
      <c r="A260" s="406"/>
      <c r="B260" s="409" t="s">
        <v>1618</v>
      </c>
      <c r="C260" s="368" t="s">
        <v>1517</v>
      </c>
      <c r="D260" s="419">
        <v>5</v>
      </c>
      <c r="E260" s="408">
        <v>1576.9</v>
      </c>
      <c r="F260" s="413"/>
      <c r="G260" s="404"/>
      <c r="H260" s="413"/>
      <c r="I260" s="404"/>
      <c r="J260" s="404"/>
      <c r="K260" s="1181"/>
      <c r="L260" s="1181"/>
    </row>
    <row r="261" spans="1:12" s="340" customFormat="1" ht="15.5" hidden="1">
      <c r="A261" s="406"/>
      <c r="B261" s="409"/>
      <c r="C261" s="354"/>
      <c r="D261" s="368"/>
      <c r="E261" s="408"/>
      <c r="F261" s="369"/>
      <c r="G261" s="404"/>
      <c r="H261" s="369"/>
      <c r="I261" s="404"/>
      <c r="J261" s="404"/>
      <c r="K261" s="1181"/>
      <c r="L261" s="1181"/>
    </row>
    <row r="262" spans="1:12" s="340" customFormat="1" ht="124" hidden="1">
      <c r="A262" s="368">
        <f>A251+1</f>
        <v>29</v>
      </c>
      <c r="B262" s="358" t="s">
        <v>1619</v>
      </c>
      <c r="C262" s="354"/>
      <c r="D262" s="368"/>
      <c r="E262" s="408"/>
      <c r="F262" s="369"/>
      <c r="G262" s="404"/>
      <c r="H262" s="369"/>
      <c r="I262" s="404"/>
      <c r="J262" s="404"/>
      <c r="K262" s="1181"/>
      <c r="L262" s="1181"/>
    </row>
    <row r="263" spans="1:12" s="340" customFormat="1" ht="201.5" hidden="1">
      <c r="A263" s="368"/>
      <c r="B263" s="358" t="s">
        <v>1620</v>
      </c>
      <c r="C263" s="354"/>
      <c r="D263" s="368"/>
      <c r="E263" s="408"/>
      <c r="F263" s="369"/>
      <c r="G263" s="404"/>
      <c r="H263" s="369"/>
      <c r="I263" s="404"/>
      <c r="J263" s="404"/>
      <c r="K263" s="1181"/>
      <c r="L263" s="1181"/>
    </row>
    <row r="264" spans="1:12" s="340" customFormat="1" ht="15.5" hidden="1">
      <c r="A264" s="368"/>
      <c r="B264" s="420"/>
      <c r="C264" s="354"/>
      <c r="D264" s="368"/>
      <c r="E264" s="408"/>
      <c r="F264" s="369"/>
      <c r="G264" s="404"/>
      <c r="H264" s="369"/>
      <c r="I264" s="404"/>
      <c r="J264" s="404"/>
      <c r="K264" s="1181"/>
      <c r="L264" s="1181"/>
    </row>
    <row r="265" spans="1:12" s="340" customFormat="1" ht="15.5" hidden="1">
      <c r="A265" s="368"/>
      <c r="B265" s="409" t="s">
        <v>1612</v>
      </c>
      <c r="C265" s="368" t="s">
        <v>1517</v>
      </c>
      <c r="D265" s="419">
        <v>305</v>
      </c>
      <c r="E265" s="408">
        <v>441.15</v>
      </c>
      <c r="F265" s="413"/>
      <c r="G265" s="404"/>
      <c r="H265" s="413"/>
      <c r="I265" s="404"/>
      <c r="J265" s="404"/>
      <c r="K265" s="1181"/>
      <c r="L265" s="1181"/>
    </row>
    <row r="266" spans="1:12" s="340" customFormat="1" ht="15.5" hidden="1">
      <c r="A266" s="368"/>
      <c r="B266" s="409" t="s">
        <v>1613</v>
      </c>
      <c r="C266" s="368" t="s">
        <v>1517</v>
      </c>
      <c r="D266" s="419">
        <v>12</v>
      </c>
      <c r="E266" s="408">
        <v>513.75</v>
      </c>
      <c r="F266" s="413"/>
      <c r="G266" s="404"/>
      <c r="H266" s="413"/>
      <c r="I266" s="404"/>
      <c r="J266" s="404"/>
      <c r="K266" s="1181"/>
      <c r="L266" s="1181"/>
    </row>
    <row r="267" spans="1:12" s="340" customFormat="1" ht="15.5" hidden="1">
      <c r="A267" s="368"/>
      <c r="B267" s="409" t="s">
        <v>1614</v>
      </c>
      <c r="C267" s="368" t="s">
        <v>1517</v>
      </c>
      <c r="D267" s="368">
        <v>5</v>
      </c>
      <c r="E267" s="408">
        <v>626.04999999999995</v>
      </c>
      <c r="F267" s="413"/>
      <c r="G267" s="404"/>
      <c r="H267" s="413"/>
      <c r="I267" s="404"/>
      <c r="J267" s="404"/>
      <c r="K267" s="1181"/>
      <c r="L267" s="1181"/>
    </row>
    <row r="268" spans="1:12" s="340" customFormat="1" ht="15.5" hidden="1">
      <c r="A268" s="368"/>
      <c r="B268" s="409"/>
      <c r="C268" s="368"/>
      <c r="D268" s="368"/>
      <c r="E268" s="408"/>
      <c r="F268" s="369"/>
      <c r="G268" s="404"/>
      <c r="H268" s="369"/>
      <c r="I268" s="404"/>
      <c r="J268" s="404"/>
      <c r="K268" s="1181"/>
      <c r="L268" s="1181"/>
    </row>
    <row r="269" spans="1:12" s="340" customFormat="1" ht="62" hidden="1">
      <c r="A269" s="368">
        <f>A262+1</f>
        <v>30</v>
      </c>
      <c r="B269" s="358" t="s">
        <v>1621</v>
      </c>
      <c r="C269" s="354"/>
      <c r="D269" s="368"/>
      <c r="E269" s="408"/>
      <c r="F269" s="369"/>
      <c r="G269" s="404"/>
      <c r="H269" s="369"/>
      <c r="I269" s="404"/>
      <c r="J269" s="404"/>
      <c r="K269" s="1181"/>
      <c r="L269" s="1181"/>
    </row>
    <row r="270" spans="1:12" s="340" customFormat="1" ht="15.5" hidden="1">
      <c r="A270" s="368"/>
      <c r="B270" s="409"/>
      <c r="C270" s="354"/>
      <c r="D270" s="368"/>
      <c r="E270" s="408"/>
      <c r="F270" s="369"/>
      <c r="G270" s="404"/>
      <c r="H270" s="369"/>
      <c r="I270" s="404"/>
      <c r="J270" s="404"/>
      <c r="K270" s="1181"/>
      <c r="L270" s="1181"/>
    </row>
    <row r="271" spans="1:12" s="340" customFormat="1" ht="15.5" hidden="1">
      <c r="A271" s="368"/>
      <c r="B271" s="409" t="s">
        <v>1622</v>
      </c>
      <c r="C271" s="354" t="s">
        <v>870</v>
      </c>
      <c r="D271" s="368">
        <v>3</v>
      </c>
      <c r="E271" s="408">
        <v>559.79200000000003</v>
      </c>
      <c r="F271" s="413"/>
      <c r="G271" s="404"/>
      <c r="H271" s="413"/>
      <c r="I271" s="404"/>
      <c r="J271" s="404"/>
      <c r="K271" s="1181"/>
      <c r="L271" s="1181"/>
    </row>
    <row r="272" spans="1:12" s="340" customFormat="1" ht="15.5" hidden="1">
      <c r="A272" s="368"/>
      <c r="B272" s="409" t="s">
        <v>1623</v>
      </c>
      <c r="C272" s="354" t="s">
        <v>870</v>
      </c>
      <c r="D272" s="368">
        <v>1</v>
      </c>
      <c r="E272" s="408">
        <v>867.53599999999994</v>
      </c>
      <c r="F272" s="413"/>
      <c r="G272" s="404"/>
      <c r="H272" s="413"/>
      <c r="I272" s="404"/>
      <c r="J272" s="404"/>
      <c r="K272" s="1181"/>
      <c r="L272" s="1181"/>
    </row>
    <row r="273" spans="1:12" s="340" customFormat="1" ht="15.5" hidden="1">
      <c r="A273" s="368"/>
      <c r="B273" s="409" t="s">
        <v>1624</v>
      </c>
      <c r="C273" s="354" t="s">
        <v>870</v>
      </c>
      <c r="D273" s="368">
        <v>2</v>
      </c>
      <c r="E273" s="408">
        <v>1482.08</v>
      </c>
      <c r="F273" s="413"/>
      <c r="G273" s="404"/>
      <c r="H273" s="413"/>
      <c r="I273" s="404"/>
      <c r="J273" s="404"/>
      <c r="K273" s="1181"/>
      <c r="L273" s="1181"/>
    </row>
    <row r="274" spans="1:12" s="340" customFormat="1" ht="15.5" hidden="1">
      <c r="A274" s="368"/>
      <c r="B274" s="409" t="s">
        <v>1625</v>
      </c>
      <c r="C274" s="354" t="s">
        <v>870</v>
      </c>
      <c r="D274" s="368">
        <v>1</v>
      </c>
      <c r="E274" s="408">
        <v>2157.9839999999999</v>
      </c>
      <c r="F274" s="413"/>
      <c r="G274" s="404"/>
      <c r="H274" s="413"/>
      <c r="I274" s="404"/>
      <c r="J274" s="404"/>
      <c r="K274" s="1181"/>
      <c r="L274" s="1181"/>
    </row>
    <row r="275" spans="1:12" s="340" customFormat="1" ht="15.5" hidden="1">
      <c r="A275" s="368"/>
      <c r="B275" s="409"/>
      <c r="C275" s="354"/>
      <c r="D275" s="368"/>
      <c r="E275" s="408"/>
      <c r="F275" s="369"/>
      <c r="G275" s="404"/>
      <c r="H275" s="369"/>
      <c r="I275" s="404"/>
      <c r="J275" s="404"/>
      <c r="K275" s="1181"/>
      <c r="L275" s="1181"/>
    </row>
    <row r="276" spans="1:12" s="340" customFormat="1" ht="31" hidden="1">
      <c r="A276" s="368">
        <f>A269+1</f>
        <v>31</v>
      </c>
      <c r="B276" s="358" t="s">
        <v>1626</v>
      </c>
      <c r="C276" s="354"/>
      <c r="D276" s="368"/>
      <c r="E276" s="408"/>
      <c r="F276" s="369"/>
      <c r="G276" s="404"/>
      <c r="H276" s="369"/>
      <c r="I276" s="404"/>
      <c r="J276" s="404"/>
      <c r="K276" s="1181"/>
      <c r="L276" s="1181"/>
    </row>
    <row r="277" spans="1:12" s="340" customFormat="1" ht="15.5" hidden="1">
      <c r="A277" s="368"/>
      <c r="B277" s="409" t="s">
        <v>1627</v>
      </c>
      <c r="C277" s="354" t="s">
        <v>870</v>
      </c>
      <c r="D277" s="368">
        <v>1</v>
      </c>
      <c r="E277" s="408">
        <v>2929.232</v>
      </c>
      <c r="F277" s="413"/>
      <c r="G277" s="404"/>
      <c r="H277" s="413"/>
      <c r="I277" s="404"/>
      <c r="J277" s="404"/>
      <c r="K277" s="1181"/>
      <c r="L277" s="1181"/>
    </row>
    <row r="278" spans="1:12" s="340" customFormat="1" ht="15.5" hidden="1">
      <c r="A278" s="368"/>
      <c r="B278" s="409" t="s">
        <v>1628</v>
      </c>
      <c r="C278" s="354" t="s">
        <v>870</v>
      </c>
      <c r="D278" s="368">
        <v>1</v>
      </c>
      <c r="E278" s="408">
        <v>3134.08</v>
      </c>
      <c r="F278" s="413"/>
      <c r="G278" s="404"/>
      <c r="H278" s="413"/>
      <c r="I278" s="404"/>
      <c r="J278" s="404"/>
      <c r="K278" s="1181"/>
      <c r="L278" s="1181"/>
    </row>
    <row r="279" spans="1:12" s="340" customFormat="1" ht="15.5" hidden="1">
      <c r="A279" s="368"/>
      <c r="B279" s="409"/>
      <c r="C279" s="354"/>
      <c r="D279" s="368"/>
      <c r="E279" s="408"/>
      <c r="F279" s="369"/>
      <c r="G279" s="404"/>
      <c r="H279" s="369"/>
      <c r="I279" s="404"/>
      <c r="J279" s="404"/>
      <c r="K279" s="1181"/>
      <c r="L279" s="1181"/>
    </row>
    <row r="280" spans="1:12" s="340" customFormat="1" ht="108.5" hidden="1">
      <c r="A280" s="368">
        <f>A276+1</f>
        <v>32</v>
      </c>
      <c r="B280" s="358" t="s">
        <v>1629</v>
      </c>
      <c r="C280" s="354"/>
      <c r="D280" s="368"/>
      <c r="E280" s="408"/>
      <c r="F280" s="369"/>
      <c r="G280" s="404"/>
      <c r="H280" s="369"/>
      <c r="I280" s="404"/>
      <c r="J280" s="404"/>
      <c r="K280" s="1181"/>
      <c r="L280" s="1181"/>
    </row>
    <row r="281" spans="1:12" s="340" customFormat="1" ht="15.5" hidden="1">
      <c r="A281" s="368"/>
      <c r="B281" s="409"/>
      <c r="C281" s="354"/>
      <c r="D281" s="368"/>
      <c r="E281" s="408"/>
      <c r="F281" s="369"/>
      <c r="G281" s="404"/>
      <c r="H281" s="369"/>
      <c r="I281" s="404"/>
      <c r="J281" s="404"/>
      <c r="K281" s="1181"/>
      <c r="L281" s="1181"/>
    </row>
    <row r="282" spans="1:12" s="340" customFormat="1" ht="15.5" hidden="1">
      <c r="A282" s="368"/>
      <c r="B282" s="409" t="s">
        <v>1630</v>
      </c>
      <c r="C282" s="368" t="s">
        <v>1517</v>
      </c>
      <c r="D282" s="419">
        <v>86.425185249999998</v>
      </c>
      <c r="E282" s="408">
        <v>853</v>
      </c>
      <c r="F282" s="413"/>
      <c r="G282" s="404"/>
      <c r="H282" s="413"/>
      <c r="I282" s="404"/>
      <c r="J282" s="404"/>
      <c r="K282" s="1181"/>
      <c r="L282" s="1181"/>
    </row>
    <row r="283" spans="1:12" s="340" customFormat="1" ht="15.5" hidden="1">
      <c r="A283" s="368"/>
      <c r="B283" s="409" t="s">
        <v>1631</v>
      </c>
      <c r="C283" s="368" t="s">
        <v>1517</v>
      </c>
      <c r="D283" s="419">
        <v>6.2082750000000004</v>
      </c>
      <c r="E283" s="408">
        <v>986</v>
      </c>
      <c r="F283" s="413"/>
      <c r="G283" s="404"/>
      <c r="H283" s="413"/>
      <c r="I283" s="404"/>
      <c r="J283" s="404"/>
      <c r="K283" s="1181"/>
      <c r="L283" s="1181"/>
    </row>
    <row r="284" spans="1:12" s="340" customFormat="1" ht="15.5" hidden="1">
      <c r="A284" s="368"/>
      <c r="B284" s="409" t="s">
        <v>1632</v>
      </c>
      <c r="C284" s="368" t="s">
        <v>1517</v>
      </c>
      <c r="D284" s="419">
        <v>0.64998</v>
      </c>
      <c r="E284" s="408">
        <v>1075</v>
      </c>
      <c r="F284" s="413"/>
      <c r="G284" s="404"/>
      <c r="H284" s="413"/>
      <c r="I284" s="404"/>
      <c r="J284" s="404"/>
      <c r="K284" s="1181"/>
      <c r="L284" s="1181"/>
    </row>
    <row r="285" spans="1:12" s="340" customFormat="1" ht="15.5" hidden="1">
      <c r="A285" s="368"/>
      <c r="B285" s="409" t="s">
        <v>1633</v>
      </c>
      <c r="C285" s="368" t="s">
        <v>1517</v>
      </c>
      <c r="D285" s="419">
        <v>1.0291349999999999</v>
      </c>
      <c r="E285" s="408">
        <v>1185</v>
      </c>
      <c r="F285" s="413"/>
      <c r="G285" s="404"/>
      <c r="H285" s="413"/>
      <c r="I285" s="404"/>
      <c r="J285" s="404"/>
      <c r="K285" s="1181"/>
      <c r="L285" s="1181"/>
    </row>
    <row r="286" spans="1:12" s="340" customFormat="1" ht="15.5" hidden="1">
      <c r="A286" s="368"/>
      <c r="B286" s="409" t="s">
        <v>1634</v>
      </c>
      <c r="C286" s="368" t="s">
        <v>1517</v>
      </c>
      <c r="D286" s="419">
        <v>0.81247499999999995</v>
      </c>
      <c r="E286" s="408">
        <v>1349</v>
      </c>
      <c r="F286" s="413"/>
      <c r="G286" s="404"/>
      <c r="H286" s="413"/>
      <c r="I286" s="404"/>
      <c r="J286" s="404"/>
      <c r="K286" s="1181"/>
      <c r="L286" s="1181"/>
    </row>
    <row r="287" spans="1:12" s="340" customFormat="1" ht="15.5" hidden="1">
      <c r="A287" s="368"/>
      <c r="B287" s="409"/>
      <c r="C287" s="368"/>
      <c r="D287" s="421"/>
      <c r="E287" s="408"/>
      <c r="F287" s="369"/>
      <c r="G287" s="404"/>
      <c r="H287" s="369"/>
      <c r="I287" s="404"/>
      <c r="J287" s="404"/>
      <c r="K287" s="1181"/>
      <c r="L287" s="1181"/>
    </row>
    <row r="288" spans="1:12" s="340" customFormat="1" ht="15.5" hidden="1">
      <c r="A288" s="368"/>
      <c r="B288" s="422" t="s">
        <v>243</v>
      </c>
      <c r="C288" s="368"/>
      <c r="D288" s="421"/>
      <c r="E288" s="408"/>
      <c r="F288" s="417"/>
      <c r="G288" s="404"/>
      <c r="H288" s="417"/>
      <c r="I288" s="404"/>
      <c r="J288" s="404"/>
      <c r="K288" s="1181"/>
      <c r="L288" s="1181"/>
    </row>
    <row r="289" spans="1:12" s="340" customFormat="1" ht="15.5" hidden="1">
      <c r="A289" s="406" t="s">
        <v>138</v>
      </c>
      <c r="B289" s="405" t="s">
        <v>839</v>
      </c>
      <c r="C289" s="354"/>
      <c r="D289" s="368"/>
      <c r="E289" s="408"/>
      <c r="F289" s="369"/>
      <c r="G289" s="404"/>
      <c r="H289" s="369"/>
      <c r="I289" s="404"/>
      <c r="J289" s="404"/>
      <c r="K289" s="1181"/>
      <c r="L289" s="1181"/>
    </row>
    <row r="290" spans="1:12" s="340" customFormat="1" ht="170.5" hidden="1">
      <c r="A290" s="368">
        <f>A280+1</f>
        <v>33</v>
      </c>
      <c r="B290" s="358" t="s">
        <v>1635</v>
      </c>
      <c r="C290" s="354"/>
      <c r="D290" s="368"/>
      <c r="E290" s="408"/>
      <c r="F290" s="369"/>
      <c r="G290" s="404"/>
      <c r="H290" s="369"/>
      <c r="I290" s="404"/>
      <c r="J290" s="404"/>
      <c r="K290" s="1181"/>
      <c r="L290" s="1181"/>
    </row>
    <row r="291" spans="1:12" s="340" customFormat="1" ht="77.5" hidden="1">
      <c r="A291" s="368"/>
      <c r="B291" s="358" t="s">
        <v>1636</v>
      </c>
      <c r="C291" s="354"/>
      <c r="D291" s="368"/>
      <c r="E291" s="408"/>
      <c r="F291" s="369"/>
      <c r="G291" s="404"/>
      <c r="H291" s="369"/>
      <c r="I291" s="404"/>
      <c r="J291" s="404"/>
      <c r="K291" s="1181"/>
      <c r="L291" s="1181"/>
    </row>
    <row r="292" spans="1:12" s="340" customFormat="1" ht="15.5" hidden="1">
      <c r="A292" s="368"/>
      <c r="B292" s="409"/>
      <c r="C292" s="354"/>
      <c r="D292" s="368"/>
      <c r="E292" s="408"/>
      <c r="F292" s="369"/>
      <c r="G292" s="404"/>
      <c r="H292" s="369"/>
      <c r="I292" s="404"/>
      <c r="J292" s="404"/>
      <c r="K292" s="1181"/>
      <c r="L292" s="1181"/>
    </row>
    <row r="293" spans="1:12" s="340" customFormat="1" ht="15.5" hidden="1">
      <c r="A293" s="368"/>
      <c r="B293" s="409" t="s">
        <v>1637</v>
      </c>
      <c r="C293" s="354" t="s">
        <v>1517</v>
      </c>
      <c r="D293" s="419">
        <v>175</v>
      </c>
      <c r="E293" s="408">
        <v>319.75</v>
      </c>
      <c r="F293" s="413"/>
      <c r="G293" s="404"/>
      <c r="H293" s="413"/>
      <c r="I293" s="404"/>
      <c r="J293" s="404"/>
      <c r="K293" s="1181"/>
      <c r="L293" s="1181"/>
    </row>
    <row r="294" spans="1:12" s="340" customFormat="1" ht="15.5" hidden="1">
      <c r="A294" s="368"/>
      <c r="B294" s="409" t="s">
        <v>1638</v>
      </c>
      <c r="C294" s="354" t="s">
        <v>1517</v>
      </c>
      <c r="D294" s="419">
        <v>70.150000000000006</v>
      </c>
      <c r="E294" s="408">
        <v>213</v>
      </c>
      <c r="F294" s="413"/>
      <c r="G294" s="404"/>
      <c r="H294" s="413"/>
      <c r="I294" s="404"/>
      <c r="J294" s="404"/>
      <c r="K294" s="1181"/>
      <c r="L294" s="1181"/>
    </row>
    <row r="295" spans="1:12" s="340" customFormat="1" ht="15.5" hidden="1">
      <c r="A295" s="368"/>
      <c r="B295" s="409" t="s">
        <v>1627</v>
      </c>
      <c r="C295" s="354" t="s">
        <v>1517</v>
      </c>
      <c r="D295" s="419">
        <v>5</v>
      </c>
      <c r="E295" s="408">
        <v>186.04666666666699</v>
      </c>
      <c r="F295" s="413"/>
      <c r="G295" s="404"/>
      <c r="H295" s="413"/>
      <c r="I295" s="404"/>
      <c r="J295" s="404"/>
      <c r="K295" s="1181"/>
      <c r="L295" s="1181"/>
    </row>
    <row r="296" spans="1:12" s="340" customFormat="1" ht="15.5" hidden="1">
      <c r="A296" s="368"/>
      <c r="B296" s="409" t="s">
        <v>1625</v>
      </c>
      <c r="C296" s="354" t="s">
        <v>1517</v>
      </c>
      <c r="D296" s="419">
        <v>110</v>
      </c>
      <c r="E296" s="408">
        <v>275.72666666666697</v>
      </c>
      <c r="F296" s="413"/>
      <c r="G296" s="404"/>
      <c r="H296" s="413"/>
      <c r="I296" s="404"/>
      <c r="J296" s="404"/>
      <c r="K296" s="1181"/>
      <c r="L296" s="1181"/>
    </row>
    <row r="297" spans="1:12" s="340" customFormat="1" ht="15.5" hidden="1">
      <c r="A297" s="368"/>
      <c r="B297" s="409"/>
      <c r="C297" s="354"/>
      <c r="D297" s="368"/>
      <c r="E297" s="408"/>
      <c r="F297" s="369"/>
      <c r="G297" s="404"/>
      <c r="H297" s="369"/>
      <c r="I297" s="404"/>
      <c r="J297" s="404"/>
      <c r="K297" s="1181"/>
      <c r="L297" s="1181"/>
    </row>
    <row r="298" spans="1:12" s="340" customFormat="1" ht="155" hidden="1">
      <c r="A298" s="368">
        <f>A290+1</f>
        <v>34</v>
      </c>
      <c r="B298" s="423" t="s">
        <v>1639</v>
      </c>
      <c r="C298" s="354"/>
      <c r="D298" s="368"/>
      <c r="E298" s="408"/>
      <c r="F298" s="369"/>
      <c r="G298" s="404"/>
      <c r="H298" s="369"/>
      <c r="I298" s="404"/>
      <c r="J298" s="404"/>
      <c r="K298" s="1181"/>
      <c r="L298" s="1181"/>
    </row>
    <row r="299" spans="1:12" s="340" customFormat="1" ht="15.5" hidden="1">
      <c r="A299" s="368"/>
      <c r="B299" s="409"/>
      <c r="C299" s="354"/>
      <c r="D299" s="368"/>
      <c r="E299" s="408"/>
      <c r="F299" s="369"/>
      <c r="G299" s="404"/>
      <c r="H299" s="369"/>
      <c r="I299" s="404"/>
      <c r="J299" s="404"/>
      <c r="K299" s="1181"/>
      <c r="L299" s="1181"/>
    </row>
    <row r="300" spans="1:12" s="340" customFormat="1" ht="15.5" hidden="1">
      <c r="A300" s="368"/>
      <c r="B300" s="423" t="s">
        <v>1640</v>
      </c>
      <c r="C300" s="354" t="s">
        <v>1517</v>
      </c>
      <c r="D300" s="419">
        <v>75</v>
      </c>
      <c r="E300" s="408">
        <v>119.95</v>
      </c>
      <c r="F300" s="413"/>
      <c r="G300" s="404"/>
      <c r="H300" s="413"/>
      <c r="I300" s="404"/>
      <c r="J300" s="404"/>
      <c r="K300" s="1181"/>
      <c r="L300" s="1181"/>
    </row>
    <row r="301" spans="1:12" s="340" customFormat="1" ht="15.5" hidden="1">
      <c r="A301" s="368"/>
      <c r="B301" s="409"/>
      <c r="C301" s="354"/>
      <c r="D301" s="368"/>
      <c r="E301" s="408"/>
      <c r="F301" s="369"/>
      <c r="G301" s="404"/>
      <c r="H301" s="369"/>
      <c r="I301" s="404"/>
      <c r="J301" s="404"/>
      <c r="K301" s="1181"/>
      <c r="L301" s="1181"/>
    </row>
    <row r="302" spans="1:12" s="340" customFormat="1" ht="93" hidden="1">
      <c r="A302" s="368">
        <f>A298+1</f>
        <v>35</v>
      </c>
      <c r="B302" s="358" t="s">
        <v>1641</v>
      </c>
      <c r="C302" s="354"/>
      <c r="D302" s="368"/>
      <c r="E302" s="408"/>
      <c r="F302" s="369"/>
      <c r="G302" s="404"/>
      <c r="H302" s="369"/>
      <c r="I302" s="404"/>
      <c r="J302" s="404"/>
      <c r="K302" s="1181"/>
      <c r="L302" s="1181"/>
    </row>
    <row r="303" spans="1:12" s="340" customFormat="1" ht="15.5" hidden="1">
      <c r="A303" s="368"/>
      <c r="B303" s="420"/>
      <c r="C303" s="354"/>
      <c r="D303" s="368"/>
      <c r="E303" s="408"/>
      <c r="F303" s="369"/>
      <c r="G303" s="404"/>
      <c r="H303" s="369"/>
      <c r="I303" s="404"/>
      <c r="J303" s="404"/>
      <c r="K303" s="1181"/>
      <c r="L303" s="1181"/>
    </row>
    <row r="304" spans="1:12" s="340" customFormat="1" ht="15.5" hidden="1">
      <c r="A304" s="368"/>
      <c r="B304" s="409" t="s">
        <v>1642</v>
      </c>
      <c r="C304" s="354" t="s">
        <v>870</v>
      </c>
      <c r="D304" s="368">
        <v>25</v>
      </c>
      <c r="E304" s="408">
        <v>750.71600000000001</v>
      </c>
      <c r="F304" s="413"/>
      <c r="G304" s="404"/>
      <c r="H304" s="413"/>
      <c r="I304" s="404"/>
      <c r="J304" s="404"/>
      <c r="K304" s="1181"/>
      <c r="L304" s="1181"/>
    </row>
    <row r="305" spans="1:12" s="340" customFormat="1" ht="15.5" hidden="1">
      <c r="A305" s="368"/>
      <c r="B305" s="357"/>
      <c r="C305" s="357"/>
      <c r="D305" s="357"/>
      <c r="E305" s="408"/>
      <c r="F305" s="369"/>
      <c r="G305" s="404"/>
      <c r="H305" s="369"/>
      <c r="I305" s="404"/>
      <c r="J305" s="404"/>
      <c r="K305" s="1181"/>
      <c r="L305" s="1181"/>
    </row>
    <row r="306" spans="1:12" s="340" customFormat="1" ht="93" hidden="1">
      <c r="A306" s="368">
        <f>A302+1</f>
        <v>36</v>
      </c>
      <c r="B306" s="358" t="s">
        <v>1643</v>
      </c>
      <c r="C306" s="354"/>
      <c r="D306" s="368"/>
      <c r="E306" s="408"/>
      <c r="F306" s="369"/>
      <c r="G306" s="404"/>
      <c r="H306" s="369"/>
      <c r="I306" s="404"/>
      <c r="J306" s="404"/>
      <c r="K306" s="1181"/>
      <c r="L306" s="1181"/>
    </row>
    <row r="307" spans="1:12" s="340" customFormat="1" ht="15.5" hidden="1">
      <c r="A307" s="368"/>
      <c r="B307" s="409"/>
      <c r="C307" s="354"/>
      <c r="D307" s="368"/>
      <c r="E307" s="408"/>
      <c r="F307" s="369"/>
      <c r="G307" s="404"/>
      <c r="H307" s="369"/>
      <c r="I307" s="404"/>
      <c r="J307" s="404"/>
      <c r="K307" s="1181"/>
      <c r="L307" s="1181"/>
    </row>
    <row r="308" spans="1:12" s="340" customFormat="1" ht="15.5" hidden="1">
      <c r="A308" s="368"/>
      <c r="B308" s="409" t="s">
        <v>1644</v>
      </c>
      <c r="C308" s="354" t="s">
        <v>870</v>
      </c>
      <c r="D308" s="368">
        <v>3</v>
      </c>
      <c r="E308" s="408">
        <v>750.71600000000001</v>
      </c>
      <c r="F308" s="413"/>
      <c r="G308" s="404"/>
      <c r="H308" s="413"/>
      <c r="I308" s="404"/>
      <c r="J308" s="404"/>
      <c r="K308" s="1181"/>
      <c r="L308" s="1181"/>
    </row>
    <row r="309" spans="1:12" s="340" customFormat="1" ht="15.5" hidden="1">
      <c r="A309" s="368"/>
      <c r="B309" s="409"/>
      <c r="C309" s="354"/>
      <c r="D309" s="368"/>
      <c r="E309" s="408"/>
      <c r="F309" s="369"/>
      <c r="G309" s="404"/>
      <c r="H309" s="369"/>
      <c r="I309" s="404"/>
      <c r="J309" s="404"/>
      <c r="K309" s="1181"/>
      <c r="L309" s="1181"/>
    </row>
    <row r="310" spans="1:12" s="340" customFormat="1" ht="77.5" hidden="1">
      <c r="A310" s="368">
        <f>A306+1</f>
        <v>37</v>
      </c>
      <c r="B310" s="358" t="s">
        <v>1645</v>
      </c>
      <c r="C310" s="354" t="s">
        <v>870</v>
      </c>
      <c r="D310" s="368">
        <v>12</v>
      </c>
      <c r="E310" s="408">
        <v>344.56</v>
      </c>
      <c r="F310" s="413"/>
      <c r="G310" s="404"/>
      <c r="H310" s="413"/>
      <c r="I310" s="404"/>
      <c r="J310" s="404"/>
      <c r="K310" s="1181"/>
      <c r="L310" s="1181"/>
    </row>
    <row r="311" spans="1:12" s="340" customFormat="1" ht="15.5" hidden="1">
      <c r="A311" s="368"/>
      <c r="B311" s="358"/>
      <c r="C311" s="354"/>
      <c r="D311" s="368"/>
      <c r="E311" s="408"/>
      <c r="F311" s="369"/>
      <c r="G311" s="404"/>
      <c r="H311" s="369"/>
      <c r="I311" s="404"/>
      <c r="J311" s="404"/>
      <c r="K311" s="1181"/>
      <c r="L311" s="1181"/>
    </row>
    <row r="312" spans="1:12" s="340" customFormat="1" ht="31" hidden="1">
      <c r="A312" s="368">
        <f>A310+1</f>
        <v>38</v>
      </c>
      <c r="B312" s="358" t="s">
        <v>1646</v>
      </c>
      <c r="C312" s="354" t="s">
        <v>870</v>
      </c>
      <c r="D312" s="368">
        <v>3</v>
      </c>
      <c r="E312" s="408">
        <v>251.10400000000001</v>
      </c>
      <c r="F312" s="413"/>
      <c r="G312" s="404"/>
      <c r="H312" s="413"/>
      <c r="I312" s="404"/>
      <c r="J312" s="404"/>
      <c r="K312" s="1181"/>
      <c r="L312" s="1181"/>
    </row>
    <row r="313" spans="1:12" s="340" customFormat="1" ht="15.5" hidden="1">
      <c r="A313" s="368"/>
      <c r="B313" s="358"/>
      <c r="C313" s="354"/>
      <c r="D313" s="368"/>
      <c r="E313" s="408"/>
      <c r="F313" s="369"/>
      <c r="G313" s="404"/>
      <c r="H313" s="369"/>
      <c r="I313" s="404"/>
      <c r="J313" s="404"/>
      <c r="K313" s="1181"/>
      <c r="L313" s="1181"/>
    </row>
    <row r="314" spans="1:12" s="340" customFormat="1" ht="143.25" hidden="1" customHeight="1">
      <c r="A314" s="368">
        <f>A312+1</f>
        <v>39</v>
      </c>
      <c r="B314" s="358" t="s">
        <v>1647</v>
      </c>
      <c r="C314" s="354" t="s">
        <v>870</v>
      </c>
      <c r="D314" s="368">
        <v>4</v>
      </c>
      <c r="E314" s="408">
        <v>266.60000000000002</v>
      </c>
      <c r="F314" s="413"/>
      <c r="G314" s="404"/>
      <c r="H314" s="413"/>
      <c r="I314" s="404"/>
      <c r="J314" s="404"/>
      <c r="K314" s="1181"/>
      <c r="L314" s="1181"/>
    </row>
    <row r="315" spans="1:12" s="340" customFormat="1" ht="15.5" hidden="1">
      <c r="A315" s="368"/>
      <c r="B315" s="358"/>
      <c r="C315" s="354"/>
      <c r="D315" s="368"/>
      <c r="E315" s="408"/>
      <c r="F315" s="369"/>
      <c r="G315" s="404"/>
      <c r="H315" s="369"/>
      <c r="I315" s="404"/>
      <c r="J315" s="404"/>
      <c r="K315" s="1181"/>
      <c r="L315" s="1181"/>
    </row>
    <row r="316" spans="1:12" s="340" customFormat="1" ht="15.5" hidden="1">
      <c r="A316" s="368"/>
      <c r="B316" s="422" t="s">
        <v>243</v>
      </c>
      <c r="C316" s="354"/>
      <c r="D316" s="368"/>
      <c r="E316" s="417"/>
      <c r="F316" s="417"/>
      <c r="G316" s="404"/>
      <c r="H316" s="417"/>
      <c r="I316" s="404"/>
      <c r="J316" s="404"/>
      <c r="K316" s="1181"/>
      <c r="L316" s="1181"/>
    </row>
    <row r="317" spans="1:12" s="340" customFormat="1" ht="15.5" hidden="1">
      <c r="A317" s="368"/>
      <c r="B317" s="409"/>
      <c r="C317" s="354"/>
      <c r="D317" s="368"/>
      <c r="E317" s="408"/>
      <c r="F317" s="369"/>
      <c r="G317" s="404"/>
      <c r="H317" s="369"/>
      <c r="I317" s="404"/>
      <c r="J317" s="404"/>
      <c r="K317" s="1181"/>
      <c r="L317" s="1181"/>
    </row>
    <row r="318" spans="1:12" s="340" customFormat="1" ht="15.5" hidden="1">
      <c r="A318" s="406" t="s">
        <v>23</v>
      </c>
      <c r="B318" s="405" t="s">
        <v>840</v>
      </c>
      <c r="C318" s="354"/>
      <c r="D318" s="368"/>
      <c r="E318" s="408"/>
      <c r="F318" s="369"/>
      <c r="G318" s="404"/>
      <c r="H318" s="369"/>
      <c r="I318" s="404"/>
      <c r="J318" s="404"/>
      <c r="K318" s="1181"/>
      <c r="L318" s="1181"/>
    </row>
    <row r="319" spans="1:12" s="340" customFormat="1" ht="170.5" hidden="1">
      <c r="A319" s="368">
        <f>A314+1</f>
        <v>40</v>
      </c>
      <c r="B319" s="358" t="s">
        <v>1648</v>
      </c>
      <c r="C319" s="354"/>
      <c r="D319" s="368"/>
      <c r="E319" s="424"/>
      <c r="F319" s="368"/>
      <c r="G319" s="404"/>
      <c r="H319" s="368"/>
      <c r="I319" s="404"/>
      <c r="J319" s="404"/>
      <c r="K319" s="1181"/>
      <c r="L319" s="1181"/>
    </row>
    <row r="320" spans="1:12" s="340" customFormat="1" ht="124" hidden="1">
      <c r="A320" s="368"/>
      <c r="B320" s="358" t="s">
        <v>1649</v>
      </c>
      <c r="C320" s="354"/>
      <c r="D320" s="368"/>
      <c r="E320" s="424"/>
      <c r="F320" s="368"/>
      <c r="G320" s="404"/>
      <c r="H320" s="368"/>
      <c r="I320" s="404"/>
      <c r="J320" s="404"/>
      <c r="K320" s="1181"/>
      <c r="L320" s="1181"/>
    </row>
    <row r="321" spans="1:12" s="340" customFormat="1" ht="15.5" hidden="1">
      <c r="A321" s="368"/>
      <c r="B321" s="409"/>
      <c r="C321" s="354"/>
      <c r="D321" s="368"/>
      <c r="E321" s="424"/>
      <c r="F321" s="368"/>
      <c r="G321" s="404"/>
      <c r="H321" s="368"/>
      <c r="I321" s="404"/>
      <c r="J321" s="404"/>
      <c r="K321" s="1181"/>
      <c r="L321" s="1181"/>
    </row>
    <row r="322" spans="1:12" s="340" customFormat="1" ht="15.5" hidden="1">
      <c r="A322" s="368"/>
      <c r="B322" s="358" t="s">
        <v>1650</v>
      </c>
      <c r="C322" s="368"/>
      <c r="D322" s="368"/>
      <c r="E322" s="424"/>
      <c r="F322" s="368"/>
      <c r="G322" s="404"/>
      <c r="H322" s="368"/>
      <c r="I322" s="404"/>
      <c r="J322" s="404"/>
      <c r="K322" s="1181"/>
      <c r="L322" s="1181"/>
    </row>
    <row r="323" spans="1:12" s="340" customFormat="1" ht="15.5" hidden="1">
      <c r="A323" s="368"/>
      <c r="B323" s="409" t="s">
        <v>1651</v>
      </c>
      <c r="C323" s="368"/>
      <c r="D323" s="368"/>
      <c r="E323" s="424"/>
      <c r="F323" s="368"/>
      <c r="G323" s="404"/>
      <c r="H323" s="368"/>
      <c r="I323" s="404"/>
      <c r="J323" s="404"/>
      <c r="K323" s="1181"/>
      <c r="L323" s="1181"/>
    </row>
    <row r="324" spans="1:12" s="340" customFormat="1" ht="15.5" hidden="1">
      <c r="A324" s="368"/>
      <c r="B324" s="409" t="s">
        <v>1623</v>
      </c>
      <c r="C324" s="368" t="s">
        <v>1517</v>
      </c>
      <c r="D324" s="419">
        <f>215+2</f>
        <v>217</v>
      </c>
      <c r="E324" s="424">
        <v>565.20000000000005</v>
      </c>
      <c r="F324" s="413"/>
      <c r="G324" s="404"/>
      <c r="H324" s="413"/>
      <c r="I324" s="404"/>
      <c r="J324" s="404"/>
      <c r="K324" s="1181"/>
      <c r="L324" s="1181"/>
    </row>
    <row r="325" spans="1:12" s="340" customFormat="1" ht="15.5" hidden="1">
      <c r="A325" s="368"/>
      <c r="B325" s="409" t="s">
        <v>1624</v>
      </c>
      <c r="C325" s="368" t="s">
        <v>1517</v>
      </c>
      <c r="D325" s="419" t="s">
        <v>864</v>
      </c>
      <c r="E325" s="424">
        <v>632.4</v>
      </c>
      <c r="F325" s="413"/>
      <c r="G325" s="404"/>
      <c r="H325" s="413"/>
      <c r="I325" s="404"/>
      <c r="J325" s="404"/>
      <c r="K325" s="1181"/>
      <c r="L325" s="1181"/>
    </row>
    <row r="326" spans="1:12" s="340" customFormat="1" ht="15.5" hidden="1">
      <c r="A326" s="368"/>
      <c r="B326" s="409" t="s">
        <v>1625</v>
      </c>
      <c r="C326" s="368" t="s">
        <v>1517</v>
      </c>
      <c r="D326" s="419">
        <v>75</v>
      </c>
      <c r="E326" s="424">
        <v>781.2</v>
      </c>
      <c r="F326" s="413"/>
      <c r="G326" s="404"/>
      <c r="H326" s="413"/>
      <c r="I326" s="404"/>
      <c r="J326" s="404"/>
      <c r="K326" s="1181"/>
      <c r="L326" s="1181"/>
    </row>
    <row r="327" spans="1:12" s="340" customFormat="1" ht="15.5" hidden="1">
      <c r="A327" s="368"/>
      <c r="B327" s="409" t="s">
        <v>1627</v>
      </c>
      <c r="C327" s="368" t="s">
        <v>1517</v>
      </c>
      <c r="D327" s="419">
        <v>65.032499999999999</v>
      </c>
      <c r="E327" s="424">
        <v>944.4</v>
      </c>
      <c r="F327" s="413"/>
      <c r="G327" s="404"/>
      <c r="H327" s="413"/>
      <c r="I327" s="404"/>
      <c r="J327" s="404"/>
      <c r="K327" s="1181"/>
      <c r="L327" s="1181"/>
    </row>
    <row r="328" spans="1:12" s="340" customFormat="1" ht="15.5" hidden="1">
      <c r="A328" s="368"/>
      <c r="B328" s="409" t="s">
        <v>1628</v>
      </c>
      <c r="C328" s="368" t="s">
        <v>1517</v>
      </c>
      <c r="D328" s="419">
        <v>30</v>
      </c>
      <c r="E328" s="424">
        <v>1204.8</v>
      </c>
      <c r="F328" s="413"/>
      <c r="G328" s="404"/>
      <c r="H328" s="413"/>
      <c r="I328" s="404"/>
      <c r="J328" s="404"/>
      <c r="K328" s="1181"/>
      <c r="L328" s="1181"/>
    </row>
    <row r="329" spans="1:12" s="340" customFormat="1" ht="15.5" hidden="1">
      <c r="A329" s="368"/>
      <c r="B329" s="409" t="s">
        <v>1652</v>
      </c>
      <c r="C329" s="368" t="s">
        <v>1517</v>
      </c>
      <c r="D329" s="419">
        <v>35.305</v>
      </c>
      <c r="E329" s="424">
        <v>1346.4</v>
      </c>
      <c r="F329" s="413"/>
      <c r="G329" s="404"/>
      <c r="H329" s="413"/>
      <c r="I329" s="404"/>
      <c r="J329" s="404"/>
      <c r="K329" s="1181"/>
      <c r="L329" s="1181"/>
    </row>
    <row r="330" spans="1:12" s="340" customFormat="1" ht="15.5" hidden="1">
      <c r="A330" s="368"/>
      <c r="B330" s="409" t="s">
        <v>1653</v>
      </c>
      <c r="C330" s="368" t="s">
        <v>1517</v>
      </c>
      <c r="D330" s="419">
        <v>20</v>
      </c>
      <c r="E330" s="425">
        <v>1798.8</v>
      </c>
      <c r="F330" s="413"/>
      <c r="G330" s="404"/>
      <c r="H330" s="413"/>
      <c r="I330" s="404"/>
      <c r="J330" s="404"/>
      <c r="K330" s="1181"/>
      <c r="L330" s="1181"/>
    </row>
    <row r="331" spans="1:12" s="340" customFormat="1" ht="15.5" hidden="1">
      <c r="A331" s="368"/>
      <c r="B331" s="409" t="s">
        <v>1654</v>
      </c>
      <c r="C331" s="368" t="s">
        <v>1517</v>
      </c>
      <c r="D331" s="419">
        <f>50+40+3</f>
        <v>93</v>
      </c>
      <c r="E331" s="425">
        <v>2476.8000000000002</v>
      </c>
      <c r="F331" s="413"/>
      <c r="G331" s="404"/>
      <c r="H331" s="413"/>
      <c r="I331" s="404"/>
      <c r="J331" s="404"/>
      <c r="K331" s="1181"/>
      <c r="L331" s="1181"/>
    </row>
    <row r="332" spans="1:12" s="340" customFormat="1" ht="15.5" hidden="1">
      <c r="A332" s="368"/>
      <c r="B332" s="409"/>
      <c r="C332" s="368"/>
      <c r="D332" s="368"/>
      <c r="E332" s="425"/>
      <c r="F332" s="420"/>
      <c r="G332" s="404"/>
      <c r="H332" s="420"/>
      <c r="I332" s="404"/>
      <c r="J332" s="404"/>
      <c r="K332" s="1181"/>
      <c r="L332" s="1181"/>
    </row>
    <row r="333" spans="1:12" s="340" customFormat="1" ht="46.5" hidden="1">
      <c r="A333" s="368">
        <f>A319+1</f>
        <v>41</v>
      </c>
      <c r="B333" s="358" t="s">
        <v>1655</v>
      </c>
      <c r="C333" s="368"/>
      <c r="D333" s="420"/>
      <c r="E333" s="425"/>
      <c r="F333" s="420"/>
      <c r="G333" s="404"/>
      <c r="H333" s="420"/>
      <c r="I333" s="404"/>
      <c r="J333" s="404"/>
      <c r="K333" s="1181"/>
      <c r="L333" s="1181"/>
    </row>
    <row r="334" spans="1:12" s="340" customFormat="1" ht="62" hidden="1">
      <c r="A334" s="368"/>
      <c r="B334" s="426" t="s">
        <v>1656</v>
      </c>
      <c r="C334" s="368"/>
      <c r="D334" s="420"/>
      <c r="E334" s="425"/>
      <c r="F334" s="420"/>
      <c r="G334" s="404"/>
      <c r="H334" s="420"/>
      <c r="I334" s="404"/>
      <c r="J334" s="404"/>
      <c r="K334" s="1181"/>
      <c r="L334" s="1181"/>
    </row>
    <row r="335" spans="1:12" s="340" customFormat="1" ht="15.5" hidden="1">
      <c r="A335" s="368"/>
      <c r="B335" s="409"/>
      <c r="C335" s="368"/>
      <c r="D335" s="420"/>
      <c r="E335" s="425"/>
      <c r="F335" s="420"/>
      <c r="G335" s="404"/>
      <c r="H335" s="420"/>
      <c r="I335" s="404"/>
      <c r="J335" s="404"/>
      <c r="K335" s="1181"/>
      <c r="L335" s="1181"/>
    </row>
    <row r="336" spans="1:12" s="340" customFormat="1" ht="15.5" hidden="1">
      <c r="A336" s="368"/>
      <c r="B336" s="358" t="s">
        <v>1657</v>
      </c>
      <c r="C336" s="368" t="s">
        <v>870</v>
      </c>
      <c r="D336" s="368">
        <v>150</v>
      </c>
      <c r="E336" s="425">
        <v>580.79999999999995</v>
      </c>
      <c r="F336" s="413"/>
      <c r="G336" s="404"/>
      <c r="H336" s="413"/>
      <c r="I336" s="404"/>
      <c r="J336" s="404"/>
      <c r="K336" s="1181"/>
      <c r="L336" s="1181"/>
    </row>
    <row r="337" spans="1:12" s="340" customFormat="1" ht="15.5" hidden="1">
      <c r="A337" s="368"/>
      <c r="B337" s="409"/>
      <c r="C337" s="368"/>
      <c r="D337" s="368"/>
      <c r="E337" s="425"/>
      <c r="F337" s="420"/>
      <c r="G337" s="404"/>
      <c r="H337" s="420"/>
      <c r="I337" s="404"/>
      <c r="J337" s="404"/>
      <c r="K337" s="1181"/>
      <c r="L337" s="1181"/>
    </row>
    <row r="338" spans="1:12" s="340" customFormat="1" ht="15.5" hidden="1">
      <c r="A338" s="368"/>
      <c r="B338" s="358" t="s">
        <v>1658</v>
      </c>
      <c r="C338" s="368" t="s">
        <v>870</v>
      </c>
      <c r="D338" s="368">
        <v>150</v>
      </c>
      <c r="E338" s="425">
        <v>580.79999999999995</v>
      </c>
      <c r="F338" s="413"/>
      <c r="G338" s="404"/>
      <c r="H338" s="413"/>
      <c r="I338" s="404"/>
      <c r="J338" s="404"/>
      <c r="K338" s="1181"/>
      <c r="L338" s="1181"/>
    </row>
    <row r="339" spans="1:12" s="340" customFormat="1" ht="15.5" hidden="1">
      <c r="A339" s="368"/>
      <c r="B339" s="358"/>
      <c r="C339" s="368"/>
      <c r="D339" s="368"/>
      <c r="E339" s="425"/>
      <c r="F339" s="413"/>
      <c r="G339" s="404"/>
      <c r="H339" s="413"/>
      <c r="I339" s="404"/>
      <c r="J339" s="404"/>
      <c r="K339" s="1181"/>
      <c r="L339" s="1181"/>
    </row>
    <row r="340" spans="1:12" s="340" customFormat="1" ht="15.5" hidden="1">
      <c r="A340" s="368"/>
      <c r="B340" s="358" t="s">
        <v>1659</v>
      </c>
      <c r="C340" s="368" t="s">
        <v>870</v>
      </c>
      <c r="D340" s="368">
        <v>4</v>
      </c>
      <c r="E340" s="425">
        <v>752.7</v>
      </c>
      <c r="F340" s="413"/>
      <c r="G340" s="404"/>
      <c r="H340" s="413"/>
      <c r="I340" s="404"/>
      <c r="J340" s="404"/>
      <c r="K340" s="1181"/>
      <c r="L340" s="1181"/>
    </row>
    <row r="341" spans="1:12" s="340" customFormat="1" ht="15.5" hidden="1">
      <c r="A341" s="368"/>
      <c r="B341" s="409"/>
      <c r="C341" s="368"/>
      <c r="D341" s="420"/>
      <c r="E341" s="425"/>
      <c r="F341" s="420"/>
      <c r="G341" s="404"/>
      <c r="H341" s="420"/>
      <c r="I341" s="404"/>
      <c r="J341" s="404"/>
      <c r="K341" s="1181"/>
      <c r="L341" s="1181"/>
    </row>
    <row r="342" spans="1:12" s="340" customFormat="1" ht="93" hidden="1">
      <c r="A342" s="368">
        <f>A333+1</f>
        <v>42</v>
      </c>
      <c r="B342" s="358" t="s">
        <v>1660</v>
      </c>
      <c r="C342" s="368"/>
      <c r="D342" s="420"/>
      <c r="E342" s="425"/>
      <c r="F342" s="420"/>
      <c r="G342" s="404"/>
      <c r="H342" s="420"/>
      <c r="I342" s="404"/>
      <c r="J342" s="404"/>
      <c r="K342" s="1181"/>
      <c r="L342" s="1181"/>
    </row>
    <row r="343" spans="1:12" s="340" customFormat="1" ht="15.5" hidden="1">
      <c r="A343" s="368"/>
      <c r="B343" s="358"/>
      <c r="C343" s="368"/>
      <c r="D343" s="420"/>
      <c r="E343" s="425"/>
      <c r="F343" s="420"/>
      <c r="G343" s="404"/>
      <c r="H343" s="420"/>
      <c r="I343" s="404"/>
      <c r="J343" s="404"/>
      <c r="K343" s="1181"/>
      <c r="L343" s="1181"/>
    </row>
    <row r="344" spans="1:12" s="340" customFormat="1" ht="15.5" hidden="1">
      <c r="A344" s="368"/>
      <c r="B344" s="358" t="s">
        <v>1661</v>
      </c>
      <c r="C344" s="368" t="s">
        <v>870</v>
      </c>
      <c r="D344" s="368">
        <v>150</v>
      </c>
      <c r="E344" s="425">
        <v>2002</v>
      </c>
      <c r="F344" s="413"/>
      <c r="G344" s="404"/>
      <c r="H344" s="413"/>
      <c r="I344" s="404"/>
      <c r="J344" s="404"/>
      <c r="K344" s="1181"/>
      <c r="L344" s="1181"/>
    </row>
    <row r="345" spans="1:12" s="340" customFormat="1" ht="15.5" hidden="1">
      <c r="A345" s="368"/>
      <c r="B345" s="409"/>
      <c r="C345" s="368"/>
      <c r="D345" s="420"/>
      <c r="E345" s="425"/>
      <c r="F345" s="420"/>
      <c r="G345" s="404"/>
      <c r="H345" s="420"/>
      <c r="I345" s="404"/>
      <c r="J345" s="404"/>
      <c r="K345" s="1181"/>
      <c r="L345" s="1181"/>
    </row>
    <row r="346" spans="1:12" s="340" customFormat="1" ht="62" hidden="1">
      <c r="A346" s="368">
        <f>A342+1</f>
        <v>43</v>
      </c>
      <c r="B346" s="358" t="s">
        <v>1662</v>
      </c>
      <c r="C346" s="368"/>
      <c r="D346" s="420"/>
      <c r="E346" s="425"/>
      <c r="F346" s="420"/>
      <c r="G346" s="404"/>
      <c r="H346" s="420"/>
      <c r="I346" s="404"/>
      <c r="J346" s="404"/>
      <c r="K346" s="1181"/>
      <c r="L346" s="1181"/>
    </row>
    <row r="347" spans="1:12" s="340" customFormat="1" ht="15.5" hidden="1">
      <c r="A347" s="368"/>
      <c r="B347" s="409"/>
      <c r="C347" s="368"/>
      <c r="D347" s="420"/>
      <c r="E347" s="425"/>
      <c r="F347" s="420"/>
      <c r="G347" s="404"/>
      <c r="H347" s="420"/>
      <c r="I347" s="404"/>
      <c r="J347" s="404"/>
      <c r="K347" s="1181"/>
      <c r="L347" s="1181"/>
    </row>
    <row r="348" spans="1:12" s="340" customFormat="1" ht="15.5" hidden="1">
      <c r="A348" s="368"/>
      <c r="B348" s="409" t="s">
        <v>1663</v>
      </c>
      <c r="C348" s="368" t="s">
        <v>870</v>
      </c>
      <c r="D348" s="368">
        <v>16</v>
      </c>
      <c r="E348" s="425">
        <v>4354</v>
      </c>
      <c r="F348" s="413"/>
      <c r="G348" s="404"/>
      <c r="H348" s="413"/>
      <c r="I348" s="404"/>
      <c r="J348" s="404"/>
      <c r="K348" s="1181"/>
      <c r="L348" s="1181"/>
    </row>
    <row r="349" spans="1:12" s="340" customFormat="1" ht="15.5" hidden="1">
      <c r="A349" s="368"/>
      <c r="B349" s="409"/>
      <c r="C349" s="368"/>
      <c r="D349" s="420"/>
      <c r="E349" s="425"/>
      <c r="F349" s="420"/>
      <c r="G349" s="404"/>
      <c r="H349" s="420"/>
      <c r="I349" s="404"/>
      <c r="J349" s="404"/>
      <c r="K349" s="1181"/>
      <c r="L349" s="1181"/>
    </row>
    <row r="350" spans="1:12" s="340" customFormat="1" ht="46.5" hidden="1">
      <c r="A350" s="368">
        <f>A346+1</f>
        <v>44</v>
      </c>
      <c r="B350" s="358" t="s">
        <v>1664</v>
      </c>
      <c r="C350" s="368"/>
      <c r="D350" s="420"/>
      <c r="E350" s="425"/>
      <c r="F350" s="420"/>
      <c r="G350" s="404"/>
      <c r="H350" s="420"/>
      <c r="I350" s="404"/>
      <c r="J350" s="404"/>
      <c r="K350" s="1181"/>
      <c r="L350" s="1181"/>
    </row>
    <row r="351" spans="1:12" s="340" customFormat="1" ht="15.5" hidden="1">
      <c r="A351" s="368"/>
      <c r="B351" s="409"/>
      <c r="C351" s="368"/>
      <c r="D351" s="420"/>
      <c r="E351" s="425"/>
      <c r="F351" s="420"/>
      <c r="G351" s="404"/>
      <c r="H351" s="420"/>
      <c r="I351" s="404"/>
      <c r="J351" s="404"/>
      <c r="K351" s="1181"/>
      <c r="L351" s="1181"/>
    </row>
    <row r="352" spans="1:12" s="340" customFormat="1" ht="15.5" hidden="1">
      <c r="A352" s="368"/>
      <c r="B352" s="409" t="s">
        <v>1665</v>
      </c>
      <c r="C352" s="368" t="s">
        <v>870</v>
      </c>
      <c r="D352" s="368">
        <v>16</v>
      </c>
      <c r="E352" s="425">
        <v>11545</v>
      </c>
      <c r="F352" s="413"/>
      <c r="G352" s="404"/>
      <c r="H352" s="413"/>
      <c r="I352" s="404"/>
      <c r="J352" s="404"/>
      <c r="K352" s="1181"/>
      <c r="L352" s="1181"/>
    </row>
    <row r="353" spans="1:12" s="340" customFormat="1" ht="15.5" hidden="1">
      <c r="A353" s="368"/>
      <c r="B353" s="409"/>
      <c r="C353" s="368"/>
      <c r="D353" s="420"/>
      <c r="E353" s="425"/>
      <c r="F353" s="420"/>
      <c r="G353" s="404"/>
      <c r="H353" s="420"/>
      <c r="I353" s="404"/>
      <c r="J353" s="404"/>
      <c r="K353" s="1181"/>
      <c r="L353" s="1181"/>
    </row>
    <row r="354" spans="1:12" s="340" customFormat="1" ht="46.5" hidden="1">
      <c r="A354" s="368">
        <f>A350+1</f>
        <v>45</v>
      </c>
      <c r="B354" s="358" t="s">
        <v>1666</v>
      </c>
      <c r="C354" s="420"/>
      <c r="D354" s="420"/>
      <c r="E354" s="425"/>
      <c r="F354" s="420"/>
      <c r="G354" s="404"/>
      <c r="H354" s="420"/>
      <c r="I354" s="404"/>
      <c r="J354" s="404"/>
      <c r="K354" s="1181"/>
      <c r="L354" s="1181"/>
    </row>
    <row r="355" spans="1:12" s="340" customFormat="1" ht="15.5" hidden="1">
      <c r="A355" s="368"/>
      <c r="B355" s="409"/>
      <c r="C355" s="420"/>
      <c r="D355" s="420"/>
      <c r="E355" s="425"/>
      <c r="F355" s="420"/>
      <c r="G355" s="404"/>
      <c r="H355" s="420"/>
      <c r="I355" s="404"/>
      <c r="J355" s="404"/>
      <c r="K355" s="1181"/>
      <c r="L355" s="1181"/>
    </row>
    <row r="356" spans="1:12" s="340" customFormat="1" ht="15.5" hidden="1">
      <c r="A356" s="368"/>
      <c r="B356" s="409" t="s">
        <v>1623</v>
      </c>
      <c r="C356" s="368" t="s">
        <v>1581</v>
      </c>
      <c r="D356" s="368">
        <v>1</v>
      </c>
      <c r="E356" s="425">
        <v>967</v>
      </c>
      <c r="F356" s="413"/>
      <c r="G356" s="404"/>
      <c r="H356" s="413"/>
      <c r="I356" s="404"/>
      <c r="J356" s="404"/>
      <c r="K356" s="1181"/>
      <c r="L356" s="1181"/>
    </row>
    <row r="357" spans="1:12" s="340" customFormat="1" ht="15.5" hidden="1">
      <c r="A357" s="368"/>
      <c r="B357" s="409" t="s">
        <v>1624</v>
      </c>
      <c r="C357" s="368" t="s">
        <v>1581</v>
      </c>
      <c r="D357" s="368">
        <v>1</v>
      </c>
      <c r="E357" s="408">
        <v>1482.08</v>
      </c>
      <c r="F357" s="413"/>
      <c r="G357" s="404"/>
      <c r="H357" s="413"/>
      <c r="I357" s="404"/>
      <c r="J357" s="404"/>
      <c r="K357" s="1181"/>
      <c r="L357" s="1181"/>
    </row>
    <row r="358" spans="1:12" s="340" customFormat="1" ht="15.5" hidden="1">
      <c r="A358" s="368"/>
      <c r="B358" s="409" t="s">
        <v>1625</v>
      </c>
      <c r="C358" s="368" t="s">
        <v>1581</v>
      </c>
      <c r="D358" s="368">
        <v>1</v>
      </c>
      <c r="E358" s="408">
        <v>2157.9839999999999</v>
      </c>
      <c r="F358" s="413"/>
      <c r="G358" s="404"/>
      <c r="H358" s="413"/>
      <c r="I358" s="404"/>
      <c r="J358" s="404"/>
      <c r="K358" s="1181"/>
      <c r="L358" s="1181"/>
    </row>
    <row r="359" spans="1:12" s="340" customFormat="1" ht="15.5" hidden="1">
      <c r="A359" s="368"/>
      <c r="B359" s="409"/>
      <c r="C359" s="420"/>
      <c r="D359" s="368"/>
      <c r="E359" s="425"/>
      <c r="F359" s="420"/>
      <c r="G359" s="404"/>
      <c r="H359" s="420"/>
      <c r="I359" s="404"/>
      <c r="J359" s="404"/>
      <c r="K359" s="1181"/>
      <c r="L359" s="1181"/>
    </row>
    <row r="360" spans="1:12" s="340" customFormat="1" ht="31" hidden="1">
      <c r="A360" s="368">
        <f>A354+1</f>
        <v>46</v>
      </c>
      <c r="B360" s="358" t="s">
        <v>1626</v>
      </c>
      <c r="C360" s="420"/>
      <c r="D360" s="368"/>
      <c r="E360" s="427"/>
      <c r="F360" s="357"/>
      <c r="G360" s="404"/>
      <c r="H360" s="357"/>
      <c r="I360" s="404"/>
      <c r="J360" s="404"/>
      <c r="K360" s="1181"/>
      <c r="L360" s="1181"/>
    </row>
    <row r="361" spans="1:12" s="340" customFormat="1" ht="15.5" hidden="1">
      <c r="A361" s="368"/>
      <c r="B361" s="409"/>
      <c r="C361" s="368"/>
      <c r="D361" s="368"/>
      <c r="E361" s="428"/>
      <c r="F361" s="429"/>
      <c r="G361" s="404"/>
      <c r="H361" s="429"/>
      <c r="I361" s="404"/>
      <c r="J361" s="404"/>
      <c r="K361" s="1181"/>
      <c r="L361" s="1181"/>
    </row>
    <row r="362" spans="1:12" s="340" customFormat="1" ht="15.5" hidden="1">
      <c r="A362" s="368"/>
      <c r="B362" s="409" t="s">
        <v>1654</v>
      </c>
      <c r="C362" s="368" t="s">
        <v>1581</v>
      </c>
      <c r="D362" s="368">
        <v>1</v>
      </c>
      <c r="E362" s="428">
        <v>10438.799999999999</v>
      </c>
      <c r="F362" s="413"/>
      <c r="G362" s="404"/>
      <c r="H362" s="413"/>
      <c r="I362" s="404"/>
      <c r="J362" s="404"/>
      <c r="K362" s="1181"/>
      <c r="L362" s="1181"/>
    </row>
    <row r="363" spans="1:12" s="340" customFormat="1" ht="15.5" hidden="1">
      <c r="A363" s="368"/>
      <c r="B363" s="409"/>
      <c r="C363" s="368"/>
      <c r="D363" s="368"/>
      <c r="E363" s="428"/>
      <c r="F363" s="429"/>
      <c r="G363" s="404"/>
      <c r="H363" s="429"/>
      <c r="I363" s="404"/>
      <c r="J363" s="404"/>
      <c r="K363" s="1181"/>
      <c r="L363" s="1181"/>
    </row>
    <row r="364" spans="1:12" s="340" customFormat="1" ht="31" hidden="1">
      <c r="A364" s="368">
        <f>A360+1</f>
        <v>47</v>
      </c>
      <c r="B364" s="358" t="s">
        <v>1667</v>
      </c>
      <c r="C364" s="420"/>
      <c r="D364" s="368"/>
      <c r="E364" s="427"/>
      <c r="F364" s="357"/>
      <c r="G364" s="404"/>
      <c r="H364" s="357"/>
      <c r="I364" s="404"/>
      <c r="J364" s="404"/>
      <c r="K364" s="1181"/>
      <c r="L364" s="1181"/>
    </row>
    <row r="365" spans="1:12" s="340" customFormat="1" ht="15.5" hidden="1">
      <c r="A365" s="368"/>
      <c r="B365" s="409"/>
      <c r="C365" s="368"/>
      <c r="D365" s="368"/>
      <c r="E365" s="428"/>
      <c r="F365" s="429"/>
      <c r="G365" s="404"/>
      <c r="H365" s="429"/>
      <c r="I365" s="404"/>
      <c r="J365" s="404"/>
      <c r="K365" s="1181"/>
      <c r="L365" s="1181"/>
    </row>
    <row r="366" spans="1:12" s="340" customFormat="1" ht="15.5" hidden="1">
      <c r="A366" s="368"/>
      <c r="B366" s="409" t="s">
        <v>1654</v>
      </c>
      <c r="C366" s="368" t="s">
        <v>1581</v>
      </c>
      <c r="D366" s="368">
        <v>1</v>
      </c>
      <c r="E366" s="428">
        <v>10642.8</v>
      </c>
      <c r="F366" s="413"/>
      <c r="G366" s="404"/>
      <c r="H366" s="413"/>
      <c r="I366" s="404"/>
      <c r="J366" s="404"/>
      <c r="K366" s="1181"/>
      <c r="L366" s="1181"/>
    </row>
    <row r="367" spans="1:12" s="340" customFormat="1" ht="173.25" hidden="1" customHeight="1">
      <c r="A367" s="368"/>
      <c r="B367" s="409"/>
      <c r="C367" s="368"/>
      <c r="D367" s="368"/>
      <c r="E367" s="428"/>
      <c r="F367" s="413"/>
      <c r="G367" s="404"/>
      <c r="H367" s="413"/>
      <c r="I367" s="404"/>
      <c r="J367" s="404"/>
      <c r="K367" s="1181"/>
      <c r="L367" s="1181"/>
    </row>
    <row r="368" spans="1:12" s="340" customFormat="1" ht="93" hidden="1">
      <c r="A368" s="368">
        <f>A364+1</f>
        <v>48</v>
      </c>
      <c r="B368" s="358" t="s">
        <v>1668</v>
      </c>
      <c r="C368" s="368" t="s">
        <v>1581</v>
      </c>
      <c r="D368" s="368">
        <v>1</v>
      </c>
      <c r="E368" s="428">
        <v>7646</v>
      </c>
      <c r="F368" s="413"/>
      <c r="G368" s="404"/>
      <c r="H368" s="413"/>
      <c r="I368" s="404"/>
      <c r="J368" s="404"/>
      <c r="K368" s="1181"/>
      <c r="L368" s="1181"/>
    </row>
    <row r="369" spans="1:12" s="340" customFormat="1" ht="15.5" hidden="1">
      <c r="A369" s="368"/>
      <c r="B369" s="358"/>
      <c r="C369" s="368"/>
      <c r="D369" s="368"/>
      <c r="E369" s="428"/>
      <c r="F369" s="413"/>
      <c r="G369" s="404"/>
      <c r="H369" s="413"/>
      <c r="I369" s="404"/>
      <c r="J369" s="404"/>
      <c r="K369" s="1181"/>
      <c r="L369" s="1181"/>
    </row>
    <row r="370" spans="1:12" s="340" customFormat="1" ht="77.5" hidden="1">
      <c r="A370" s="368">
        <f>A368+1</f>
        <v>49</v>
      </c>
      <c r="B370" s="358" t="s">
        <v>1669</v>
      </c>
      <c r="C370" s="368" t="s">
        <v>870</v>
      </c>
      <c r="D370" s="368">
        <v>2</v>
      </c>
      <c r="E370" s="428">
        <v>9202</v>
      </c>
      <c r="F370" s="413"/>
      <c r="G370" s="404"/>
      <c r="H370" s="413"/>
      <c r="I370" s="404"/>
      <c r="J370" s="404"/>
      <c r="K370" s="1181"/>
      <c r="L370" s="1181"/>
    </row>
    <row r="371" spans="1:12" s="340" customFormat="1" ht="15.5" hidden="1">
      <c r="A371" s="368"/>
      <c r="B371" s="358"/>
      <c r="C371" s="368"/>
      <c r="D371" s="368"/>
      <c r="E371" s="428"/>
      <c r="F371" s="413"/>
      <c r="G371" s="404"/>
      <c r="H371" s="413"/>
      <c r="I371" s="404"/>
      <c r="J371" s="404"/>
      <c r="K371" s="1181"/>
      <c r="L371" s="1181"/>
    </row>
    <row r="372" spans="1:12" s="340" customFormat="1" ht="201.5" hidden="1">
      <c r="A372" s="368">
        <f>A370+1</f>
        <v>50</v>
      </c>
      <c r="B372" s="358" t="s">
        <v>1670</v>
      </c>
      <c r="C372" s="368" t="s">
        <v>1581</v>
      </c>
      <c r="D372" s="368">
        <v>1</v>
      </c>
      <c r="E372" s="428">
        <v>12073</v>
      </c>
      <c r="F372" s="413"/>
      <c r="G372" s="404"/>
      <c r="H372" s="413"/>
      <c r="I372" s="404"/>
      <c r="J372" s="404"/>
      <c r="K372" s="1181"/>
      <c r="L372" s="1181"/>
    </row>
    <row r="373" spans="1:12" s="340" customFormat="1" ht="15.5" hidden="1">
      <c r="A373" s="368"/>
      <c r="B373" s="409"/>
      <c r="C373" s="368"/>
      <c r="D373" s="368"/>
      <c r="E373" s="428"/>
      <c r="F373" s="413"/>
      <c r="G373" s="404"/>
      <c r="H373" s="413"/>
      <c r="I373" s="404"/>
      <c r="J373" s="404"/>
      <c r="K373" s="1181"/>
      <c r="L373" s="1181"/>
    </row>
    <row r="374" spans="1:12" s="340" customFormat="1" ht="77.5" hidden="1">
      <c r="A374" s="368">
        <f>A372+1</f>
        <v>51</v>
      </c>
      <c r="B374" s="358" t="s">
        <v>1671</v>
      </c>
      <c r="C374" s="368" t="s">
        <v>1581</v>
      </c>
      <c r="D374" s="368">
        <v>1</v>
      </c>
      <c r="E374" s="428">
        <v>2416</v>
      </c>
      <c r="F374" s="413"/>
      <c r="G374" s="404"/>
      <c r="H374" s="413"/>
      <c r="I374" s="404"/>
      <c r="J374" s="404"/>
      <c r="K374" s="1181"/>
      <c r="L374" s="1181"/>
    </row>
    <row r="375" spans="1:12" s="340" customFormat="1" ht="15.5" hidden="1">
      <c r="A375" s="368"/>
      <c r="B375" s="409"/>
      <c r="C375" s="368"/>
      <c r="D375" s="368"/>
      <c r="E375" s="428"/>
      <c r="F375" s="413"/>
      <c r="G375" s="404"/>
      <c r="H375" s="413"/>
      <c r="I375" s="404"/>
      <c r="J375" s="404"/>
      <c r="K375" s="1181"/>
      <c r="L375" s="1181"/>
    </row>
    <row r="376" spans="1:12" ht="15.5">
      <c r="A376" s="373"/>
      <c r="B376" s="422" t="s">
        <v>243</v>
      </c>
      <c r="C376" s="357"/>
      <c r="D376" s="357"/>
      <c r="E376" s="430"/>
      <c r="F376" s="431">
        <f>SUM(F187:F205)</f>
        <v>167589.79999999999</v>
      </c>
      <c r="G376" s="432"/>
      <c r="H376" s="431">
        <f>SUM(H187:H205)</f>
        <v>127253</v>
      </c>
      <c r="I376" s="432"/>
      <c r="J376" s="431">
        <f>SUM(J187:J205)</f>
        <v>86436</v>
      </c>
      <c r="K376" s="1182"/>
      <c r="L376" s="431">
        <f>SUM(L187:L205)</f>
        <v>86436</v>
      </c>
    </row>
    <row r="377" spans="1:12" s="336" customFormat="1" ht="15.5">
      <c r="A377" s="382"/>
      <c r="B377" s="383" t="s">
        <v>1571</v>
      </c>
      <c r="C377" s="384"/>
      <c r="D377" s="433"/>
      <c r="E377" s="433" t="s">
        <v>831</v>
      </c>
      <c r="F377" s="434">
        <f>F103+F154+F376</f>
        <v>806255.8</v>
      </c>
      <c r="G377" s="1146"/>
      <c r="H377" s="434">
        <f>H103+H154+H376</f>
        <v>767727.43319999997</v>
      </c>
      <c r="I377" s="386"/>
      <c r="J377" s="434">
        <f>J103+J154+J376</f>
        <v>465794</v>
      </c>
      <c r="K377" s="1183"/>
      <c r="L377" s="434">
        <f>L103+L154+L376</f>
        <v>86436</v>
      </c>
    </row>
    <row r="378" spans="1:12" ht="15.5">
      <c r="A378" s="435"/>
      <c r="B378" s="404"/>
      <c r="C378" s="436"/>
      <c r="D378" s="437"/>
      <c r="E378" s="438"/>
      <c r="F378" s="438"/>
      <c r="G378" s="438"/>
      <c r="H378" s="438"/>
      <c r="I378" s="432"/>
      <c r="J378" s="432"/>
      <c r="K378" s="1182"/>
      <c r="L378" s="1182"/>
    </row>
  </sheetData>
  <mergeCells count="4">
    <mergeCell ref="A1:J1"/>
    <mergeCell ref="A78:F78"/>
    <mergeCell ref="C191:C192"/>
    <mergeCell ref="D191:D192"/>
  </mergeCells>
  <pageMargins left="0.7" right="0.7" top="0.75" bottom="0.75" header="0.3" footer="0.3"/>
  <pageSetup scale="41"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40"/>
  <sheetViews>
    <sheetView view="pageBreakPreview" zoomScale="60" zoomScaleNormal="100" workbookViewId="0">
      <pane ySplit="3" topLeftCell="A118" activePane="bottomLeft" state="frozen"/>
      <selection pane="bottomLeft" activeCell="I127" sqref="I127"/>
    </sheetView>
  </sheetViews>
  <sheetFormatPr defaultColWidth="9.08984375" defaultRowHeight="14.5"/>
  <cols>
    <col min="1" max="1" width="9.54296875" style="309" customWidth="1"/>
    <col min="2" max="5" width="9.08984375" style="309"/>
    <col min="6" max="6" width="11.6328125" style="309" customWidth="1"/>
    <col min="7" max="16384" width="9.08984375" style="309"/>
  </cols>
  <sheetData>
    <row r="1" spans="1:15" ht="26">
      <c r="A1" s="1276" t="s">
        <v>1672</v>
      </c>
      <c r="B1" s="1276"/>
      <c r="C1" s="1276"/>
      <c r="D1" s="1276"/>
      <c r="E1" s="1276"/>
      <c r="F1" s="1276"/>
      <c r="G1" s="1276"/>
      <c r="H1" s="1276"/>
      <c r="I1" s="1276"/>
      <c r="J1" s="1276"/>
      <c r="K1" s="1276"/>
      <c r="L1" s="1276"/>
      <c r="M1" s="1276"/>
      <c r="N1" s="1276"/>
    </row>
    <row r="2" spans="1:15" ht="15.5">
      <c r="A2" s="310" t="s">
        <v>86</v>
      </c>
      <c r="B2" s="311" t="s">
        <v>1673</v>
      </c>
      <c r="C2" s="311" t="s">
        <v>1674</v>
      </c>
      <c r="D2" s="311" t="s">
        <v>1675</v>
      </c>
      <c r="E2" s="311" t="s">
        <v>1676</v>
      </c>
      <c r="F2" s="311" t="s">
        <v>1677</v>
      </c>
      <c r="G2" s="311" t="s">
        <v>1678</v>
      </c>
      <c r="H2" s="311" t="s">
        <v>1679</v>
      </c>
      <c r="I2" s="311" t="s">
        <v>1680</v>
      </c>
      <c r="J2" s="311" t="s">
        <v>1681</v>
      </c>
      <c r="K2" s="311" t="s">
        <v>1682</v>
      </c>
      <c r="L2" s="311" t="s">
        <v>1683</v>
      </c>
      <c r="M2" s="311" t="s">
        <v>1684</v>
      </c>
      <c r="N2" s="311" t="s">
        <v>1685</v>
      </c>
    </row>
    <row r="3" spans="1:15" s="308" customFormat="1">
      <c r="A3" s="312" t="s">
        <v>1686</v>
      </c>
      <c r="B3" s="313"/>
      <c r="C3" s="313"/>
      <c r="D3" s="313"/>
      <c r="E3" s="313"/>
      <c r="F3" s="313"/>
      <c r="G3" s="313"/>
      <c r="H3" s="313"/>
      <c r="I3" s="313"/>
      <c r="J3" s="313"/>
      <c r="K3" s="313"/>
      <c r="L3" s="313"/>
      <c r="M3" s="313"/>
      <c r="N3" s="313"/>
    </row>
    <row r="4" spans="1:15" s="308" customFormat="1">
      <c r="A4" s="312">
        <v>1</v>
      </c>
      <c r="B4" s="312">
        <v>450</v>
      </c>
      <c r="C4" s="312">
        <v>300</v>
      </c>
      <c r="D4" s="314">
        <v>450</v>
      </c>
      <c r="E4" s="314">
        <v>300</v>
      </c>
      <c r="F4" s="315">
        <v>1500</v>
      </c>
      <c r="G4" s="312">
        <v>2700</v>
      </c>
      <c r="H4" s="316"/>
      <c r="I4" s="315">
        <v>2700</v>
      </c>
      <c r="J4" s="312">
        <v>3</v>
      </c>
      <c r="K4" s="315">
        <v>12.15</v>
      </c>
      <c r="L4" s="317" t="s">
        <v>1687</v>
      </c>
      <c r="M4" s="318" t="s">
        <v>1687</v>
      </c>
      <c r="N4" s="315" t="s">
        <v>1687</v>
      </c>
    </row>
    <row r="5" spans="1:15" s="308" customFormat="1">
      <c r="A5" s="312">
        <v>2</v>
      </c>
      <c r="B5" s="312">
        <v>450</v>
      </c>
      <c r="C5" s="312">
        <v>200</v>
      </c>
      <c r="D5" s="314">
        <v>450</v>
      </c>
      <c r="E5" s="314">
        <v>200</v>
      </c>
      <c r="F5" s="315">
        <v>1300</v>
      </c>
      <c r="G5" s="312">
        <v>2600</v>
      </c>
      <c r="H5" s="316"/>
      <c r="I5" s="315">
        <v>2600</v>
      </c>
      <c r="J5" s="312">
        <v>3</v>
      </c>
      <c r="K5" s="315">
        <v>10.14</v>
      </c>
      <c r="L5" s="317" t="s">
        <v>1687</v>
      </c>
      <c r="M5" s="318" t="s">
        <v>1687</v>
      </c>
      <c r="N5" s="315" t="s">
        <v>1687</v>
      </c>
    </row>
    <row r="6" spans="1:15" s="308" customFormat="1">
      <c r="A6" s="312">
        <v>3</v>
      </c>
      <c r="B6" s="312">
        <v>750</v>
      </c>
      <c r="C6" s="312">
        <v>250</v>
      </c>
      <c r="D6" s="314">
        <v>750</v>
      </c>
      <c r="E6" s="314">
        <v>250</v>
      </c>
      <c r="F6" s="315">
        <v>2000</v>
      </c>
      <c r="G6" s="312">
        <v>1400</v>
      </c>
      <c r="H6" s="316"/>
      <c r="I6" s="315">
        <v>1400</v>
      </c>
      <c r="J6" s="312">
        <v>8</v>
      </c>
      <c r="K6" s="315">
        <v>22.4</v>
      </c>
      <c r="L6" s="317" t="s">
        <v>1687</v>
      </c>
      <c r="M6" s="318" t="s">
        <v>1687</v>
      </c>
      <c r="N6" s="315" t="s">
        <v>1687</v>
      </c>
    </row>
    <row r="7" spans="1:15" s="308" customFormat="1">
      <c r="A7" s="312">
        <v>4</v>
      </c>
      <c r="B7" s="312">
        <v>300</v>
      </c>
      <c r="C7" s="312">
        <v>250</v>
      </c>
      <c r="D7" s="314">
        <v>300</v>
      </c>
      <c r="E7" s="314">
        <v>250</v>
      </c>
      <c r="F7" s="315">
        <v>1100</v>
      </c>
      <c r="G7" s="312">
        <v>1350</v>
      </c>
      <c r="H7" s="316"/>
      <c r="I7" s="315">
        <v>1350</v>
      </c>
      <c r="J7" s="312">
        <v>1</v>
      </c>
      <c r="K7" s="315">
        <v>1.4850000000000001</v>
      </c>
      <c r="L7" s="317" t="s">
        <v>1687</v>
      </c>
      <c r="M7" s="318" t="s">
        <v>1687</v>
      </c>
      <c r="N7" s="315" t="s">
        <v>1687</v>
      </c>
    </row>
    <row r="8" spans="1:15" s="308" customFormat="1">
      <c r="A8" s="312">
        <v>5</v>
      </c>
      <c r="B8" s="312">
        <v>300</v>
      </c>
      <c r="C8" s="312">
        <v>250</v>
      </c>
      <c r="D8" s="314">
        <v>300</v>
      </c>
      <c r="E8" s="314">
        <v>250</v>
      </c>
      <c r="F8" s="315">
        <v>1100</v>
      </c>
      <c r="G8" s="312">
        <v>2700</v>
      </c>
      <c r="H8" s="316"/>
      <c r="I8" s="315">
        <v>2700</v>
      </c>
      <c r="J8" s="312">
        <v>1</v>
      </c>
      <c r="K8" s="315">
        <v>2.97</v>
      </c>
      <c r="L8" s="317" t="s">
        <v>1687</v>
      </c>
      <c r="M8" s="318" t="s">
        <v>1687</v>
      </c>
      <c r="N8" s="315" t="s">
        <v>1687</v>
      </c>
    </row>
    <row r="9" spans="1:15" s="308" customFormat="1">
      <c r="A9" s="312">
        <v>6</v>
      </c>
      <c r="B9" s="312">
        <v>750</v>
      </c>
      <c r="C9" s="312">
        <v>250</v>
      </c>
      <c r="D9" s="314">
        <v>750</v>
      </c>
      <c r="E9" s="314">
        <v>250</v>
      </c>
      <c r="F9" s="315">
        <v>2000</v>
      </c>
      <c r="G9" s="312">
        <v>1400</v>
      </c>
      <c r="H9" s="316"/>
      <c r="I9" s="315">
        <v>1400</v>
      </c>
      <c r="J9" s="312">
        <v>8</v>
      </c>
      <c r="K9" s="1118"/>
      <c r="L9" s="317" t="s">
        <v>1687</v>
      </c>
      <c r="M9" s="318" t="s">
        <v>1687</v>
      </c>
      <c r="N9" s="315" t="s">
        <v>1687</v>
      </c>
    </row>
    <row r="10" spans="1:15" s="308" customFormat="1">
      <c r="A10" s="312">
        <v>7</v>
      </c>
      <c r="B10" s="312">
        <v>600</v>
      </c>
      <c r="C10" s="312">
        <v>400</v>
      </c>
      <c r="D10" s="314">
        <v>600</v>
      </c>
      <c r="E10" s="314">
        <v>400</v>
      </c>
      <c r="F10" s="315">
        <v>2000</v>
      </c>
      <c r="G10" s="312">
        <v>750</v>
      </c>
      <c r="H10" s="316"/>
      <c r="I10" s="315"/>
      <c r="J10" s="312">
        <v>1</v>
      </c>
      <c r="K10" s="1118"/>
      <c r="L10" s="317" t="s">
        <v>1687</v>
      </c>
      <c r="M10" s="318" t="s">
        <v>1687</v>
      </c>
      <c r="N10" s="315" t="s">
        <v>1687</v>
      </c>
      <c r="O10" s="1119" t="s">
        <v>1854</v>
      </c>
    </row>
    <row r="11" spans="1:15" s="308" customFormat="1">
      <c r="A11" s="312">
        <v>8</v>
      </c>
      <c r="B11" s="312">
        <v>600</v>
      </c>
      <c r="C11" s="312">
        <v>400</v>
      </c>
      <c r="D11" s="314">
        <v>600</v>
      </c>
      <c r="E11" s="314">
        <v>400</v>
      </c>
      <c r="F11" s="315">
        <v>2000</v>
      </c>
      <c r="G11" s="312">
        <v>1100</v>
      </c>
      <c r="H11" s="316"/>
      <c r="I11" s="315"/>
      <c r="J11" s="312">
        <v>1</v>
      </c>
      <c r="K11" s="1118"/>
      <c r="L11" s="317" t="s">
        <v>1687</v>
      </c>
      <c r="M11" s="318" t="s">
        <v>1687</v>
      </c>
      <c r="N11" s="315" t="s">
        <v>1687</v>
      </c>
    </row>
    <row r="12" spans="1:15" s="308" customFormat="1">
      <c r="A12" s="312">
        <v>9</v>
      </c>
      <c r="B12" s="312">
        <v>850</v>
      </c>
      <c r="C12" s="312">
        <v>250</v>
      </c>
      <c r="D12" s="314">
        <v>850</v>
      </c>
      <c r="E12" s="314">
        <v>250</v>
      </c>
      <c r="F12" s="315">
        <v>2200</v>
      </c>
      <c r="G12" s="312">
        <v>1400</v>
      </c>
      <c r="H12" s="316"/>
      <c r="I12" s="315">
        <v>1400</v>
      </c>
      <c r="J12" s="312">
        <v>2</v>
      </c>
      <c r="K12" s="315" t="s">
        <v>1687</v>
      </c>
      <c r="L12" s="317">
        <v>6.16</v>
      </c>
      <c r="M12" s="318" t="s">
        <v>1687</v>
      </c>
      <c r="N12" s="315" t="s">
        <v>1687</v>
      </c>
    </row>
    <row r="13" spans="1:15" s="308" customFormat="1">
      <c r="A13" s="312">
        <v>10</v>
      </c>
      <c r="B13" s="312">
        <v>850</v>
      </c>
      <c r="C13" s="312">
        <v>250</v>
      </c>
      <c r="D13" s="314">
        <v>850</v>
      </c>
      <c r="E13" s="314">
        <v>250</v>
      </c>
      <c r="F13" s="315">
        <v>2200</v>
      </c>
      <c r="G13" s="312">
        <v>600</v>
      </c>
      <c r="H13" s="316"/>
      <c r="I13" s="315">
        <v>600</v>
      </c>
      <c r="J13" s="312">
        <v>1</v>
      </c>
      <c r="K13" s="315" t="s">
        <v>1687</v>
      </c>
      <c r="L13" s="317">
        <v>1.32</v>
      </c>
      <c r="M13" s="318" t="s">
        <v>1687</v>
      </c>
      <c r="N13" s="315" t="s">
        <v>1687</v>
      </c>
    </row>
    <row r="14" spans="1:15" s="308" customFormat="1">
      <c r="A14" s="312">
        <v>11</v>
      </c>
      <c r="B14" s="312">
        <v>750</v>
      </c>
      <c r="C14" s="312">
        <v>250</v>
      </c>
      <c r="D14" s="314">
        <v>750</v>
      </c>
      <c r="E14" s="314">
        <v>250</v>
      </c>
      <c r="F14" s="315">
        <v>2000</v>
      </c>
      <c r="G14" s="312">
        <v>1400</v>
      </c>
      <c r="H14" s="316"/>
      <c r="I14" s="1118"/>
      <c r="J14" s="312">
        <v>2</v>
      </c>
      <c r="K14" s="315"/>
      <c r="L14" s="317" t="s">
        <v>1687</v>
      </c>
      <c r="M14" s="318" t="s">
        <v>1687</v>
      </c>
      <c r="N14" s="315" t="s">
        <v>1687</v>
      </c>
    </row>
    <row r="15" spans="1:15" s="308" customFormat="1">
      <c r="A15" s="312">
        <v>12</v>
      </c>
      <c r="B15" s="312">
        <v>750</v>
      </c>
      <c r="C15" s="312">
        <v>250</v>
      </c>
      <c r="D15" s="314">
        <v>750</v>
      </c>
      <c r="E15" s="314">
        <v>250</v>
      </c>
      <c r="F15" s="315">
        <v>2000</v>
      </c>
      <c r="G15" s="312">
        <v>1650</v>
      </c>
      <c r="H15" s="316"/>
      <c r="I15" s="1118"/>
      <c r="J15" s="312">
        <v>1</v>
      </c>
      <c r="K15" s="315"/>
      <c r="L15" s="317" t="s">
        <v>1687</v>
      </c>
      <c r="M15" s="318" t="s">
        <v>1687</v>
      </c>
      <c r="N15" s="315" t="s">
        <v>1687</v>
      </c>
    </row>
    <row r="16" spans="1:15" s="308" customFormat="1">
      <c r="A16" s="312">
        <v>13</v>
      </c>
      <c r="B16" s="312">
        <v>650</v>
      </c>
      <c r="C16" s="312">
        <v>250</v>
      </c>
      <c r="D16" s="314">
        <v>650</v>
      </c>
      <c r="E16" s="314">
        <v>250</v>
      </c>
      <c r="F16" s="315">
        <v>1800</v>
      </c>
      <c r="G16" s="312">
        <v>2300</v>
      </c>
      <c r="H16" s="316"/>
      <c r="I16" s="315">
        <v>2300</v>
      </c>
      <c r="J16" s="312">
        <v>2</v>
      </c>
      <c r="K16" s="315">
        <v>8.2799999999999994</v>
      </c>
      <c r="L16" s="317" t="s">
        <v>1687</v>
      </c>
      <c r="M16" s="318" t="s">
        <v>1687</v>
      </c>
      <c r="N16" s="315" t="s">
        <v>1687</v>
      </c>
    </row>
    <row r="17" spans="1:14" s="308" customFormat="1">
      <c r="A17" s="312">
        <v>14</v>
      </c>
      <c r="B17" s="312">
        <v>450</v>
      </c>
      <c r="C17" s="312">
        <v>200</v>
      </c>
      <c r="D17" s="314">
        <v>450</v>
      </c>
      <c r="E17" s="314">
        <v>200</v>
      </c>
      <c r="F17" s="315">
        <v>1300</v>
      </c>
      <c r="G17" s="312">
        <v>2700</v>
      </c>
      <c r="H17" s="316"/>
      <c r="I17" s="315">
        <v>2700</v>
      </c>
      <c r="J17" s="312">
        <v>2</v>
      </c>
      <c r="K17" s="315">
        <v>7.02</v>
      </c>
      <c r="L17" s="317" t="s">
        <v>1687</v>
      </c>
      <c r="M17" s="318" t="s">
        <v>1687</v>
      </c>
      <c r="N17" s="315" t="s">
        <v>1687</v>
      </c>
    </row>
    <row r="18" spans="1:14" s="308" customFormat="1">
      <c r="A18" s="312">
        <v>15</v>
      </c>
      <c r="B18" s="312">
        <v>450</v>
      </c>
      <c r="C18" s="312">
        <v>200</v>
      </c>
      <c r="D18" s="314">
        <v>450</v>
      </c>
      <c r="E18" s="314">
        <v>200</v>
      </c>
      <c r="F18" s="315">
        <v>1300</v>
      </c>
      <c r="G18" s="312">
        <v>1450</v>
      </c>
      <c r="H18" s="316"/>
      <c r="I18" s="315">
        <v>1450</v>
      </c>
      <c r="J18" s="312">
        <v>1</v>
      </c>
      <c r="K18" s="315">
        <v>1.885</v>
      </c>
      <c r="L18" s="317" t="s">
        <v>1687</v>
      </c>
      <c r="M18" s="318" t="s">
        <v>1687</v>
      </c>
      <c r="N18" s="315" t="s">
        <v>1687</v>
      </c>
    </row>
    <row r="19" spans="1:14" s="308" customFormat="1">
      <c r="A19" s="312">
        <v>16</v>
      </c>
      <c r="B19" s="312">
        <v>500</v>
      </c>
      <c r="C19" s="312">
        <v>600</v>
      </c>
      <c r="D19" s="314">
        <v>500</v>
      </c>
      <c r="E19" s="314">
        <v>600</v>
      </c>
      <c r="F19" s="315">
        <v>2200</v>
      </c>
      <c r="G19" s="312">
        <v>1300</v>
      </c>
      <c r="H19" s="316"/>
      <c r="I19" s="315">
        <v>1300</v>
      </c>
      <c r="J19" s="312">
        <v>1</v>
      </c>
      <c r="K19" s="315">
        <v>2.86</v>
      </c>
      <c r="L19" s="317" t="s">
        <v>1687</v>
      </c>
      <c r="M19" s="318" t="s">
        <v>1687</v>
      </c>
      <c r="N19" s="315" t="s">
        <v>1687</v>
      </c>
    </row>
    <row r="20" spans="1:14" s="308" customFormat="1">
      <c r="A20" s="312">
        <v>17</v>
      </c>
      <c r="B20" s="312">
        <v>500</v>
      </c>
      <c r="C20" s="312">
        <v>600</v>
      </c>
      <c r="D20" s="314">
        <v>500</v>
      </c>
      <c r="E20" s="314">
        <v>600</v>
      </c>
      <c r="F20" s="315">
        <v>2200</v>
      </c>
      <c r="G20" s="312">
        <v>1300</v>
      </c>
      <c r="H20" s="316"/>
      <c r="I20" s="315">
        <v>1300</v>
      </c>
      <c r="J20" s="312">
        <v>1</v>
      </c>
      <c r="K20" s="315">
        <v>2.86</v>
      </c>
      <c r="L20" s="317" t="s">
        <v>1687</v>
      </c>
      <c r="M20" s="318" t="s">
        <v>1687</v>
      </c>
      <c r="N20" s="315" t="s">
        <v>1687</v>
      </c>
    </row>
    <row r="21" spans="1:14" s="308" customFormat="1">
      <c r="A21" s="312">
        <v>18</v>
      </c>
      <c r="B21" s="312">
        <v>850</v>
      </c>
      <c r="C21" s="312">
        <v>250</v>
      </c>
      <c r="D21" s="314">
        <v>850</v>
      </c>
      <c r="E21" s="314">
        <v>250</v>
      </c>
      <c r="F21" s="315">
        <v>2200</v>
      </c>
      <c r="G21" s="312">
        <v>1950</v>
      </c>
      <c r="H21" s="316"/>
      <c r="I21" s="315">
        <v>1950</v>
      </c>
      <c r="J21" s="312">
        <v>1</v>
      </c>
      <c r="K21" s="315" t="s">
        <v>1687</v>
      </c>
      <c r="L21" s="317">
        <v>4.29</v>
      </c>
      <c r="M21" s="318" t="s">
        <v>1687</v>
      </c>
      <c r="N21" s="315" t="s">
        <v>1687</v>
      </c>
    </row>
    <row r="22" spans="1:14" s="308" customFormat="1">
      <c r="A22" s="312">
        <v>19</v>
      </c>
      <c r="B22" s="312">
        <v>850</v>
      </c>
      <c r="C22" s="312">
        <v>250</v>
      </c>
      <c r="D22" s="314">
        <v>850</v>
      </c>
      <c r="E22" s="314">
        <v>250</v>
      </c>
      <c r="F22" s="315">
        <v>2200</v>
      </c>
      <c r="G22" s="312">
        <v>1350</v>
      </c>
      <c r="H22" s="316"/>
      <c r="I22" s="1118"/>
      <c r="J22" s="312">
        <v>1</v>
      </c>
      <c r="K22" s="315" t="s">
        <v>1687</v>
      </c>
      <c r="L22" s="317">
        <v>2.97</v>
      </c>
      <c r="M22" s="318" t="s">
        <v>1687</v>
      </c>
      <c r="N22" s="315" t="s">
        <v>1687</v>
      </c>
    </row>
    <row r="23" spans="1:14" s="308" customFormat="1">
      <c r="A23" s="312">
        <v>20</v>
      </c>
      <c r="B23" s="312">
        <v>850</v>
      </c>
      <c r="C23" s="312">
        <v>250</v>
      </c>
      <c r="D23" s="314">
        <v>850</v>
      </c>
      <c r="E23" s="314">
        <v>250</v>
      </c>
      <c r="F23" s="315">
        <v>2200</v>
      </c>
      <c r="G23" s="312">
        <v>1600</v>
      </c>
      <c r="H23" s="316"/>
      <c r="I23" s="315">
        <v>1600</v>
      </c>
      <c r="J23" s="312">
        <v>2</v>
      </c>
      <c r="K23" s="315" t="s">
        <v>1687</v>
      </c>
      <c r="L23" s="317">
        <v>7.04</v>
      </c>
      <c r="M23" s="318" t="s">
        <v>1687</v>
      </c>
      <c r="N23" s="315" t="s">
        <v>1687</v>
      </c>
    </row>
    <row r="24" spans="1:14" s="308" customFormat="1">
      <c r="A24" s="312">
        <v>21</v>
      </c>
      <c r="B24" s="312">
        <v>850</v>
      </c>
      <c r="C24" s="312">
        <v>250</v>
      </c>
      <c r="D24" s="314">
        <v>850</v>
      </c>
      <c r="E24" s="314">
        <v>250</v>
      </c>
      <c r="F24" s="315">
        <v>2200</v>
      </c>
      <c r="G24" s="312">
        <v>2600</v>
      </c>
      <c r="H24" s="316"/>
      <c r="I24" s="315">
        <v>2600</v>
      </c>
      <c r="J24" s="312">
        <v>1</v>
      </c>
      <c r="K24" s="315" t="s">
        <v>1687</v>
      </c>
      <c r="L24" s="317">
        <v>5.72</v>
      </c>
      <c r="M24" s="318" t="s">
        <v>1687</v>
      </c>
      <c r="N24" s="315" t="s">
        <v>1687</v>
      </c>
    </row>
    <row r="25" spans="1:14" s="308" customFormat="1">
      <c r="A25" s="312">
        <v>22</v>
      </c>
      <c r="B25" s="312">
        <v>650</v>
      </c>
      <c r="C25" s="312">
        <v>250</v>
      </c>
      <c r="D25" s="314">
        <v>650</v>
      </c>
      <c r="E25" s="314">
        <v>250</v>
      </c>
      <c r="F25" s="315">
        <v>1800</v>
      </c>
      <c r="G25" s="312">
        <v>1600</v>
      </c>
      <c r="H25" s="316"/>
      <c r="I25" s="315">
        <v>1600</v>
      </c>
      <c r="J25" s="312">
        <v>1</v>
      </c>
      <c r="K25" s="315">
        <v>2.88</v>
      </c>
      <c r="L25" s="317" t="s">
        <v>1687</v>
      </c>
      <c r="M25" s="318" t="s">
        <v>1687</v>
      </c>
      <c r="N25" s="315" t="s">
        <v>1687</v>
      </c>
    </row>
    <row r="26" spans="1:14" s="308" customFormat="1">
      <c r="A26" s="312">
        <v>23</v>
      </c>
      <c r="B26" s="312">
        <v>650</v>
      </c>
      <c r="C26" s="312">
        <v>250</v>
      </c>
      <c r="D26" s="314">
        <v>650</v>
      </c>
      <c r="E26" s="314">
        <v>250</v>
      </c>
      <c r="F26" s="315">
        <v>1800</v>
      </c>
      <c r="G26" s="312">
        <v>1600</v>
      </c>
      <c r="H26" s="316"/>
      <c r="I26" s="1118"/>
      <c r="J26" s="312">
        <v>2</v>
      </c>
      <c r="K26" s="315"/>
      <c r="L26" s="317" t="s">
        <v>1687</v>
      </c>
      <c r="M26" s="318" t="s">
        <v>1687</v>
      </c>
      <c r="N26" s="315" t="s">
        <v>1687</v>
      </c>
    </row>
    <row r="27" spans="1:14" s="308" customFormat="1">
      <c r="A27" s="312">
        <v>24</v>
      </c>
      <c r="B27" s="312">
        <v>650</v>
      </c>
      <c r="C27" s="312">
        <v>250</v>
      </c>
      <c r="D27" s="314">
        <v>650</v>
      </c>
      <c r="E27" s="314">
        <v>250</v>
      </c>
      <c r="F27" s="315">
        <v>1800</v>
      </c>
      <c r="G27" s="312">
        <v>2700</v>
      </c>
      <c r="H27" s="316"/>
      <c r="I27" s="315">
        <v>2700</v>
      </c>
      <c r="J27" s="312">
        <v>1</v>
      </c>
      <c r="K27" s="315">
        <v>4.8600000000000003</v>
      </c>
      <c r="L27" s="317" t="s">
        <v>1687</v>
      </c>
      <c r="M27" s="318" t="s">
        <v>1687</v>
      </c>
      <c r="N27" s="315" t="s">
        <v>1687</v>
      </c>
    </row>
    <row r="28" spans="1:14" s="308" customFormat="1">
      <c r="A28" s="312">
        <v>25</v>
      </c>
      <c r="B28" s="312">
        <v>650</v>
      </c>
      <c r="C28" s="312">
        <v>250</v>
      </c>
      <c r="D28" s="314">
        <v>650</v>
      </c>
      <c r="E28" s="314">
        <v>250</v>
      </c>
      <c r="F28" s="315">
        <v>1800</v>
      </c>
      <c r="G28" s="312">
        <v>850</v>
      </c>
      <c r="H28" s="316"/>
      <c r="I28" s="315">
        <v>850</v>
      </c>
      <c r="J28" s="312">
        <v>1</v>
      </c>
      <c r="K28" s="315">
        <v>1.53</v>
      </c>
      <c r="L28" s="317" t="s">
        <v>1687</v>
      </c>
      <c r="M28" s="318" t="s">
        <v>1687</v>
      </c>
      <c r="N28" s="315" t="s">
        <v>1687</v>
      </c>
    </row>
    <row r="29" spans="1:14" s="308" customFormat="1">
      <c r="A29" s="312">
        <v>26</v>
      </c>
      <c r="B29" s="312">
        <v>450</v>
      </c>
      <c r="C29" s="312">
        <v>250</v>
      </c>
      <c r="D29" s="314">
        <v>450</v>
      </c>
      <c r="E29" s="314">
        <v>250</v>
      </c>
      <c r="F29" s="315">
        <v>1400</v>
      </c>
      <c r="G29" s="312">
        <v>2700</v>
      </c>
      <c r="H29" s="316"/>
      <c r="I29" s="1118"/>
      <c r="J29" s="312">
        <v>2</v>
      </c>
      <c r="K29" s="1118"/>
      <c r="L29" s="317" t="s">
        <v>1687</v>
      </c>
      <c r="M29" s="318" t="s">
        <v>1687</v>
      </c>
      <c r="N29" s="315" t="s">
        <v>1687</v>
      </c>
    </row>
    <row r="30" spans="1:14" s="308" customFormat="1">
      <c r="A30" s="312">
        <v>27</v>
      </c>
      <c r="B30" s="312">
        <v>800</v>
      </c>
      <c r="C30" s="312">
        <v>250</v>
      </c>
      <c r="D30" s="314">
        <v>800</v>
      </c>
      <c r="E30" s="314">
        <v>250</v>
      </c>
      <c r="F30" s="315">
        <v>2100</v>
      </c>
      <c r="G30" s="312">
        <v>1300</v>
      </c>
      <c r="H30" s="316"/>
      <c r="I30" s="315">
        <v>1300</v>
      </c>
      <c r="J30" s="312">
        <v>1</v>
      </c>
      <c r="K30" s="315">
        <v>2.73</v>
      </c>
      <c r="L30" s="317" t="s">
        <v>1687</v>
      </c>
      <c r="M30" s="318" t="s">
        <v>1687</v>
      </c>
      <c r="N30" s="315" t="s">
        <v>1687</v>
      </c>
    </row>
    <row r="31" spans="1:14" s="308" customFormat="1">
      <c r="A31" s="312">
        <v>28</v>
      </c>
      <c r="B31" s="312">
        <v>700</v>
      </c>
      <c r="C31" s="312">
        <v>250</v>
      </c>
      <c r="D31" s="314">
        <v>700</v>
      </c>
      <c r="E31" s="314">
        <v>250</v>
      </c>
      <c r="F31" s="315">
        <v>1900</v>
      </c>
      <c r="G31" s="312">
        <v>2700</v>
      </c>
      <c r="H31" s="316"/>
      <c r="I31" s="315">
        <v>2700</v>
      </c>
      <c r="J31" s="312">
        <v>2</v>
      </c>
      <c r="K31" s="315">
        <v>10.26</v>
      </c>
      <c r="L31" s="317" t="s">
        <v>1687</v>
      </c>
      <c r="M31" s="318" t="s">
        <v>1687</v>
      </c>
      <c r="N31" s="315" t="s">
        <v>1687</v>
      </c>
    </row>
    <row r="32" spans="1:14" s="308" customFormat="1">
      <c r="A32" s="312">
        <v>29</v>
      </c>
      <c r="B32" s="312">
        <v>700</v>
      </c>
      <c r="C32" s="312">
        <v>250</v>
      </c>
      <c r="D32" s="314">
        <v>700</v>
      </c>
      <c r="E32" s="314">
        <v>250</v>
      </c>
      <c r="F32" s="315">
        <v>1900</v>
      </c>
      <c r="G32" s="312">
        <v>1350</v>
      </c>
      <c r="H32" s="316"/>
      <c r="I32" s="315">
        <v>1350</v>
      </c>
      <c r="J32" s="312">
        <v>1</v>
      </c>
      <c r="K32" s="315">
        <v>2.5649999999999999</v>
      </c>
      <c r="L32" s="317" t="s">
        <v>1687</v>
      </c>
      <c r="M32" s="318" t="s">
        <v>1687</v>
      </c>
      <c r="N32" s="315" t="s">
        <v>1687</v>
      </c>
    </row>
    <row r="33" spans="1:14" s="308" customFormat="1">
      <c r="A33" s="312">
        <v>30</v>
      </c>
      <c r="B33" s="312">
        <v>400</v>
      </c>
      <c r="C33" s="312">
        <v>250</v>
      </c>
      <c r="D33" s="314">
        <v>400</v>
      </c>
      <c r="E33" s="314">
        <v>250</v>
      </c>
      <c r="F33" s="315">
        <v>1300</v>
      </c>
      <c r="G33" s="312">
        <v>1250</v>
      </c>
      <c r="H33" s="316"/>
      <c r="I33" s="315">
        <v>1250</v>
      </c>
      <c r="J33" s="312">
        <v>1</v>
      </c>
      <c r="K33" s="315">
        <v>1.625</v>
      </c>
      <c r="L33" s="317" t="s">
        <v>1687</v>
      </c>
      <c r="M33" s="318" t="s">
        <v>1687</v>
      </c>
      <c r="N33" s="315" t="s">
        <v>1687</v>
      </c>
    </row>
    <row r="34" spans="1:14" s="308" customFormat="1">
      <c r="A34" s="312">
        <v>31</v>
      </c>
      <c r="B34" s="312">
        <v>300</v>
      </c>
      <c r="C34" s="312">
        <v>250</v>
      </c>
      <c r="D34" s="314">
        <v>300</v>
      </c>
      <c r="E34" s="314">
        <v>250</v>
      </c>
      <c r="F34" s="315">
        <v>1100</v>
      </c>
      <c r="G34" s="312">
        <v>1100</v>
      </c>
      <c r="H34" s="316"/>
      <c r="I34" s="315">
        <v>1100</v>
      </c>
      <c r="J34" s="312">
        <v>1</v>
      </c>
      <c r="K34" s="315">
        <v>1.21</v>
      </c>
      <c r="L34" s="317" t="s">
        <v>1687</v>
      </c>
      <c r="M34" s="318" t="s">
        <v>1687</v>
      </c>
      <c r="N34" s="315" t="s">
        <v>1687</v>
      </c>
    </row>
    <row r="35" spans="1:14" s="308" customFormat="1">
      <c r="A35" s="312">
        <v>32</v>
      </c>
      <c r="B35" s="312">
        <v>400</v>
      </c>
      <c r="C35" s="312">
        <v>250</v>
      </c>
      <c r="D35" s="314">
        <v>400</v>
      </c>
      <c r="E35" s="314">
        <v>250</v>
      </c>
      <c r="F35" s="315">
        <v>1300</v>
      </c>
      <c r="G35" s="312">
        <v>750</v>
      </c>
      <c r="H35" s="316"/>
      <c r="I35" s="315">
        <v>750</v>
      </c>
      <c r="J35" s="312">
        <v>1</v>
      </c>
      <c r="K35" s="315">
        <v>0.97499999999999998</v>
      </c>
      <c r="L35" s="317" t="s">
        <v>1687</v>
      </c>
      <c r="M35" s="318" t="s">
        <v>1687</v>
      </c>
      <c r="N35" s="315" t="s">
        <v>1687</v>
      </c>
    </row>
    <row r="36" spans="1:14" s="308" customFormat="1">
      <c r="A36" s="312"/>
      <c r="B36" s="312"/>
      <c r="C36" s="312"/>
      <c r="D36" s="314"/>
      <c r="E36" s="314"/>
      <c r="F36" s="315"/>
      <c r="G36" s="312"/>
      <c r="H36" s="316"/>
      <c r="I36" s="315"/>
      <c r="J36" s="312"/>
      <c r="K36" s="315"/>
      <c r="L36" s="317"/>
      <c r="M36" s="318"/>
      <c r="N36" s="315"/>
    </row>
    <row r="37" spans="1:14" s="308" customFormat="1">
      <c r="A37" s="312" t="s">
        <v>1688</v>
      </c>
      <c r="B37" s="312"/>
      <c r="C37" s="312"/>
      <c r="D37" s="314"/>
      <c r="E37" s="314"/>
      <c r="F37" s="315"/>
      <c r="G37" s="312"/>
      <c r="H37" s="316"/>
      <c r="I37" s="315"/>
      <c r="J37" s="312"/>
      <c r="K37" s="315"/>
      <c r="L37" s="317"/>
      <c r="M37" s="318"/>
      <c r="N37" s="315"/>
    </row>
    <row r="38" spans="1:14" s="308" customFormat="1">
      <c r="A38" s="312">
        <v>1</v>
      </c>
      <c r="B38" s="312">
        <v>450</v>
      </c>
      <c r="C38" s="312">
        <v>300</v>
      </c>
      <c r="D38" s="314">
        <v>450</v>
      </c>
      <c r="E38" s="314">
        <v>300</v>
      </c>
      <c r="F38" s="315">
        <v>1500</v>
      </c>
      <c r="G38" s="312">
        <v>1950</v>
      </c>
      <c r="H38" s="316"/>
      <c r="I38" s="315">
        <v>1950</v>
      </c>
      <c r="J38" s="312">
        <v>1</v>
      </c>
      <c r="K38" s="315"/>
      <c r="L38" s="317" t="s">
        <v>1687</v>
      </c>
      <c r="M38" s="318" t="s">
        <v>1687</v>
      </c>
      <c r="N38" s="315" t="s">
        <v>1687</v>
      </c>
    </row>
    <row r="39" spans="1:14" s="308" customFormat="1">
      <c r="A39" s="312">
        <v>2</v>
      </c>
      <c r="B39" s="312">
        <v>450</v>
      </c>
      <c r="C39" s="312">
        <v>300</v>
      </c>
      <c r="D39" s="314">
        <v>450</v>
      </c>
      <c r="E39" s="314">
        <v>300</v>
      </c>
      <c r="F39" s="315">
        <v>1500</v>
      </c>
      <c r="G39" s="312">
        <v>1300</v>
      </c>
      <c r="H39" s="316"/>
      <c r="I39" s="315">
        <v>1300</v>
      </c>
      <c r="J39" s="312">
        <v>1</v>
      </c>
      <c r="K39" s="315"/>
      <c r="L39" s="317" t="s">
        <v>1687</v>
      </c>
      <c r="M39" s="318" t="s">
        <v>1687</v>
      </c>
      <c r="N39" s="315" t="s">
        <v>1687</v>
      </c>
    </row>
    <row r="40" spans="1:14" s="308" customFormat="1">
      <c r="A40" s="312">
        <v>3</v>
      </c>
      <c r="B40" s="312">
        <v>450</v>
      </c>
      <c r="C40" s="312">
        <v>300</v>
      </c>
      <c r="D40" s="314">
        <v>450</v>
      </c>
      <c r="E40" s="314">
        <v>300</v>
      </c>
      <c r="F40" s="315">
        <v>1500</v>
      </c>
      <c r="G40" s="312">
        <v>1900</v>
      </c>
      <c r="H40" s="316"/>
      <c r="I40" s="315">
        <v>1900</v>
      </c>
      <c r="J40" s="312">
        <v>3</v>
      </c>
      <c r="K40" s="315"/>
      <c r="L40" s="317" t="s">
        <v>1687</v>
      </c>
      <c r="M40" s="318" t="s">
        <v>1687</v>
      </c>
      <c r="N40" s="315" t="s">
        <v>1687</v>
      </c>
    </row>
    <row r="41" spans="1:14" s="308" customFormat="1">
      <c r="A41" s="312">
        <v>4</v>
      </c>
      <c r="B41" s="312">
        <v>450</v>
      </c>
      <c r="C41" s="312">
        <v>300</v>
      </c>
      <c r="D41" s="314">
        <v>450</v>
      </c>
      <c r="E41" s="314">
        <v>300</v>
      </c>
      <c r="F41" s="315">
        <v>1500</v>
      </c>
      <c r="G41" s="312">
        <v>1500</v>
      </c>
      <c r="H41" s="316"/>
      <c r="I41" s="315">
        <v>1500</v>
      </c>
      <c r="J41" s="312">
        <v>2</v>
      </c>
      <c r="K41" s="315"/>
      <c r="L41" s="317" t="s">
        <v>1687</v>
      </c>
      <c r="M41" s="318" t="s">
        <v>1687</v>
      </c>
      <c r="N41" s="315" t="s">
        <v>1687</v>
      </c>
    </row>
    <row r="42" spans="1:14" s="308" customFormat="1">
      <c r="A42" s="312">
        <v>5</v>
      </c>
      <c r="B42" s="312">
        <v>450</v>
      </c>
      <c r="C42" s="312">
        <v>300</v>
      </c>
      <c r="D42" s="314">
        <v>450</v>
      </c>
      <c r="E42" s="314">
        <v>300</v>
      </c>
      <c r="F42" s="315">
        <v>1500</v>
      </c>
      <c r="G42" s="312">
        <v>1600</v>
      </c>
      <c r="H42" s="316"/>
      <c r="I42" s="315">
        <v>1600</v>
      </c>
      <c r="J42" s="312">
        <v>2</v>
      </c>
      <c r="K42" s="315"/>
      <c r="L42" s="317" t="s">
        <v>1687</v>
      </c>
      <c r="M42" s="318" t="s">
        <v>1687</v>
      </c>
      <c r="N42" s="315" t="s">
        <v>1687</v>
      </c>
    </row>
    <row r="43" spans="1:14" s="308" customFormat="1">
      <c r="A43" s="312">
        <v>6</v>
      </c>
      <c r="B43" s="312">
        <v>450</v>
      </c>
      <c r="C43" s="312">
        <v>300</v>
      </c>
      <c r="D43" s="314">
        <v>450</v>
      </c>
      <c r="E43" s="314">
        <v>300</v>
      </c>
      <c r="F43" s="315">
        <v>1500</v>
      </c>
      <c r="G43" s="312">
        <v>2800</v>
      </c>
      <c r="H43" s="316"/>
      <c r="I43" s="315">
        <v>2800</v>
      </c>
      <c r="J43" s="312">
        <v>2</v>
      </c>
      <c r="K43" s="315"/>
      <c r="L43" s="317" t="s">
        <v>1687</v>
      </c>
      <c r="M43" s="318" t="s">
        <v>1687</v>
      </c>
      <c r="N43" s="315" t="s">
        <v>1687</v>
      </c>
    </row>
    <row r="44" spans="1:14" s="308" customFormat="1">
      <c r="A44" s="312">
        <v>7</v>
      </c>
      <c r="B44" s="312">
        <v>450</v>
      </c>
      <c r="C44" s="312">
        <v>300</v>
      </c>
      <c r="D44" s="314">
        <v>450</v>
      </c>
      <c r="E44" s="314">
        <v>300</v>
      </c>
      <c r="F44" s="315">
        <v>1500</v>
      </c>
      <c r="G44" s="312">
        <v>1300</v>
      </c>
      <c r="H44" s="316"/>
      <c r="I44" s="315">
        <v>1300</v>
      </c>
      <c r="J44" s="312">
        <v>2</v>
      </c>
      <c r="K44" s="315"/>
      <c r="L44" s="317" t="s">
        <v>1687</v>
      </c>
      <c r="M44" s="318" t="s">
        <v>1687</v>
      </c>
      <c r="N44" s="315" t="s">
        <v>1687</v>
      </c>
    </row>
    <row r="45" spans="1:14" s="308" customFormat="1">
      <c r="A45" s="312">
        <v>8</v>
      </c>
      <c r="B45" s="312">
        <v>450</v>
      </c>
      <c r="C45" s="312">
        <v>200</v>
      </c>
      <c r="D45" s="314">
        <v>450</v>
      </c>
      <c r="E45" s="314">
        <v>200</v>
      </c>
      <c r="F45" s="315">
        <v>1300</v>
      </c>
      <c r="G45" s="312">
        <v>2800</v>
      </c>
      <c r="H45" s="316"/>
      <c r="I45" s="315">
        <v>2800</v>
      </c>
      <c r="J45" s="312">
        <v>2</v>
      </c>
      <c r="K45" s="315"/>
      <c r="L45" s="317" t="s">
        <v>1687</v>
      </c>
      <c r="M45" s="318" t="s">
        <v>1687</v>
      </c>
      <c r="N45" s="315" t="s">
        <v>1687</v>
      </c>
    </row>
    <row r="46" spans="1:14" s="308" customFormat="1">
      <c r="A46" s="312">
        <v>9</v>
      </c>
      <c r="B46" s="312">
        <v>450</v>
      </c>
      <c r="C46" s="312">
        <v>200</v>
      </c>
      <c r="D46" s="314">
        <v>450</v>
      </c>
      <c r="E46" s="314">
        <v>200</v>
      </c>
      <c r="F46" s="315">
        <v>1300</v>
      </c>
      <c r="G46" s="312">
        <v>1300</v>
      </c>
      <c r="H46" s="316"/>
      <c r="I46" s="315">
        <v>1300</v>
      </c>
      <c r="J46" s="312">
        <v>2</v>
      </c>
      <c r="K46" s="315"/>
      <c r="L46" s="317" t="s">
        <v>1687</v>
      </c>
      <c r="M46" s="318" t="s">
        <v>1687</v>
      </c>
      <c r="N46" s="315" t="s">
        <v>1687</v>
      </c>
    </row>
    <row r="47" spans="1:14" s="308" customFormat="1">
      <c r="A47" s="312"/>
      <c r="B47" s="312"/>
      <c r="C47" s="312"/>
      <c r="D47" s="314"/>
      <c r="E47" s="314"/>
      <c r="F47" s="315"/>
      <c r="G47" s="312"/>
      <c r="H47" s="316"/>
      <c r="I47" s="315"/>
      <c r="J47" s="312"/>
      <c r="K47" s="315"/>
      <c r="L47" s="317"/>
      <c r="M47" s="318"/>
      <c r="N47" s="315"/>
    </row>
    <row r="48" spans="1:14" s="308" customFormat="1">
      <c r="A48" s="312" t="s">
        <v>1689</v>
      </c>
      <c r="B48" s="312"/>
      <c r="C48" s="312"/>
      <c r="D48" s="314"/>
      <c r="E48" s="314"/>
      <c r="F48" s="315"/>
      <c r="G48" s="312"/>
      <c r="H48" s="316"/>
      <c r="I48" s="315"/>
      <c r="J48" s="312"/>
      <c r="K48" s="315"/>
      <c r="L48" s="317"/>
      <c r="M48" s="318"/>
      <c r="N48" s="315"/>
    </row>
    <row r="49" spans="1:25" s="308" customFormat="1">
      <c r="A49" s="312">
        <v>1</v>
      </c>
      <c r="B49" s="312">
        <v>450</v>
      </c>
      <c r="C49" s="312">
        <v>300</v>
      </c>
      <c r="D49" s="314">
        <v>450</v>
      </c>
      <c r="E49" s="314">
        <v>300</v>
      </c>
      <c r="F49" s="315">
        <v>1500</v>
      </c>
      <c r="G49" s="312">
        <v>2800</v>
      </c>
      <c r="H49" s="316"/>
      <c r="I49" s="315">
        <v>2800</v>
      </c>
      <c r="J49" s="312">
        <v>2</v>
      </c>
      <c r="K49" s="315"/>
      <c r="L49" s="317" t="s">
        <v>1687</v>
      </c>
      <c r="M49" s="318" t="s">
        <v>1687</v>
      </c>
      <c r="N49" s="315" t="s">
        <v>1687</v>
      </c>
    </row>
    <row r="50" spans="1:25" s="308" customFormat="1">
      <c r="A50" s="312">
        <v>2</v>
      </c>
      <c r="B50" s="312">
        <v>450</v>
      </c>
      <c r="C50" s="312">
        <v>450</v>
      </c>
      <c r="D50" s="314">
        <v>450</v>
      </c>
      <c r="E50" s="314">
        <v>450</v>
      </c>
      <c r="F50" s="315">
        <v>1800</v>
      </c>
      <c r="G50" s="312">
        <v>1300</v>
      </c>
      <c r="H50" s="316"/>
      <c r="I50" s="315">
        <v>1300</v>
      </c>
      <c r="J50" s="312">
        <v>1</v>
      </c>
      <c r="K50" s="315"/>
      <c r="L50" s="317" t="s">
        <v>1687</v>
      </c>
      <c r="M50" s="318" t="s">
        <v>1687</v>
      </c>
      <c r="N50" s="315" t="s">
        <v>1687</v>
      </c>
    </row>
    <row r="51" spans="1:25" s="308" customFormat="1">
      <c r="A51" s="312">
        <v>3</v>
      </c>
      <c r="B51" s="312">
        <v>450</v>
      </c>
      <c r="C51" s="312">
        <v>300</v>
      </c>
      <c r="D51" s="314">
        <v>450</v>
      </c>
      <c r="E51" s="314">
        <v>300</v>
      </c>
      <c r="F51" s="315">
        <v>1500</v>
      </c>
      <c r="G51" s="312">
        <v>1500</v>
      </c>
      <c r="H51" s="316"/>
      <c r="I51" s="315">
        <v>1500</v>
      </c>
      <c r="J51" s="312">
        <v>3</v>
      </c>
      <c r="K51" s="315"/>
      <c r="L51" s="317" t="s">
        <v>1687</v>
      </c>
      <c r="M51" s="318" t="s">
        <v>1687</v>
      </c>
      <c r="N51" s="315" t="s">
        <v>1687</v>
      </c>
    </row>
    <row r="52" spans="1:25" s="308" customFormat="1">
      <c r="A52" s="312">
        <v>4</v>
      </c>
      <c r="B52" s="312">
        <v>450</v>
      </c>
      <c r="C52" s="312">
        <v>300</v>
      </c>
      <c r="D52" s="314">
        <v>450</v>
      </c>
      <c r="E52" s="314">
        <v>300</v>
      </c>
      <c r="F52" s="315">
        <v>1500</v>
      </c>
      <c r="G52" s="312">
        <v>1750</v>
      </c>
      <c r="H52" s="316"/>
      <c r="I52" s="315">
        <v>1750</v>
      </c>
      <c r="J52" s="312">
        <v>1</v>
      </c>
      <c r="K52" s="315"/>
      <c r="L52" s="317" t="s">
        <v>1687</v>
      </c>
      <c r="M52" s="318" t="s">
        <v>1687</v>
      </c>
      <c r="N52" s="315" t="s">
        <v>1687</v>
      </c>
    </row>
    <row r="53" spans="1:25" s="308" customFormat="1">
      <c r="A53" s="312">
        <v>5</v>
      </c>
      <c r="B53" s="312">
        <v>450</v>
      </c>
      <c r="C53" s="312">
        <v>300</v>
      </c>
      <c r="D53" s="314">
        <v>450</v>
      </c>
      <c r="E53" s="314">
        <v>300</v>
      </c>
      <c r="F53" s="315">
        <v>1500</v>
      </c>
      <c r="G53" s="312">
        <v>1250</v>
      </c>
      <c r="H53" s="316"/>
      <c r="I53" s="315">
        <v>1250</v>
      </c>
      <c r="J53" s="312">
        <v>3</v>
      </c>
      <c r="K53" s="315"/>
      <c r="L53" s="317" t="s">
        <v>1687</v>
      </c>
      <c r="M53" s="318" t="s">
        <v>1687</v>
      </c>
      <c r="N53" s="315" t="s">
        <v>1687</v>
      </c>
    </row>
    <row r="54" spans="1:25" s="308" customFormat="1">
      <c r="A54" s="312">
        <v>6</v>
      </c>
      <c r="B54" s="312">
        <v>450</v>
      </c>
      <c r="C54" s="312">
        <v>300</v>
      </c>
      <c r="D54" s="314">
        <v>450</v>
      </c>
      <c r="E54" s="314">
        <v>300</v>
      </c>
      <c r="F54" s="315">
        <v>1500</v>
      </c>
      <c r="G54" s="312">
        <v>1400</v>
      </c>
      <c r="H54" s="316"/>
      <c r="I54" s="315">
        <v>1400</v>
      </c>
      <c r="J54" s="312">
        <v>1</v>
      </c>
      <c r="K54" s="315"/>
      <c r="L54" s="317" t="s">
        <v>1687</v>
      </c>
      <c r="M54" s="318" t="s">
        <v>1687</v>
      </c>
      <c r="N54" s="315" t="s">
        <v>1687</v>
      </c>
    </row>
    <row r="55" spans="1:25" s="308" customFormat="1">
      <c r="A55" s="312">
        <v>7</v>
      </c>
      <c r="B55" s="312">
        <v>450</v>
      </c>
      <c r="C55" s="312">
        <v>300</v>
      </c>
      <c r="D55" s="314">
        <v>450</v>
      </c>
      <c r="E55" s="314">
        <v>300</v>
      </c>
      <c r="F55" s="315">
        <v>1500</v>
      </c>
      <c r="G55" s="312">
        <v>1800</v>
      </c>
      <c r="H55" s="316"/>
      <c r="I55" s="315">
        <v>1800</v>
      </c>
      <c r="J55" s="312">
        <v>3</v>
      </c>
      <c r="K55" s="315"/>
      <c r="L55" s="317" t="s">
        <v>1687</v>
      </c>
      <c r="M55" s="318" t="s">
        <v>1687</v>
      </c>
      <c r="N55" s="315" t="s">
        <v>1687</v>
      </c>
    </row>
    <row r="56" spans="1:25" s="308" customFormat="1">
      <c r="A56" s="312">
        <v>8</v>
      </c>
      <c r="B56" s="312">
        <v>450</v>
      </c>
      <c r="C56" s="312">
        <v>200</v>
      </c>
      <c r="D56" s="314">
        <v>450</v>
      </c>
      <c r="E56" s="314">
        <v>200</v>
      </c>
      <c r="F56" s="315">
        <v>1300</v>
      </c>
      <c r="G56" s="312">
        <v>2800</v>
      </c>
      <c r="H56" s="316"/>
      <c r="I56" s="315">
        <v>2800</v>
      </c>
      <c r="J56" s="312">
        <v>2</v>
      </c>
      <c r="K56" s="315"/>
      <c r="L56" s="317" t="s">
        <v>1687</v>
      </c>
      <c r="M56" s="318" t="s">
        <v>1687</v>
      </c>
      <c r="N56" s="315" t="s">
        <v>1687</v>
      </c>
    </row>
    <row r="57" spans="1:25" s="308" customFormat="1">
      <c r="A57" s="312">
        <v>9</v>
      </c>
      <c r="B57" s="312">
        <v>450</v>
      </c>
      <c r="C57" s="312">
        <v>200</v>
      </c>
      <c r="D57" s="314">
        <v>450</v>
      </c>
      <c r="E57" s="314">
        <v>200</v>
      </c>
      <c r="F57" s="315">
        <v>1300</v>
      </c>
      <c r="G57" s="312">
        <v>1400</v>
      </c>
      <c r="H57" s="316"/>
      <c r="I57" s="315">
        <v>1400</v>
      </c>
      <c r="J57" s="312">
        <v>2</v>
      </c>
      <c r="K57" s="315"/>
      <c r="L57" s="317" t="s">
        <v>1687</v>
      </c>
      <c r="M57" s="318" t="s">
        <v>1687</v>
      </c>
      <c r="N57" s="315" t="s">
        <v>1687</v>
      </c>
    </row>
    <row r="58" spans="1:25" s="308" customFormat="1">
      <c r="A58" s="312">
        <v>10</v>
      </c>
      <c r="B58" s="312">
        <v>600</v>
      </c>
      <c r="C58" s="312">
        <v>600</v>
      </c>
      <c r="D58" s="314">
        <v>600</v>
      </c>
      <c r="E58" s="314">
        <v>600</v>
      </c>
      <c r="F58" s="315">
        <v>2400</v>
      </c>
      <c r="G58" s="312">
        <v>600</v>
      </c>
      <c r="H58" s="316"/>
      <c r="I58" s="315">
        <v>600</v>
      </c>
      <c r="J58" s="312">
        <v>3</v>
      </c>
      <c r="K58" s="315"/>
      <c r="L58" s="317" t="s">
        <v>1687</v>
      </c>
      <c r="M58" s="318" t="s">
        <v>1687</v>
      </c>
      <c r="N58" s="315" t="s">
        <v>1687</v>
      </c>
    </row>
    <row r="59" spans="1:25" s="308" customFormat="1">
      <c r="A59" s="312"/>
      <c r="B59" s="312"/>
      <c r="C59" s="312"/>
      <c r="D59" s="314"/>
      <c r="E59" s="314"/>
      <c r="F59" s="315"/>
      <c r="G59" s="312"/>
      <c r="H59" s="316"/>
      <c r="I59" s="315"/>
      <c r="J59" s="312"/>
      <c r="K59" s="315"/>
      <c r="L59" s="317"/>
      <c r="M59" s="318">
        <v>0</v>
      </c>
      <c r="N59" s="315">
        <v>0</v>
      </c>
    </row>
    <row r="60" spans="1:25" s="308" customFormat="1">
      <c r="A60" s="312" t="s">
        <v>1690</v>
      </c>
      <c r="B60" s="312"/>
      <c r="C60" s="312"/>
      <c r="D60" s="314"/>
      <c r="E60" s="314"/>
      <c r="F60" s="315"/>
      <c r="G60" s="312"/>
      <c r="H60" s="316"/>
      <c r="I60" s="315"/>
      <c r="J60" s="312"/>
      <c r="K60" s="315"/>
      <c r="L60" s="317"/>
      <c r="M60" s="318"/>
      <c r="N60" s="315"/>
    </row>
    <row r="61" spans="1:25" s="308" customFormat="1">
      <c r="A61" s="312">
        <v>1</v>
      </c>
      <c r="B61" s="312">
        <v>600</v>
      </c>
      <c r="C61" s="312">
        <v>500</v>
      </c>
      <c r="D61" s="314">
        <v>350</v>
      </c>
      <c r="E61" s="314">
        <v>350</v>
      </c>
      <c r="F61" s="315">
        <v>1800</v>
      </c>
      <c r="G61" s="312">
        <v>1200</v>
      </c>
      <c r="H61" s="316"/>
      <c r="I61" s="315">
        <v>1200</v>
      </c>
      <c r="J61" s="312">
        <v>1</v>
      </c>
      <c r="K61" s="1118"/>
      <c r="L61" s="317" t="s">
        <v>1687</v>
      </c>
      <c r="M61" s="318" t="s">
        <v>1687</v>
      </c>
      <c r="N61" s="315" t="s">
        <v>1687</v>
      </c>
      <c r="O61" s="309"/>
      <c r="P61" s="309"/>
      <c r="Q61" s="309"/>
      <c r="R61" s="309"/>
      <c r="S61" s="309"/>
      <c r="T61" s="319"/>
      <c r="U61" s="319"/>
      <c r="V61" s="320"/>
      <c r="W61" s="309"/>
      <c r="X61" s="321"/>
      <c r="Y61" s="320"/>
    </row>
    <row r="62" spans="1:25" s="308" customFormat="1">
      <c r="A62" s="312">
        <v>2</v>
      </c>
      <c r="B62" s="312">
        <v>600</v>
      </c>
      <c r="C62" s="312">
        <v>500</v>
      </c>
      <c r="D62" s="314">
        <v>450</v>
      </c>
      <c r="E62" s="314">
        <v>450</v>
      </c>
      <c r="F62" s="315">
        <v>2000</v>
      </c>
      <c r="G62" s="312">
        <v>700</v>
      </c>
      <c r="H62" s="316"/>
      <c r="I62" s="315">
        <v>700</v>
      </c>
      <c r="J62" s="312">
        <v>1</v>
      </c>
      <c r="K62" s="315">
        <v>1.4</v>
      </c>
      <c r="L62" s="317" t="s">
        <v>1687</v>
      </c>
      <c r="M62" s="318" t="s">
        <v>1687</v>
      </c>
      <c r="N62" s="315" t="s">
        <v>1687</v>
      </c>
      <c r="O62" s="309"/>
      <c r="P62" s="309"/>
      <c r="Q62" s="309"/>
      <c r="R62" s="309"/>
      <c r="S62" s="309"/>
      <c r="T62" s="319"/>
      <c r="U62" s="319"/>
      <c r="V62" s="320"/>
      <c r="W62" s="309"/>
      <c r="X62" s="321"/>
      <c r="Y62" s="320"/>
    </row>
    <row r="63" spans="1:25" s="308" customFormat="1">
      <c r="A63" s="312">
        <v>3</v>
      </c>
      <c r="B63" s="312">
        <v>450</v>
      </c>
      <c r="C63" s="312">
        <v>450</v>
      </c>
      <c r="D63" s="314">
        <v>450</v>
      </c>
      <c r="E63" s="314">
        <v>450</v>
      </c>
      <c r="F63" s="315">
        <v>1800</v>
      </c>
      <c r="G63" s="312">
        <v>500</v>
      </c>
      <c r="H63" s="316"/>
      <c r="I63" s="315">
        <v>500</v>
      </c>
      <c r="J63" s="312">
        <v>1</v>
      </c>
      <c r="K63" s="315">
        <v>0.9</v>
      </c>
      <c r="L63" s="317" t="s">
        <v>1687</v>
      </c>
      <c r="M63" s="318" t="s">
        <v>1687</v>
      </c>
      <c r="N63" s="315" t="s">
        <v>1687</v>
      </c>
      <c r="O63" s="309"/>
      <c r="P63" s="309"/>
      <c r="Q63" s="309"/>
      <c r="R63" s="309"/>
      <c r="S63" s="309"/>
      <c r="T63" s="309"/>
      <c r="U63" s="309"/>
      <c r="V63" s="320"/>
      <c r="W63" s="309"/>
      <c r="X63" s="321"/>
      <c r="Y63" s="320"/>
    </row>
    <row r="64" spans="1:25" s="308" customFormat="1">
      <c r="A64" s="312">
        <v>4</v>
      </c>
      <c r="B64" s="312">
        <v>450</v>
      </c>
      <c r="C64" s="312">
        <v>450</v>
      </c>
      <c r="D64" s="314">
        <v>450</v>
      </c>
      <c r="E64" s="314">
        <v>450</v>
      </c>
      <c r="F64" s="315">
        <v>1800</v>
      </c>
      <c r="G64" s="312">
        <v>1000</v>
      </c>
      <c r="H64" s="316"/>
      <c r="I64" s="315">
        <v>1000</v>
      </c>
      <c r="J64" s="312">
        <v>1</v>
      </c>
      <c r="K64" s="315">
        <v>1.8</v>
      </c>
      <c r="L64" s="317" t="s">
        <v>1687</v>
      </c>
      <c r="M64" s="318" t="s">
        <v>1687</v>
      </c>
      <c r="N64" s="315" t="s">
        <v>1687</v>
      </c>
      <c r="O64" s="309"/>
      <c r="P64" s="309"/>
      <c r="Q64" s="309"/>
      <c r="R64" s="309"/>
      <c r="S64" s="309"/>
      <c r="T64" s="309"/>
      <c r="U64" s="309"/>
      <c r="V64" s="320"/>
      <c r="W64" s="309"/>
      <c r="X64" s="321"/>
      <c r="Y64" s="320"/>
    </row>
    <row r="65" spans="1:25" s="308" customFormat="1">
      <c r="A65" s="312" t="s">
        <v>1691</v>
      </c>
      <c r="B65" s="312"/>
      <c r="C65" s="312"/>
      <c r="D65" s="314"/>
      <c r="E65" s="314"/>
      <c r="F65" s="315"/>
      <c r="G65" s="312"/>
      <c r="H65" s="316"/>
      <c r="I65" s="315"/>
      <c r="J65" s="312"/>
      <c r="K65" s="315"/>
      <c r="L65" s="317"/>
      <c r="M65" s="318"/>
      <c r="N65" s="315"/>
      <c r="O65" s="309"/>
      <c r="P65" s="309"/>
      <c r="Q65" s="309"/>
      <c r="R65" s="309"/>
      <c r="S65" s="309"/>
      <c r="T65" s="319"/>
      <c r="U65" s="319"/>
      <c r="V65" s="320"/>
      <c r="W65" s="309"/>
      <c r="X65" s="321"/>
      <c r="Y65" s="320"/>
    </row>
    <row r="66" spans="1:25" s="308" customFormat="1">
      <c r="A66" s="312">
        <v>6</v>
      </c>
      <c r="B66" s="312">
        <v>500</v>
      </c>
      <c r="C66" s="312">
        <v>500</v>
      </c>
      <c r="D66" s="314">
        <v>500</v>
      </c>
      <c r="E66" s="314">
        <v>500</v>
      </c>
      <c r="F66" s="315">
        <v>2000</v>
      </c>
      <c r="G66" s="312">
        <v>500</v>
      </c>
      <c r="H66" s="316"/>
      <c r="I66" s="315">
        <v>500</v>
      </c>
      <c r="J66" s="312">
        <v>1</v>
      </c>
      <c r="K66" s="315"/>
      <c r="L66" s="317" t="s">
        <v>1687</v>
      </c>
      <c r="M66" s="318" t="s">
        <v>1687</v>
      </c>
      <c r="N66" s="315" t="s">
        <v>1687</v>
      </c>
      <c r="O66" s="309"/>
      <c r="P66" s="309"/>
      <c r="Q66" s="309"/>
      <c r="R66" s="309"/>
      <c r="S66" s="309"/>
      <c r="T66" s="319"/>
      <c r="U66" s="319"/>
      <c r="V66" s="320"/>
      <c r="W66" s="309"/>
      <c r="X66" s="321"/>
      <c r="Y66" s="320"/>
    </row>
    <row r="67" spans="1:25" s="308" customFormat="1">
      <c r="A67" s="312">
        <v>7</v>
      </c>
      <c r="B67" s="312">
        <v>650</v>
      </c>
      <c r="C67" s="312">
        <v>650</v>
      </c>
      <c r="D67" s="314">
        <v>650</v>
      </c>
      <c r="E67" s="314">
        <v>650</v>
      </c>
      <c r="F67" s="315">
        <v>2600</v>
      </c>
      <c r="G67" s="312"/>
      <c r="H67" s="316"/>
      <c r="I67" s="315"/>
      <c r="J67" s="312">
        <v>1</v>
      </c>
      <c r="K67" s="315"/>
      <c r="L67" s="317" t="s">
        <v>1687</v>
      </c>
      <c r="M67" s="318" t="s">
        <v>1687</v>
      </c>
      <c r="N67" s="315" t="s">
        <v>1687</v>
      </c>
      <c r="O67" s="309"/>
      <c r="P67" s="309"/>
      <c r="Q67" s="309"/>
      <c r="R67" s="309"/>
      <c r="S67" s="309"/>
      <c r="T67" s="319"/>
      <c r="U67" s="319"/>
      <c r="V67" s="320"/>
      <c r="W67" s="309"/>
      <c r="X67" s="321"/>
      <c r="Y67" s="320"/>
    </row>
    <row r="68" spans="1:25" s="308" customFormat="1">
      <c r="A68" s="312">
        <v>8</v>
      </c>
      <c r="B68" s="312">
        <v>500</v>
      </c>
      <c r="C68" s="312">
        <v>500</v>
      </c>
      <c r="D68" s="314">
        <v>500</v>
      </c>
      <c r="E68" s="314">
        <v>500</v>
      </c>
      <c r="F68" s="315">
        <v>2000</v>
      </c>
      <c r="G68" s="312">
        <v>1200</v>
      </c>
      <c r="H68" s="316"/>
      <c r="I68" s="315">
        <v>1200</v>
      </c>
      <c r="J68" s="312">
        <v>1</v>
      </c>
      <c r="K68" s="315"/>
      <c r="L68" s="317" t="s">
        <v>1687</v>
      </c>
      <c r="M68" s="318" t="s">
        <v>1687</v>
      </c>
      <c r="N68" s="315" t="s">
        <v>1687</v>
      </c>
      <c r="O68" s="309"/>
      <c r="P68" s="309"/>
      <c r="Q68" s="309"/>
      <c r="R68" s="309"/>
      <c r="S68" s="309"/>
      <c r="T68" s="319"/>
      <c r="U68" s="319"/>
      <c r="V68" s="320"/>
      <c r="W68" s="309"/>
      <c r="X68" s="321"/>
      <c r="Y68" s="320"/>
    </row>
    <row r="69" spans="1:25">
      <c r="A69" s="312">
        <v>9</v>
      </c>
      <c r="B69" s="312">
        <v>500</v>
      </c>
      <c r="C69" s="312">
        <v>300</v>
      </c>
      <c r="D69" s="314">
        <v>450</v>
      </c>
      <c r="E69" s="314">
        <v>300</v>
      </c>
      <c r="F69" s="315">
        <v>1550</v>
      </c>
      <c r="G69" s="312">
        <v>1200</v>
      </c>
      <c r="H69" s="316"/>
      <c r="I69" s="315">
        <v>1200</v>
      </c>
      <c r="J69" s="312">
        <v>1</v>
      </c>
      <c r="K69" s="315"/>
      <c r="L69" s="317" t="s">
        <v>1687</v>
      </c>
      <c r="M69" s="318" t="s">
        <v>1687</v>
      </c>
      <c r="N69" s="315" t="s">
        <v>1687</v>
      </c>
      <c r="T69" s="319"/>
      <c r="U69" s="319"/>
      <c r="V69" s="320"/>
      <c r="X69" s="321"/>
      <c r="Y69" s="320"/>
    </row>
    <row r="70" spans="1:25">
      <c r="A70" s="312">
        <v>10</v>
      </c>
      <c r="B70" s="312">
        <v>450</v>
      </c>
      <c r="C70" s="312">
        <v>300</v>
      </c>
      <c r="D70" s="314">
        <v>450</v>
      </c>
      <c r="E70" s="314">
        <v>300</v>
      </c>
      <c r="F70" s="315">
        <v>1500</v>
      </c>
      <c r="G70" s="312">
        <v>2500</v>
      </c>
      <c r="H70" s="316"/>
      <c r="I70" s="315">
        <v>2500</v>
      </c>
      <c r="J70" s="312">
        <v>1</v>
      </c>
      <c r="K70" s="315"/>
      <c r="L70" s="317" t="s">
        <v>1687</v>
      </c>
      <c r="M70" s="318" t="s">
        <v>1687</v>
      </c>
      <c r="N70" s="315" t="s">
        <v>1687</v>
      </c>
      <c r="T70" s="319"/>
      <c r="U70" s="319"/>
      <c r="V70" s="320"/>
      <c r="X70" s="321"/>
      <c r="Y70" s="320"/>
    </row>
    <row r="71" spans="1:25">
      <c r="A71" s="312" t="s">
        <v>1692</v>
      </c>
      <c r="B71" s="312"/>
      <c r="C71" s="312"/>
      <c r="D71" s="314"/>
      <c r="E71" s="314"/>
      <c r="F71" s="315"/>
      <c r="G71" s="312"/>
      <c r="H71" s="316"/>
      <c r="I71" s="315"/>
      <c r="J71" s="312"/>
      <c r="K71" s="315"/>
      <c r="L71" s="317"/>
      <c r="M71" s="318"/>
      <c r="N71" s="315"/>
      <c r="T71" s="319"/>
      <c r="U71" s="319"/>
      <c r="V71" s="320"/>
      <c r="X71" s="321"/>
      <c r="Y71" s="320"/>
    </row>
    <row r="72" spans="1:25">
      <c r="A72" s="312">
        <v>12</v>
      </c>
      <c r="B72" s="312">
        <v>500</v>
      </c>
      <c r="C72" s="312">
        <v>150</v>
      </c>
      <c r="D72" s="314">
        <v>500</v>
      </c>
      <c r="E72" s="314">
        <v>150</v>
      </c>
      <c r="F72" s="315">
        <v>1300</v>
      </c>
      <c r="G72" s="312">
        <v>1500</v>
      </c>
      <c r="H72" s="316"/>
      <c r="I72" s="315">
        <v>1500</v>
      </c>
      <c r="J72" s="312">
        <v>1</v>
      </c>
      <c r="K72" s="315"/>
      <c r="L72" s="317" t="s">
        <v>1687</v>
      </c>
      <c r="M72" s="318" t="s">
        <v>1687</v>
      </c>
      <c r="N72" s="315" t="s">
        <v>1687</v>
      </c>
      <c r="T72" s="319"/>
      <c r="U72" s="319"/>
      <c r="V72" s="320"/>
      <c r="X72" s="321"/>
      <c r="Y72" s="320"/>
    </row>
    <row r="73" spans="1:25">
      <c r="A73" s="312">
        <v>13</v>
      </c>
      <c r="B73" s="312">
        <v>550</v>
      </c>
      <c r="C73" s="312">
        <v>550</v>
      </c>
      <c r="D73" s="314">
        <v>550</v>
      </c>
      <c r="E73" s="314">
        <v>550</v>
      </c>
      <c r="F73" s="315">
        <v>2200</v>
      </c>
      <c r="G73" s="312"/>
      <c r="H73" s="316"/>
      <c r="I73" s="315"/>
      <c r="J73" s="312">
        <v>1</v>
      </c>
      <c r="K73" s="315"/>
      <c r="L73" s="317" t="s">
        <v>1687</v>
      </c>
      <c r="M73" s="318" t="s">
        <v>1687</v>
      </c>
      <c r="N73" s="315" t="s">
        <v>1687</v>
      </c>
      <c r="T73" s="319"/>
      <c r="U73" s="319"/>
      <c r="V73" s="320"/>
      <c r="X73" s="321"/>
      <c r="Y73" s="320"/>
    </row>
    <row r="74" spans="1:25">
      <c r="A74" s="312">
        <v>14</v>
      </c>
      <c r="B74" s="312">
        <v>200</v>
      </c>
      <c r="C74" s="312">
        <v>200</v>
      </c>
      <c r="D74" s="314">
        <v>200</v>
      </c>
      <c r="E74" s="314">
        <v>200</v>
      </c>
      <c r="F74" s="315">
        <v>800</v>
      </c>
      <c r="G74" s="312">
        <v>800</v>
      </c>
      <c r="H74" s="316">
        <v>1000</v>
      </c>
      <c r="I74" s="315">
        <v>900</v>
      </c>
      <c r="J74" s="312">
        <v>1</v>
      </c>
      <c r="K74" s="315"/>
      <c r="L74" s="317" t="s">
        <v>1687</v>
      </c>
      <c r="M74" s="318" t="s">
        <v>1687</v>
      </c>
      <c r="N74" s="315" t="s">
        <v>1687</v>
      </c>
      <c r="V74" s="320"/>
      <c r="W74" s="319"/>
      <c r="X74" s="319"/>
      <c r="Y74" s="320"/>
    </row>
    <row r="75" spans="1:25">
      <c r="A75" s="312">
        <v>15</v>
      </c>
      <c r="B75" s="312">
        <v>200</v>
      </c>
      <c r="C75" s="312">
        <v>200</v>
      </c>
      <c r="D75" s="314">
        <v>200</v>
      </c>
      <c r="E75" s="314">
        <v>200</v>
      </c>
      <c r="F75" s="315">
        <v>800</v>
      </c>
      <c r="G75" s="312">
        <v>1500</v>
      </c>
      <c r="H75" s="316"/>
      <c r="I75" s="315">
        <v>1500</v>
      </c>
      <c r="J75" s="312">
        <v>3</v>
      </c>
      <c r="K75" s="315"/>
      <c r="L75" s="317" t="s">
        <v>1687</v>
      </c>
      <c r="M75" s="318" t="s">
        <v>1687</v>
      </c>
      <c r="N75" s="315" t="s">
        <v>1687</v>
      </c>
      <c r="T75" s="319"/>
      <c r="U75" s="319"/>
      <c r="V75" s="320"/>
      <c r="X75" s="321"/>
      <c r="Y75" s="320"/>
    </row>
    <row r="76" spans="1:25">
      <c r="A76" s="312">
        <v>16</v>
      </c>
      <c r="B76" s="312">
        <v>250</v>
      </c>
      <c r="C76" s="312">
        <v>200</v>
      </c>
      <c r="D76" s="314">
        <v>200</v>
      </c>
      <c r="E76" s="314">
        <v>200</v>
      </c>
      <c r="F76" s="315">
        <v>850</v>
      </c>
      <c r="G76" s="312">
        <v>300</v>
      </c>
      <c r="H76" s="316"/>
      <c r="I76" s="315">
        <v>300</v>
      </c>
      <c r="J76" s="312">
        <v>2</v>
      </c>
      <c r="K76" s="315"/>
      <c r="L76" s="317" t="s">
        <v>1687</v>
      </c>
      <c r="M76" s="318" t="s">
        <v>1687</v>
      </c>
      <c r="N76" s="315" t="s">
        <v>1687</v>
      </c>
      <c r="T76" s="319"/>
      <c r="U76" s="319"/>
      <c r="V76" s="320"/>
      <c r="X76" s="321"/>
      <c r="Y76" s="320"/>
    </row>
    <row r="77" spans="1:25">
      <c r="A77" s="312">
        <v>17</v>
      </c>
      <c r="B77" s="312">
        <v>200</v>
      </c>
      <c r="C77" s="312">
        <v>200</v>
      </c>
      <c r="D77" s="314">
        <v>200</v>
      </c>
      <c r="E77" s="314">
        <v>200</v>
      </c>
      <c r="F77" s="315">
        <v>800</v>
      </c>
      <c r="G77" s="312">
        <v>1500</v>
      </c>
      <c r="H77" s="316"/>
      <c r="I77" s="315">
        <v>1500</v>
      </c>
      <c r="J77" s="312">
        <v>1</v>
      </c>
      <c r="K77" s="315"/>
      <c r="L77" s="317" t="s">
        <v>1687</v>
      </c>
      <c r="M77" s="318" t="s">
        <v>1687</v>
      </c>
      <c r="N77" s="315" t="s">
        <v>1687</v>
      </c>
      <c r="T77" s="319"/>
      <c r="U77" s="319"/>
      <c r="V77" s="320"/>
      <c r="X77" s="321"/>
      <c r="Y77" s="320"/>
    </row>
    <row r="78" spans="1:25">
      <c r="A78" s="312">
        <v>18</v>
      </c>
      <c r="B78" s="312">
        <v>300</v>
      </c>
      <c r="C78" s="312">
        <v>150</v>
      </c>
      <c r="D78" s="314">
        <v>250</v>
      </c>
      <c r="E78" s="314">
        <v>150</v>
      </c>
      <c r="F78" s="315">
        <v>850</v>
      </c>
      <c r="G78" s="312">
        <v>800</v>
      </c>
      <c r="H78" s="316">
        <v>1000</v>
      </c>
      <c r="I78" s="315">
        <v>900</v>
      </c>
      <c r="J78" s="312">
        <v>2</v>
      </c>
      <c r="K78" s="315"/>
      <c r="L78" s="317" t="s">
        <v>1687</v>
      </c>
      <c r="M78" s="318" t="s">
        <v>1687</v>
      </c>
      <c r="N78" s="315" t="s">
        <v>1687</v>
      </c>
      <c r="T78" s="319"/>
      <c r="U78" s="319"/>
      <c r="V78" s="320"/>
      <c r="X78" s="321"/>
      <c r="Y78" s="320"/>
    </row>
    <row r="79" spans="1:25">
      <c r="A79" s="312">
        <v>19</v>
      </c>
      <c r="B79" s="312">
        <v>250</v>
      </c>
      <c r="C79" s="312">
        <v>150</v>
      </c>
      <c r="D79" s="314">
        <v>250</v>
      </c>
      <c r="E79" s="314">
        <v>150</v>
      </c>
      <c r="F79" s="315">
        <v>800</v>
      </c>
      <c r="G79" s="312">
        <v>2600</v>
      </c>
      <c r="H79" s="316"/>
      <c r="I79" s="315">
        <v>2600</v>
      </c>
      <c r="J79" s="312">
        <v>1</v>
      </c>
      <c r="K79" s="315"/>
      <c r="L79" s="317" t="s">
        <v>1687</v>
      </c>
      <c r="M79" s="318" t="s">
        <v>1687</v>
      </c>
      <c r="N79" s="315" t="s">
        <v>1687</v>
      </c>
      <c r="T79" s="319"/>
      <c r="U79" s="319"/>
      <c r="V79" s="320"/>
      <c r="X79" s="321"/>
      <c r="Y79" s="320"/>
    </row>
    <row r="80" spans="1:25">
      <c r="A80" s="312">
        <v>20</v>
      </c>
      <c r="B80" s="312">
        <v>750</v>
      </c>
      <c r="C80" s="312">
        <v>150</v>
      </c>
      <c r="D80" s="314">
        <v>700</v>
      </c>
      <c r="E80" s="314">
        <v>150</v>
      </c>
      <c r="F80" s="315">
        <v>1750</v>
      </c>
      <c r="G80" s="312">
        <v>300</v>
      </c>
      <c r="H80" s="316"/>
      <c r="I80" s="315">
        <v>300</v>
      </c>
      <c r="J80" s="312">
        <v>2</v>
      </c>
      <c r="K80" s="315"/>
      <c r="L80" s="317" t="s">
        <v>1687</v>
      </c>
      <c r="M80" s="318" t="s">
        <v>1687</v>
      </c>
      <c r="N80" s="315" t="s">
        <v>1687</v>
      </c>
      <c r="T80" s="319"/>
      <c r="U80" s="319"/>
      <c r="V80" s="320"/>
      <c r="X80" s="321"/>
      <c r="Y80" s="320"/>
    </row>
    <row r="81" spans="1:25">
      <c r="A81" s="312">
        <v>21</v>
      </c>
      <c r="B81" s="312">
        <v>700</v>
      </c>
      <c r="C81" s="312">
        <v>150</v>
      </c>
      <c r="D81" s="314">
        <v>700</v>
      </c>
      <c r="E81" s="314">
        <v>150</v>
      </c>
      <c r="F81" s="315">
        <v>1700</v>
      </c>
      <c r="G81" s="312">
        <v>2600</v>
      </c>
      <c r="H81" s="316"/>
      <c r="I81" s="315">
        <v>2600</v>
      </c>
      <c r="J81" s="312">
        <v>2</v>
      </c>
      <c r="K81" s="315"/>
      <c r="L81" s="317" t="s">
        <v>1687</v>
      </c>
      <c r="M81" s="318" t="s">
        <v>1687</v>
      </c>
      <c r="N81" s="315" t="s">
        <v>1687</v>
      </c>
      <c r="T81" s="319"/>
      <c r="U81" s="319"/>
      <c r="V81" s="320"/>
      <c r="X81" s="321"/>
      <c r="Y81" s="320"/>
    </row>
    <row r="82" spans="1:25">
      <c r="A82" s="312">
        <v>22</v>
      </c>
      <c r="B82" s="312">
        <v>300</v>
      </c>
      <c r="C82" s="312">
        <v>150</v>
      </c>
      <c r="D82" s="314">
        <v>300</v>
      </c>
      <c r="E82" s="314">
        <v>150</v>
      </c>
      <c r="F82" s="315">
        <v>900</v>
      </c>
      <c r="G82" s="312">
        <v>700</v>
      </c>
      <c r="H82" s="316"/>
      <c r="I82" s="315">
        <v>700</v>
      </c>
      <c r="J82" s="312">
        <v>1</v>
      </c>
      <c r="K82" s="315"/>
      <c r="L82" s="317" t="s">
        <v>1687</v>
      </c>
      <c r="M82" s="318" t="s">
        <v>1687</v>
      </c>
      <c r="N82" s="315" t="s">
        <v>1687</v>
      </c>
      <c r="T82" s="319"/>
      <c r="U82" s="319"/>
      <c r="V82" s="320"/>
      <c r="X82" s="321"/>
      <c r="Y82" s="320"/>
    </row>
    <row r="83" spans="1:25">
      <c r="A83" s="312">
        <v>23</v>
      </c>
      <c r="B83" s="312">
        <v>300</v>
      </c>
      <c r="C83" s="312">
        <v>150</v>
      </c>
      <c r="D83" s="314">
        <v>300</v>
      </c>
      <c r="E83" s="314">
        <v>150</v>
      </c>
      <c r="F83" s="315">
        <v>900</v>
      </c>
      <c r="G83" s="312">
        <v>2700</v>
      </c>
      <c r="H83" s="316"/>
      <c r="I83" s="315">
        <v>2700</v>
      </c>
      <c r="J83" s="312">
        <v>2</v>
      </c>
      <c r="K83" s="315"/>
      <c r="L83" s="317" t="s">
        <v>1687</v>
      </c>
      <c r="M83" s="318" t="s">
        <v>1687</v>
      </c>
      <c r="N83" s="315" t="s">
        <v>1687</v>
      </c>
      <c r="T83" s="319"/>
      <c r="U83" s="319"/>
      <c r="V83" s="320"/>
      <c r="X83" s="321"/>
      <c r="Y83" s="320"/>
    </row>
    <row r="84" spans="1:25">
      <c r="A84" s="312">
        <v>24</v>
      </c>
      <c r="B84" s="312">
        <v>500</v>
      </c>
      <c r="C84" s="312">
        <v>150</v>
      </c>
      <c r="D84" s="314">
        <v>500</v>
      </c>
      <c r="E84" s="314">
        <v>150</v>
      </c>
      <c r="F84" s="315">
        <v>1300</v>
      </c>
      <c r="G84" s="312">
        <v>1200</v>
      </c>
      <c r="H84" s="316"/>
      <c r="I84" s="315">
        <v>1200</v>
      </c>
      <c r="J84" s="312">
        <v>3</v>
      </c>
      <c r="K84" s="315"/>
      <c r="L84" s="317" t="s">
        <v>1687</v>
      </c>
      <c r="M84" s="318" t="s">
        <v>1687</v>
      </c>
      <c r="N84" s="315" t="s">
        <v>1687</v>
      </c>
      <c r="T84" s="319"/>
      <c r="U84" s="319"/>
      <c r="V84" s="320"/>
      <c r="X84" s="321"/>
      <c r="Y84" s="320"/>
    </row>
    <row r="85" spans="1:25">
      <c r="A85" s="312">
        <v>25</v>
      </c>
      <c r="B85" s="312">
        <v>200</v>
      </c>
      <c r="C85" s="312">
        <v>200</v>
      </c>
      <c r="D85" s="314">
        <v>250</v>
      </c>
      <c r="E85" s="314">
        <v>200</v>
      </c>
      <c r="F85" s="315">
        <v>850</v>
      </c>
      <c r="G85" s="312">
        <v>200</v>
      </c>
      <c r="H85" s="316"/>
      <c r="I85" s="315">
        <v>200</v>
      </c>
      <c r="J85" s="312">
        <v>1</v>
      </c>
      <c r="K85" s="315"/>
      <c r="L85" s="317" t="s">
        <v>1687</v>
      </c>
      <c r="M85" s="318" t="s">
        <v>1687</v>
      </c>
      <c r="N85" s="315" t="s">
        <v>1687</v>
      </c>
      <c r="T85" s="319"/>
      <c r="U85" s="319"/>
      <c r="V85" s="320"/>
      <c r="X85" s="321"/>
      <c r="Y85" s="320"/>
    </row>
    <row r="86" spans="1:25">
      <c r="A86" s="312">
        <v>26</v>
      </c>
      <c r="B86" s="312">
        <v>200</v>
      </c>
      <c r="C86" s="312">
        <v>200</v>
      </c>
      <c r="D86" s="314">
        <v>200</v>
      </c>
      <c r="E86" s="314">
        <v>200</v>
      </c>
      <c r="F86" s="315">
        <v>800</v>
      </c>
      <c r="G86" s="312">
        <v>2500</v>
      </c>
      <c r="H86" s="316"/>
      <c r="I86" s="315">
        <v>2500</v>
      </c>
      <c r="J86" s="312">
        <v>2</v>
      </c>
      <c r="K86" s="315"/>
      <c r="L86" s="317" t="s">
        <v>1687</v>
      </c>
      <c r="M86" s="318" t="s">
        <v>1687</v>
      </c>
      <c r="N86" s="315" t="s">
        <v>1687</v>
      </c>
      <c r="T86" s="319"/>
      <c r="U86" s="319"/>
      <c r="V86" s="320"/>
      <c r="X86" s="321"/>
      <c r="Y86" s="320"/>
    </row>
    <row r="87" spans="1:25">
      <c r="A87" s="312">
        <v>27</v>
      </c>
      <c r="B87" s="312">
        <v>200</v>
      </c>
      <c r="C87" s="312">
        <v>200</v>
      </c>
      <c r="D87" s="314">
        <v>200</v>
      </c>
      <c r="E87" s="314">
        <v>200</v>
      </c>
      <c r="F87" s="315">
        <v>800</v>
      </c>
      <c r="G87" s="312">
        <v>400</v>
      </c>
      <c r="H87" s="316">
        <v>600</v>
      </c>
      <c r="I87" s="315">
        <v>500</v>
      </c>
      <c r="J87" s="312">
        <v>2</v>
      </c>
      <c r="K87" s="315"/>
      <c r="L87" s="317" t="s">
        <v>1687</v>
      </c>
      <c r="M87" s="318" t="s">
        <v>1687</v>
      </c>
      <c r="N87" s="315" t="s">
        <v>1687</v>
      </c>
      <c r="T87" s="319"/>
      <c r="U87" s="319"/>
      <c r="V87" s="320"/>
      <c r="X87" s="321"/>
      <c r="Y87" s="320"/>
    </row>
    <row r="88" spans="1:25">
      <c r="A88" s="312">
        <v>28</v>
      </c>
      <c r="B88" s="312">
        <v>200</v>
      </c>
      <c r="C88" s="312">
        <v>200</v>
      </c>
      <c r="D88" s="314">
        <v>200</v>
      </c>
      <c r="E88" s="314">
        <v>200</v>
      </c>
      <c r="F88" s="315">
        <v>800</v>
      </c>
      <c r="G88" s="312">
        <v>2500</v>
      </c>
      <c r="H88" s="316"/>
      <c r="I88" s="315">
        <v>2500</v>
      </c>
      <c r="J88" s="312">
        <v>2</v>
      </c>
      <c r="K88" s="315"/>
      <c r="L88" s="317" t="s">
        <v>1687</v>
      </c>
      <c r="M88" s="318" t="s">
        <v>1687</v>
      </c>
      <c r="N88" s="315" t="s">
        <v>1687</v>
      </c>
      <c r="T88" s="319"/>
      <c r="U88" s="319"/>
      <c r="V88" s="320"/>
      <c r="X88" s="321"/>
      <c r="Y88" s="320"/>
    </row>
    <row r="89" spans="1:25">
      <c r="A89" s="312" t="s">
        <v>1693</v>
      </c>
      <c r="B89" s="312"/>
      <c r="C89" s="312"/>
      <c r="D89" s="314"/>
      <c r="E89" s="314"/>
      <c r="F89" s="315"/>
      <c r="G89" s="312"/>
      <c r="H89" s="316"/>
      <c r="I89" s="315"/>
      <c r="J89" s="312"/>
      <c r="K89" s="315"/>
      <c r="L89" s="317"/>
      <c r="M89" s="318"/>
      <c r="N89" s="315"/>
      <c r="T89" s="319"/>
      <c r="U89" s="319"/>
      <c r="V89" s="320"/>
      <c r="X89" s="321"/>
      <c r="Y89" s="320"/>
    </row>
    <row r="90" spans="1:25">
      <c r="A90" s="312">
        <v>30</v>
      </c>
      <c r="B90" s="312">
        <v>900</v>
      </c>
      <c r="C90" s="312">
        <v>100</v>
      </c>
      <c r="D90" s="314">
        <v>900</v>
      </c>
      <c r="E90" s="314">
        <v>100</v>
      </c>
      <c r="F90" s="315">
        <v>2000</v>
      </c>
      <c r="G90" s="312">
        <v>1400</v>
      </c>
      <c r="H90" s="316">
        <v>1200</v>
      </c>
      <c r="I90" s="315">
        <v>1300</v>
      </c>
      <c r="J90" s="312">
        <v>4</v>
      </c>
      <c r="K90" s="315"/>
      <c r="L90" s="317"/>
      <c r="M90" s="318" t="s">
        <v>1687</v>
      </c>
      <c r="N90" s="315" t="s">
        <v>1687</v>
      </c>
      <c r="T90" s="319"/>
      <c r="U90" s="319"/>
      <c r="V90" s="320"/>
      <c r="X90" s="321"/>
      <c r="Y90" s="320"/>
    </row>
    <row r="91" spans="1:25">
      <c r="A91" s="312">
        <v>31</v>
      </c>
      <c r="B91" s="312">
        <v>700</v>
      </c>
      <c r="C91" s="312">
        <v>100</v>
      </c>
      <c r="D91" s="314">
        <v>700</v>
      </c>
      <c r="E91" s="314">
        <v>100</v>
      </c>
      <c r="F91" s="315">
        <v>1600</v>
      </c>
      <c r="G91" s="312">
        <v>1200</v>
      </c>
      <c r="H91" s="316">
        <v>1000</v>
      </c>
      <c r="I91" s="315">
        <v>1100</v>
      </c>
      <c r="J91" s="312">
        <v>2</v>
      </c>
      <c r="K91" s="315"/>
      <c r="L91" s="317" t="s">
        <v>1687</v>
      </c>
      <c r="M91" s="318" t="s">
        <v>1687</v>
      </c>
      <c r="N91" s="315" t="s">
        <v>1687</v>
      </c>
      <c r="T91" s="319"/>
      <c r="U91" s="319"/>
      <c r="V91" s="320"/>
      <c r="X91" s="321"/>
      <c r="Y91" s="320"/>
    </row>
    <row r="92" spans="1:25">
      <c r="A92" s="312">
        <v>32</v>
      </c>
      <c r="B92" s="312">
        <v>700</v>
      </c>
      <c r="C92" s="312">
        <v>100</v>
      </c>
      <c r="D92" s="314">
        <v>700</v>
      </c>
      <c r="E92" s="314">
        <v>100</v>
      </c>
      <c r="F92" s="315">
        <v>1600</v>
      </c>
      <c r="G92" s="312">
        <v>2000</v>
      </c>
      <c r="H92" s="316"/>
      <c r="I92" s="315">
        <v>2000</v>
      </c>
      <c r="J92" s="312">
        <v>1</v>
      </c>
      <c r="K92" s="315"/>
      <c r="L92" s="317" t="s">
        <v>1687</v>
      </c>
      <c r="M92" s="318" t="s">
        <v>1687</v>
      </c>
      <c r="N92" s="315" t="s">
        <v>1687</v>
      </c>
      <c r="T92" s="319"/>
      <c r="U92" s="319"/>
      <c r="V92" s="320"/>
      <c r="X92" s="321"/>
      <c r="Y92" s="320"/>
    </row>
    <row r="93" spans="1:25">
      <c r="A93" s="312">
        <v>33</v>
      </c>
      <c r="B93" s="312">
        <v>700</v>
      </c>
      <c r="C93" s="312">
        <v>100</v>
      </c>
      <c r="D93" s="314">
        <v>700</v>
      </c>
      <c r="E93" s="314">
        <v>100</v>
      </c>
      <c r="F93" s="315">
        <v>1600</v>
      </c>
      <c r="G93" s="312">
        <v>1000</v>
      </c>
      <c r="H93" s="316"/>
      <c r="I93" s="315">
        <v>1000</v>
      </c>
      <c r="J93" s="312">
        <v>1</v>
      </c>
      <c r="K93" s="315"/>
      <c r="L93" s="317" t="s">
        <v>1687</v>
      </c>
      <c r="M93" s="318" t="s">
        <v>1687</v>
      </c>
      <c r="N93" s="315" t="s">
        <v>1687</v>
      </c>
      <c r="T93" s="319"/>
      <c r="U93" s="319"/>
      <c r="V93" s="320"/>
      <c r="X93" s="321"/>
      <c r="Y93" s="320"/>
    </row>
    <row r="94" spans="1:25">
      <c r="A94" s="312">
        <v>34</v>
      </c>
      <c r="B94" s="312">
        <v>500</v>
      </c>
      <c r="C94" s="312">
        <v>100</v>
      </c>
      <c r="D94" s="314">
        <v>500</v>
      </c>
      <c r="E94" s="314">
        <v>100</v>
      </c>
      <c r="F94" s="315">
        <v>1200</v>
      </c>
      <c r="G94" s="312">
        <v>1500</v>
      </c>
      <c r="H94" s="316"/>
      <c r="I94" s="315">
        <v>1500</v>
      </c>
      <c r="J94" s="312">
        <v>2</v>
      </c>
      <c r="K94" s="315"/>
      <c r="L94" s="317" t="s">
        <v>1687</v>
      </c>
      <c r="M94" s="318" t="s">
        <v>1687</v>
      </c>
      <c r="N94" s="315" t="s">
        <v>1687</v>
      </c>
      <c r="T94" s="319"/>
      <c r="U94" s="319"/>
      <c r="V94" s="320"/>
      <c r="X94" s="321"/>
      <c r="Y94" s="320"/>
    </row>
    <row r="95" spans="1:25">
      <c r="A95" s="312">
        <v>35</v>
      </c>
      <c r="B95" s="312">
        <v>600</v>
      </c>
      <c r="C95" s="312">
        <v>600</v>
      </c>
      <c r="D95" s="314">
        <v>600</v>
      </c>
      <c r="E95" s="314">
        <v>600</v>
      </c>
      <c r="F95" s="315">
        <v>2400</v>
      </c>
      <c r="G95" s="312"/>
      <c r="H95" s="316"/>
      <c r="I95" s="315"/>
      <c r="J95" s="312">
        <v>1</v>
      </c>
      <c r="K95" s="315"/>
      <c r="L95" s="317" t="s">
        <v>1687</v>
      </c>
      <c r="M95" s="318" t="s">
        <v>1687</v>
      </c>
      <c r="N95" s="315" t="s">
        <v>1687</v>
      </c>
      <c r="T95" s="319"/>
      <c r="U95" s="319"/>
      <c r="V95" s="320"/>
      <c r="X95" s="321"/>
      <c r="Y95" s="320"/>
    </row>
    <row r="96" spans="1:25">
      <c r="A96" s="312">
        <v>36</v>
      </c>
      <c r="B96" s="312">
        <v>700</v>
      </c>
      <c r="C96" s="312">
        <v>100</v>
      </c>
      <c r="D96" s="314">
        <v>700</v>
      </c>
      <c r="E96" s="314">
        <v>100</v>
      </c>
      <c r="F96" s="315">
        <v>1600</v>
      </c>
      <c r="G96" s="312">
        <v>800</v>
      </c>
      <c r="H96" s="316">
        <v>600</v>
      </c>
      <c r="I96" s="315">
        <v>700</v>
      </c>
      <c r="J96" s="312">
        <v>1</v>
      </c>
      <c r="K96" s="315"/>
      <c r="L96" s="317" t="s">
        <v>1687</v>
      </c>
      <c r="M96" s="318" t="s">
        <v>1687</v>
      </c>
      <c r="N96" s="315" t="s">
        <v>1687</v>
      </c>
      <c r="T96" s="319"/>
      <c r="U96" s="319"/>
      <c r="V96" s="320"/>
      <c r="X96" s="321"/>
      <c r="Y96" s="320"/>
    </row>
    <row r="97" spans="1:25">
      <c r="A97" s="312">
        <v>37</v>
      </c>
      <c r="B97" s="312">
        <v>700</v>
      </c>
      <c r="C97" s="312">
        <v>100</v>
      </c>
      <c r="D97" s="314">
        <v>700</v>
      </c>
      <c r="E97" s="314">
        <v>100</v>
      </c>
      <c r="F97" s="315">
        <v>1600</v>
      </c>
      <c r="G97" s="312">
        <v>650</v>
      </c>
      <c r="H97" s="316">
        <v>800</v>
      </c>
      <c r="I97" s="315">
        <v>725</v>
      </c>
      <c r="J97" s="312">
        <v>1</v>
      </c>
      <c r="K97" s="315"/>
      <c r="L97" s="317" t="s">
        <v>1687</v>
      </c>
      <c r="M97" s="318" t="s">
        <v>1687</v>
      </c>
      <c r="N97" s="315" t="s">
        <v>1687</v>
      </c>
      <c r="T97" s="319"/>
      <c r="U97" s="319"/>
      <c r="V97" s="320"/>
      <c r="X97" s="321"/>
      <c r="Y97" s="320"/>
    </row>
    <row r="98" spans="1:25">
      <c r="A98" s="312">
        <v>38</v>
      </c>
      <c r="B98" s="312">
        <v>700</v>
      </c>
      <c r="C98" s="312">
        <v>100</v>
      </c>
      <c r="D98" s="314">
        <v>700</v>
      </c>
      <c r="E98" s="314">
        <v>100</v>
      </c>
      <c r="F98" s="315">
        <v>1600</v>
      </c>
      <c r="G98" s="312">
        <v>1700</v>
      </c>
      <c r="H98" s="316"/>
      <c r="I98" s="315">
        <v>1700</v>
      </c>
      <c r="J98" s="312">
        <v>2</v>
      </c>
      <c r="K98" s="315"/>
      <c r="L98" s="317" t="s">
        <v>1687</v>
      </c>
      <c r="M98" s="318" t="s">
        <v>1687</v>
      </c>
      <c r="N98" s="315" t="s">
        <v>1687</v>
      </c>
      <c r="T98" s="319"/>
      <c r="U98" s="319"/>
      <c r="V98" s="320"/>
      <c r="X98" s="321"/>
      <c r="Y98" s="320"/>
    </row>
    <row r="99" spans="1:25">
      <c r="A99" s="312">
        <v>39</v>
      </c>
      <c r="B99" s="312">
        <v>700</v>
      </c>
      <c r="C99" s="312">
        <v>100</v>
      </c>
      <c r="D99" s="314">
        <v>700</v>
      </c>
      <c r="E99" s="314">
        <v>100</v>
      </c>
      <c r="F99" s="315">
        <v>1600</v>
      </c>
      <c r="G99" s="312">
        <v>1500</v>
      </c>
      <c r="H99" s="316"/>
      <c r="I99" s="315">
        <v>1500</v>
      </c>
      <c r="J99" s="312">
        <v>2</v>
      </c>
      <c r="K99" s="315"/>
      <c r="L99" s="317" t="s">
        <v>1687</v>
      </c>
      <c r="M99" s="318" t="s">
        <v>1687</v>
      </c>
      <c r="N99" s="315" t="s">
        <v>1687</v>
      </c>
      <c r="T99" s="319"/>
      <c r="U99" s="319"/>
      <c r="V99" s="320"/>
      <c r="X99" s="321"/>
      <c r="Y99" s="320"/>
    </row>
    <row r="100" spans="1:25">
      <c r="A100" s="312">
        <v>40</v>
      </c>
      <c r="B100" s="312">
        <v>700</v>
      </c>
      <c r="C100" s="312">
        <v>100</v>
      </c>
      <c r="D100" s="314">
        <v>700</v>
      </c>
      <c r="E100" s="314">
        <v>100</v>
      </c>
      <c r="F100" s="315">
        <v>1600</v>
      </c>
      <c r="G100" s="312">
        <v>1000</v>
      </c>
      <c r="H100" s="316"/>
      <c r="I100" s="315">
        <v>1000</v>
      </c>
      <c r="J100" s="312">
        <v>2</v>
      </c>
      <c r="K100" s="315"/>
      <c r="L100" s="317" t="s">
        <v>1687</v>
      </c>
      <c r="M100" s="318" t="s">
        <v>1687</v>
      </c>
      <c r="N100" s="315" t="s">
        <v>1687</v>
      </c>
      <c r="T100" s="319"/>
      <c r="U100" s="319"/>
      <c r="V100" s="320"/>
      <c r="X100" s="321"/>
      <c r="Y100" s="320"/>
    </row>
    <row r="101" spans="1:25">
      <c r="A101" s="312" t="s">
        <v>1694</v>
      </c>
      <c r="B101" s="312"/>
      <c r="C101" s="312"/>
      <c r="D101" s="314"/>
      <c r="E101" s="314"/>
      <c r="F101" s="315"/>
      <c r="G101" s="312"/>
      <c r="H101" s="316"/>
      <c r="I101" s="315"/>
      <c r="J101" s="312"/>
      <c r="K101" s="315"/>
      <c r="L101" s="317"/>
      <c r="M101" s="318"/>
      <c r="N101" s="315"/>
      <c r="T101" s="319"/>
      <c r="U101" s="319"/>
      <c r="V101" s="320"/>
      <c r="X101" s="321"/>
      <c r="Y101" s="320"/>
    </row>
    <row r="102" spans="1:25">
      <c r="A102" s="312">
        <v>42</v>
      </c>
      <c r="B102" s="312">
        <v>500</v>
      </c>
      <c r="C102" s="312">
        <v>100</v>
      </c>
      <c r="D102" s="314">
        <v>500</v>
      </c>
      <c r="E102" s="314">
        <v>100</v>
      </c>
      <c r="F102" s="315">
        <v>1200</v>
      </c>
      <c r="G102" s="312">
        <v>600</v>
      </c>
      <c r="H102" s="316"/>
      <c r="I102" s="315">
        <v>600</v>
      </c>
      <c r="J102" s="312">
        <v>1</v>
      </c>
      <c r="K102" s="315"/>
      <c r="L102" s="317" t="s">
        <v>1687</v>
      </c>
      <c r="M102" s="318" t="s">
        <v>1687</v>
      </c>
      <c r="N102" s="315" t="s">
        <v>1687</v>
      </c>
      <c r="T102" s="319"/>
      <c r="U102" s="319"/>
      <c r="V102" s="320"/>
      <c r="X102" s="321"/>
      <c r="Y102" s="320"/>
    </row>
    <row r="103" spans="1:25">
      <c r="A103" s="312">
        <v>43</v>
      </c>
      <c r="B103" s="312">
        <v>600</v>
      </c>
      <c r="C103" s="312">
        <v>600</v>
      </c>
      <c r="D103" s="314">
        <v>600</v>
      </c>
      <c r="E103" s="314">
        <v>600</v>
      </c>
      <c r="F103" s="315">
        <v>2400</v>
      </c>
      <c r="G103" s="312"/>
      <c r="H103" s="316"/>
      <c r="I103" s="315"/>
      <c r="J103" s="312">
        <v>1</v>
      </c>
      <c r="K103" s="315"/>
      <c r="L103" s="317" t="s">
        <v>1687</v>
      </c>
      <c r="M103" s="318" t="s">
        <v>1687</v>
      </c>
      <c r="N103" s="315" t="s">
        <v>1687</v>
      </c>
      <c r="T103" s="319"/>
      <c r="U103" s="319"/>
      <c r="V103" s="320"/>
      <c r="X103" s="321"/>
      <c r="Y103" s="320"/>
    </row>
    <row r="104" spans="1:25">
      <c r="A104" s="312">
        <v>44</v>
      </c>
      <c r="B104" s="312">
        <v>500</v>
      </c>
      <c r="C104" s="312">
        <v>100</v>
      </c>
      <c r="D104" s="314">
        <v>500</v>
      </c>
      <c r="E104" s="314">
        <v>100</v>
      </c>
      <c r="F104" s="315">
        <v>1200</v>
      </c>
      <c r="G104" s="312">
        <v>600</v>
      </c>
      <c r="H104" s="316">
        <v>400</v>
      </c>
      <c r="I104" s="315">
        <v>500</v>
      </c>
      <c r="J104" s="312">
        <v>1</v>
      </c>
      <c r="K104" s="315"/>
      <c r="L104" s="317" t="s">
        <v>1687</v>
      </c>
      <c r="M104" s="318" t="s">
        <v>1687</v>
      </c>
      <c r="N104" s="315" t="s">
        <v>1687</v>
      </c>
      <c r="T104" s="319"/>
      <c r="U104" s="319"/>
      <c r="V104" s="320"/>
      <c r="X104" s="321"/>
      <c r="Y104" s="320"/>
    </row>
    <row r="105" spans="1:25">
      <c r="A105" s="312">
        <v>45</v>
      </c>
      <c r="B105" s="312">
        <v>500</v>
      </c>
      <c r="C105" s="312">
        <v>100</v>
      </c>
      <c r="D105" s="314">
        <v>500</v>
      </c>
      <c r="E105" s="314">
        <v>100</v>
      </c>
      <c r="F105" s="315">
        <v>1200</v>
      </c>
      <c r="G105" s="312">
        <v>2000</v>
      </c>
      <c r="H105" s="316"/>
      <c r="I105" s="315">
        <v>2000</v>
      </c>
      <c r="J105" s="312">
        <v>1</v>
      </c>
      <c r="K105" s="315"/>
      <c r="L105" s="317" t="s">
        <v>1687</v>
      </c>
      <c r="M105" s="318" t="s">
        <v>1687</v>
      </c>
      <c r="N105" s="315" t="s">
        <v>1687</v>
      </c>
      <c r="T105" s="319"/>
      <c r="U105" s="319"/>
      <c r="V105" s="320"/>
      <c r="X105" s="321"/>
      <c r="Y105" s="320"/>
    </row>
    <row r="106" spans="1:25">
      <c r="A106" s="312">
        <v>46</v>
      </c>
      <c r="B106" s="312">
        <v>500</v>
      </c>
      <c r="C106" s="312">
        <v>100</v>
      </c>
      <c r="D106" s="314">
        <v>500</v>
      </c>
      <c r="E106" s="314">
        <v>100</v>
      </c>
      <c r="F106" s="315">
        <v>1200</v>
      </c>
      <c r="G106" s="312">
        <v>800</v>
      </c>
      <c r="H106" s="316"/>
      <c r="I106" s="315">
        <v>800</v>
      </c>
      <c r="J106" s="312">
        <v>1</v>
      </c>
      <c r="K106" s="315"/>
      <c r="L106" s="317" t="s">
        <v>1687</v>
      </c>
      <c r="M106" s="318" t="s">
        <v>1687</v>
      </c>
      <c r="N106" s="315" t="s">
        <v>1687</v>
      </c>
      <c r="T106" s="319"/>
      <c r="U106" s="319"/>
      <c r="V106" s="320"/>
      <c r="X106" s="321"/>
      <c r="Y106" s="320"/>
    </row>
    <row r="107" spans="1:25">
      <c r="A107" s="312">
        <v>47</v>
      </c>
      <c r="B107" s="312">
        <v>450</v>
      </c>
      <c r="C107" s="312">
        <v>450</v>
      </c>
      <c r="D107" s="314">
        <v>450</v>
      </c>
      <c r="E107" s="314">
        <v>450</v>
      </c>
      <c r="F107" s="315">
        <v>1800</v>
      </c>
      <c r="G107" s="312">
        <v>1200</v>
      </c>
      <c r="H107" s="316"/>
      <c r="I107" s="315">
        <v>1200</v>
      </c>
      <c r="J107" s="312">
        <v>8</v>
      </c>
      <c r="K107" s="315"/>
      <c r="L107" s="317" t="s">
        <v>1687</v>
      </c>
      <c r="M107" s="318" t="s">
        <v>1687</v>
      </c>
      <c r="N107" s="315" t="s">
        <v>1687</v>
      </c>
      <c r="T107" s="319"/>
      <c r="U107" s="319"/>
      <c r="V107" s="320"/>
      <c r="X107" s="321"/>
      <c r="Y107" s="320"/>
    </row>
    <row r="108" spans="1:25">
      <c r="A108" s="312">
        <v>48</v>
      </c>
      <c r="B108" s="312">
        <v>600</v>
      </c>
      <c r="C108" s="312">
        <v>600</v>
      </c>
      <c r="D108" s="314">
        <v>600</v>
      </c>
      <c r="E108" s="314">
        <v>600</v>
      </c>
      <c r="F108" s="315">
        <v>2400</v>
      </c>
      <c r="G108" s="312">
        <v>600</v>
      </c>
      <c r="H108" s="316"/>
      <c r="I108" s="315">
        <v>600</v>
      </c>
      <c r="J108" s="312">
        <v>3</v>
      </c>
      <c r="K108" s="315"/>
      <c r="L108" s="317" t="s">
        <v>1687</v>
      </c>
      <c r="M108" s="318" t="s">
        <v>1687</v>
      </c>
      <c r="N108" s="315" t="s">
        <v>1687</v>
      </c>
    </row>
    <row r="109" spans="1:25">
      <c r="B109" s="309" t="s">
        <v>105</v>
      </c>
      <c r="D109" s="319"/>
      <c r="E109" s="319"/>
      <c r="F109" s="320"/>
      <c r="H109" s="321"/>
      <c r="I109" s="320"/>
      <c r="K109" s="1118">
        <f>SUM(K4:K108)</f>
        <v>104.785</v>
      </c>
      <c r="L109" s="1118">
        <f>SUM(L4:L108)</f>
        <v>27.5</v>
      </c>
      <c r="M109" s="328"/>
      <c r="N109" s="320"/>
    </row>
    <row r="110" spans="1:25">
      <c r="D110" s="319"/>
      <c r="E110" s="319"/>
      <c r="F110" s="320"/>
      <c r="H110" s="321"/>
      <c r="I110" s="320"/>
      <c r="K110" s="320"/>
      <c r="L110" s="329"/>
      <c r="M110" s="328"/>
      <c r="N110" s="320"/>
    </row>
    <row r="111" spans="1:25">
      <c r="D111" s="319"/>
      <c r="E111" s="319"/>
      <c r="F111" s="320"/>
      <c r="H111" s="321"/>
      <c r="I111" s="320"/>
      <c r="K111" s="320"/>
      <c r="L111" s="329"/>
      <c r="M111" s="328"/>
      <c r="N111" s="320"/>
    </row>
    <row r="112" spans="1:25">
      <c r="D112" s="319"/>
      <c r="E112" s="319"/>
      <c r="F112" s="320"/>
      <c r="H112" s="321"/>
      <c r="I112" s="320"/>
      <c r="K112" s="320"/>
      <c r="L112" s="329"/>
      <c r="M112" s="328"/>
      <c r="N112" s="320"/>
    </row>
    <row r="113" spans="1:14">
      <c r="A113" s="1277" t="s">
        <v>1695</v>
      </c>
      <c r="B113" s="1277"/>
      <c r="C113" s="312"/>
      <c r="D113" s="314"/>
      <c r="E113" s="314"/>
      <c r="F113" s="315"/>
      <c r="G113" s="312"/>
      <c r="H113" s="316"/>
      <c r="I113" s="315"/>
      <c r="J113" s="312"/>
      <c r="K113" s="315"/>
      <c r="L113" s="317"/>
      <c r="M113" s="318"/>
      <c r="N113" s="315"/>
    </row>
    <row r="114" spans="1:14">
      <c r="A114" s="312">
        <v>1</v>
      </c>
      <c r="B114" s="312">
        <v>1300</v>
      </c>
      <c r="C114" s="312">
        <v>700</v>
      </c>
      <c r="D114" s="314">
        <v>1300</v>
      </c>
      <c r="E114" s="314">
        <v>700</v>
      </c>
      <c r="F114" s="315">
        <v>4000</v>
      </c>
      <c r="G114" s="312">
        <v>1500</v>
      </c>
      <c r="H114" s="316"/>
      <c r="I114" s="315">
        <v>1500</v>
      </c>
      <c r="J114" s="312">
        <v>14</v>
      </c>
      <c r="K114" s="315"/>
      <c r="L114" s="317"/>
      <c r="M114" s="318" t="s">
        <v>1687</v>
      </c>
      <c r="N114" s="315" t="s">
        <v>1687</v>
      </c>
    </row>
    <row r="115" spans="1:14">
      <c r="A115" s="312">
        <v>2</v>
      </c>
      <c r="B115" s="312">
        <v>600</v>
      </c>
      <c r="C115" s="312">
        <v>600</v>
      </c>
      <c r="D115" s="314">
        <v>600</v>
      </c>
      <c r="E115" s="314">
        <v>600</v>
      </c>
      <c r="F115" s="315">
        <v>2400</v>
      </c>
      <c r="G115" s="312">
        <v>1300</v>
      </c>
      <c r="H115" s="316"/>
      <c r="I115" s="315">
        <v>1300</v>
      </c>
      <c r="J115" s="312">
        <v>4</v>
      </c>
      <c r="K115" s="315"/>
      <c r="L115" s="317"/>
      <c r="M115" s="318" t="s">
        <v>1687</v>
      </c>
      <c r="N115" s="315" t="s">
        <v>1687</v>
      </c>
    </row>
    <row r="116" spans="1:14">
      <c r="A116" s="312">
        <v>3</v>
      </c>
      <c r="B116" s="312">
        <v>550</v>
      </c>
      <c r="C116" s="312">
        <v>550</v>
      </c>
      <c r="D116" s="314">
        <v>550</v>
      </c>
      <c r="E116" s="314">
        <v>550</v>
      </c>
      <c r="F116" s="315">
        <v>2200</v>
      </c>
      <c r="G116" s="312">
        <v>1300</v>
      </c>
      <c r="H116" s="316"/>
      <c r="I116" s="315">
        <v>1300</v>
      </c>
      <c r="J116" s="312">
        <v>2</v>
      </c>
      <c r="K116" s="315"/>
      <c r="L116" s="317"/>
      <c r="M116" s="318" t="s">
        <v>1687</v>
      </c>
      <c r="N116" s="315" t="s">
        <v>1687</v>
      </c>
    </row>
    <row r="117" spans="1:14">
      <c r="A117" s="312">
        <v>4</v>
      </c>
      <c r="B117" s="312">
        <v>500</v>
      </c>
      <c r="C117" s="312">
        <v>500</v>
      </c>
      <c r="D117" s="314">
        <v>500</v>
      </c>
      <c r="E117" s="314">
        <v>500</v>
      </c>
      <c r="F117" s="315">
        <v>2000</v>
      </c>
      <c r="G117" s="312">
        <v>2500</v>
      </c>
      <c r="H117" s="316"/>
      <c r="I117" s="315">
        <v>2500</v>
      </c>
      <c r="J117" s="312">
        <v>4</v>
      </c>
      <c r="K117" s="315"/>
      <c r="L117" s="317"/>
      <c r="M117" s="318" t="s">
        <v>1687</v>
      </c>
      <c r="N117" s="315" t="s">
        <v>1687</v>
      </c>
    </row>
    <row r="118" spans="1:14">
      <c r="A118" s="312">
        <v>5</v>
      </c>
      <c r="B118" s="312">
        <v>450</v>
      </c>
      <c r="C118" s="312">
        <v>450</v>
      </c>
      <c r="D118" s="314">
        <v>450</v>
      </c>
      <c r="E118" s="314">
        <v>450</v>
      </c>
      <c r="F118" s="315">
        <v>1800</v>
      </c>
      <c r="G118" s="312">
        <v>2600</v>
      </c>
      <c r="H118" s="316"/>
      <c r="I118" s="315">
        <v>2600</v>
      </c>
      <c r="J118" s="312">
        <v>2</v>
      </c>
      <c r="K118" s="315"/>
      <c r="L118" s="317"/>
      <c r="M118" s="318" t="s">
        <v>1687</v>
      </c>
      <c r="N118" s="315" t="s">
        <v>1687</v>
      </c>
    </row>
    <row r="119" spans="1:14">
      <c r="A119" s="312">
        <v>6</v>
      </c>
      <c r="B119" s="312">
        <v>1200</v>
      </c>
      <c r="C119" s="312">
        <v>550</v>
      </c>
      <c r="D119" s="314">
        <v>1200</v>
      </c>
      <c r="E119" s="314">
        <v>550</v>
      </c>
      <c r="F119" s="315">
        <v>3500</v>
      </c>
      <c r="G119" s="312">
        <v>1600</v>
      </c>
      <c r="H119" s="316"/>
      <c r="I119" s="315">
        <v>1600</v>
      </c>
      <c r="J119" s="312">
        <v>3</v>
      </c>
      <c r="K119" s="315"/>
      <c r="L119" s="317"/>
      <c r="M119" s="318" t="s">
        <v>1687</v>
      </c>
      <c r="N119" s="315" t="s">
        <v>1687</v>
      </c>
    </row>
    <row r="120" spans="1:14">
      <c r="A120" s="312">
        <v>7</v>
      </c>
      <c r="B120" s="312">
        <v>1100</v>
      </c>
      <c r="C120" s="312">
        <v>500</v>
      </c>
      <c r="D120" s="314">
        <v>1100</v>
      </c>
      <c r="E120" s="314">
        <v>500</v>
      </c>
      <c r="F120" s="315">
        <v>3200</v>
      </c>
      <c r="G120" s="312">
        <v>1400</v>
      </c>
      <c r="H120" s="316"/>
      <c r="I120" s="315">
        <v>1400</v>
      </c>
      <c r="J120" s="312">
        <v>5</v>
      </c>
      <c r="K120" s="315"/>
      <c r="L120" s="317"/>
      <c r="M120" s="318" t="s">
        <v>1687</v>
      </c>
      <c r="N120" s="315" t="s">
        <v>1687</v>
      </c>
    </row>
    <row r="121" spans="1:14">
      <c r="A121" s="312">
        <v>8</v>
      </c>
      <c r="B121" s="312">
        <v>1300</v>
      </c>
      <c r="C121" s="312">
        <v>700</v>
      </c>
      <c r="D121" s="314">
        <v>1300</v>
      </c>
      <c r="E121" s="314">
        <v>700</v>
      </c>
      <c r="F121" s="315">
        <v>4000</v>
      </c>
      <c r="G121" s="312">
        <v>1500</v>
      </c>
      <c r="H121" s="316"/>
      <c r="I121" s="315">
        <v>1500</v>
      </c>
      <c r="J121" s="312">
        <v>10</v>
      </c>
      <c r="K121" s="315"/>
      <c r="L121" s="317"/>
      <c r="M121" s="318" t="s">
        <v>1687</v>
      </c>
      <c r="N121" s="315" t="s">
        <v>1687</v>
      </c>
    </row>
    <row r="122" spans="1:14">
      <c r="A122" s="323"/>
      <c r="B122" s="324"/>
      <c r="K122" s="315">
        <f>SUM(K114:K121)</f>
        <v>0</v>
      </c>
      <c r="L122" s="315">
        <f>SUM(L114:L121)</f>
        <v>0</v>
      </c>
    </row>
    <row r="123" spans="1:14">
      <c r="A123" s="325"/>
      <c r="K123" s="320"/>
      <c r="L123" s="320"/>
    </row>
    <row r="124" spans="1:14">
      <c r="A124" s="325"/>
      <c r="K124" s="320"/>
      <c r="L124" s="320"/>
    </row>
    <row r="125" spans="1:14" ht="31.5" customHeight="1">
      <c r="A125" s="1272" t="s">
        <v>1425</v>
      </c>
      <c r="B125" s="1272"/>
      <c r="C125" s="1272"/>
      <c r="D125" s="1273"/>
      <c r="E125" s="312" t="s">
        <v>1682</v>
      </c>
      <c r="F125" s="312"/>
      <c r="G125" s="312"/>
    </row>
    <row r="126" spans="1:14" ht="40.5" customHeight="1">
      <c r="A126" s="10">
        <v>2</v>
      </c>
      <c r="B126" s="326" t="s">
        <v>1441</v>
      </c>
      <c r="C126" s="326"/>
      <c r="D126" s="1155"/>
      <c r="E126" s="653" t="s">
        <v>1886</v>
      </c>
      <c r="F126" s="653" t="s">
        <v>1887</v>
      </c>
      <c r="G126" s="312" t="s">
        <v>813</v>
      </c>
    </row>
    <row r="127" spans="1:14" ht="43.5" customHeight="1">
      <c r="A127" s="4" t="s">
        <v>1443</v>
      </c>
      <c r="B127" s="1271" t="s">
        <v>1444</v>
      </c>
      <c r="C127" s="1271"/>
      <c r="D127" s="1153">
        <f>K109</f>
        <v>104.785</v>
      </c>
      <c r="E127" s="312">
        <v>104.785</v>
      </c>
      <c r="F127" s="312">
        <v>0</v>
      </c>
      <c r="G127" s="312">
        <f>E127+F127</f>
        <v>104.785</v>
      </c>
    </row>
    <row r="128" spans="1:14" ht="45" customHeight="1">
      <c r="A128" s="4" t="s">
        <v>1446</v>
      </c>
      <c r="B128" s="1271" t="s">
        <v>1447</v>
      </c>
      <c r="C128" s="1271"/>
      <c r="D128" s="1153">
        <f>L109</f>
        <v>27.5</v>
      </c>
      <c r="E128" s="312">
        <v>5</v>
      </c>
      <c r="F128" s="312">
        <f>D128-E128</f>
        <v>22.5</v>
      </c>
      <c r="G128" s="312">
        <f>F128+E128</f>
        <v>27.5</v>
      </c>
    </row>
    <row r="129" spans="1:7" ht="23.25" customHeight="1">
      <c r="A129" s="1272" t="s">
        <v>1475</v>
      </c>
      <c r="B129" s="1272"/>
      <c r="C129" s="1272"/>
      <c r="D129" s="1273"/>
      <c r="E129" s="312"/>
      <c r="F129" s="312"/>
      <c r="G129" s="312"/>
    </row>
    <row r="130" spans="1:7" ht="32.25" customHeight="1">
      <c r="A130" s="4" t="s">
        <v>1476</v>
      </c>
      <c r="B130" s="1274" t="s">
        <v>1477</v>
      </c>
      <c r="C130" s="1275"/>
      <c r="D130" s="1275"/>
      <c r="E130" s="312"/>
      <c r="F130" s="312"/>
      <c r="G130" s="312"/>
    </row>
    <row r="131" spans="1:7" ht="24.75" customHeight="1">
      <c r="A131" s="10" t="s">
        <v>1485</v>
      </c>
      <c r="B131" s="1271" t="s">
        <v>1486</v>
      </c>
      <c r="C131" s="1271"/>
      <c r="D131" s="333">
        <v>258.5</v>
      </c>
      <c r="E131" s="312"/>
      <c r="F131" s="312"/>
      <c r="G131" s="312"/>
    </row>
    <row r="132" spans="1:7">
      <c r="A132" s="330"/>
      <c r="B132" s="331"/>
      <c r="C132" s="332"/>
      <c r="D132" s="333"/>
      <c r="E132" s="312"/>
      <c r="F132" s="312"/>
      <c r="G132" s="312"/>
    </row>
    <row r="133" spans="1:7" ht="48.75" customHeight="1">
      <c r="A133" s="1251" t="s">
        <v>1499</v>
      </c>
      <c r="B133" s="1251"/>
      <c r="C133" s="1251"/>
      <c r="D133" s="1274"/>
      <c r="E133" s="1154"/>
      <c r="F133" s="1154"/>
      <c r="G133" s="312"/>
    </row>
    <row r="134" spans="1:7" ht="38.25" customHeight="1">
      <c r="A134" s="10">
        <v>2</v>
      </c>
      <c r="B134" s="1251" t="s">
        <v>1441</v>
      </c>
      <c r="C134" s="1251"/>
      <c r="D134" s="1153"/>
      <c r="E134" s="312"/>
      <c r="F134" s="312"/>
      <c r="G134" s="312"/>
    </row>
    <row r="135" spans="1:7" ht="43.5" customHeight="1">
      <c r="A135" s="4" t="s">
        <v>1443</v>
      </c>
      <c r="B135" s="1271" t="s">
        <v>1444</v>
      </c>
      <c r="C135" s="1271"/>
      <c r="D135" s="1153">
        <v>82.89</v>
      </c>
      <c r="E135" s="312"/>
      <c r="F135" s="312"/>
      <c r="G135" s="312"/>
    </row>
    <row r="136" spans="1:7" ht="49.5" customHeight="1">
      <c r="A136" s="4" t="s">
        <v>1446</v>
      </c>
      <c r="B136" s="1271" t="s">
        <v>1447</v>
      </c>
      <c r="C136" s="1271"/>
      <c r="D136" s="1153">
        <v>79.44</v>
      </c>
      <c r="E136" s="312"/>
      <c r="F136" s="312"/>
      <c r="G136" s="312"/>
    </row>
    <row r="137" spans="1:7">
      <c r="A137" s="312"/>
      <c r="B137" s="312"/>
      <c r="C137" s="312"/>
      <c r="D137" s="1153">
        <v>162.33000000000001</v>
      </c>
      <c r="E137" s="312"/>
      <c r="F137" s="312"/>
      <c r="G137" s="312"/>
    </row>
    <row r="139" spans="1:7" ht="52.5" customHeight="1">
      <c r="A139" s="312" t="s">
        <v>1553</v>
      </c>
      <c r="B139" s="312" t="s">
        <v>1888</v>
      </c>
      <c r="C139" s="312"/>
      <c r="D139" s="312"/>
      <c r="E139" s="312">
        <v>1</v>
      </c>
      <c r="F139" s="312">
        <v>1</v>
      </c>
      <c r="G139" s="312">
        <f t="shared" ref="G139:G140" si="0">F139+E139</f>
        <v>2</v>
      </c>
    </row>
    <row r="140" spans="1:7">
      <c r="A140" s="312"/>
      <c r="B140" s="312" t="s">
        <v>1889</v>
      </c>
      <c r="C140" s="312"/>
      <c r="D140" s="312"/>
      <c r="E140" s="312">
        <v>1</v>
      </c>
      <c r="F140" s="312">
        <v>1</v>
      </c>
      <c r="G140" s="312">
        <f t="shared" si="0"/>
        <v>2</v>
      </c>
    </row>
  </sheetData>
  <mergeCells count="12">
    <mergeCell ref="A1:N1"/>
    <mergeCell ref="A113:B113"/>
    <mergeCell ref="A125:D125"/>
    <mergeCell ref="B127:C127"/>
    <mergeCell ref="B134:C134"/>
    <mergeCell ref="B135:C135"/>
    <mergeCell ref="B136:C136"/>
    <mergeCell ref="B128:C128"/>
    <mergeCell ref="A129:D129"/>
    <mergeCell ref="B130:D130"/>
    <mergeCell ref="B131:C131"/>
    <mergeCell ref="A133:D133"/>
  </mergeCells>
  <pageMargins left="0.7" right="0.7" top="0.75" bottom="0.75" header="0.3" footer="0.3"/>
  <pageSetup scale="54" orientation="portrait" r:id="rId1"/>
  <rowBreaks count="1" manualBreakCount="1">
    <brk id="6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5"/>
  <sheetViews>
    <sheetView view="pageBreakPreview" topLeftCell="A5" zoomScale="60" zoomScaleNormal="79" workbookViewId="0">
      <pane ySplit="2" topLeftCell="A28" activePane="bottomLeft" state="frozen"/>
      <selection pane="bottomLeft" activeCell="Q29" sqref="Q29"/>
    </sheetView>
  </sheetViews>
  <sheetFormatPr defaultColWidth="9.08984375" defaultRowHeight="11.5"/>
  <cols>
    <col min="1" max="1" width="10" style="98" customWidth="1"/>
    <col min="2" max="2" width="77.90625" style="99" customWidth="1"/>
    <col min="3" max="3" width="8" style="100" customWidth="1"/>
    <col min="4" max="4" width="12" style="101" customWidth="1"/>
    <col min="5" max="5" width="11.6328125" style="102" customWidth="1"/>
    <col min="6" max="6" width="15.08984375" style="102" customWidth="1"/>
    <col min="7" max="7" width="15.08984375" style="102" hidden="1" customWidth="1"/>
    <col min="8" max="8" width="13.81640625" style="227" hidden="1" customWidth="1"/>
    <col min="9" max="9" width="12.6328125" style="104" customWidth="1"/>
    <col min="10" max="10" width="16.6328125" style="228" customWidth="1"/>
    <col min="11" max="11" width="16.36328125" style="104" hidden="1" customWidth="1"/>
    <col min="12" max="12" width="17.90625" style="104" hidden="1" customWidth="1"/>
    <col min="13" max="16384" width="9.08984375" style="104"/>
  </cols>
  <sheetData>
    <row r="1" spans="1:12" ht="15.5">
      <c r="A1" s="1284" t="s">
        <v>1696</v>
      </c>
      <c r="B1" s="1284"/>
      <c r="C1" s="1284"/>
      <c r="D1" s="1284"/>
      <c r="E1" s="1284"/>
      <c r="F1" s="1284"/>
      <c r="G1" s="1108"/>
      <c r="H1" s="229"/>
      <c r="I1" s="230"/>
      <c r="J1" s="284"/>
    </row>
    <row r="2" spans="1:12" ht="15.5">
      <c r="A2" s="1284"/>
      <c r="B2" s="1284"/>
      <c r="C2" s="1284"/>
      <c r="D2" s="1284"/>
      <c r="E2" s="1284"/>
      <c r="F2" s="1284"/>
      <c r="G2" s="1108"/>
      <c r="H2" s="229"/>
      <c r="I2" s="230"/>
      <c r="J2" s="284"/>
    </row>
    <row r="3" spans="1:12" ht="15.5">
      <c r="A3" s="1284"/>
      <c r="B3" s="1284"/>
      <c r="C3" s="1284"/>
      <c r="D3" s="1284"/>
      <c r="E3" s="1284"/>
      <c r="F3" s="1284"/>
      <c r="G3" s="1108"/>
      <c r="H3" s="229"/>
      <c r="I3" s="230"/>
      <c r="J3" s="284"/>
    </row>
    <row r="4" spans="1:12" ht="15.5">
      <c r="A4" s="1284"/>
      <c r="B4" s="1284"/>
      <c r="C4" s="1284"/>
      <c r="D4" s="1284"/>
      <c r="E4" s="1284"/>
      <c r="F4" s="1284"/>
      <c r="G4" s="1108"/>
      <c r="H4" s="229"/>
      <c r="I4" s="230"/>
      <c r="J4" s="284"/>
    </row>
    <row r="5" spans="1:12" s="221" customFormat="1" ht="11.5" customHeight="1">
      <c r="A5" s="1285" t="s">
        <v>849</v>
      </c>
      <c r="B5" s="1285" t="s">
        <v>477</v>
      </c>
      <c r="C5" s="1285" t="s">
        <v>850</v>
      </c>
      <c r="D5" s="1286" t="s">
        <v>851</v>
      </c>
      <c r="E5" s="1287" t="s">
        <v>852</v>
      </c>
      <c r="F5" s="1282" t="s">
        <v>853</v>
      </c>
      <c r="G5" s="1122"/>
      <c r="H5" s="231"/>
      <c r="I5" s="1278" t="s">
        <v>1928</v>
      </c>
      <c r="J5" s="1280" t="s">
        <v>1929</v>
      </c>
      <c r="K5" s="1278" t="s">
        <v>1910</v>
      </c>
      <c r="L5" s="1280" t="s">
        <v>1911</v>
      </c>
    </row>
    <row r="6" spans="1:12" s="222" customFormat="1" ht="55" customHeight="1">
      <c r="A6" s="1285"/>
      <c r="B6" s="1285"/>
      <c r="C6" s="1285"/>
      <c r="D6" s="1286"/>
      <c r="E6" s="1288"/>
      <c r="F6" s="1283"/>
      <c r="G6" s="1123" t="s">
        <v>1860</v>
      </c>
      <c r="H6" s="232" t="s">
        <v>1861</v>
      </c>
      <c r="I6" s="1279"/>
      <c r="J6" s="1281"/>
      <c r="K6" s="1279"/>
      <c r="L6" s="1281"/>
    </row>
    <row r="7" spans="1:12" s="222" customFormat="1" ht="15.5">
      <c r="A7" s="233" t="s">
        <v>833</v>
      </c>
      <c r="B7" s="233" t="s">
        <v>1697</v>
      </c>
      <c r="C7" s="234"/>
      <c r="D7" s="234"/>
      <c r="E7" s="234"/>
      <c r="F7" s="234"/>
      <c r="G7" s="234"/>
      <c r="H7" s="235"/>
      <c r="I7" s="236"/>
      <c r="J7" s="1191"/>
      <c r="K7" s="1199"/>
      <c r="L7" s="1199"/>
    </row>
    <row r="8" spans="1:12" s="170" customFormat="1" ht="15.5">
      <c r="A8" s="237"/>
      <c r="B8" s="238"/>
      <c r="C8" s="239"/>
      <c r="D8" s="237"/>
      <c r="E8" s="240"/>
      <c r="F8" s="240"/>
      <c r="G8" s="240"/>
      <c r="H8" s="241"/>
      <c r="I8" s="242"/>
      <c r="J8" s="1192"/>
      <c r="K8" s="1172"/>
      <c r="L8" s="1172"/>
    </row>
    <row r="9" spans="1:12" s="170" customFormat="1" ht="15.5">
      <c r="A9" s="243" t="s">
        <v>10</v>
      </c>
      <c r="B9" s="243" t="s">
        <v>838</v>
      </c>
      <c r="C9" s="243"/>
      <c r="D9" s="244"/>
      <c r="E9" s="244"/>
      <c r="F9" s="244"/>
      <c r="G9" s="244"/>
      <c r="H9" s="245"/>
      <c r="I9" s="246"/>
      <c r="J9" s="1193"/>
      <c r="K9" s="1172"/>
      <c r="L9" s="1172"/>
    </row>
    <row r="10" spans="1:12" s="170" customFormat="1" ht="150">
      <c r="A10" s="237">
        <v>1</v>
      </c>
      <c r="B10" s="247" t="s">
        <v>1619</v>
      </c>
      <c r="C10" s="239"/>
      <c r="D10" s="237"/>
      <c r="E10" s="240"/>
      <c r="F10" s="240"/>
      <c r="G10" s="240"/>
      <c r="H10" s="241"/>
      <c r="I10" s="242"/>
      <c r="J10" s="1192"/>
      <c r="K10" s="1172"/>
      <c r="L10" s="1172"/>
    </row>
    <row r="11" spans="1:12" s="170" customFormat="1" ht="240">
      <c r="A11" s="237"/>
      <c r="B11" s="248" t="s">
        <v>1620</v>
      </c>
      <c r="C11" s="239"/>
      <c r="D11" s="237"/>
      <c r="E11" s="240"/>
      <c r="F11" s="240"/>
      <c r="G11" s="240"/>
      <c r="H11" s="241"/>
      <c r="I11" s="242"/>
      <c r="J11" s="1192"/>
      <c r="K11" s="1172"/>
      <c r="L11" s="1172"/>
    </row>
    <row r="12" spans="1:12" s="170" customFormat="1" ht="15.5">
      <c r="A12" s="237"/>
      <c r="B12" s="248"/>
      <c r="C12" s="239"/>
      <c r="D12" s="237"/>
      <c r="E12" s="240"/>
      <c r="F12" s="240"/>
      <c r="G12" s="240"/>
      <c r="H12" s="241"/>
      <c r="I12" s="242"/>
      <c r="J12" s="1192"/>
      <c r="K12" s="1172"/>
      <c r="L12" s="1172"/>
    </row>
    <row r="13" spans="1:12" s="170" customFormat="1" ht="15.5">
      <c r="A13" s="237" t="s">
        <v>883</v>
      </c>
      <c r="B13" s="249" t="s">
        <v>1612</v>
      </c>
      <c r="C13" s="250" t="s">
        <v>1517</v>
      </c>
      <c r="D13" s="250">
        <v>30</v>
      </c>
      <c r="E13" s="242">
        <v>384.16</v>
      </c>
      <c r="F13" s="251">
        <f t="shared" ref="F13:F15" si="0">D13*E13</f>
        <v>11524.800000000001</v>
      </c>
      <c r="G13" s="251"/>
      <c r="H13" s="241"/>
      <c r="I13" s="242"/>
      <c r="J13" s="1192"/>
      <c r="K13" s="1172"/>
      <c r="L13" s="1172"/>
    </row>
    <row r="14" spans="1:12" s="170" customFormat="1" ht="15.5">
      <c r="A14" s="237" t="s">
        <v>886</v>
      </c>
      <c r="B14" s="249" t="s">
        <v>1613</v>
      </c>
      <c r="C14" s="250" t="s">
        <v>1517</v>
      </c>
      <c r="D14" s="250">
        <v>20</v>
      </c>
      <c r="E14" s="242">
        <v>432.18</v>
      </c>
      <c r="F14" s="251">
        <f t="shared" si="0"/>
        <v>8643.6</v>
      </c>
      <c r="G14" s="251">
        <v>14</v>
      </c>
      <c r="H14" s="241">
        <f>G14*E14</f>
        <v>6050.52</v>
      </c>
      <c r="I14" s="252">
        <f>'MB PHE '!G12</f>
        <v>0</v>
      </c>
      <c r="J14" s="1192">
        <f>I14*E14</f>
        <v>0</v>
      </c>
      <c r="K14" s="1172"/>
      <c r="L14" s="1172"/>
    </row>
    <row r="15" spans="1:12" s="170" customFormat="1" ht="15.5">
      <c r="A15" s="237" t="s">
        <v>888</v>
      </c>
      <c r="B15" s="249" t="s">
        <v>1614</v>
      </c>
      <c r="C15" s="250" t="s">
        <v>1517</v>
      </c>
      <c r="D15" s="250">
        <v>10</v>
      </c>
      <c r="E15" s="242">
        <v>504.21</v>
      </c>
      <c r="F15" s="251">
        <f t="shared" si="0"/>
        <v>5042.0999999999995</v>
      </c>
      <c r="G15" s="251">
        <v>3</v>
      </c>
      <c r="H15" s="241">
        <f t="shared" ref="H15:H16" si="1">G15*E15</f>
        <v>1512.6299999999999</v>
      </c>
      <c r="I15" s="252">
        <f>'MB PHE '!G16</f>
        <v>0</v>
      </c>
      <c r="J15" s="1192">
        <f>I15*E15</f>
        <v>0</v>
      </c>
      <c r="K15" s="1172"/>
      <c r="L15" s="1172"/>
    </row>
    <row r="16" spans="1:12" s="170" customFormat="1" ht="15.5">
      <c r="A16" s="237" t="s">
        <v>890</v>
      </c>
      <c r="B16" s="249" t="s">
        <v>1615</v>
      </c>
      <c r="C16" s="250" t="s">
        <v>1517</v>
      </c>
      <c r="D16" s="250" t="s">
        <v>864</v>
      </c>
      <c r="E16" s="242">
        <v>550</v>
      </c>
      <c r="F16" s="251"/>
      <c r="G16" s="251">
        <v>21</v>
      </c>
      <c r="H16" s="241">
        <f t="shared" si="1"/>
        <v>11550</v>
      </c>
      <c r="I16" s="1150">
        <f>'MB PHE '!G21</f>
        <v>0</v>
      </c>
      <c r="J16" s="1192">
        <f>I16*E16</f>
        <v>0</v>
      </c>
      <c r="K16" s="1172"/>
      <c r="L16" s="1172"/>
    </row>
    <row r="17" spans="1:12" s="170" customFormat="1" ht="60">
      <c r="A17" s="237">
        <f>A10+1</f>
        <v>2</v>
      </c>
      <c r="B17" s="254" t="s">
        <v>1698</v>
      </c>
      <c r="C17" s="239"/>
      <c r="D17" s="237"/>
      <c r="E17" s="242"/>
      <c r="F17" s="240"/>
      <c r="G17" s="240"/>
      <c r="H17" s="241"/>
      <c r="I17" s="242"/>
      <c r="J17" s="1192"/>
      <c r="K17" s="1172"/>
      <c r="L17" s="1172"/>
    </row>
    <row r="18" spans="1:12" s="170" customFormat="1" ht="15.5">
      <c r="A18" s="237"/>
      <c r="B18" s="254"/>
      <c r="C18" s="239"/>
      <c r="D18" s="237"/>
      <c r="E18" s="242"/>
      <c r="F18" s="240"/>
      <c r="G18" s="240"/>
      <c r="H18" s="241"/>
      <c r="I18" s="242"/>
      <c r="J18" s="1192"/>
      <c r="K18" s="1172"/>
      <c r="L18" s="1172"/>
    </row>
    <row r="19" spans="1:12" s="170" customFormat="1" ht="15.5">
      <c r="A19" s="237" t="s">
        <v>883</v>
      </c>
      <c r="B19" s="254" t="s">
        <v>1699</v>
      </c>
      <c r="C19" s="239" t="s">
        <v>870</v>
      </c>
      <c r="D19" s="237">
        <v>1</v>
      </c>
      <c r="E19" s="242">
        <v>1440.6</v>
      </c>
      <c r="F19" s="251">
        <f t="shared" ref="F19:F22" si="2">D19*E19</f>
        <v>1440.6</v>
      </c>
      <c r="G19" s="251"/>
      <c r="H19" s="241"/>
      <c r="I19" s="242"/>
      <c r="J19" s="1192"/>
      <c r="K19" s="1172"/>
      <c r="L19" s="1172"/>
    </row>
    <row r="20" spans="1:12" s="170" customFormat="1" ht="15.5">
      <c r="A20" s="237" t="s">
        <v>886</v>
      </c>
      <c r="B20" s="254" t="s">
        <v>1622</v>
      </c>
      <c r="C20" s="239" t="s">
        <v>870</v>
      </c>
      <c r="D20" s="237">
        <v>5</v>
      </c>
      <c r="E20" s="242">
        <v>1920.8</v>
      </c>
      <c r="F20" s="251">
        <f t="shared" si="2"/>
        <v>9604</v>
      </c>
      <c r="G20" s="251"/>
      <c r="H20" s="241"/>
      <c r="I20" s="242"/>
      <c r="J20" s="1192"/>
      <c r="K20" s="1172"/>
      <c r="L20" s="1172"/>
    </row>
    <row r="21" spans="1:12" s="170" customFormat="1" ht="15.5">
      <c r="A21" s="237" t="s">
        <v>888</v>
      </c>
      <c r="B21" s="254" t="s">
        <v>1623</v>
      </c>
      <c r="C21" s="239" t="s">
        <v>870</v>
      </c>
      <c r="D21" s="237">
        <v>1</v>
      </c>
      <c r="E21" s="242">
        <v>2401</v>
      </c>
      <c r="F21" s="251">
        <f t="shared" si="2"/>
        <v>2401</v>
      </c>
      <c r="G21" s="251">
        <v>1</v>
      </c>
      <c r="H21" s="241">
        <f t="shared" ref="H21:H22" si="3">G21*E21</f>
        <v>2401</v>
      </c>
      <c r="I21" s="253"/>
      <c r="J21" s="1192">
        <f>I21*E21</f>
        <v>0</v>
      </c>
      <c r="K21" s="1172"/>
      <c r="L21" s="1172"/>
    </row>
    <row r="22" spans="1:12" s="170" customFormat="1" ht="15.5">
      <c r="A22" s="237" t="s">
        <v>890</v>
      </c>
      <c r="B22" s="249" t="s">
        <v>1615</v>
      </c>
      <c r="C22" s="239" t="s">
        <v>870</v>
      </c>
      <c r="D22" s="237">
        <v>1</v>
      </c>
      <c r="E22" s="242">
        <v>2881.2</v>
      </c>
      <c r="F22" s="251">
        <f t="shared" si="2"/>
        <v>2881.2</v>
      </c>
      <c r="G22" s="251">
        <v>1</v>
      </c>
      <c r="H22" s="241">
        <f t="shared" si="3"/>
        <v>2881.2</v>
      </c>
      <c r="I22" s="255"/>
      <c r="J22" s="1192">
        <f>I22*E22</f>
        <v>0</v>
      </c>
      <c r="K22" s="1172"/>
      <c r="L22" s="1172"/>
    </row>
    <row r="23" spans="1:12" s="170" customFormat="1" ht="15.5">
      <c r="A23" s="237"/>
      <c r="B23" s="254"/>
      <c r="C23" s="239"/>
      <c r="D23" s="237"/>
      <c r="E23" s="242"/>
      <c r="F23" s="240"/>
      <c r="G23" s="240"/>
      <c r="H23" s="241"/>
      <c r="I23" s="242"/>
      <c r="J23" s="1192"/>
      <c r="K23" s="1172"/>
      <c r="L23" s="1172"/>
    </row>
    <row r="24" spans="1:12" s="170" customFormat="1" ht="120">
      <c r="A24" s="237">
        <f>A17+1</f>
        <v>3</v>
      </c>
      <c r="B24" s="254" t="s">
        <v>1700</v>
      </c>
      <c r="C24" s="239"/>
      <c r="D24" s="237"/>
      <c r="E24" s="242"/>
      <c r="F24" s="240"/>
      <c r="G24" s="240"/>
      <c r="H24" s="241"/>
      <c r="I24" s="242"/>
      <c r="J24" s="1192"/>
      <c r="K24" s="1172"/>
      <c r="L24" s="1172"/>
    </row>
    <row r="25" spans="1:12" s="170" customFormat="1" ht="15.5">
      <c r="A25" s="237"/>
      <c r="B25" s="254"/>
      <c r="C25" s="239"/>
      <c r="D25" s="237"/>
      <c r="E25" s="242"/>
      <c r="F25" s="240"/>
      <c r="G25" s="240"/>
      <c r="H25" s="241"/>
      <c r="I25" s="242"/>
      <c r="J25" s="1192"/>
      <c r="K25" s="1172"/>
      <c r="L25" s="1172"/>
    </row>
    <row r="26" spans="1:12" s="170" customFormat="1" ht="15.5">
      <c r="A26" s="237" t="s">
        <v>883</v>
      </c>
      <c r="B26" s="249" t="s">
        <v>1631</v>
      </c>
      <c r="C26" s="250" t="s">
        <v>1517</v>
      </c>
      <c r="D26" s="256">
        <v>25</v>
      </c>
      <c r="E26" s="242">
        <v>192.08</v>
      </c>
      <c r="F26" s="251">
        <f t="shared" ref="F26" si="4">D26*E26</f>
        <v>4802</v>
      </c>
      <c r="G26" s="251"/>
      <c r="H26" s="241"/>
      <c r="I26" s="242"/>
      <c r="J26" s="1192"/>
      <c r="K26" s="1172"/>
      <c r="L26" s="1172"/>
    </row>
    <row r="27" spans="1:12" s="170" customFormat="1" ht="15.5">
      <c r="A27" s="237"/>
      <c r="B27" s="249"/>
      <c r="C27" s="250"/>
      <c r="D27" s="256"/>
      <c r="E27" s="242"/>
      <c r="F27" s="251"/>
      <c r="G27" s="251"/>
      <c r="H27" s="241"/>
      <c r="I27" s="242"/>
      <c r="J27" s="1192"/>
      <c r="K27" s="1172"/>
      <c r="L27" s="1172"/>
    </row>
    <row r="28" spans="1:12" s="170" customFormat="1" ht="15.5">
      <c r="A28" s="237"/>
      <c r="B28" s="249"/>
      <c r="C28" s="250"/>
      <c r="D28" s="256"/>
      <c r="E28" s="242"/>
      <c r="F28" s="251"/>
      <c r="G28" s="251"/>
      <c r="H28" s="241"/>
      <c r="I28" s="242"/>
      <c r="J28" s="1192"/>
      <c r="K28" s="1172"/>
      <c r="L28" s="1172"/>
    </row>
    <row r="29" spans="1:12" s="170" customFormat="1" ht="90">
      <c r="A29" s="250">
        <v>4</v>
      </c>
      <c r="B29" s="257" t="s">
        <v>1701</v>
      </c>
      <c r="C29" s="258" t="s">
        <v>1581</v>
      </c>
      <c r="D29" s="259">
        <v>1</v>
      </c>
      <c r="E29" s="242">
        <v>14406</v>
      </c>
      <c r="F29" s="251">
        <f t="shared" ref="F29" si="5">D29*E29</f>
        <v>14406</v>
      </c>
      <c r="G29" s="251">
        <v>1</v>
      </c>
      <c r="H29" s="241">
        <f>G29*E29</f>
        <v>14406</v>
      </c>
      <c r="I29" s="242"/>
      <c r="J29" s="1192">
        <f>I29*E29</f>
        <v>0</v>
      </c>
      <c r="K29" s="1172"/>
      <c r="L29" s="1172"/>
    </row>
    <row r="30" spans="1:12" s="170" customFormat="1" ht="15.5">
      <c r="A30" s="237"/>
      <c r="B30" s="249"/>
      <c r="C30" s="250"/>
      <c r="D30" s="256"/>
      <c r="E30" s="260"/>
      <c r="F30" s="251"/>
      <c r="G30" s="251"/>
      <c r="H30" s="241"/>
      <c r="I30" s="242"/>
      <c r="J30" s="1192"/>
      <c r="K30" s="1172"/>
      <c r="L30" s="1172"/>
    </row>
    <row r="31" spans="1:12" s="170" customFormat="1" ht="13.5" customHeight="1">
      <c r="A31" s="261"/>
      <c r="B31" s="262" t="s">
        <v>243</v>
      </c>
      <c r="C31" s="261"/>
      <c r="D31" s="263"/>
      <c r="E31" s="264"/>
      <c r="F31" s="265">
        <f>SUM(F10:F30)</f>
        <v>60745.299999999996</v>
      </c>
      <c r="G31" s="265"/>
      <c r="H31" s="265">
        <f>SUM(H10:H30)</f>
        <v>38801.350000000006</v>
      </c>
      <c r="I31" s="266"/>
      <c r="J31" s="1194">
        <f>SUM(J10:J30)</f>
        <v>0</v>
      </c>
      <c r="K31" s="1172"/>
      <c r="L31" s="1194">
        <f>SUM(L10:L30)</f>
        <v>0</v>
      </c>
    </row>
    <row r="32" spans="1:12" s="170" customFormat="1" ht="15.5">
      <c r="A32" s="267" t="s">
        <v>138</v>
      </c>
      <c r="B32" s="243" t="s">
        <v>839</v>
      </c>
      <c r="C32" s="243"/>
      <c r="D32" s="243"/>
      <c r="E32" s="243"/>
      <c r="F32" s="244"/>
      <c r="G32" s="244"/>
      <c r="H32" s="268"/>
      <c r="I32" s="269"/>
      <c r="J32" s="1195"/>
      <c r="K32" s="1172"/>
      <c r="L32" s="1172"/>
    </row>
    <row r="33" spans="1:12" s="170" customFormat="1" ht="210">
      <c r="A33" s="237">
        <v>1</v>
      </c>
      <c r="B33" s="254" t="s">
        <v>1635</v>
      </c>
      <c r="C33" s="239"/>
      <c r="D33" s="237"/>
      <c r="E33" s="240"/>
      <c r="F33" s="240"/>
      <c r="G33" s="240"/>
      <c r="H33" s="241"/>
      <c r="I33" s="242"/>
      <c r="J33" s="1192"/>
      <c r="K33" s="1172"/>
      <c r="L33" s="1172"/>
    </row>
    <row r="34" spans="1:12" s="170" customFormat="1" ht="90">
      <c r="A34" s="237"/>
      <c r="B34" s="254" t="s">
        <v>1636</v>
      </c>
      <c r="C34" s="239"/>
      <c r="D34" s="237"/>
      <c r="E34" s="240"/>
      <c r="F34" s="240"/>
      <c r="G34" s="240"/>
      <c r="H34" s="241"/>
      <c r="I34" s="242"/>
      <c r="J34" s="1192"/>
      <c r="K34" s="1172"/>
      <c r="L34" s="1172"/>
    </row>
    <row r="35" spans="1:12" s="170" customFormat="1" ht="15.5">
      <c r="A35" s="237"/>
      <c r="B35" s="254"/>
      <c r="C35" s="239"/>
      <c r="D35" s="237"/>
      <c r="E35" s="240"/>
      <c r="F35" s="240"/>
      <c r="G35" s="240"/>
      <c r="H35" s="241"/>
      <c r="I35" s="242"/>
      <c r="J35" s="1192"/>
      <c r="K35" s="1172"/>
      <c r="L35" s="1172"/>
    </row>
    <row r="36" spans="1:12" s="170" customFormat="1" ht="15.5">
      <c r="A36" s="237" t="s">
        <v>883</v>
      </c>
      <c r="B36" s="254" t="s">
        <v>1637</v>
      </c>
      <c r="C36" s="239" t="s">
        <v>1517</v>
      </c>
      <c r="D36" s="250">
        <v>20</v>
      </c>
      <c r="E36" s="242">
        <v>960.4</v>
      </c>
      <c r="F36" s="251">
        <f t="shared" ref="F36:F38" si="6">D36*E36</f>
        <v>19208</v>
      </c>
      <c r="G36" s="251">
        <v>30</v>
      </c>
      <c r="H36" s="241">
        <f t="shared" ref="H36:H37" si="7">G36*E36</f>
        <v>28812</v>
      </c>
      <c r="I36" s="252">
        <f>'MB PHE '!G30</f>
        <v>20</v>
      </c>
      <c r="J36" s="1192">
        <f>I36*E36</f>
        <v>19208</v>
      </c>
      <c r="K36" s="1172">
        <f>'MB PHE '!G31</f>
        <v>10</v>
      </c>
      <c r="L36" s="1172">
        <f>K36*E36</f>
        <v>9604</v>
      </c>
    </row>
    <row r="37" spans="1:12" s="170" customFormat="1" ht="15.5">
      <c r="A37" s="237" t="s">
        <v>886</v>
      </c>
      <c r="B37" s="254" t="s">
        <v>1638</v>
      </c>
      <c r="C37" s="239" t="s">
        <v>1517</v>
      </c>
      <c r="D37" s="250">
        <v>20</v>
      </c>
      <c r="E37" s="242">
        <v>768.32</v>
      </c>
      <c r="F37" s="251">
        <f t="shared" si="6"/>
        <v>15366.400000000001</v>
      </c>
      <c r="G37" s="251">
        <v>6</v>
      </c>
      <c r="H37" s="241">
        <f t="shared" si="7"/>
        <v>4609.92</v>
      </c>
      <c r="I37" s="252">
        <f>'MB PHE '!G36</f>
        <v>6</v>
      </c>
      <c r="J37" s="1192">
        <f>I37*E37</f>
        <v>4609.92</v>
      </c>
      <c r="K37" s="1172"/>
      <c r="L37" s="1172"/>
    </row>
    <row r="38" spans="1:12" s="170" customFormat="1" ht="15.5">
      <c r="A38" s="237" t="s">
        <v>888</v>
      </c>
      <c r="B38" s="254" t="s">
        <v>1627</v>
      </c>
      <c r="C38" s="239" t="s">
        <v>1517</v>
      </c>
      <c r="D38" s="250">
        <v>32</v>
      </c>
      <c r="E38" s="242">
        <v>624.26</v>
      </c>
      <c r="F38" s="251">
        <f t="shared" si="6"/>
        <v>19976.32</v>
      </c>
      <c r="G38" s="251"/>
      <c r="H38" s="241"/>
      <c r="I38" s="242"/>
      <c r="J38" s="1192"/>
      <c r="K38" s="1172"/>
      <c r="L38" s="1172"/>
    </row>
    <row r="39" spans="1:12" s="170" customFormat="1" ht="15.5">
      <c r="A39" s="237"/>
      <c r="B39" s="254"/>
      <c r="C39" s="239"/>
      <c r="D39" s="237"/>
      <c r="E39" s="242"/>
      <c r="F39" s="240"/>
      <c r="G39" s="240"/>
      <c r="H39" s="241"/>
      <c r="I39" s="242"/>
      <c r="J39" s="1192"/>
      <c r="K39" s="1172"/>
      <c r="L39" s="1172"/>
    </row>
    <row r="40" spans="1:12" s="170" customFormat="1" ht="120">
      <c r="A40" s="237">
        <f>A33+1</f>
        <v>2</v>
      </c>
      <c r="B40" s="254" t="s">
        <v>1702</v>
      </c>
      <c r="C40" s="239"/>
      <c r="D40" s="237"/>
      <c r="E40" s="242"/>
      <c r="F40" s="240"/>
      <c r="G40" s="240"/>
      <c r="H40" s="241"/>
      <c r="I40" s="242"/>
      <c r="J40" s="1192"/>
      <c r="K40" s="1172"/>
      <c r="L40" s="1172"/>
    </row>
    <row r="41" spans="1:12" s="170" customFormat="1" ht="15.5">
      <c r="A41" s="237"/>
      <c r="B41" s="248"/>
      <c r="C41" s="239"/>
      <c r="D41" s="237"/>
      <c r="E41" s="242"/>
      <c r="F41" s="240"/>
      <c r="G41" s="240"/>
      <c r="H41" s="241"/>
      <c r="I41" s="242"/>
      <c r="J41" s="1192"/>
      <c r="K41" s="1172"/>
      <c r="L41" s="1172"/>
    </row>
    <row r="42" spans="1:12" s="223" customFormat="1" ht="15.5">
      <c r="A42" s="270" t="s">
        <v>883</v>
      </c>
      <c r="B42" s="270" t="s">
        <v>1644</v>
      </c>
      <c r="C42" s="271" t="s">
        <v>870</v>
      </c>
      <c r="D42" s="270">
        <v>4</v>
      </c>
      <c r="E42" s="272">
        <v>1440.6</v>
      </c>
      <c r="F42" s="251">
        <f>D42*E42</f>
        <v>5762.4</v>
      </c>
      <c r="G42" s="251">
        <v>4</v>
      </c>
      <c r="H42" s="241">
        <f>G42*E42</f>
        <v>5762.4</v>
      </c>
      <c r="I42" s="273">
        <f>'MB PHE '!G41</f>
        <v>4</v>
      </c>
      <c r="J42" s="1196">
        <f>I42*E42</f>
        <v>5762.4</v>
      </c>
      <c r="K42" s="1200"/>
      <c r="L42" s="1200"/>
    </row>
    <row r="43" spans="1:12" s="170" customFormat="1" ht="15.5">
      <c r="A43" s="237"/>
      <c r="B43" s="254"/>
      <c r="C43" s="239"/>
      <c r="D43" s="237"/>
      <c r="E43" s="242"/>
      <c r="F43" s="240"/>
      <c r="G43" s="240"/>
      <c r="H43" s="241"/>
      <c r="I43" s="242"/>
      <c r="J43" s="1192"/>
      <c r="K43" s="1172"/>
      <c r="L43" s="1172"/>
    </row>
    <row r="44" spans="1:12" s="224" customFormat="1" ht="90">
      <c r="A44" s="254">
        <f>A40+1</f>
        <v>3</v>
      </c>
      <c r="B44" s="254" t="s">
        <v>1703</v>
      </c>
      <c r="C44" s="274" t="s">
        <v>870</v>
      </c>
      <c r="D44" s="254">
        <v>2</v>
      </c>
      <c r="E44" s="275">
        <v>3841.6</v>
      </c>
      <c r="F44" s="276">
        <f>D44*E44</f>
        <v>7683.2</v>
      </c>
      <c r="G44" s="276">
        <v>2</v>
      </c>
      <c r="H44" s="241">
        <f>G44*E44</f>
        <v>7683.2</v>
      </c>
      <c r="I44" s="277">
        <f>'MB PHE '!G44</f>
        <v>1</v>
      </c>
      <c r="J44" s="1197">
        <f>I44*E44</f>
        <v>3841.6</v>
      </c>
      <c r="K44" s="1201"/>
      <c r="L44" s="1201"/>
    </row>
    <row r="45" spans="1:12" s="170" customFormat="1" ht="15.5">
      <c r="A45" s="261"/>
      <c r="B45" s="278" t="s">
        <v>243</v>
      </c>
      <c r="C45" s="279"/>
      <c r="D45" s="261"/>
      <c r="E45" s="264"/>
      <c r="F45" s="265">
        <f>SUM(F33:F44)</f>
        <v>67996.320000000007</v>
      </c>
      <c r="G45" s="265"/>
      <c r="H45" s="265">
        <f>SUM(H33:H44)</f>
        <v>46867.519999999997</v>
      </c>
      <c r="I45" s="266"/>
      <c r="J45" s="1194">
        <f>SUM(J33:J44)</f>
        <v>33421.919999999998</v>
      </c>
      <c r="K45" s="1172"/>
      <c r="L45" s="1194">
        <f>SUM(L33:L44)</f>
        <v>9604</v>
      </c>
    </row>
    <row r="46" spans="1:12" s="170" customFormat="1" ht="15.5">
      <c r="A46" s="237"/>
      <c r="B46" s="254"/>
      <c r="C46" s="239"/>
      <c r="D46" s="237"/>
      <c r="E46" s="240"/>
      <c r="F46" s="240"/>
      <c r="G46" s="240"/>
      <c r="H46" s="241"/>
      <c r="I46" s="242"/>
      <c r="J46" s="1192"/>
      <c r="K46" s="1172"/>
      <c r="L46" s="1172"/>
    </row>
    <row r="47" spans="1:12" s="170" customFormat="1" ht="15.5">
      <c r="A47" s="280" t="s">
        <v>23</v>
      </c>
      <c r="B47" s="244" t="s">
        <v>840</v>
      </c>
      <c r="C47" s="244"/>
      <c r="D47" s="244"/>
      <c r="E47" s="244"/>
      <c r="F47" s="244"/>
      <c r="G47" s="244"/>
      <c r="H47" s="245"/>
      <c r="I47" s="246"/>
      <c r="J47" s="1193"/>
      <c r="K47" s="1172"/>
      <c r="L47" s="1172"/>
    </row>
    <row r="48" spans="1:12" s="170" customFormat="1" ht="195">
      <c r="A48" s="237">
        <v>1</v>
      </c>
      <c r="B48" s="254" t="s">
        <v>1648</v>
      </c>
      <c r="C48" s="239"/>
      <c r="D48" s="237"/>
      <c r="E48" s="237"/>
      <c r="F48" s="237"/>
      <c r="G48" s="237"/>
      <c r="H48" s="241"/>
      <c r="I48" s="242"/>
      <c r="J48" s="1192"/>
      <c r="K48" s="1172"/>
      <c r="L48" s="1172"/>
    </row>
    <row r="49" spans="1:12" s="170" customFormat="1" ht="135">
      <c r="A49" s="237"/>
      <c r="B49" s="254" t="s">
        <v>1649</v>
      </c>
      <c r="C49" s="239"/>
      <c r="D49" s="237"/>
      <c r="E49" s="237"/>
      <c r="F49" s="237"/>
      <c r="G49" s="237"/>
      <c r="H49" s="241"/>
      <c r="I49" s="242"/>
      <c r="J49" s="1192"/>
      <c r="K49" s="1172"/>
      <c r="L49" s="1172"/>
    </row>
    <row r="50" spans="1:12" s="170" customFormat="1" ht="15.5">
      <c r="A50" s="237"/>
      <c r="B50" s="254" t="s">
        <v>1650</v>
      </c>
      <c r="C50" s="237"/>
      <c r="D50" s="237"/>
      <c r="E50" s="237"/>
      <c r="F50" s="237"/>
      <c r="G50" s="237"/>
      <c r="H50" s="241"/>
      <c r="I50" s="242"/>
      <c r="J50" s="1192"/>
      <c r="K50" s="1172"/>
      <c r="L50" s="1172"/>
    </row>
    <row r="51" spans="1:12" s="170" customFormat="1" ht="15.5">
      <c r="A51" s="237"/>
      <c r="B51" s="254"/>
      <c r="C51" s="237"/>
      <c r="D51" s="237"/>
      <c r="E51" s="237"/>
      <c r="F51" s="237"/>
      <c r="G51" s="237"/>
      <c r="H51" s="241"/>
      <c r="I51" s="242"/>
      <c r="J51" s="1192"/>
      <c r="K51" s="1172"/>
      <c r="L51" s="1172"/>
    </row>
    <row r="52" spans="1:12" s="170" customFormat="1" ht="15.5">
      <c r="A52" s="237" t="s">
        <v>883</v>
      </c>
      <c r="B52" s="254" t="s">
        <v>1623</v>
      </c>
      <c r="C52" s="237" t="s">
        <v>1517</v>
      </c>
      <c r="D52" s="237">
        <v>75</v>
      </c>
      <c r="E52" s="242">
        <v>1104.46</v>
      </c>
      <c r="F52" s="251">
        <f t="shared" ref="F52:F58" si="8">D52*E52</f>
        <v>82834.5</v>
      </c>
      <c r="G52" s="242">
        <v>67</v>
      </c>
      <c r="H52" s="241">
        <f t="shared" ref="H52:H53" si="9">G52*E52</f>
        <v>73998.820000000007</v>
      </c>
      <c r="I52" s="242"/>
      <c r="J52" s="1192">
        <f t="shared" ref="J52:J53" si="10">I52*E52</f>
        <v>0</v>
      </c>
      <c r="K52" s="1172"/>
      <c r="L52" s="1172"/>
    </row>
    <row r="53" spans="1:12" s="170" customFormat="1" ht="15.5">
      <c r="A53" s="237" t="s">
        <v>886</v>
      </c>
      <c r="B53" s="254" t="s">
        <v>1624</v>
      </c>
      <c r="C53" s="237" t="s">
        <v>1517</v>
      </c>
      <c r="D53" s="237">
        <v>15</v>
      </c>
      <c r="E53" s="242">
        <v>1344.56</v>
      </c>
      <c r="F53" s="251">
        <f t="shared" si="8"/>
        <v>20168.399999999998</v>
      </c>
      <c r="G53" s="242">
        <v>11</v>
      </c>
      <c r="H53" s="241">
        <f t="shared" si="9"/>
        <v>14790.16</v>
      </c>
      <c r="I53" s="242"/>
      <c r="J53" s="1192">
        <f t="shared" si="10"/>
        <v>0</v>
      </c>
      <c r="K53" s="1172"/>
      <c r="L53" s="1172"/>
    </row>
    <row r="54" spans="1:12" s="170" customFormat="1" ht="15.5">
      <c r="A54" s="237" t="s">
        <v>888</v>
      </c>
      <c r="B54" s="254" t="s">
        <v>1625</v>
      </c>
      <c r="C54" s="237" t="s">
        <v>1517</v>
      </c>
      <c r="D54" s="237">
        <v>10</v>
      </c>
      <c r="E54" s="242">
        <v>1776.74</v>
      </c>
      <c r="F54" s="251">
        <f t="shared" si="8"/>
        <v>17767.400000000001</v>
      </c>
      <c r="G54" s="242"/>
      <c r="H54" s="241"/>
      <c r="I54" s="242"/>
      <c r="J54" s="1192"/>
      <c r="K54" s="1172"/>
      <c r="L54" s="1172"/>
    </row>
    <row r="55" spans="1:12" s="170" customFormat="1" ht="15.5">
      <c r="A55" s="237" t="s">
        <v>890</v>
      </c>
      <c r="B55" s="254" t="s">
        <v>1627</v>
      </c>
      <c r="C55" s="237" t="s">
        <v>1517</v>
      </c>
      <c r="D55" s="237">
        <v>10</v>
      </c>
      <c r="E55" s="242">
        <v>2160.9</v>
      </c>
      <c r="F55" s="251">
        <f t="shared" si="8"/>
        <v>21609</v>
      </c>
      <c r="G55" s="242">
        <v>36</v>
      </c>
      <c r="H55" s="241">
        <f>G55*E55</f>
        <v>77792.400000000009</v>
      </c>
      <c r="I55" s="242"/>
      <c r="J55" s="1192">
        <f>I55*E55</f>
        <v>0</v>
      </c>
      <c r="K55" s="1172"/>
      <c r="L55" s="1172"/>
    </row>
    <row r="56" spans="1:12" s="170" customFormat="1" ht="15.5">
      <c r="A56" s="237" t="s">
        <v>892</v>
      </c>
      <c r="B56" s="254" t="s">
        <v>1628</v>
      </c>
      <c r="C56" s="237" t="s">
        <v>1517</v>
      </c>
      <c r="D56" s="237">
        <v>10</v>
      </c>
      <c r="E56" s="242">
        <v>2737.14</v>
      </c>
      <c r="F56" s="251">
        <f t="shared" si="8"/>
        <v>27371.399999999998</v>
      </c>
      <c r="G56" s="251"/>
      <c r="H56" s="241"/>
      <c r="I56" s="242"/>
      <c r="J56" s="1192"/>
      <c r="K56" s="1172"/>
      <c r="L56" s="1172"/>
    </row>
    <row r="57" spans="1:12" s="170" customFormat="1" ht="15.5">
      <c r="A57" s="237" t="s">
        <v>894</v>
      </c>
      <c r="B57" s="254" t="s">
        <v>1652</v>
      </c>
      <c r="C57" s="237" t="s">
        <v>1517</v>
      </c>
      <c r="D57" s="237">
        <v>10</v>
      </c>
      <c r="E57" s="242">
        <v>3121.3</v>
      </c>
      <c r="F57" s="251">
        <f t="shared" si="8"/>
        <v>31213</v>
      </c>
      <c r="G57" s="251"/>
      <c r="H57" s="241"/>
      <c r="I57" s="242"/>
      <c r="J57" s="1192"/>
      <c r="K57" s="1172"/>
      <c r="L57" s="1172"/>
    </row>
    <row r="58" spans="1:12" s="170" customFormat="1" ht="15.5">
      <c r="A58" s="237" t="s">
        <v>896</v>
      </c>
      <c r="B58" s="254" t="s">
        <v>1653</v>
      </c>
      <c r="C58" s="237" t="s">
        <v>1517</v>
      </c>
      <c r="D58" s="237">
        <v>10</v>
      </c>
      <c r="E58" s="242">
        <v>3601.5</v>
      </c>
      <c r="F58" s="251">
        <f t="shared" si="8"/>
        <v>36015</v>
      </c>
      <c r="G58" s="251"/>
      <c r="H58" s="241"/>
      <c r="I58" s="242"/>
      <c r="J58" s="1192"/>
      <c r="K58" s="1172"/>
      <c r="L58" s="1172"/>
    </row>
    <row r="59" spans="1:12" s="170" customFormat="1" ht="15.5">
      <c r="A59" s="237"/>
      <c r="B59" s="254"/>
      <c r="C59" s="237"/>
      <c r="D59" s="237"/>
      <c r="E59" s="242"/>
      <c r="F59" s="247"/>
      <c r="G59" s="247"/>
      <c r="H59" s="241"/>
      <c r="I59" s="242"/>
      <c r="J59" s="1192"/>
      <c r="K59" s="1172"/>
      <c r="L59" s="1172"/>
    </row>
    <row r="60" spans="1:12" s="170" customFormat="1" ht="60">
      <c r="A60" s="237">
        <f>A48+1</f>
        <v>2</v>
      </c>
      <c r="B60" s="254" t="s">
        <v>1655</v>
      </c>
      <c r="C60" s="237"/>
      <c r="D60" s="247"/>
      <c r="E60" s="242"/>
      <c r="F60" s="247"/>
      <c r="G60" s="247"/>
      <c r="H60" s="241"/>
      <c r="I60" s="242"/>
      <c r="J60" s="1192"/>
      <c r="K60" s="1172"/>
      <c r="L60" s="1172"/>
    </row>
    <row r="61" spans="1:12" s="170" customFormat="1" ht="60">
      <c r="A61" s="237"/>
      <c r="B61" s="281" t="s">
        <v>1656</v>
      </c>
      <c r="C61" s="237"/>
      <c r="D61" s="247"/>
      <c r="E61" s="242"/>
      <c r="F61" s="247"/>
      <c r="G61" s="247"/>
      <c r="H61" s="241"/>
      <c r="I61" s="242"/>
      <c r="J61" s="1192"/>
      <c r="K61" s="1172"/>
      <c r="L61" s="1172"/>
    </row>
    <row r="62" spans="1:12" s="170" customFormat="1" ht="15.5">
      <c r="A62" s="237"/>
      <c r="B62" s="254"/>
      <c r="C62" s="237"/>
      <c r="D62" s="247"/>
      <c r="E62" s="242"/>
      <c r="F62" s="247"/>
      <c r="G62" s="247"/>
      <c r="H62" s="241"/>
      <c r="I62" s="242"/>
      <c r="J62" s="1192"/>
      <c r="K62" s="1172"/>
      <c r="L62" s="1172"/>
    </row>
    <row r="63" spans="1:12" s="225" customFormat="1" ht="30">
      <c r="A63" s="237"/>
      <c r="B63" s="254" t="s">
        <v>1704</v>
      </c>
      <c r="C63" s="237" t="s">
        <v>870</v>
      </c>
      <c r="D63" s="237">
        <v>28</v>
      </c>
      <c r="E63" s="282">
        <v>960.4</v>
      </c>
      <c r="F63" s="251">
        <f>D63*E63</f>
        <v>26891.200000000001</v>
      </c>
      <c r="G63" s="237">
        <v>28</v>
      </c>
      <c r="H63" s="241">
        <f>G63*E63</f>
        <v>26891.200000000001</v>
      </c>
      <c r="I63" s="237">
        <v>27</v>
      </c>
      <c r="J63" s="1196">
        <f>I63*E63</f>
        <v>25930.799999999999</v>
      </c>
      <c r="K63" s="1202"/>
      <c r="L63" s="1202"/>
    </row>
    <row r="64" spans="1:12" s="225" customFormat="1" ht="15.5">
      <c r="A64" s="237"/>
      <c r="B64" s="254"/>
      <c r="C64" s="237"/>
      <c r="D64" s="237"/>
      <c r="E64" s="282">
        <v>0</v>
      </c>
      <c r="F64" s="247"/>
      <c r="G64" s="237"/>
      <c r="H64" s="283"/>
      <c r="I64" s="237"/>
      <c r="J64" s="1196"/>
      <c r="K64" s="1202"/>
      <c r="L64" s="1202"/>
    </row>
    <row r="65" spans="1:12" s="225" customFormat="1" ht="30">
      <c r="A65" s="237"/>
      <c r="B65" s="254" t="s">
        <v>1705</v>
      </c>
      <c r="C65" s="237" t="s">
        <v>870</v>
      </c>
      <c r="D65" s="237">
        <v>28</v>
      </c>
      <c r="E65" s="282">
        <v>960.4</v>
      </c>
      <c r="F65" s="251">
        <f>D65*E65</f>
        <v>26891.200000000001</v>
      </c>
      <c r="G65" s="237">
        <v>28</v>
      </c>
      <c r="H65" s="241">
        <f>G65*E65</f>
        <v>26891.200000000001</v>
      </c>
      <c r="I65" s="237">
        <v>27</v>
      </c>
      <c r="J65" s="1196">
        <f>I65*E65</f>
        <v>25930.799999999999</v>
      </c>
      <c r="K65" s="1202"/>
      <c r="L65" s="1202"/>
    </row>
    <row r="66" spans="1:12" s="170" customFormat="1" ht="15.5">
      <c r="A66" s="237"/>
      <c r="B66" s="254"/>
      <c r="C66" s="237"/>
      <c r="D66" s="247"/>
      <c r="E66" s="242"/>
      <c r="F66" s="247"/>
      <c r="G66" s="247"/>
      <c r="H66" s="241"/>
      <c r="I66" s="242"/>
      <c r="J66" s="1192"/>
      <c r="K66" s="1172"/>
      <c r="L66" s="1172"/>
    </row>
    <row r="67" spans="1:12" s="170" customFormat="1" ht="75">
      <c r="A67" s="237">
        <f>A60+1</f>
        <v>3</v>
      </c>
      <c r="B67" s="254" t="s">
        <v>1706</v>
      </c>
      <c r="C67" s="237"/>
      <c r="D67" s="247"/>
      <c r="E67" s="242"/>
      <c r="F67" s="247"/>
      <c r="G67" s="247"/>
      <c r="H67" s="241"/>
      <c r="I67" s="242"/>
      <c r="J67" s="1192"/>
      <c r="K67" s="1172"/>
      <c r="L67" s="1172"/>
    </row>
    <row r="68" spans="1:12" s="170" customFormat="1" ht="15.5">
      <c r="A68" s="237"/>
      <c r="B68" s="254"/>
      <c r="C68" s="237"/>
      <c r="D68" s="247"/>
      <c r="E68" s="242"/>
      <c r="F68" s="247"/>
      <c r="G68" s="247"/>
      <c r="H68" s="241"/>
      <c r="I68" s="242"/>
      <c r="J68" s="1192"/>
      <c r="K68" s="1172"/>
      <c r="L68" s="1172"/>
    </row>
    <row r="69" spans="1:12" s="170" customFormat="1" ht="15.5">
      <c r="A69" s="237"/>
      <c r="B69" s="254" t="s">
        <v>1663</v>
      </c>
      <c r="C69" s="237" t="s">
        <v>1581</v>
      </c>
      <c r="D69" s="237">
        <v>2</v>
      </c>
      <c r="E69" s="242">
        <v>7683.2</v>
      </c>
      <c r="F69" s="251">
        <f>D69*E69</f>
        <v>15366.4</v>
      </c>
      <c r="G69" s="251">
        <v>2</v>
      </c>
      <c r="H69" s="241">
        <f>G69*E69</f>
        <v>15366.4</v>
      </c>
      <c r="I69" s="237">
        <v>0</v>
      </c>
      <c r="J69" s="1192">
        <f>I69*E69</f>
        <v>0</v>
      </c>
      <c r="K69" s="1172"/>
      <c r="L69" s="1172"/>
    </row>
    <row r="70" spans="1:12" s="170" customFormat="1" ht="15.5">
      <c r="A70" s="237"/>
      <c r="B70" s="254"/>
      <c r="C70" s="237"/>
      <c r="D70" s="247"/>
      <c r="E70" s="242"/>
      <c r="F70" s="247"/>
      <c r="G70" s="247"/>
      <c r="H70" s="241"/>
      <c r="I70" s="242"/>
      <c r="J70" s="1192"/>
      <c r="K70" s="1172"/>
      <c r="L70" s="1172"/>
    </row>
    <row r="71" spans="1:12" s="170" customFormat="1" ht="45">
      <c r="A71" s="237">
        <f>A67+1</f>
        <v>4</v>
      </c>
      <c r="B71" s="254" t="s">
        <v>1707</v>
      </c>
      <c r="C71" s="237"/>
      <c r="D71" s="247"/>
      <c r="E71" s="242"/>
      <c r="F71" s="247"/>
      <c r="G71" s="247"/>
      <c r="H71" s="241"/>
      <c r="I71" s="242"/>
      <c r="J71" s="1192"/>
      <c r="K71" s="1172"/>
      <c r="L71" s="1172"/>
    </row>
    <row r="72" spans="1:12" s="170" customFormat="1" ht="15.5">
      <c r="A72" s="237"/>
      <c r="B72" s="254"/>
      <c r="C72" s="237"/>
      <c r="D72" s="247"/>
      <c r="E72" s="242"/>
      <c r="F72" s="247"/>
      <c r="G72" s="247"/>
      <c r="H72" s="241"/>
      <c r="I72" s="242"/>
      <c r="J72" s="1192"/>
      <c r="K72" s="1172"/>
      <c r="L72" s="1172"/>
    </row>
    <row r="73" spans="1:12" s="170" customFormat="1" ht="15.5">
      <c r="A73" s="237"/>
      <c r="B73" s="254" t="s">
        <v>1665</v>
      </c>
      <c r="C73" s="237" t="s">
        <v>1581</v>
      </c>
      <c r="D73" s="237">
        <v>2</v>
      </c>
      <c r="E73" s="242">
        <v>9604</v>
      </c>
      <c r="F73" s="251">
        <f>D73*E73</f>
        <v>19208</v>
      </c>
      <c r="G73" s="251">
        <v>2</v>
      </c>
      <c r="H73" s="241">
        <f>G73*E73</f>
        <v>19208</v>
      </c>
      <c r="I73" s="237">
        <v>0</v>
      </c>
      <c r="J73" s="1192">
        <f>I73*E73</f>
        <v>0</v>
      </c>
      <c r="K73" s="1172"/>
      <c r="L73" s="1172"/>
    </row>
    <row r="74" spans="1:12" s="170" customFormat="1" ht="15.5">
      <c r="A74" s="237"/>
      <c r="B74" s="254"/>
      <c r="C74" s="237"/>
      <c r="D74" s="247"/>
      <c r="E74" s="242"/>
      <c r="F74" s="247"/>
      <c r="G74" s="247"/>
      <c r="H74" s="241"/>
      <c r="I74" s="242"/>
      <c r="J74" s="1192"/>
      <c r="K74" s="1172"/>
      <c r="L74" s="1172"/>
    </row>
    <row r="75" spans="1:12" s="170" customFormat="1" ht="30">
      <c r="A75" s="237">
        <f>A71+1</f>
        <v>5</v>
      </c>
      <c r="B75" s="254" t="s">
        <v>1626</v>
      </c>
      <c r="C75" s="247"/>
      <c r="D75" s="237"/>
      <c r="E75" s="242"/>
      <c r="F75" s="285"/>
      <c r="G75" s="285"/>
      <c r="H75" s="241"/>
      <c r="I75" s="242"/>
      <c r="J75" s="1192"/>
      <c r="K75" s="1172"/>
      <c r="L75" s="1172"/>
    </row>
    <row r="76" spans="1:12" s="170" customFormat="1" ht="15.5">
      <c r="A76" s="237"/>
      <c r="B76" s="254"/>
      <c r="C76" s="237"/>
      <c r="D76" s="237"/>
      <c r="E76" s="242"/>
      <c r="F76" s="286"/>
      <c r="G76" s="286"/>
      <c r="H76" s="241"/>
      <c r="I76" s="242"/>
      <c r="J76" s="1192"/>
      <c r="K76" s="1172"/>
      <c r="L76" s="1172"/>
    </row>
    <row r="77" spans="1:12" s="170" customFormat="1" ht="15.5">
      <c r="A77" s="237"/>
      <c r="B77" s="249" t="s">
        <v>1652</v>
      </c>
      <c r="C77" s="250" t="s">
        <v>870</v>
      </c>
      <c r="D77" s="250">
        <v>1</v>
      </c>
      <c r="E77" s="242">
        <v>12005</v>
      </c>
      <c r="F77" s="287">
        <f>D77*E77</f>
        <v>12005</v>
      </c>
      <c r="G77" s="287">
        <v>1</v>
      </c>
      <c r="H77" s="241">
        <f>G77*E77</f>
        <v>12005</v>
      </c>
      <c r="I77" s="250">
        <v>1</v>
      </c>
      <c r="J77" s="1192">
        <f>I77*E77</f>
        <v>12005</v>
      </c>
      <c r="K77" s="1172">
        <v>1</v>
      </c>
      <c r="L77" s="1172">
        <f>K77*E77</f>
        <v>12005</v>
      </c>
    </row>
    <row r="78" spans="1:12" s="170" customFormat="1" ht="15.5">
      <c r="A78" s="288"/>
      <c r="B78" s="254"/>
      <c r="C78" s="285"/>
      <c r="D78" s="285"/>
      <c r="E78" s="242"/>
      <c r="F78" s="286"/>
      <c r="G78" s="286"/>
      <c r="H78" s="241"/>
      <c r="I78" s="242"/>
      <c r="J78" s="1192"/>
      <c r="K78" s="1172"/>
      <c r="L78" s="1172"/>
    </row>
    <row r="79" spans="1:12" s="226" customFormat="1" ht="15.5">
      <c r="A79" s="289"/>
      <c r="B79" s="290" t="s">
        <v>243</v>
      </c>
      <c r="C79" s="291"/>
      <c r="D79" s="289"/>
      <c r="E79" s="291"/>
      <c r="F79" s="265">
        <f>SUM(F48:F77)</f>
        <v>337340.5</v>
      </c>
      <c r="G79" s="265"/>
      <c r="H79" s="265">
        <f>SUM(H48:H77)</f>
        <v>266943.18000000005</v>
      </c>
      <c r="I79" s="266"/>
      <c r="J79" s="1194">
        <f>SUM(J48:J77)</f>
        <v>63866.6</v>
      </c>
      <c r="K79" s="1194"/>
      <c r="L79" s="1194">
        <f>SUM(L48:L77)</f>
        <v>12005</v>
      </c>
    </row>
    <row r="80" spans="1:12" ht="15.5">
      <c r="A80" s="292"/>
      <c r="B80" s="293" t="s">
        <v>1708</v>
      </c>
      <c r="C80" s="294"/>
      <c r="D80" s="295"/>
      <c r="E80" s="295"/>
      <c r="F80" s="295"/>
      <c r="G80" s="295"/>
      <c r="H80" s="296"/>
      <c r="I80" s="297"/>
      <c r="J80" s="307"/>
      <c r="K80" s="1203"/>
      <c r="L80" s="1204"/>
    </row>
    <row r="81" spans="1:12" s="94" customFormat="1" ht="15.5">
      <c r="A81" s="298"/>
      <c r="B81" s="299" t="s">
        <v>839</v>
      </c>
      <c r="C81" s="300"/>
      <c r="D81" s="301"/>
      <c r="E81" s="302"/>
      <c r="F81" s="302"/>
      <c r="G81" s="302"/>
      <c r="H81" s="303"/>
      <c r="I81" s="304"/>
      <c r="J81" s="1198"/>
      <c r="K81" s="1205"/>
      <c r="L81" s="1205"/>
    </row>
    <row r="82" spans="1:12" ht="105">
      <c r="A82" s="298">
        <v>1</v>
      </c>
      <c r="B82" s="254" t="s">
        <v>1709</v>
      </c>
      <c r="C82" s="300"/>
      <c r="D82" s="301"/>
      <c r="E82" s="302"/>
      <c r="F82" s="302"/>
      <c r="G82" s="302"/>
      <c r="H82" s="305"/>
      <c r="I82" s="306"/>
      <c r="J82" s="1192"/>
      <c r="K82" s="1204"/>
      <c r="L82" s="1204"/>
    </row>
    <row r="83" spans="1:12" ht="15.5">
      <c r="A83" s="298" t="s">
        <v>4</v>
      </c>
      <c r="B83" s="254" t="s">
        <v>1710</v>
      </c>
      <c r="C83" s="250" t="s">
        <v>870</v>
      </c>
      <c r="D83" s="250">
        <v>0</v>
      </c>
      <c r="E83" s="241">
        <v>7000</v>
      </c>
      <c r="F83" s="287"/>
      <c r="G83" s="287">
        <v>2</v>
      </c>
      <c r="H83" s="241">
        <f>G83*E83</f>
        <v>14000</v>
      </c>
      <c r="I83" s="250">
        <v>0</v>
      </c>
      <c r="J83" s="1192">
        <f>I83*H83</f>
        <v>0</v>
      </c>
      <c r="K83" s="1204"/>
      <c r="L83" s="1204"/>
    </row>
    <row r="84" spans="1:12" ht="15.5">
      <c r="A84" s="237">
        <v>2</v>
      </c>
      <c r="B84" s="254" t="s">
        <v>1711</v>
      </c>
      <c r="C84" s="250" t="s">
        <v>870</v>
      </c>
      <c r="D84" s="250">
        <v>0</v>
      </c>
      <c r="E84" s="241">
        <v>6500</v>
      </c>
      <c r="F84" s="287"/>
      <c r="G84" s="287">
        <v>2</v>
      </c>
      <c r="H84" s="241">
        <f>G84*E84</f>
        <v>13000</v>
      </c>
      <c r="I84" s="250">
        <v>0</v>
      </c>
      <c r="J84" s="1192">
        <f>I84*H84</f>
        <v>0</v>
      </c>
      <c r="K84" s="1204"/>
      <c r="L84" s="1204"/>
    </row>
    <row r="85" spans="1:12" ht="15.5">
      <c r="A85" s="289"/>
      <c r="B85" s="290" t="s">
        <v>243</v>
      </c>
      <c r="C85" s="291"/>
      <c r="D85" s="289"/>
      <c r="E85" s="291"/>
      <c r="F85" s="265"/>
      <c r="G85" s="265"/>
      <c r="H85" s="265">
        <f>SUM(H83:H84)</f>
        <v>27000</v>
      </c>
      <c r="I85" s="266"/>
      <c r="J85" s="1194">
        <f>SUM(J82:J84)</f>
        <v>0</v>
      </c>
      <c r="K85" s="1204"/>
      <c r="L85" s="1194">
        <f>SUM(L82:L84)</f>
        <v>0</v>
      </c>
    </row>
  </sheetData>
  <mergeCells count="11">
    <mergeCell ref="A1:F4"/>
    <mergeCell ref="A5:A6"/>
    <mergeCell ref="B5:B6"/>
    <mergeCell ref="C5:C6"/>
    <mergeCell ref="D5:D6"/>
    <mergeCell ref="E5:E6"/>
    <mergeCell ref="K5:K6"/>
    <mergeCell ref="L5:L6"/>
    <mergeCell ref="F5:F6"/>
    <mergeCell ref="I5:I6"/>
    <mergeCell ref="J5:J6"/>
  </mergeCells>
  <pageMargins left="0.7" right="0.7" top="0.75" bottom="0.75" header="0.3" footer="0.3"/>
  <pageSetup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3"/>
  <sheetViews>
    <sheetView view="pageBreakPreview" zoomScale="60" zoomScaleNormal="100" workbookViewId="0">
      <pane ySplit="4" topLeftCell="A5" activePane="bottomLeft" state="frozen"/>
      <selection pane="bottomLeft" activeCell="B18" sqref="B18"/>
    </sheetView>
  </sheetViews>
  <sheetFormatPr defaultColWidth="9" defaultRowHeight="12.5"/>
  <cols>
    <col min="2" max="2" width="78.08984375" customWidth="1"/>
    <col min="3" max="3" width="9" style="171"/>
    <col min="4" max="4" width="9" style="172"/>
    <col min="5" max="5" width="11.08984375" style="171" customWidth="1"/>
    <col min="6" max="6" width="8.453125" style="172" customWidth="1"/>
    <col min="7" max="7" width="9" style="172"/>
  </cols>
  <sheetData>
    <row r="1" spans="1:7">
      <c r="A1" s="1289" t="s">
        <v>1712</v>
      </c>
      <c r="B1" s="1289"/>
      <c r="C1" s="1290"/>
      <c r="D1" s="1290"/>
      <c r="E1" s="1290"/>
      <c r="F1" s="1290"/>
      <c r="G1" s="1290"/>
    </row>
    <row r="2" spans="1:7">
      <c r="A2" s="1289"/>
      <c r="B2" s="1289"/>
      <c r="C2" s="1290"/>
      <c r="D2" s="1290"/>
      <c r="E2" s="1290"/>
      <c r="F2" s="1290"/>
      <c r="G2" s="1290"/>
    </row>
    <row r="3" spans="1:7" ht="13">
      <c r="A3" s="173" t="s">
        <v>833</v>
      </c>
      <c r="B3" s="174" t="s">
        <v>1697</v>
      </c>
      <c r="C3" s="175" t="s">
        <v>1713</v>
      </c>
      <c r="D3" s="176"/>
      <c r="E3" s="175"/>
      <c r="F3" s="176"/>
      <c r="G3" s="176"/>
    </row>
    <row r="4" spans="1:7" ht="14.5">
      <c r="A4" s="177" t="s">
        <v>10</v>
      </c>
      <c r="B4" s="178" t="s">
        <v>838</v>
      </c>
      <c r="C4" s="179" t="s">
        <v>1714</v>
      </c>
      <c r="D4" s="179" t="s">
        <v>241</v>
      </c>
      <c r="E4" s="180" t="s">
        <v>10</v>
      </c>
      <c r="F4" s="179" t="s">
        <v>242</v>
      </c>
      <c r="G4" s="179" t="s">
        <v>243</v>
      </c>
    </row>
    <row r="5" spans="1:7" ht="91">
      <c r="A5" s="181">
        <v>1</v>
      </c>
      <c r="B5" s="182" t="s">
        <v>1619</v>
      </c>
      <c r="C5" s="183"/>
      <c r="D5" s="184"/>
      <c r="E5" s="185"/>
      <c r="F5" s="186"/>
      <c r="G5" s="186"/>
    </row>
    <row r="6" spans="1:7" ht="143">
      <c r="A6" s="181"/>
      <c r="B6" s="187" t="s">
        <v>1620</v>
      </c>
      <c r="C6" s="183"/>
      <c r="D6" s="184"/>
      <c r="E6" s="185"/>
      <c r="F6" s="186"/>
      <c r="G6" s="186"/>
    </row>
    <row r="7" spans="1:7" ht="13.5">
      <c r="A7" s="188"/>
      <c r="B7" s="189"/>
      <c r="C7" s="190"/>
      <c r="D7" s="191"/>
      <c r="E7" s="192"/>
      <c r="F7" s="193"/>
      <c r="G7" s="193"/>
    </row>
    <row r="8" spans="1:7" ht="13.5">
      <c r="A8" s="188" t="s">
        <v>886</v>
      </c>
      <c r="B8" s="194" t="s">
        <v>1613</v>
      </c>
      <c r="C8" s="190"/>
      <c r="D8" s="191"/>
      <c r="E8" s="192"/>
      <c r="F8" s="193"/>
      <c r="G8" s="193"/>
    </row>
    <row r="9" spans="1:7" ht="13.5">
      <c r="A9" s="188"/>
      <c r="B9" s="189" t="s">
        <v>1715</v>
      </c>
      <c r="C9" s="190">
        <v>1</v>
      </c>
      <c r="D9" s="191">
        <v>6</v>
      </c>
      <c r="E9" s="192"/>
      <c r="F9" s="193"/>
      <c r="G9" s="193">
        <f>D9*C9</f>
        <v>6</v>
      </c>
    </row>
    <row r="10" spans="1:7" ht="13.5">
      <c r="A10" s="188"/>
      <c r="B10" s="189" t="s">
        <v>1716</v>
      </c>
      <c r="C10" s="190">
        <v>1</v>
      </c>
      <c r="D10" s="191">
        <v>2</v>
      </c>
      <c r="E10" s="192"/>
      <c r="F10" s="193"/>
      <c r="G10" s="193">
        <f t="shared" ref="G10:G15" si="0">D10*C10</f>
        <v>2</v>
      </c>
    </row>
    <row r="11" spans="1:7" ht="13.5">
      <c r="A11" s="188"/>
      <c r="B11" s="189" t="s">
        <v>1717</v>
      </c>
      <c r="C11" s="190">
        <v>1</v>
      </c>
      <c r="D11" s="191">
        <v>6</v>
      </c>
      <c r="E11" s="192"/>
      <c r="F11" s="193"/>
      <c r="G11" s="193">
        <f t="shared" si="0"/>
        <v>6</v>
      </c>
    </row>
    <row r="12" spans="1:7" s="169" customFormat="1" ht="13.5">
      <c r="A12" s="195"/>
      <c r="B12" s="196" t="s">
        <v>481</v>
      </c>
      <c r="C12" s="197"/>
      <c r="D12" s="198"/>
      <c r="E12" s="199"/>
      <c r="F12" s="200"/>
      <c r="G12" s="200"/>
    </row>
    <row r="13" spans="1:7" ht="13.5">
      <c r="A13" s="188"/>
      <c r="B13" s="189"/>
      <c r="C13" s="190"/>
      <c r="D13" s="191"/>
      <c r="E13" s="192"/>
      <c r="F13" s="193"/>
      <c r="G13" s="193"/>
    </row>
    <row r="14" spans="1:7" ht="13.5">
      <c r="A14" s="188" t="s">
        <v>888</v>
      </c>
      <c r="B14" s="194" t="s">
        <v>1614</v>
      </c>
      <c r="C14" s="190"/>
      <c r="D14" s="191"/>
      <c r="E14" s="192"/>
      <c r="F14" s="193"/>
      <c r="G14" s="193"/>
    </row>
    <row r="15" spans="1:7" ht="13.5">
      <c r="A15" s="188"/>
      <c r="B15" s="189" t="s">
        <v>1718</v>
      </c>
      <c r="C15" s="190">
        <v>1</v>
      </c>
      <c r="D15" s="191">
        <v>3</v>
      </c>
      <c r="E15" s="192"/>
      <c r="F15" s="193"/>
      <c r="G15" s="193">
        <f t="shared" si="0"/>
        <v>3</v>
      </c>
    </row>
    <row r="16" spans="1:7" s="169" customFormat="1" ht="13.5">
      <c r="A16" s="195"/>
      <c r="B16" s="196" t="s">
        <v>481</v>
      </c>
      <c r="C16" s="197"/>
      <c r="D16" s="198"/>
      <c r="E16" s="199"/>
      <c r="F16" s="200"/>
      <c r="G16" s="200"/>
    </row>
    <row r="17" spans="1:7" ht="13.5">
      <c r="A17" s="188"/>
      <c r="B17" s="189"/>
      <c r="C17" s="190"/>
      <c r="D17" s="191"/>
      <c r="E17" s="192"/>
      <c r="F17" s="193"/>
      <c r="G17" s="193"/>
    </row>
    <row r="18" spans="1:7" s="170" customFormat="1" ht="13.5">
      <c r="A18" s="201"/>
      <c r="B18" s="202"/>
      <c r="C18" s="190"/>
      <c r="D18" s="203"/>
      <c r="E18" s="204"/>
      <c r="F18" s="205"/>
      <c r="G18" s="193"/>
    </row>
    <row r="19" spans="1:7" ht="13.5">
      <c r="A19" s="201" t="s">
        <v>890</v>
      </c>
      <c r="B19" s="206" t="s">
        <v>1615</v>
      </c>
      <c r="D19" s="193"/>
      <c r="E19" s="192"/>
      <c r="F19" s="193"/>
      <c r="G19" s="207"/>
    </row>
    <row r="20" spans="1:7" ht="13.5">
      <c r="A20" s="188"/>
      <c r="B20" s="194" t="s">
        <v>1719</v>
      </c>
      <c r="C20" s="190">
        <v>7</v>
      </c>
      <c r="D20" s="193">
        <v>3</v>
      </c>
      <c r="E20" s="192"/>
      <c r="F20" s="193"/>
      <c r="G20" s="193">
        <f>D20*C20</f>
        <v>21</v>
      </c>
    </row>
    <row r="21" spans="1:7" s="169" customFormat="1" ht="13.5">
      <c r="A21" s="195"/>
      <c r="B21" s="196" t="s">
        <v>481</v>
      </c>
      <c r="C21" s="197"/>
      <c r="D21" s="198"/>
      <c r="E21" s="199"/>
      <c r="F21" s="200"/>
      <c r="G21" s="200"/>
    </row>
    <row r="22" spans="1:7" ht="13.5">
      <c r="A22" s="188"/>
      <c r="B22" s="194"/>
      <c r="C22" s="207"/>
      <c r="D22" s="193"/>
      <c r="E22" s="192"/>
      <c r="F22" s="193"/>
      <c r="G22" s="207"/>
    </row>
    <row r="23" spans="1:7" s="170" customFormat="1">
      <c r="A23" s="208" t="s">
        <v>138</v>
      </c>
      <c r="B23" s="209" t="s">
        <v>839</v>
      </c>
      <c r="C23" s="210"/>
      <c r="D23" s="211"/>
      <c r="E23" s="210"/>
      <c r="F23" s="211"/>
      <c r="G23" s="211"/>
    </row>
    <row r="24" spans="1:7" s="170" customFormat="1" ht="162">
      <c r="A24" s="201">
        <v>1</v>
      </c>
      <c r="B24" s="202" t="s">
        <v>1635</v>
      </c>
      <c r="C24" s="190"/>
      <c r="D24" s="203"/>
      <c r="E24" s="212"/>
      <c r="F24" s="205"/>
      <c r="G24" s="193"/>
    </row>
    <row r="25" spans="1:7" s="170" customFormat="1" ht="67.5">
      <c r="A25" s="201"/>
      <c r="B25" s="202" t="s">
        <v>1636</v>
      </c>
      <c r="C25" s="190"/>
      <c r="D25" s="203"/>
      <c r="E25" s="212"/>
      <c r="F25" s="205"/>
      <c r="G25" s="193"/>
    </row>
    <row r="26" spans="1:7" s="170" customFormat="1" ht="13.5">
      <c r="A26" s="201"/>
      <c r="B26" s="202"/>
      <c r="C26" s="190"/>
      <c r="D26" s="203"/>
      <c r="E26" s="212"/>
      <c r="F26" s="205"/>
      <c r="G26" s="193"/>
    </row>
    <row r="27" spans="1:7" s="170" customFormat="1" ht="13.5">
      <c r="A27" s="201" t="s">
        <v>883</v>
      </c>
      <c r="B27" s="202" t="s">
        <v>1637</v>
      </c>
      <c r="C27" s="213"/>
      <c r="D27" s="214"/>
      <c r="E27" s="204"/>
      <c r="F27" s="205"/>
      <c r="G27" s="214"/>
    </row>
    <row r="28" spans="1:7" s="170" customFormat="1" ht="13.5">
      <c r="A28" s="201"/>
      <c r="B28" s="202" t="s">
        <v>1720</v>
      </c>
      <c r="C28" s="190">
        <v>5</v>
      </c>
      <c r="D28" s="214">
        <v>6</v>
      </c>
      <c r="E28" s="204"/>
      <c r="F28" s="205"/>
      <c r="G28" s="193">
        <f>D28*C28</f>
        <v>30</v>
      </c>
    </row>
    <row r="29" spans="1:7" s="170" customFormat="1" ht="13.5">
      <c r="A29" s="195"/>
      <c r="B29" s="196" t="s">
        <v>481</v>
      </c>
      <c r="C29" s="197"/>
      <c r="D29" s="198"/>
      <c r="E29" s="199"/>
      <c r="F29" s="200"/>
      <c r="G29" s="200">
        <f>G28</f>
        <v>30</v>
      </c>
    </row>
    <row r="30" spans="1:7" s="170" customFormat="1" ht="13.5">
      <c r="A30" s="201"/>
      <c r="B30" s="202" t="s">
        <v>1882</v>
      </c>
      <c r="C30" s="190"/>
      <c r="D30" s="214"/>
      <c r="E30" s="204"/>
      <c r="F30" s="205"/>
      <c r="G30" s="1152">
        <v>20</v>
      </c>
    </row>
    <row r="31" spans="1:7" s="170" customFormat="1" ht="13.5">
      <c r="A31" s="201"/>
      <c r="B31" s="202" t="s">
        <v>1883</v>
      </c>
      <c r="C31" s="190"/>
      <c r="D31" s="214"/>
      <c r="E31" s="204"/>
      <c r="F31" s="205"/>
      <c r="G31" s="1152">
        <v>10</v>
      </c>
    </row>
    <row r="32" spans="1:7" s="169" customFormat="1" ht="13.5">
      <c r="A32" s="195" t="s">
        <v>883</v>
      </c>
      <c r="B32" s="196" t="s">
        <v>1884</v>
      </c>
      <c r="C32" s="197"/>
      <c r="D32" s="198"/>
      <c r="E32" s="199"/>
      <c r="F32" s="200"/>
      <c r="G32" s="200">
        <f>SUM(G28)</f>
        <v>30</v>
      </c>
    </row>
    <row r="33" spans="1:7" s="170" customFormat="1" ht="13.5">
      <c r="A33" s="201"/>
      <c r="B33" s="202"/>
      <c r="C33" s="190"/>
      <c r="D33" s="214"/>
      <c r="E33" s="204"/>
      <c r="F33" s="205"/>
      <c r="G33" s="214"/>
    </row>
    <row r="34" spans="1:7" s="170" customFormat="1" ht="13.5">
      <c r="A34" s="201" t="s">
        <v>886</v>
      </c>
      <c r="B34" s="202" t="s">
        <v>1638</v>
      </c>
      <c r="C34" s="190"/>
      <c r="D34" s="214"/>
      <c r="E34" s="204"/>
      <c r="F34" s="205"/>
      <c r="G34" s="214"/>
    </row>
    <row r="35" spans="1:7" s="170" customFormat="1" ht="13.5">
      <c r="A35" s="201"/>
      <c r="B35" s="202" t="s">
        <v>1721</v>
      </c>
      <c r="C35" s="190">
        <v>1</v>
      </c>
      <c r="D35" s="214">
        <v>6</v>
      </c>
      <c r="E35" s="204"/>
      <c r="F35" s="205"/>
      <c r="G35" s="193">
        <f>D35*C35</f>
        <v>6</v>
      </c>
    </row>
    <row r="36" spans="1:7" s="169" customFormat="1" ht="13.5">
      <c r="A36" s="195"/>
      <c r="B36" s="196" t="s">
        <v>481</v>
      </c>
      <c r="C36" s="197"/>
      <c r="D36" s="198"/>
      <c r="E36" s="199"/>
      <c r="F36" s="200"/>
      <c r="G36" s="200">
        <f>SUM(G35)</f>
        <v>6</v>
      </c>
    </row>
    <row r="37" spans="1:7" s="170" customFormat="1" ht="13.5">
      <c r="A37" s="201"/>
      <c r="B37" s="202"/>
      <c r="C37" s="190"/>
      <c r="D37" s="203"/>
      <c r="E37" s="204"/>
      <c r="F37" s="205"/>
      <c r="G37" s="193"/>
    </row>
    <row r="38" spans="1:7" s="170" customFormat="1" ht="81">
      <c r="A38" s="201">
        <f>A24+1</f>
        <v>2</v>
      </c>
      <c r="B38" s="202" t="s">
        <v>1722</v>
      </c>
      <c r="C38" s="190"/>
      <c r="D38" s="203"/>
      <c r="E38" s="204"/>
      <c r="F38" s="205"/>
      <c r="G38" s="193"/>
    </row>
    <row r="39" spans="1:7" s="170" customFormat="1" ht="13.5">
      <c r="A39" s="201"/>
      <c r="B39" s="189"/>
      <c r="C39" s="190"/>
      <c r="D39" s="203"/>
      <c r="E39" s="204"/>
      <c r="F39" s="205"/>
      <c r="G39" s="193"/>
    </row>
    <row r="40" spans="1:7" s="170" customFormat="1" ht="13.5">
      <c r="A40" s="201" t="s">
        <v>883</v>
      </c>
      <c r="B40" s="202" t="s">
        <v>1644</v>
      </c>
      <c r="C40" s="190">
        <v>4</v>
      </c>
      <c r="D40" s="203"/>
      <c r="E40" s="204"/>
      <c r="F40" s="205"/>
      <c r="G40" s="193">
        <f>C40</f>
        <v>4</v>
      </c>
    </row>
    <row r="41" spans="1:7" s="169" customFormat="1" ht="13.5">
      <c r="A41" s="195"/>
      <c r="B41" s="196" t="s">
        <v>481</v>
      </c>
      <c r="C41" s="197"/>
      <c r="D41" s="198"/>
      <c r="E41" s="199"/>
      <c r="F41" s="200"/>
      <c r="G41" s="200">
        <f>SUM(G40)</f>
        <v>4</v>
      </c>
    </row>
    <row r="42" spans="1:7" s="169" customFormat="1" ht="13.5">
      <c r="A42" s="215"/>
      <c r="B42" s="216"/>
      <c r="C42" s="217"/>
      <c r="D42" s="218"/>
      <c r="E42" s="219"/>
      <c r="F42" s="220"/>
      <c r="G42" s="220"/>
    </row>
    <row r="43" spans="1:7" s="170" customFormat="1" ht="81">
      <c r="A43" s="201">
        <f>A38+1</f>
        <v>3</v>
      </c>
      <c r="B43" s="202" t="s">
        <v>1723</v>
      </c>
      <c r="C43" s="190">
        <v>2</v>
      </c>
      <c r="D43" s="203"/>
      <c r="E43" s="204"/>
      <c r="F43" s="205"/>
      <c r="G43" s="193">
        <v>1</v>
      </c>
    </row>
    <row r="44" spans="1:7" s="169" customFormat="1" ht="13.5">
      <c r="A44" s="195"/>
      <c r="B44" s="196" t="s">
        <v>481</v>
      </c>
      <c r="C44" s="197"/>
      <c r="D44" s="198"/>
      <c r="E44" s="199"/>
      <c r="F44" s="200"/>
      <c r="G44" s="200">
        <f>SUM(G43)</f>
        <v>1</v>
      </c>
    </row>
    <row r="45" spans="1:7">
      <c r="A45" s="2" t="s">
        <v>23</v>
      </c>
      <c r="B45" s="2" t="s">
        <v>1862</v>
      </c>
      <c r="C45" s="1064"/>
      <c r="D45" s="46"/>
      <c r="E45" s="1064"/>
      <c r="F45" s="46"/>
      <c r="G45" s="46"/>
    </row>
    <row r="46" spans="1:7">
      <c r="A46" s="2">
        <v>1</v>
      </c>
      <c r="B46" s="2" t="s">
        <v>1863</v>
      </c>
      <c r="C46" s="1064"/>
      <c r="D46" s="46"/>
      <c r="E46" s="1064"/>
      <c r="F46" s="46"/>
      <c r="G46" s="46"/>
    </row>
    <row r="47" spans="1:7">
      <c r="A47" s="2"/>
      <c r="B47" s="2" t="s">
        <v>1864</v>
      </c>
      <c r="C47" s="1064"/>
      <c r="D47" s="46"/>
      <c r="E47" s="1064"/>
      <c r="F47" s="46"/>
      <c r="G47" s="46"/>
    </row>
    <row r="48" spans="1:7">
      <c r="A48" s="2"/>
      <c r="B48" s="2" t="s">
        <v>1865</v>
      </c>
      <c r="C48" s="1064"/>
      <c r="D48" s="46"/>
      <c r="E48" s="1064"/>
      <c r="F48" s="46"/>
      <c r="G48" s="46"/>
    </row>
    <row r="49" spans="1:7">
      <c r="A49" s="2"/>
      <c r="B49" s="2" t="s">
        <v>1866</v>
      </c>
      <c r="C49" s="1064"/>
      <c r="D49" s="46"/>
      <c r="E49" s="1064"/>
      <c r="F49" s="46"/>
      <c r="G49" s="46"/>
    </row>
    <row r="50" spans="1:7">
      <c r="A50" s="2">
        <v>2</v>
      </c>
      <c r="B50" s="2" t="s">
        <v>1867</v>
      </c>
      <c r="C50" s="1064"/>
      <c r="D50" s="46"/>
      <c r="E50" s="1064"/>
      <c r="F50" s="46"/>
      <c r="G50" s="46"/>
    </row>
    <row r="51" spans="1:7">
      <c r="A51" s="2"/>
      <c r="B51" s="2" t="s">
        <v>1868</v>
      </c>
      <c r="C51" s="1064"/>
      <c r="D51" s="46"/>
      <c r="E51" s="1064"/>
      <c r="F51" s="46"/>
      <c r="G51" s="1151">
        <v>27</v>
      </c>
    </row>
    <row r="52" spans="1:7">
      <c r="A52" s="2"/>
      <c r="B52" s="2" t="s">
        <v>1869</v>
      </c>
      <c r="C52" s="1064"/>
      <c r="D52" s="46"/>
      <c r="E52" s="1064"/>
      <c r="F52" s="46"/>
      <c r="G52" s="1151">
        <v>27</v>
      </c>
    </row>
    <row r="53" spans="1:7">
      <c r="A53" s="2">
        <v>3</v>
      </c>
      <c r="B53" s="2" t="s">
        <v>1871</v>
      </c>
      <c r="C53" s="1064"/>
      <c r="D53" s="46"/>
      <c r="E53" s="1064"/>
      <c r="F53" s="46"/>
      <c r="G53" s="46"/>
    </row>
    <row r="54" spans="1:7">
      <c r="A54" s="2"/>
      <c r="B54" s="2" t="s">
        <v>1870</v>
      </c>
      <c r="C54" s="1064"/>
      <c r="D54" s="46"/>
      <c r="E54" s="1064"/>
      <c r="F54" s="46"/>
      <c r="G54" s="46"/>
    </row>
    <row r="55" spans="1:7">
      <c r="A55" s="2">
        <v>4</v>
      </c>
      <c r="B55" s="2" t="s">
        <v>1872</v>
      </c>
      <c r="C55" s="1064"/>
      <c r="D55" s="46"/>
      <c r="E55" s="1064"/>
      <c r="F55" s="46"/>
      <c r="G55" s="46"/>
    </row>
    <row r="56" spans="1:7">
      <c r="A56" s="2"/>
      <c r="B56" s="2" t="s">
        <v>1873</v>
      </c>
      <c r="C56" s="1064"/>
      <c r="D56" s="46"/>
      <c r="E56" s="1064"/>
      <c r="F56" s="46"/>
      <c r="G56" s="46"/>
    </row>
    <row r="57" spans="1:7">
      <c r="A57" s="2">
        <v>5</v>
      </c>
      <c r="B57" s="2" t="s">
        <v>1881</v>
      </c>
      <c r="C57" s="1064"/>
      <c r="D57" s="46"/>
      <c r="E57" s="1064"/>
      <c r="F57" s="46"/>
      <c r="G57" s="46">
        <v>2</v>
      </c>
    </row>
    <row r="58" spans="1:7">
      <c r="A58" s="2"/>
      <c r="B58" s="2" t="s">
        <v>1879</v>
      </c>
      <c r="C58" s="1064"/>
      <c r="D58" s="46"/>
      <c r="E58" s="1064"/>
      <c r="F58" s="46"/>
      <c r="G58" s="46">
        <v>1</v>
      </c>
    </row>
    <row r="59" spans="1:7">
      <c r="A59" s="2"/>
      <c r="B59" s="2" t="s">
        <v>1880</v>
      </c>
      <c r="C59" s="1064"/>
      <c r="D59" s="46"/>
      <c r="E59" s="1064"/>
      <c r="F59" s="46"/>
      <c r="G59" s="46">
        <v>1</v>
      </c>
    </row>
    <row r="60" spans="1:7" ht="13.5">
      <c r="A60" s="195"/>
      <c r="B60" s="196" t="s">
        <v>481</v>
      </c>
      <c r="C60" s="197"/>
      <c r="D60" s="198"/>
      <c r="E60" s="199"/>
      <c r="F60" s="200"/>
      <c r="G60" s="197">
        <f>G58+G59</f>
        <v>2</v>
      </c>
    </row>
    <row r="61" spans="1:7">
      <c r="A61" s="2"/>
      <c r="B61" s="2"/>
      <c r="C61" s="1064"/>
      <c r="D61" s="46"/>
      <c r="E61" s="1064"/>
      <c r="F61" s="46"/>
      <c r="G61" s="46"/>
    </row>
    <row r="62" spans="1:7">
      <c r="A62" s="2"/>
      <c r="B62" s="2"/>
      <c r="C62" s="1064"/>
      <c r="D62" s="46"/>
      <c r="E62" s="1064"/>
      <c r="F62" s="46"/>
      <c r="G62" s="46"/>
    </row>
    <row r="63" spans="1:7">
      <c r="A63" s="2"/>
      <c r="B63" s="2"/>
      <c r="C63" s="1064"/>
      <c r="D63" s="46"/>
      <c r="E63" s="1064"/>
      <c r="F63" s="46"/>
      <c r="G63" s="46"/>
    </row>
  </sheetData>
  <mergeCells count="1">
    <mergeCell ref="A1:G2"/>
  </mergeCells>
  <pageMargins left="0.7" right="0.7" top="0.75" bottom="0.75" header="0.3" footer="0.3"/>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
  <sheetViews>
    <sheetView view="pageBreakPreview" zoomScale="80" zoomScaleNormal="100" zoomScaleSheetLayoutView="80" workbookViewId="0">
      <pane ySplit="5" topLeftCell="A15" activePane="bottomLeft" state="frozen"/>
      <selection pane="bottomLeft" activeCell="G8" sqref="G8"/>
    </sheetView>
  </sheetViews>
  <sheetFormatPr defaultColWidth="9.08984375" defaultRowHeight="11.5"/>
  <cols>
    <col min="1" max="1" width="10" style="98" customWidth="1"/>
    <col min="2" max="2" width="67" style="99" customWidth="1"/>
    <col min="3" max="3" width="8" style="100" customWidth="1"/>
    <col min="4" max="4" width="6" style="101" customWidth="1"/>
    <col min="5" max="5" width="8.90625" style="102" customWidth="1"/>
    <col min="6" max="6" width="12" style="103" customWidth="1"/>
    <col min="7" max="8" width="12.453125" style="103" customWidth="1"/>
    <col min="9" max="9" width="13.08984375" style="104" customWidth="1"/>
    <col min="10" max="10" width="9.08984375" style="104" hidden="1" customWidth="1"/>
    <col min="11" max="16384" width="9.08984375" style="104"/>
  </cols>
  <sheetData>
    <row r="1" spans="1:9" s="94" customFormat="1" ht="16.5" customHeight="1">
      <c r="A1" s="1291"/>
      <c r="B1" s="1292"/>
      <c r="C1" s="1292"/>
      <c r="D1" s="1292"/>
      <c r="E1" s="1292"/>
      <c r="F1" s="1292"/>
      <c r="G1" s="1292"/>
      <c r="H1" s="1292"/>
      <c r="I1" s="1293"/>
    </row>
    <row r="2" spans="1:9" s="94" customFormat="1" ht="12.75" customHeight="1">
      <c r="A2" s="1294" t="s">
        <v>1724</v>
      </c>
      <c r="B2" s="1295"/>
      <c r="C2" s="105"/>
      <c r="D2" s="105"/>
      <c r="E2" s="105"/>
      <c r="F2" s="105"/>
      <c r="G2" s="105"/>
      <c r="H2" s="105"/>
      <c r="I2" s="105"/>
    </row>
    <row r="3" spans="1:9" s="95" customFormat="1" ht="13.5">
      <c r="A3" s="1294" t="s">
        <v>1725</v>
      </c>
      <c r="B3" s="1296"/>
      <c r="C3" s="105"/>
      <c r="D3" s="105"/>
      <c r="E3" s="105"/>
      <c r="F3" s="105"/>
      <c r="G3" s="105"/>
      <c r="H3" s="105"/>
      <c r="I3" s="105"/>
    </row>
    <row r="4" spans="1:9" s="95" customFormat="1" ht="13.5">
      <c r="A4" s="1297" t="s">
        <v>1726</v>
      </c>
      <c r="B4" s="1296"/>
      <c r="C4" s="105"/>
      <c r="D4" s="105"/>
      <c r="E4" s="105"/>
      <c r="F4" s="105"/>
      <c r="G4" s="105"/>
      <c r="H4" s="105"/>
      <c r="I4" s="105"/>
    </row>
    <row r="5" spans="1:9" s="96" customFormat="1" ht="26">
      <c r="A5" s="106" t="s">
        <v>86</v>
      </c>
      <c r="B5" s="107" t="s">
        <v>1727</v>
      </c>
      <c r="C5" s="106" t="s">
        <v>88</v>
      </c>
      <c r="D5" s="108" t="s">
        <v>1728</v>
      </c>
      <c r="E5" s="109" t="s">
        <v>1428</v>
      </c>
      <c r="F5" s="108" t="s">
        <v>1885</v>
      </c>
      <c r="G5" s="108" t="s">
        <v>1930</v>
      </c>
      <c r="H5" s="108" t="s">
        <v>1931</v>
      </c>
      <c r="I5" s="160"/>
    </row>
    <row r="6" spans="1:9" s="97" customFormat="1" ht="13.5">
      <c r="A6" s="110" t="s">
        <v>1731</v>
      </c>
      <c r="B6" s="111" t="s">
        <v>1732</v>
      </c>
      <c r="C6" s="112"/>
      <c r="D6" s="113"/>
      <c r="E6" s="114"/>
      <c r="F6" s="115"/>
      <c r="G6" s="116"/>
      <c r="H6" s="116"/>
      <c r="I6" s="161"/>
    </row>
    <row r="7" spans="1:9" s="97" customFormat="1" ht="13.5">
      <c r="A7" s="117"/>
      <c r="B7" s="118"/>
      <c r="C7" s="119"/>
      <c r="D7" s="4"/>
      <c r="E7" s="114"/>
      <c r="F7" s="116"/>
      <c r="G7" s="116"/>
      <c r="H7" s="116"/>
      <c r="I7" s="162"/>
    </row>
    <row r="8" spans="1:9" s="97" customFormat="1" ht="54">
      <c r="A8" s="113">
        <v>1</v>
      </c>
      <c r="B8" s="120" t="s">
        <v>1733</v>
      </c>
      <c r="C8" s="119"/>
      <c r="D8" s="113"/>
      <c r="E8" s="121"/>
      <c r="F8" s="121"/>
      <c r="G8" s="121"/>
      <c r="H8" s="121"/>
      <c r="I8" s="162"/>
    </row>
    <row r="9" spans="1:9" s="97" customFormat="1" ht="53.25" customHeight="1">
      <c r="A9" s="122" t="s">
        <v>1734</v>
      </c>
      <c r="B9" s="123" t="s">
        <v>1735</v>
      </c>
      <c r="C9" s="112" t="s">
        <v>657</v>
      </c>
      <c r="D9" s="113">
        <v>3</v>
      </c>
      <c r="E9" s="124">
        <v>1152.48</v>
      </c>
      <c r="F9" s="121">
        <f>E9*D9</f>
        <v>3457.44</v>
      </c>
      <c r="G9" s="113">
        <v>3</v>
      </c>
      <c r="H9" s="121">
        <f t="shared" ref="H9:H17" si="0">G9*E9</f>
        <v>3457.44</v>
      </c>
      <c r="I9" s="162"/>
    </row>
    <row r="10" spans="1:9" s="97" customFormat="1" ht="58.5" customHeight="1">
      <c r="A10" s="122" t="s">
        <v>1736</v>
      </c>
      <c r="B10" s="123" t="s">
        <v>1737</v>
      </c>
      <c r="C10" s="112" t="s">
        <v>657</v>
      </c>
      <c r="D10" s="113">
        <v>38</v>
      </c>
      <c r="E10" s="124">
        <v>1440.6</v>
      </c>
      <c r="F10" s="121">
        <f t="shared" ref="F10:F17" si="1">E10*D10</f>
        <v>54742.799999999996</v>
      </c>
      <c r="G10" s="113">
        <v>38</v>
      </c>
      <c r="H10" s="121">
        <f t="shared" si="0"/>
        <v>54742.799999999996</v>
      </c>
      <c r="I10" s="162"/>
    </row>
    <row r="11" spans="1:9" s="97" customFormat="1" ht="63.75" customHeight="1">
      <c r="A11" s="122" t="s">
        <v>888</v>
      </c>
      <c r="B11" s="123" t="s">
        <v>1738</v>
      </c>
      <c r="C11" s="112" t="s">
        <v>657</v>
      </c>
      <c r="D11" s="113">
        <v>1</v>
      </c>
      <c r="E11" s="124">
        <v>3361.4</v>
      </c>
      <c r="F11" s="121">
        <f t="shared" si="1"/>
        <v>3361.4</v>
      </c>
      <c r="G11" s="113">
        <v>1</v>
      </c>
      <c r="H11" s="121">
        <f t="shared" si="0"/>
        <v>3361.4</v>
      </c>
      <c r="I11" s="162"/>
    </row>
    <row r="12" spans="1:9" s="97" customFormat="1" ht="63.75" customHeight="1">
      <c r="A12" s="122" t="s">
        <v>890</v>
      </c>
      <c r="B12" s="123" t="s">
        <v>1739</v>
      </c>
      <c r="C12" s="125" t="s">
        <v>657</v>
      </c>
      <c r="D12" s="126">
        <v>5</v>
      </c>
      <c r="E12" s="127">
        <v>2401</v>
      </c>
      <c r="F12" s="121">
        <f t="shared" si="1"/>
        <v>12005</v>
      </c>
      <c r="G12" s="126">
        <v>5</v>
      </c>
      <c r="H12" s="121">
        <f t="shared" si="0"/>
        <v>12005</v>
      </c>
      <c r="I12" s="163"/>
    </row>
    <row r="13" spans="1:9" s="97" customFormat="1" ht="63.75" customHeight="1">
      <c r="A13" s="122" t="s">
        <v>892</v>
      </c>
      <c r="B13" s="128" t="s">
        <v>1740</v>
      </c>
      <c r="C13" s="129" t="s">
        <v>657</v>
      </c>
      <c r="D13" s="130">
        <v>1</v>
      </c>
      <c r="E13" s="131">
        <v>7203</v>
      </c>
      <c r="F13" s="121">
        <f t="shared" si="1"/>
        <v>7203</v>
      </c>
      <c r="G13" s="130">
        <v>1</v>
      </c>
      <c r="H13" s="121">
        <f t="shared" si="0"/>
        <v>7203</v>
      </c>
      <c r="I13" s="162"/>
    </row>
    <row r="14" spans="1:9" s="97" customFormat="1" ht="63.75" customHeight="1">
      <c r="A14" s="122"/>
      <c r="B14" s="128" t="s">
        <v>1741</v>
      </c>
      <c r="C14" s="129"/>
      <c r="D14" s="130">
        <v>12</v>
      </c>
      <c r="E14" s="131">
        <v>3361.4</v>
      </c>
      <c r="F14" s="121">
        <f t="shared" si="1"/>
        <v>40336.800000000003</v>
      </c>
      <c r="G14" s="130">
        <v>12</v>
      </c>
      <c r="H14" s="121">
        <f t="shared" si="0"/>
        <v>40336.800000000003</v>
      </c>
      <c r="I14" s="162"/>
    </row>
    <row r="15" spans="1:9" s="97" customFormat="1" ht="63.75" customHeight="1">
      <c r="A15" s="122" t="s">
        <v>894</v>
      </c>
      <c r="B15" s="132" t="s">
        <v>1742</v>
      </c>
      <c r="C15" s="133" t="s">
        <v>657</v>
      </c>
      <c r="D15" s="134">
        <v>8</v>
      </c>
      <c r="E15" s="121">
        <v>14406</v>
      </c>
      <c r="F15" s="121">
        <f t="shared" si="1"/>
        <v>115248</v>
      </c>
      <c r="G15" s="134">
        <v>8</v>
      </c>
      <c r="H15" s="121">
        <f t="shared" si="0"/>
        <v>115248</v>
      </c>
      <c r="I15" s="162"/>
    </row>
    <row r="16" spans="1:9" s="97" customFormat="1" ht="63.75" customHeight="1">
      <c r="A16" s="122"/>
      <c r="B16" s="128" t="s">
        <v>1743</v>
      </c>
      <c r="C16" s="133"/>
      <c r="D16" s="134">
        <v>88</v>
      </c>
      <c r="E16" s="121">
        <v>4321.8</v>
      </c>
      <c r="F16" s="121">
        <f t="shared" si="1"/>
        <v>380318.4</v>
      </c>
      <c r="G16" s="134">
        <v>88</v>
      </c>
      <c r="H16" s="121">
        <f t="shared" si="0"/>
        <v>380318.4</v>
      </c>
      <c r="I16" s="162"/>
    </row>
    <row r="17" spans="1:9" s="97" customFormat="1" ht="73.5" customHeight="1">
      <c r="A17" s="122" t="s">
        <v>896</v>
      </c>
      <c r="B17" s="112" t="s">
        <v>1744</v>
      </c>
      <c r="C17" s="135" t="s">
        <v>1745</v>
      </c>
      <c r="D17" s="113">
        <v>275</v>
      </c>
      <c r="E17" s="124">
        <v>144.06</v>
      </c>
      <c r="F17" s="121">
        <f t="shared" si="1"/>
        <v>39616.5</v>
      </c>
      <c r="G17" s="113"/>
      <c r="H17" s="121">
        <f t="shared" si="0"/>
        <v>0</v>
      </c>
      <c r="I17" s="162"/>
    </row>
    <row r="18" spans="1:9" s="97" customFormat="1" ht="13.5">
      <c r="A18" s="136"/>
      <c r="B18" s="137" t="s">
        <v>105</v>
      </c>
      <c r="C18" s="136"/>
      <c r="D18" s="136"/>
      <c r="E18" s="138"/>
      <c r="F18" s="139">
        <f>SUM(F8:F17)</f>
        <v>656289.34000000008</v>
      </c>
      <c r="G18" s="139"/>
      <c r="H18" s="139">
        <f>SUM(H8:H17)</f>
        <v>616672.84000000008</v>
      </c>
      <c r="I18" s="162"/>
    </row>
    <row r="19" spans="1:9" ht="13.5">
      <c r="A19" s="140"/>
      <c r="B19" s="140"/>
      <c r="C19" s="140"/>
      <c r="D19" s="140"/>
      <c r="E19" s="140"/>
      <c r="F19" s="140"/>
      <c r="G19" s="140"/>
      <c r="H19" s="140"/>
      <c r="I19" s="164"/>
    </row>
    <row r="20" spans="1:9" ht="13.5">
      <c r="A20" s="79" t="s">
        <v>1746</v>
      </c>
      <c r="B20" s="1298" t="s">
        <v>1747</v>
      </c>
      <c r="C20" s="1298"/>
      <c r="D20" s="1298"/>
      <c r="E20" s="141" t="s">
        <v>1729</v>
      </c>
      <c r="F20" s="141"/>
      <c r="G20" s="141"/>
      <c r="H20" s="141"/>
      <c r="I20" s="165"/>
    </row>
    <row r="21" spans="1:9" ht="12.75" hidden="1" customHeight="1">
      <c r="A21" s="142"/>
      <c r="B21" s="143"/>
      <c r="C21" s="144"/>
      <c r="D21" s="145"/>
      <c r="E21" s="146"/>
      <c r="F21" s="147"/>
      <c r="G21" s="147"/>
      <c r="H21" s="147"/>
      <c r="I21" s="166"/>
    </row>
    <row r="22" spans="1:9" ht="13.5" hidden="1">
      <c r="A22" s="148" t="s">
        <v>1748</v>
      </c>
      <c r="B22" s="149" t="s">
        <v>1749</v>
      </c>
      <c r="C22" s="150" t="s">
        <v>390</v>
      </c>
      <c r="D22" s="150">
        <v>0</v>
      </c>
      <c r="E22" s="151">
        <v>8500</v>
      </c>
      <c r="F22" s="152"/>
      <c r="G22" s="150" t="s">
        <v>409</v>
      </c>
      <c r="H22" s="152"/>
      <c r="I22" s="167"/>
    </row>
    <row r="23" spans="1:9" s="97" customFormat="1" ht="58.5" hidden="1" customHeight="1">
      <c r="A23" s="122" t="s">
        <v>1736</v>
      </c>
      <c r="B23" s="123" t="s">
        <v>1737</v>
      </c>
      <c r="C23" s="150" t="s">
        <v>390</v>
      </c>
      <c r="D23" s="113"/>
      <c r="E23" s="124">
        <v>1440.6</v>
      </c>
      <c r="F23" s="121"/>
      <c r="G23" s="113">
        <v>3</v>
      </c>
      <c r="H23" s="121">
        <f>G23*E23</f>
        <v>4321.7999999999993</v>
      </c>
      <c r="I23" s="162" t="s">
        <v>1859</v>
      </c>
    </row>
    <row r="24" spans="1:9" ht="15.5" hidden="1">
      <c r="A24" s="154"/>
      <c r="B24" s="155" t="s">
        <v>1750</v>
      </c>
      <c r="C24" s="156"/>
      <c r="D24" s="157"/>
      <c r="E24" s="158"/>
      <c r="F24" s="159"/>
      <c r="G24" s="159"/>
      <c r="H24" s="159">
        <f>SUM(H22:H23)</f>
        <v>4321.7999999999993</v>
      </c>
      <c r="I24" s="168"/>
    </row>
    <row r="25" spans="1:9" hidden="1"/>
  </sheetData>
  <mergeCells count="5">
    <mergeCell ref="A1:I1"/>
    <mergeCell ref="A2:B2"/>
    <mergeCell ref="A3:B3"/>
    <mergeCell ref="A4:B4"/>
    <mergeCell ref="B20:D20"/>
  </mergeCells>
  <pageMargins left="0.7" right="0.7" top="0.75" bottom="0.75" header="0.3" footer="0.3"/>
  <pageSetup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view="pageBreakPreview" zoomScale="80" zoomScaleNormal="100" zoomScaleSheetLayoutView="80" workbookViewId="0">
      <pane ySplit="5" topLeftCell="A9" activePane="bottomLeft" state="frozen"/>
      <selection pane="bottomLeft" activeCell="B31" sqref="B31"/>
    </sheetView>
  </sheetViews>
  <sheetFormatPr defaultColWidth="9.08984375" defaultRowHeight="11.5"/>
  <cols>
    <col min="1" max="1" width="10" style="98" customWidth="1"/>
    <col min="2" max="2" width="67" style="99" customWidth="1"/>
    <col min="3" max="3" width="8" style="100" customWidth="1"/>
    <col min="4" max="4" width="6" style="101" customWidth="1"/>
    <col min="5" max="5" width="8.6328125" style="103" customWidth="1"/>
    <col min="6" max="6" width="12.453125" style="103" customWidth="1"/>
    <col min="7" max="7" width="13.08984375" style="104" customWidth="1"/>
    <col min="8" max="8" width="9.08984375" style="104" hidden="1" customWidth="1"/>
    <col min="9" max="16384" width="9.08984375" style="104"/>
  </cols>
  <sheetData>
    <row r="1" spans="1:7" s="94" customFormat="1" ht="16.5" customHeight="1">
      <c r="A1" s="1291"/>
      <c r="B1" s="1292"/>
      <c r="C1" s="1292"/>
      <c r="D1" s="1292"/>
      <c r="E1" s="1292"/>
      <c r="F1" s="1292"/>
      <c r="G1" s="1293"/>
    </row>
    <row r="2" spans="1:7" s="94" customFormat="1" ht="12.75" customHeight="1">
      <c r="A2" s="1294" t="s">
        <v>1724</v>
      </c>
      <c r="B2" s="1295"/>
      <c r="C2" s="105"/>
      <c r="D2" s="105"/>
      <c r="E2" s="105"/>
      <c r="F2" s="105"/>
      <c r="G2" s="105"/>
    </row>
    <row r="3" spans="1:7" s="95" customFormat="1" ht="13.5">
      <c r="A3" s="1294" t="s">
        <v>1725</v>
      </c>
      <c r="B3" s="1296"/>
      <c r="C3" s="105"/>
      <c r="D3" s="105"/>
      <c r="E3" s="105"/>
      <c r="F3" s="105"/>
      <c r="G3" s="105"/>
    </row>
    <row r="4" spans="1:7" s="95" customFormat="1" ht="13.5">
      <c r="A4" s="1297" t="s">
        <v>1726</v>
      </c>
      <c r="B4" s="1296"/>
      <c r="C4" s="105"/>
      <c r="D4" s="105"/>
      <c r="E4" s="105"/>
      <c r="F4" s="105"/>
      <c r="G4" s="105"/>
    </row>
    <row r="5" spans="1:7" s="96" customFormat="1" ht="26">
      <c r="A5" s="106" t="s">
        <v>86</v>
      </c>
      <c r="B5" s="107" t="s">
        <v>1727</v>
      </c>
      <c r="C5" s="106" t="s">
        <v>88</v>
      </c>
      <c r="D5" s="108" t="s">
        <v>1728</v>
      </c>
      <c r="E5" s="108" t="s">
        <v>1855</v>
      </c>
      <c r="F5" s="108" t="s">
        <v>1857</v>
      </c>
      <c r="G5" s="160" t="s">
        <v>1730</v>
      </c>
    </row>
    <row r="6" spans="1:7" s="97" customFormat="1" ht="13.5">
      <c r="A6" s="110" t="s">
        <v>1731</v>
      </c>
      <c r="B6" s="111" t="s">
        <v>1732</v>
      </c>
      <c r="C6" s="112"/>
      <c r="D6" s="113"/>
      <c r="E6" s="116"/>
      <c r="F6" s="116"/>
      <c r="G6" s="161"/>
    </row>
    <row r="7" spans="1:7" s="97" customFormat="1" ht="13.5">
      <c r="A7" s="117"/>
      <c r="B7" s="118"/>
      <c r="C7" s="119"/>
      <c r="D7" s="4"/>
      <c r="E7" s="116"/>
      <c r="F7" s="116"/>
      <c r="G7" s="162"/>
    </row>
    <row r="8" spans="1:7" s="97" customFormat="1" ht="54">
      <c r="A8" s="113">
        <v>1</v>
      </c>
      <c r="B8" s="120" t="s">
        <v>1733</v>
      </c>
      <c r="C8" s="119"/>
      <c r="D8" s="113"/>
      <c r="E8" s="121"/>
      <c r="F8" s="121"/>
      <c r="G8" s="162"/>
    </row>
    <row r="9" spans="1:7" s="97" customFormat="1" ht="53.25" customHeight="1">
      <c r="A9" s="122" t="s">
        <v>1734</v>
      </c>
      <c r="B9" s="123" t="s">
        <v>1735</v>
      </c>
      <c r="C9" s="112" t="s">
        <v>657</v>
      </c>
      <c r="D9" s="113">
        <v>3</v>
      </c>
      <c r="E9" s="113">
        <v>3</v>
      </c>
      <c r="F9" s="113">
        <v>3</v>
      </c>
      <c r="G9" s="162"/>
    </row>
    <row r="10" spans="1:7" s="97" customFormat="1" ht="58.5" customHeight="1">
      <c r="A10" s="122" t="s">
        <v>1736</v>
      </c>
      <c r="B10" s="123" t="s">
        <v>1737</v>
      </c>
      <c r="C10" s="112" t="s">
        <v>657</v>
      </c>
      <c r="D10" s="113">
        <v>38</v>
      </c>
      <c r="E10" s="113">
        <v>38</v>
      </c>
      <c r="F10" s="113">
        <v>38</v>
      </c>
      <c r="G10" s="162" t="s">
        <v>1856</v>
      </c>
    </row>
    <row r="11" spans="1:7" s="97" customFormat="1" ht="63.75" customHeight="1">
      <c r="A11" s="122" t="s">
        <v>888</v>
      </c>
      <c r="B11" s="123" t="s">
        <v>1738</v>
      </c>
      <c r="C11" s="112" t="s">
        <v>657</v>
      </c>
      <c r="D11" s="113">
        <v>1</v>
      </c>
      <c r="E11" s="113">
        <v>1</v>
      </c>
      <c r="F11" s="113">
        <v>1</v>
      </c>
      <c r="G11" s="162"/>
    </row>
    <row r="12" spans="1:7" s="97" customFormat="1" ht="63.75" customHeight="1">
      <c r="A12" s="122" t="s">
        <v>890</v>
      </c>
      <c r="B12" s="123" t="s">
        <v>1739</v>
      </c>
      <c r="C12" s="125" t="s">
        <v>657</v>
      </c>
      <c r="D12" s="126">
        <v>5</v>
      </c>
      <c r="E12" s="126">
        <v>5</v>
      </c>
      <c r="F12" s="126">
        <v>5</v>
      </c>
      <c r="G12" s="163"/>
    </row>
    <row r="13" spans="1:7" s="97" customFormat="1" ht="63.75" customHeight="1">
      <c r="A13" s="122" t="s">
        <v>892</v>
      </c>
      <c r="B13" s="128" t="s">
        <v>1740</v>
      </c>
      <c r="C13" s="129" t="s">
        <v>657</v>
      </c>
      <c r="D13" s="130">
        <v>1</v>
      </c>
      <c r="E13" s="130">
        <v>1</v>
      </c>
      <c r="F13" s="130">
        <v>1</v>
      </c>
      <c r="G13" s="162"/>
    </row>
    <row r="14" spans="1:7" s="97" customFormat="1" ht="63.75" customHeight="1">
      <c r="A14" s="122"/>
      <c r="B14" s="128" t="s">
        <v>1741</v>
      </c>
      <c r="C14" s="129"/>
      <c r="D14" s="130">
        <v>12</v>
      </c>
      <c r="E14" s="130">
        <v>12</v>
      </c>
      <c r="F14" s="130">
        <v>12</v>
      </c>
      <c r="G14" s="162"/>
    </row>
    <row r="15" spans="1:7" s="97" customFormat="1" ht="63.75" customHeight="1">
      <c r="A15" s="122" t="s">
        <v>894</v>
      </c>
      <c r="B15" s="132" t="s">
        <v>1742</v>
      </c>
      <c r="C15" s="133" t="s">
        <v>657</v>
      </c>
      <c r="D15" s="134">
        <v>8</v>
      </c>
      <c r="E15" s="134">
        <v>8</v>
      </c>
      <c r="F15" s="134">
        <v>8</v>
      </c>
      <c r="G15" s="162"/>
    </row>
    <row r="16" spans="1:7" s="97" customFormat="1" ht="63.75" customHeight="1">
      <c r="A16" s="122"/>
      <c r="B16" s="128" t="s">
        <v>1743</v>
      </c>
      <c r="C16" s="133"/>
      <c r="D16" s="134">
        <v>88</v>
      </c>
      <c r="E16" s="134">
        <v>88</v>
      </c>
      <c r="F16" s="134">
        <v>88</v>
      </c>
      <c r="G16" s="162"/>
    </row>
    <row r="17" spans="1:7" s="97" customFormat="1" ht="73.5" customHeight="1">
      <c r="A17" s="122" t="s">
        <v>896</v>
      </c>
      <c r="B17" s="112" t="s">
        <v>1744</v>
      </c>
      <c r="C17" s="135" t="s">
        <v>1745</v>
      </c>
      <c r="D17" s="113">
        <v>275</v>
      </c>
      <c r="E17" s="113">
        <v>275</v>
      </c>
      <c r="F17" s="113">
        <v>0</v>
      </c>
      <c r="G17" s="162"/>
    </row>
    <row r="18" spans="1:7" s="97" customFormat="1" ht="13.5">
      <c r="A18" s="136"/>
      <c r="B18" s="137" t="s">
        <v>105</v>
      </c>
      <c r="C18" s="136"/>
      <c r="D18" s="136"/>
      <c r="E18" s="139"/>
      <c r="F18" s="139"/>
      <c r="G18" s="162"/>
    </row>
    <row r="19" spans="1:7" ht="13.5">
      <c r="A19" s="140"/>
      <c r="B19" s="140"/>
      <c r="C19" s="140"/>
      <c r="D19" s="140"/>
      <c r="E19" s="140"/>
      <c r="F19" s="140"/>
      <c r="G19" s="164"/>
    </row>
    <row r="20" spans="1:7" ht="13.5">
      <c r="A20" s="79" t="s">
        <v>1746</v>
      </c>
      <c r="B20" s="1298" t="s">
        <v>1747</v>
      </c>
      <c r="C20" s="1298"/>
      <c r="D20" s="1298"/>
      <c r="E20" s="141"/>
      <c r="F20" s="141"/>
      <c r="G20" s="165"/>
    </row>
    <row r="21" spans="1:7" ht="12.75" customHeight="1">
      <c r="A21" s="142"/>
      <c r="B21" s="143"/>
      <c r="C21" s="144"/>
      <c r="D21" s="145"/>
      <c r="E21" s="147"/>
      <c r="F21" s="147"/>
      <c r="G21" s="166"/>
    </row>
    <row r="22" spans="1:7" ht="13.5">
      <c r="A22" s="148" t="s">
        <v>1748</v>
      </c>
      <c r="B22" s="149" t="s">
        <v>1749</v>
      </c>
      <c r="C22" s="150" t="s">
        <v>390</v>
      </c>
      <c r="D22" s="150">
        <v>0</v>
      </c>
      <c r="E22" s="153">
        <v>22</v>
      </c>
      <c r="F22" s="150">
        <v>0</v>
      </c>
      <c r="G22" s="167"/>
    </row>
    <row r="23" spans="1:7" ht="40.5">
      <c r="A23" s="148" t="s">
        <v>10</v>
      </c>
      <c r="B23" s="123" t="s">
        <v>1737</v>
      </c>
      <c r="C23" s="150"/>
      <c r="D23" s="150"/>
      <c r="E23" s="153">
        <v>3</v>
      </c>
      <c r="F23" s="150">
        <v>3</v>
      </c>
      <c r="G23" s="167" t="s">
        <v>1858</v>
      </c>
    </row>
    <row r="24" spans="1:7" ht="15.5">
      <c r="A24" s="154"/>
      <c r="B24" s="155" t="s">
        <v>1750</v>
      </c>
      <c r="C24" s="156"/>
      <c r="D24" s="157"/>
      <c r="E24" s="159"/>
      <c r="F24" s="159"/>
      <c r="G24" s="168"/>
    </row>
  </sheetData>
  <mergeCells count="5">
    <mergeCell ref="A1:G1"/>
    <mergeCell ref="A2:B2"/>
    <mergeCell ref="A3:B3"/>
    <mergeCell ref="A4:B4"/>
    <mergeCell ref="B20:D20"/>
  </mergeCells>
  <pageMargins left="0.7" right="0.7" top="0.75" bottom="0.75" header="0.3" footer="0.3"/>
  <pageSetup scale="5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S810"/>
  <sheetViews>
    <sheetView view="pageBreakPreview" zoomScale="60" zoomScaleNormal="100" workbookViewId="0">
      <pane ySplit="2" topLeftCell="A18" activePane="bottomLeft" state="frozen"/>
      <selection pane="bottomLeft" activeCell="I3" sqref="I3"/>
    </sheetView>
  </sheetViews>
  <sheetFormatPr defaultColWidth="9.08984375" defaultRowHeight="12.5"/>
  <cols>
    <col min="1" max="1" width="6.90625" style="41" customWidth="1"/>
    <col min="2" max="2" width="53.6328125" style="42" customWidth="1"/>
    <col min="3" max="3" width="9" style="42" customWidth="1"/>
    <col min="4" max="4" width="6.08984375" style="43" customWidth="1"/>
    <col min="5" max="5" width="7.81640625" style="59" customWidth="1"/>
    <col min="6" max="6" width="10.81640625" style="43" customWidth="1"/>
    <col min="7" max="7" width="16.36328125" style="60" customWidth="1"/>
    <col min="8" max="8" width="12" style="61" customWidth="1"/>
    <col min="9" max="9" width="14" style="62" customWidth="1"/>
    <col min="10" max="10" width="17.453125" customWidth="1"/>
    <col min="11" max="11" width="36.90625" customWidth="1"/>
  </cols>
  <sheetData>
    <row r="1" spans="1:12" s="22" customFormat="1" ht="61.5" customHeight="1">
      <c r="A1" s="1299" t="s">
        <v>1751</v>
      </c>
      <c r="B1" s="1300"/>
      <c r="C1" s="1300"/>
      <c r="D1" s="1300"/>
      <c r="E1" s="1300"/>
      <c r="F1" s="1300"/>
      <c r="G1" s="1300"/>
      <c r="H1" s="1300"/>
      <c r="I1" s="1300"/>
      <c r="J1" s="1301"/>
    </row>
    <row r="2" spans="1:12" s="22" customFormat="1" ht="46.5">
      <c r="A2" s="63" t="s">
        <v>1752</v>
      </c>
      <c r="B2" s="63" t="s">
        <v>1753</v>
      </c>
      <c r="C2" s="64" t="s">
        <v>1754</v>
      </c>
      <c r="D2" s="64" t="s">
        <v>1755</v>
      </c>
      <c r="E2" s="64" t="s">
        <v>1728</v>
      </c>
      <c r="F2" s="64" t="s">
        <v>1756</v>
      </c>
      <c r="G2" s="64" t="s">
        <v>1757</v>
      </c>
      <c r="H2" s="1121" t="s">
        <v>1932</v>
      </c>
      <c r="I2" s="64" t="s">
        <v>1933</v>
      </c>
      <c r="J2" s="64" t="s">
        <v>1758</v>
      </c>
    </row>
    <row r="3" spans="1:12" ht="13">
      <c r="B3" s="50"/>
      <c r="C3" s="50"/>
      <c r="F3" s="65"/>
      <c r="G3" s="66"/>
      <c r="H3" s="66"/>
      <c r="I3" s="66"/>
      <c r="J3" s="2"/>
    </row>
    <row r="4" spans="1:12" ht="13">
      <c r="A4" s="67" t="s">
        <v>138</v>
      </c>
      <c r="B4" s="50" t="s">
        <v>37</v>
      </c>
      <c r="C4" s="50"/>
      <c r="H4" s="60"/>
      <c r="I4" s="60"/>
      <c r="J4" s="2"/>
    </row>
    <row r="5" spans="1:12" ht="13">
      <c r="A5" s="67"/>
      <c r="B5" s="50"/>
      <c r="C5" s="50"/>
      <c r="H5" s="60"/>
      <c r="I5" s="60"/>
      <c r="J5" s="2"/>
    </row>
    <row r="6" spans="1:12" ht="26">
      <c r="A6" s="41">
        <v>1</v>
      </c>
      <c r="B6" s="42" t="s">
        <v>1759</v>
      </c>
      <c r="C6" s="68" t="s">
        <v>1760</v>
      </c>
      <c r="D6" s="43" t="s">
        <v>169</v>
      </c>
      <c r="E6" s="59">
        <v>21</v>
      </c>
      <c r="F6" s="43">
        <v>18247.599999999999</v>
      </c>
      <c r="G6" s="69">
        <f>F6*E6</f>
        <v>383199.6</v>
      </c>
      <c r="H6" s="60">
        <v>14</v>
      </c>
      <c r="I6" s="60">
        <f t="shared" ref="I6:I28" si="0">H6*F6</f>
        <v>255466.39999999997</v>
      </c>
      <c r="J6" s="2" t="s">
        <v>1851</v>
      </c>
    </row>
    <row r="7" spans="1:12" ht="13">
      <c r="B7" s="50"/>
      <c r="C7" s="50"/>
      <c r="G7" s="69">
        <f t="shared" ref="G7:G25" si="1">F7*E7</f>
        <v>0</v>
      </c>
      <c r="H7" s="60"/>
      <c r="I7" s="60">
        <f t="shared" si="0"/>
        <v>0</v>
      </c>
      <c r="J7" s="2"/>
    </row>
    <row r="8" spans="1:12" ht="26">
      <c r="A8" s="41">
        <v>2</v>
      </c>
      <c r="B8" s="42" t="s">
        <v>1759</v>
      </c>
      <c r="C8" s="68" t="s">
        <v>1761</v>
      </c>
      <c r="D8" s="43" t="s">
        <v>169</v>
      </c>
      <c r="E8" s="59">
        <v>21</v>
      </c>
      <c r="F8" s="43">
        <v>18247.599999999999</v>
      </c>
      <c r="G8" s="69">
        <f t="shared" si="1"/>
        <v>383199.6</v>
      </c>
      <c r="H8" s="60">
        <v>14</v>
      </c>
      <c r="I8" s="60">
        <f t="shared" si="0"/>
        <v>255466.39999999997</v>
      </c>
      <c r="J8" s="2" t="s">
        <v>1851</v>
      </c>
      <c r="K8" s="84"/>
      <c r="L8" s="84"/>
    </row>
    <row r="9" spans="1:12" ht="13">
      <c r="B9" s="50"/>
      <c r="C9" s="50"/>
      <c r="G9" s="69">
        <f t="shared" si="1"/>
        <v>0</v>
      </c>
      <c r="H9" s="60"/>
      <c r="I9" s="60">
        <f t="shared" si="0"/>
        <v>0</v>
      </c>
      <c r="J9" s="85"/>
      <c r="K9" s="84"/>
      <c r="L9" s="84"/>
    </row>
    <row r="10" spans="1:12" ht="25.5">
      <c r="A10" s="41">
        <v>3</v>
      </c>
      <c r="B10" s="42" t="s">
        <v>1762</v>
      </c>
      <c r="C10" s="68" t="s">
        <v>1763</v>
      </c>
      <c r="D10" s="43" t="s">
        <v>169</v>
      </c>
      <c r="E10" s="59">
        <v>24</v>
      </c>
      <c r="F10" s="43">
        <v>36015</v>
      </c>
      <c r="G10" s="69">
        <f t="shared" si="1"/>
        <v>864360</v>
      </c>
      <c r="H10" s="60">
        <v>37</v>
      </c>
      <c r="I10" s="60">
        <f t="shared" si="0"/>
        <v>1332555</v>
      </c>
      <c r="J10" s="2" t="s">
        <v>1851</v>
      </c>
    </row>
    <row r="11" spans="1:12" ht="13">
      <c r="B11" s="50"/>
      <c r="C11" s="50"/>
      <c r="G11" s="69">
        <f t="shared" si="1"/>
        <v>0</v>
      </c>
      <c r="H11" s="60"/>
      <c r="I11" s="60">
        <f t="shared" si="0"/>
        <v>0</v>
      </c>
      <c r="J11" s="85"/>
    </row>
    <row r="12" spans="1:12" ht="39">
      <c r="A12" s="41">
        <v>4</v>
      </c>
      <c r="B12" s="42" t="s">
        <v>1764</v>
      </c>
      <c r="C12" s="68" t="s">
        <v>1765</v>
      </c>
      <c r="D12" s="43" t="s">
        <v>169</v>
      </c>
      <c r="E12" s="59">
        <v>2</v>
      </c>
      <c r="F12" s="43">
        <v>36015</v>
      </c>
      <c r="G12" s="69">
        <f t="shared" si="1"/>
        <v>72030</v>
      </c>
      <c r="H12" s="60">
        <v>0</v>
      </c>
      <c r="I12" s="60">
        <f t="shared" si="0"/>
        <v>0</v>
      </c>
      <c r="J12" s="2"/>
    </row>
    <row r="13" spans="1:12" ht="13">
      <c r="B13" s="50"/>
      <c r="C13" s="50"/>
      <c r="G13" s="69">
        <f t="shared" si="1"/>
        <v>0</v>
      </c>
      <c r="H13" s="60"/>
      <c r="I13" s="60">
        <f t="shared" si="0"/>
        <v>0</v>
      </c>
      <c r="J13" s="2"/>
    </row>
    <row r="14" spans="1:12" ht="25.5">
      <c r="A14" s="41">
        <v>5</v>
      </c>
      <c r="B14" s="42" t="s">
        <v>1766</v>
      </c>
      <c r="C14" s="68" t="s">
        <v>1767</v>
      </c>
      <c r="D14" s="43" t="s">
        <v>169</v>
      </c>
      <c r="E14" s="59">
        <v>5</v>
      </c>
      <c r="F14" s="43">
        <v>19208</v>
      </c>
      <c r="G14" s="69">
        <f t="shared" si="1"/>
        <v>96040</v>
      </c>
      <c r="H14" s="60">
        <v>3</v>
      </c>
      <c r="I14" s="60">
        <f t="shared" si="0"/>
        <v>57624</v>
      </c>
      <c r="J14" s="2"/>
    </row>
    <row r="15" spans="1:12" ht="13">
      <c r="B15" s="50"/>
      <c r="C15" s="50"/>
      <c r="G15" s="69">
        <f t="shared" si="1"/>
        <v>0</v>
      </c>
      <c r="H15" s="60"/>
      <c r="I15" s="60">
        <f t="shared" si="0"/>
        <v>0</v>
      </c>
      <c r="J15" s="85"/>
    </row>
    <row r="16" spans="1:12" ht="26">
      <c r="A16" s="41">
        <v>6</v>
      </c>
      <c r="B16" s="42" t="s">
        <v>1768</v>
      </c>
      <c r="C16" s="68" t="s">
        <v>1769</v>
      </c>
      <c r="D16" s="43" t="s">
        <v>169</v>
      </c>
      <c r="E16" s="59">
        <v>14</v>
      </c>
      <c r="F16" s="43">
        <v>14406</v>
      </c>
      <c r="G16" s="69">
        <f t="shared" si="1"/>
        <v>201684</v>
      </c>
      <c r="H16" s="60">
        <v>0</v>
      </c>
      <c r="I16" s="60">
        <f t="shared" si="0"/>
        <v>0</v>
      </c>
      <c r="J16" s="86"/>
    </row>
    <row r="17" spans="1:253" ht="13">
      <c r="B17" s="50"/>
      <c r="C17" s="50"/>
      <c r="G17" s="69">
        <f t="shared" si="1"/>
        <v>0</v>
      </c>
      <c r="H17" s="60"/>
      <c r="I17" s="60">
        <f t="shared" si="0"/>
        <v>0</v>
      </c>
      <c r="J17" s="2"/>
    </row>
    <row r="18" spans="1:253" s="24" customFormat="1" ht="26">
      <c r="A18" s="43">
        <v>7</v>
      </c>
      <c r="B18" s="49" t="s">
        <v>1768</v>
      </c>
      <c r="C18" s="68" t="s">
        <v>1770</v>
      </c>
      <c r="D18" s="43" t="s">
        <v>169</v>
      </c>
      <c r="E18" s="59">
        <v>14</v>
      </c>
      <c r="F18" s="43">
        <v>14406</v>
      </c>
      <c r="G18" s="69">
        <f t="shared" si="1"/>
        <v>201684</v>
      </c>
      <c r="H18" s="60">
        <v>0</v>
      </c>
      <c r="I18" s="60">
        <f t="shared" si="0"/>
        <v>0</v>
      </c>
      <c r="J18" s="86"/>
    </row>
    <row r="19" spans="1:253" ht="13">
      <c r="B19" s="50"/>
      <c r="C19" s="50"/>
      <c r="G19" s="69">
        <f t="shared" si="1"/>
        <v>0</v>
      </c>
      <c r="H19" s="60"/>
      <c r="I19" s="60">
        <f t="shared" si="0"/>
        <v>0</v>
      </c>
      <c r="J19" s="2"/>
    </row>
    <row r="20" spans="1:253" s="24" customFormat="1" ht="13">
      <c r="A20" s="43">
        <v>8</v>
      </c>
      <c r="B20" s="70" t="s">
        <v>1771</v>
      </c>
      <c r="C20" s="68" t="s">
        <v>1772</v>
      </c>
      <c r="D20" s="43" t="s">
        <v>169</v>
      </c>
      <c r="E20" s="59">
        <v>1</v>
      </c>
      <c r="F20" s="69">
        <v>21609</v>
      </c>
      <c r="G20" s="71">
        <f t="shared" si="1"/>
        <v>21609</v>
      </c>
      <c r="H20" s="59">
        <v>1</v>
      </c>
      <c r="I20" s="60">
        <f t="shared" si="0"/>
        <v>21609</v>
      </c>
      <c r="J20" s="87" t="s">
        <v>1853</v>
      </c>
    </row>
    <row r="21" spans="1:253" ht="13">
      <c r="B21" s="50"/>
      <c r="C21" s="50"/>
      <c r="G21" s="71">
        <f t="shared" si="1"/>
        <v>0</v>
      </c>
      <c r="H21" s="59"/>
      <c r="I21" s="60">
        <f t="shared" si="0"/>
        <v>0</v>
      </c>
      <c r="J21" s="2"/>
    </row>
    <row r="22" spans="1:253" ht="25">
      <c r="A22" s="41">
        <v>10</v>
      </c>
      <c r="B22" s="1222" t="s">
        <v>1773</v>
      </c>
      <c r="C22" s="68" t="s">
        <v>1772</v>
      </c>
      <c r="D22" s="43" t="s">
        <v>169</v>
      </c>
      <c r="E22" s="59">
        <v>1</v>
      </c>
      <c r="F22" s="60">
        <v>7203</v>
      </c>
      <c r="G22" s="71">
        <f t="shared" si="1"/>
        <v>7203</v>
      </c>
      <c r="H22" s="59">
        <v>1</v>
      </c>
      <c r="I22" s="60">
        <f t="shared" si="0"/>
        <v>7203</v>
      </c>
      <c r="J22" s="2" t="s">
        <v>1853</v>
      </c>
    </row>
    <row r="23" spans="1:253">
      <c r="G23" s="69"/>
      <c r="H23" s="60"/>
      <c r="I23" s="60">
        <f t="shared" si="0"/>
        <v>0</v>
      </c>
      <c r="J23" s="2"/>
    </row>
    <row r="24" spans="1:253" ht="13">
      <c r="B24" s="50"/>
      <c r="C24" s="50"/>
      <c r="G24" s="69">
        <f t="shared" si="1"/>
        <v>0</v>
      </c>
      <c r="H24" s="60"/>
      <c r="I24" s="60">
        <f t="shared" si="0"/>
        <v>0</v>
      </c>
      <c r="J24" s="86"/>
    </row>
    <row r="25" spans="1:253" ht="38">
      <c r="A25" s="41">
        <v>11</v>
      </c>
      <c r="B25" s="72" t="s">
        <v>1774</v>
      </c>
      <c r="C25" s="68" t="s">
        <v>1775</v>
      </c>
      <c r="D25" s="43" t="s">
        <v>169</v>
      </c>
      <c r="E25" s="59">
        <v>4</v>
      </c>
      <c r="F25" s="43">
        <v>216090</v>
      </c>
      <c r="G25" s="71">
        <f t="shared" si="1"/>
        <v>864360</v>
      </c>
      <c r="H25" s="59">
        <v>4</v>
      </c>
      <c r="I25" s="60">
        <f t="shared" si="0"/>
        <v>864360</v>
      </c>
      <c r="J25" s="2" t="s">
        <v>1853</v>
      </c>
    </row>
    <row r="26" spans="1:253">
      <c r="G26" s="69"/>
      <c r="H26" s="60"/>
      <c r="I26" s="60">
        <f t="shared" si="0"/>
        <v>0</v>
      </c>
      <c r="J26" s="2"/>
    </row>
    <row r="27" spans="1:253" ht="38">
      <c r="A27" s="41">
        <v>12</v>
      </c>
      <c r="B27" s="72" t="s">
        <v>1776</v>
      </c>
      <c r="C27" s="68" t="s">
        <v>1777</v>
      </c>
      <c r="D27" s="43" t="s">
        <v>169</v>
      </c>
      <c r="E27" s="59">
        <v>1</v>
      </c>
      <c r="F27" s="43">
        <v>384160</v>
      </c>
      <c r="G27" s="71">
        <f t="shared" ref="G27" si="2">F27*E27</f>
        <v>384160</v>
      </c>
      <c r="H27" s="59">
        <v>1</v>
      </c>
      <c r="I27" s="60">
        <f t="shared" si="0"/>
        <v>384160</v>
      </c>
      <c r="J27" s="2" t="s">
        <v>1853</v>
      </c>
    </row>
    <row r="28" spans="1:253" ht="13">
      <c r="B28" s="50"/>
      <c r="C28" s="50"/>
      <c r="G28" s="69"/>
      <c r="H28" s="60"/>
      <c r="I28" s="60">
        <f t="shared" si="0"/>
        <v>0</v>
      </c>
      <c r="J28" s="2"/>
    </row>
    <row r="29" spans="1:253" ht="15.5">
      <c r="A29" s="73"/>
      <c r="B29" s="74" t="s">
        <v>1778</v>
      </c>
      <c r="C29" s="74"/>
      <c r="D29" s="75"/>
      <c r="E29" s="76"/>
      <c r="F29" s="75"/>
      <c r="G29" s="77">
        <f>SUM(G6:G28)</f>
        <v>3479529.2</v>
      </c>
      <c r="H29" s="76"/>
      <c r="I29" s="77">
        <f>SUM(I6:I28)</f>
        <v>3178443.8</v>
      </c>
      <c r="J29" s="88"/>
    </row>
    <row r="30" spans="1:253" ht="27" hidden="1" customHeight="1">
      <c r="A30" s="1302" t="s">
        <v>1779</v>
      </c>
      <c r="B30" s="1302"/>
      <c r="C30" s="1302"/>
      <c r="D30" s="1302"/>
      <c r="E30" s="1302"/>
      <c r="F30" s="1302"/>
      <c r="G30" s="1302"/>
      <c r="H30" s="1302"/>
      <c r="I30" s="1302"/>
      <c r="J30" s="1302"/>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row>
    <row r="31" spans="1:253" s="58" customFormat="1" ht="38.15" hidden="1" customHeight="1">
      <c r="A31" s="78">
        <v>1</v>
      </c>
      <c r="B31" s="1303" t="s">
        <v>1780</v>
      </c>
      <c r="C31" s="1303"/>
      <c r="D31" s="1303"/>
      <c r="E31" s="1303"/>
      <c r="F31" s="1303"/>
      <c r="G31" s="1303"/>
      <c r="H31" s="1303"/>
      <c r="I31" s="1303"/>
      <c r="J31" s="1303"/>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row>
    <row r="32" spans="1:253" s="58" customFormat="1" ht="23.15" hidden="1" customHeight="1">
      <c r="A32" s="78">
        <v>2</v>
      </c>
      <c r="B32" s="1303" t="s">
        <v>1781</v>
      </c>
      <c r="C32" s="1303"/>
      <c r="D32" s="1303"/>
      <c r="E32" s="1303"/>
      <c r="F32" s="1303"/>
      <c r="G32" s="1303"/>
      <c r="H32" s="1303"/>
      <c r="I32" s="1303"/>
      <c r="J32" s="1303"/>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row>
    <row r="33" spans="1:10" ht="13" hidden="1">
      <c r="A33" s="79" t="s">
        <v>1746</v>
      </c>
      <c r="B33" s="1298" t="s">
        <v>1747</v>
      </c>
      <c r="C33" s="1298"/>
      <c r="D33" s="1298"/>
      <c r="E33" s="80"/>
      <c r="F33" s="81" t="s">
        <v>1729</v>
      </c>
      <c r="G33" s="80"/>
      <c r="H33" s="80"/>
      <c r="I33" s="80"/>
      <c r="J33" s="91"/>
    </row>
    <row r="34" spans="1:10" ht="25" hidden="1">
      <c r="A34" s="41">
        <v>1</v>
      </c>
      <c r="B34" s="72" t="s">
        <v>1782</v>
      </c>
      <c r="C34" s="68" t="s">
        <v>1769</v>
      </c>
      <c r="D34" s="43" t="s">
        <v>169</v>
      </c>
      <c r="E34" s="59">
        <v>0</v>
      </c>
      <c r="F34" s="92">
        <v>38000</v>
      </c>
      <c r="H34" s="60">
        <v>9</v>
      </c>
      <c r="I34" s="69">
        <f>F34*H34</f>
        <v>342000</v>
      </c>
      <c r="J34" s="2"/>
    </row>
    <row r="35" spans="1:10" ht="25" hidden="1">
      <c r="A35" s="41">
        <v>2</v>
      </c>
      <c r="B35" s="72" t="s">
        <v>1783</v>
      </c>
      <c r="C35" s="68" t="s">
        <v>1784</v>
      </c>
      <c r="D35" s="43" t="s">
        <v>169</v>
      </c>
      <c r="E35" s="59">
        <v>0</v>
      </c>
      <c r="F35" s="92">
        <v>28500</v>
      </c>
      <c r="H35" s="60">
        <v>13</v>
      </c>
      <c r="I35" s="69">
        <f>F35*H35</f>
        <v>370500</v>
      </c>
      <c r="J35" s="2"/>
    </row>
    <row r="36" spans="1:10" ht="26" hidden="1">
      <c r="A36" s="43">
        <v>3</v>
      </c>
      <c r="B36" s="72" t="s">
        <v>1768</v>
      </c>
      <c r="C36" s="68" t="s">
        <v>1770</v>
      </c>
      <c r="D36" s="43" t="s">
        <v>169</v>
      </c>
      <c r="E36" s="59">
        <v>0</v>
      </c>
      <c r="F36" s="92">
        <v>24000</v>
      </c>
      <c r="H36" s="60">
        <v>14</v>
      </c>
      <c r="I36" s="69">
        <f>F36*H36</f>
        <v>336000</v>
      </c>
      <c r="J36" s="2"/>
    </row>
    <row r="37" spans="1:10" hidden="1">
      <c r="H37" s="60"/>
      <c r="I37" s="60"/>
      <c r="J37" s="2"/>
    </row>
    <row r="38" spans="1:10" ht="15.5" hidden="1">
      <c r="A38" s="73"/>
      <c r="B38" s="1109" t="s">
        <v>1778</v>
      </c>
      <c r="C38" s="1110"/>
      <c r="D38" s="1110"/>
      <c r="E38" s="1110"/>
      <c r="F38" s="1110"/>
      <c r="G38" s="1110"/>
      <c r="H38" s="76"/>
      <c r="I38" s="1110">
        <f>SUM(I34:I37)</f>
        <v>1048500</v>
      </c>
      <c r="J38" s="93"/>
    </row>
    <row r="39" spans="1:10" hidden="1">
      <c r="A39" s="27"/>
      <c r="B39" s="28"/>
      <c r="C39" s="28"/>
      <c r="D39" s="29"/>
      <c r="E39" s="83"/>
      <c r="F39" s="29"/>
      <c r="G39" s="61"/>
    </row>
    <row r="40" spans="1:10" hidden="1">
      <c r="A40" s="27"/>
      <c r="B40" s="28"/>
      <c r="C40" s="28"/>
      <c r="D40" s="29"/>
      <c r="E40" s="83"/>
      <c r="F40" s="29"/>
      <c r="G40" s="61"/>
    </row>
    <row r="41" spans="1:10">
      <c r="A41" s="27"/>
      <c r="B41" s="28"/>
      <c r="C41" s="28"/>
      <c r="D41" s="29"/>
      <c r="E41" s="83"/>
      <c r="F41" s="29"/>
      <c r="G41" s="61"/>
    </row>
    <row r="42" spans="1:10">
      <c r="A42" s="27"/>
      <c r="B42" s="28"/>
      <c r="C42" s="28"/>
      <c r="D42" s="29"/>
      <c r="E42" s="83"/>
      <c r="F42" s="29"/>
      <c r="G42" s="61"/>
    </row>
    <row r="43" spans="1:10">
      <c r="A43" s="27"/>
      <c r="B43" s="28"/>
      <c r="C43" s="28"/>
      <c r="D43" s="29"/>
      <c r="E43" s="83"/>
      <c r="F43" s="29"/>
      <c r="G43" s="61"/>
    </row>
    <row r="44" spans="1:10">
      <c r="A44" s="27"/>
      <c r="B44" s="28"/>
      <c r="C44" s="28"/>
      <c r="D44" s="29"/>
      <c r="E44" s="83"/>
      <c r="F44" s="29"/>
      <c r="G44" s="61"/>
    </row>
    <row r="45" spans="1:10">
      <c r="A45" s="27"/>
      <c r="B45" s="28"/>
      <c r="C45" s="28"/>
      <c r="D45" s="29"/>
      <c r="E45" s="83"/>
      <c r="F45" s="29"/>
      <c r="G45" s="61"/>
    </row>
    <row r="46" spans="1:10">
      <c r="A46" s="27"/>
      <c r="B46" s="28"/>
      <c r="C46" s="28"/>
      <c r="D46" s="29"/>
      <c r="E46" s="83"/>
      <c r="F46" s="29"/>
      <c r="G46" s="61"/>
    </row>
    <row r="47" spans="1:10">
      <c r="A47" s="27"/>
      <c r="B47" s="28"/>
      <c r="C47" s="28"/>
      <c r="D47" s="29"/>
      <c r="E47" s="83"/>
      <c r="F47" s="29"/>
      <c r="G47" s="61"/>
    </row>
    <row r="48" spans="1:10">
      <c r="A48" s="27"/>
      <c r="B48" s="28"/>
      <c r="C48" s="28"/>
      <c r="D48" s="29"/>
      <c r="E48" s="83"/>
      <c r="F48" s="29"/>
      <c r="G48" s="61"/>
    </row>
    <row r="49" spans="1:7">
      <c r="A49" s="27"/>
      <c r="B49" s="28"/>
      <c r="C49" s="28"/>
      <c r="D49" s="29"/>
      <c r="E49" s="83"/>
      <c r="F49" s="29"/>
      <c r="G49" s="61"/>
    </row>
    <row r="50" spans="1:7">
      <c r="A50" s="27"/>
      <c r="B50" s="28"/>
      <c r="C50" s="28"/>
      <c r="D50" s="29"/>
      <c r="E50" s="83"/>
      <c r="F50" s="29"/>
      <c r="G50" s="61"/>
    </row>
    <row r="51" spans="1:7">
      <c r="A51" s="27"/>
      <c r="B51" s="28"/>
      <c r="C51" s="28"/>
      <c r="D51" s="29"/>
      <c r="E51" s="83"/>
      <c r="F51" s="29"/>
      <c r="G51" s="61"/>
    </row>
    <row r="52" spans="1:7">
      <c r="A52" s="27"/>
      <c r="B52" s="28"/>
      <c r="C52" s="28"/>
      <c r="D52" s="29"/>
      <c r="E52" s="83"/>
      <c r="F52" s="29"/>
      <c r="G52" s="61"/>
    </row>
    <row r="53" spans="1:7">
      <c r="A53" s="27"/>
      <c r="B53" s="28"/>
      <c r="C53" s="28"/>
      <c r="D53" s="29"/>
      <c r="E53" s="83"/>
      <c r="F53" s="29"/>
      <c r="G53" s="61"/>
    </row>
    <row r="54" spans="1:7">
      <c r="A54" s="27"/>
      <c r="B54" s="28"/>
      <c r="C54" s="28"/>
      <c r="D54" s="29"/>
      <c r="E54" s="83"/>
      <c r="F54" s="29"/>
      <c r="G54" s="61"/>
    </row>
    <row r="55" spans="1:7">
      <c r="A55" s="27"/>
      <c r="B55" s="28"/>
      <c r="C55" s="28"/>
      <c r="D55" s="29"/>
      <c r="E55" s="83"/>
      <c r="F55" s="29"/>
      <c r="G55" s="61"/>
    </row>
    <row r="56" spans="1:7">
      <c r="A56" s="27"/>
      <c r="B56" s="28"/>
      <c r="C56" s="28"/>
      <c r="D56" s="29"/>
      <c r="E56" s="83"/>
      <c r="F56" s="29"/>
      <c r="G56" s="61"/>
    </row>
    <row r="57" spans="1:7">
      <c r="A57" s="27"/>
      <c r="B57" s="28"/>
      <c r="C57" s="28"/>
      <c r="D57" s="29"/>
      <c r="E57" s="83"/>
      <c r="F57" s="29"/>
      <c r="G57" s="61"/>
    </row>
    <row r="58" spans="1:7">
      <c r="A58" s="27"/>
      <c r="B58" s="28"/>
      <c r="C58" s="28"/>
      <c r="D58" s="29"/>
      <c r="E58" s="83"/>
      <c r="F58" s="29"/>
      <c r="G58" s="61"/>
    </row>
    <row r="59" spans="1:7">
      <c r="A59" s="27"/>
      <c r="B59" s="28"/>
      <c r="C59" s="28"/>
      <c r="D59" s="29"/>
      <c r="E59" s="83"/>
      <c r="F59" s="29"/>
      <c r="G59" s="61"/>
    </row>
    <row r="60" spans="1:7">
      <c r="A60" s="27"/>
      <c r="B60" s="28"/>
      <c r="C60" s="28"/>
      <c r="D60" s="29"/>
      <c r="E60" s="83"/>
      <c r="F60" s="29"/>
      <c r="G60" s="61"/>
    </row>
    <row r="61" spans="1:7">
      <c r="A61" s="27"/>
      <c r="B61" s="28"/>
      <c r="C61" s="28"/>
      <c r="D61" s="29"/>
      <c r="E61" s="83"/>
      <c r="F61" s="29"/>
      <c r="G61" s="61"/>
    </row>
    <row r="62" spans="1:7">
      <c r="A62" s="27"/>
      <c r="B62" s="28"/>
      <c r="C62" s="28"/>
      <c r="D62" s="29"/>
      <c r="E62" s="83"/>
      <c r="F62" s="29"/>
      <c r="G62" s="61"/>
    </row>
    <row r="63" spans="1:7">
      <c r="A63" s="27"/>
      <c r="B63" s="28"/>
      <c r="C63" s="28"/>
      <c r="D63" s="29"/>
      <c r="E63" s="83"/>
      <c r="F63" s="29"/>
      <c r="G63" s="61"/>
    </row>
    <row r="64" spans="1:7">
      <c r="A64" s="27"/>
      <c r="B64" s="28"/>
      <c r="C64" s="28"/>
      <c r="D64" s="29"/>
      <c r="E64" s="83"/>
      <c r="F64" s="29"/>
      <c r="G64" s="61"/>
    </row>
    <row r="65" spans="1:7">
      <c r="A65" s="27"/>
      <c r="B65" s="28"/>
      <c r="C65" s="28"/>
      <c r="D65" s="29"/>
      <c r="E65" s="83"/>
      <c r="F65" s="29"/>
      <c r="G65" s="61"/>
    </row>
    <row r="66" spans="1:7">
      <c r="A66" s="27"/>
      <c r="B66" s="28"/>
      <c r="C66" s="28"/>
      <c r="D66" s="29"/>
      <c r="E66" s="83"/>
      <c r="F66" s="29"/>
      <c r="G66" s="61"/>
    </row>
    <row r="67" spans="1:7">
      <c r="A67" s="27"/>
      <c r="B67" s="28"/>
      <c r="C67" s="28"/>
      <c r="D67" s="29"/>
      <c r="E67" s="83"/>
      <c r="F67" s="29"/>
      <c r="G67" s="61"/>
    </row>
    <row r="68" spans="1:7">
      <c r="A68" s="27"/>
      <c r="B68" s="28"/>
      <c r="C68" s="28"/>
      <c r="D68" s="29"/>
      <c r="E68" s="83"/>
      <c r="F68" s="29"/>
      <c r="G68" s="61"/>
    </row>
    <row r="69" spans="1:7">
      <c r="A69" s="27"/>
      <c r="B69" s="28"/>
      <c r="C69" s="28"/>
      <c r="D69" s="29"/>
      <c r="E69" s="83"/>
      <c r="F69" s="29"/>
      <c r="G69" s="61"/>
    </row>
    <row r="70" spans="1:7">
      <c r="A70" s="27"/>
      <c r="B70" s="28"/>
      <c r="C70" s="28"/>
      <c r="D70" s="29"/>
      <c r="E70" s="83"/>
      <c r="F70" s="29"/>
      <c r="G70" s="61"/>
    </row>
    <row r="71" spans="1:7">
      <c r="A71" s="27"/>
      <c r="B71" s="28"/>
      <c r="C71" s="28"/>
      <c r="D71" s="29"/>
      <c r="E71" s="83"/>
      <c r="F71" s="29"/>
      <c r="G71" s="61"/>
    </row>
    <row r="72" spans="1:7">
      <c r="A72" s="27"/>
      <c r="B72" s="28"/>
      <c r="C72" s="28"/>
      <c r="D72" s="29"/>
      <c r="E72" s="83"/>
      <c r="F72" s="29"/>
      <c r="G72" s="61"/>
    </row>
    <row r="73" spans="1:7">
      <c r="A73" s="27"/>
      <c r="B73" s="28"/>
      <c r="C73" s="28"/>
      <c r="D73" s="29"/>
      <c r="E73" s="83"/>
      <c r="F73" s="29"/>
      <c r="G73" s="61"/>
    </row>
    <row r="74" spans="1:7">
      <c r="A74" s="27"/>
      <c r="B74" s="28"/>
      <c r="C74" s="28"/>
      <c r="D74" s="29"/>
      <c r="E74" s="83"/>
      <c r="F74" s="29"/>
      <c r="G74" s="61"/>
    </row>
    <row r="75" spans="1:7">
      <c r="A75" s="27"/>
      <c r="B75" s="28"/>
      <c r="C75" s="28"/>
      <c r="D75" s="29"/>
      <c r="E75" s="83"/>
      <c r="F75" s="29"/>
      <c r="G75" s="61"/>
    </row>
    <row r="76" spans="1:7">
      <c r="A76" s="27"/>
      <c r="B76" s="28"/>
      <c r="C76" s="28"/>
      <c r="D76" s="29"/>
      <c r="E76" s="83"/>
      <c r="F76" s="29"/>
      <c r="G76" s="61"/>
    </row>
    <row r="77" spans="1:7">
      <c r="A77" s="27"/>
      <c r="B77" s="28"/>
      <c r="C77" s="28"/>
      <c r="D77" s="29"/>
      <c r="E77" s="83"/>
      <c r="F77" s="29"/>
      <c r="G77" s="61"/>
    </row>
    <row r="78" spans="1:7">
      <c r="A78" s="27"/>
      <c r="B78" s="28"/>
      <c r="C78" s="28"/>
      <c r="D78" s="29"/>
      <c r="E78" s="83"/>
      <c r="F78" s="29"/>
      <c r="G78" s="61"/>
    </row>
    <row r="79" spans="1:7">
      <c r="A79" s="27"/>
      <c r="B79" s="28"/>
      <c r="C79" s="28"/>
      <c r="D79" s="29"/>
      <c r="E79" s="83"/>
      <c r="F79" s="29"/>
      <c r="G79" s="61"/>
    </row>
    <row r="80" spans="1:7">
      <c r="A80" s="27"/>
      <c r="B80" s="28"/>
      <c r="C80" s="28"/>
      <c r="D80" s="29"/>
      <c r="E80" s="83"/>
      <c r="F80" s="29"/>
      <c r="G80" s="61"/>
    </row>
    <row r="81" spans="1:7">
      <c r="A81" s="27"/>
      <c r="B81" s="28"/>
      <c r="C81" s="28"/>
      <c r="D81" s="29"/>
      <c r="E81" s="83"/>
      <c r="F81" s="29"/>
      <c r="G81" s="61"/>
    </row>
    <row r="82" spans="1:7">
      <c r="A82" s="27"/>
      <c r="B82" s="28"/>
      <c r="C82" s="28"/>
      <c r="D82" s="29"/>
      <c r="E82" s="83"/>
      <c r="F82" s="29"/>
      <c r="G82" s="61"/>
    </row>
    <row r="83" spans="1:7">
      <c r="A83" s="27"/>
      <c r="B83" s="28"/>
      <c r="C83" s="28"/>
      <c r="D83" s="29"/>
      <c r="E83" s="83"/>
      <c r="F83" s="29"/>
      <c r="G83" s="61"/>
    </row>
    <row r="84" spans="1:7">
      <c r="A84" s="27"/>
      <c r="B84" s="28"/>
      <c r="C84" s="28"/>
      <c r="D84" s="29"/>
      <c r="E84" s="83"/>
      <c r="F84" s="29"/>
      <c r="G84" s="61"/>
    </row>
    <row r="85" spans="1:7">
      <c r="A85" s="27"/>
      <c r="B85" s="28"/>
      <c r="C85" s="28"/>
      <c r="D85" s="29"/>
      <c r="E85" s="83"/>
      <c r="F85" s="29"/>
      <c r="G85" s="61"/>
    </row>
    <row r="86" spans="1:7">
      <c r="A86" s="27"/>
      <c r="B86" s="28"/>
      <c r="C86" s="28"/>
      <c r="D86" s="29"/>
      <c r="E86" s="83"/>
      <c r="F86" s="29"/>
      <c r="G86" s="61"/>
    </row>
    <row r="87" spans="1:7">
      <c r="A87" s="27"/>
      <c r="B87" s="28"/>
      <c r="C87" s="28"/>
      <c r="D87" s="29"/>
      <c r="E87" s="83"/>
      <c r="F87" s="29"/>
      <c r="G87" s="61"/>
    </row>
    <row r="88" spans="1:7">
      <c r="A88" s="27"/>
      <c r="B88" s="28"/>
      <c r="C88" s="28"/>
      <c r="D88" s="29"/>
      <c r="E88" s="83"/>
      <c r="F88" s="29"/>
      <c r="G88" s="61"/>
    </row>
    <row r="89" spans="1:7">
      <c r="A89" s="27"/>
      <c r="B89" s="28"/>
      <c r="C89" s="28"/>
      <c r="D89" s="29"/>
      <c r="E89" s="83"/>
      <c r="F89" s="29"/>
      <c r="G89" s="61"/>
    </row>
    <row r="90" spans="1:7">
      <c r="A90" s="27"/>
      <c r="B90" s="28"/>
      <c r="C90" s="28"/>
      <c r="D90" s="29"/>
      <c r="E90" s="83"/>
      <c r="F90" s="29"/>
      <c r="G90" s="61"/>
    </row>
    <row r="91" spans="1:7">
      <c r="A91" s="27"/>
      <c r="B91" s="28"/>
      <c r="C91" s="28"/>
      <c r="D91" s="29"/>
      <c r="E91" s="83"/>
      <c r="F91" s="29"/>
      <c r="G91" s="61"/>
    </row>
    <row r="92" spans="1:7">
      <c r="A92" s="27"/>
      <c r="B92" s="28"/>
      <c r="C92" s="28"/>
      <c r="D92" s="29"/>
      <c r="E92" s="83"/>
      <c r="F92" s="29"/>
      <c r="G92" s="61"/>
    </row>
    <row r="93" spans="1:7">
      <c r="A93" s="27"/>
      <c r="B93" s="28"/>
      <c r="C93" s="28"/>
      <c r="D93" s="29"/>
      <c r="E93" s="83"/>
      <c r="F93" s="29"/>
      <c r="G93" s="61"/>
    </row>
    <row r="94" spans="1:7">
      <c r="A94" s="27"/>
      <c r="B94" s="28"/>
      <c r="C94" s="28"/>
      <c r="D94" s="29"/>
      <c r="E94" s="83"/>
      <c r="F94" s="29"/>
      <c r="G94" s="61"/>
    </row>
    <row r="95" spans="1:7">
      <c r="A95" s="27"/>
      <c r="B95" s="28"/>
      <c r="C95" s="28"/>
      <c r="D95" s="29"/>
      <c r="E95" s="83"/>
      <c r="F95" s="29"/>
      <c r="G95" s="61"/>
    </row>
    <row r="96" spans="1:7">
      <c r="A96" s="27"/>
      <c r="B96" s="28"/>
      <c r="C96" s="28"/>
      <c r="D96" s="29"/>
      <c r="E96" s="83"/>
      <c r="F96" s="29"/>
      <c r="G96" s="61"/>
    </row>
    <row r="97" spans="1:7">
      <c r="A97" s="27"/>
      <c r="B97" s="28"/>
      <c r="C97" s="28"/>
      <c r="D97" s="29"/>
      <c r="E97" s="83"/>
      <c r="F97" s="29"/>
      <c r="G97" s="61"/>
    </row>
    <row r="98" spans="1:7">
      <c r="A98" s="27"/>
      <c r="B98" s="28"/>
      <c r="C98" s="28"/>
      <c r="D98" s="29"/>
      <c r="E98" s="83"/>
      <c r="F98" s="29"/>
      <c r="G98" s="61"/>
    </row>
    <row r="99" spans="1:7">
      <c r="A99" s="27"/>
      <c r="B99" s="28"/>
      <c r="C99" s="28"/>
      <c r="D99" s="29"/>
      <c r="E99" s="83"/>
      <c r="F99" s="29"/>
      <c r="G99" s="61"/>
    </row>
    <row r="100" spans="1:7">
      <c r="A100" s="27"/>
      <c r="B100" s="28"/>
      <c r="C100" s="28"/>
      <c r="D100" s="29"/>
      <c r="E100" s="83"/>
      <c r="F100" s="29"/>
      <c r="G100" s="61"/>
    </row>
    <row r="101" spans="1:7">
      <c r="A101" s="27"/>
      <c r="B101" s="28"/>
      <c r="C101" s="28"/>
      <c r="D101" s="29"/>
      <c r="E101" s="83"/>
      <c r="F101" s="29"/>
      <c r="G101" s="61"/>
    </row>
    <row r="102" spans="1:7">
      <c r="A102" s="27"/>
      <c r="B102" s="28"/>
      <c r="C102" s="28"/>
      <c r="D102" s="29"/>
      <c r="E102" s="83"/>
      <c r="F102" s="29"/>
      <c r="G102" s="61"/>
    </row>
    <row r="103" spans="1:7">
      <c r="A103" s="27"/>
      <c r="B103" s="28"/>
      <c r="C103" s="28"/>
      <c r="D103" s="29"/>
      <c r="E103" s="83"/>
      <c r="F103" s="29"/>
      <c r="G103" s="61"/>
    </row>
    <row r="104" spans="1:7">
      <c r="A104" s="27"/>
      <c r="B104" s="28"/>
      <c r="C104" s="28"/>
      <c r="D104" s="29"/>
      <c r="E104" s="83"/>
      <c r="F104" s="29"/>
      <c r="G104" s="61"/>
    </row>
    <row r="105" spans="1:7">
      <c r="A105" s="27"/>
      <c r="B105" s="28"/>
      <c r="C105" s="28"/>
      <c r="D105" s="29"/>
      <c r="E105" s="83"/>
      <c r="F105" s="29"/>
      <c r="G105" s="61"/>
    </row>
    <row r="106" spans="1:7">
      <c r="A106" s="27"/>
      <c r="B106" s="28"/>
      <c r="C106" s="28"/>
      <c r="D106" s="29"/>
      <c r="E106" s="83"/>
      <c r="F106" s="29"/>
      <c r="G106" s="61"/>
    </row>
    <row r="107" spans="1:7">
      <c r="A107" s="27"/>
      <c r="B107" s="28"/>
      <c r="C107" s="28"/>
      <c r="D107" s="29"/>
      <c r="E107" s="83"/>
      <c r="F107" s="29"/>
      <c r="G107" s="61"/>
    </row>
    <row r="108" spans="1:7">
      <c r="A108" s="27"/>
      <c r="B108" s="28"/>
      <c r="C108" s="28"/>
      <c r="D108" s="29"/>
      <c r="E108" s="83"/>
      <c r="F108" s="29"/>
      <c r="G108" s="61"/>
    </row>
    <row r="109" spans="1:7">
      <c r="A109" s="27"/>
      <c r="B109" s="28"/>
      <c r="C109" s="28"/>
      <c r="D109" s="29"/>
      <c r="E109" s="83"/>
      <c r="F109" s="29"/>
      <c r="G109" s="61"/>
    </row>
    <row r="110" spans="1:7">
      <c r="A110" s="27"/>
      <c r="B110" s="28"/>
      <c r="C110" s="28"/>
      <c r="D110" s="29"/>
      <c r="E110" s="83"/>
      <c r="F110" s="29"/>
      <c r="G110" s="61"/>
    </row>
    <row r="111" spans="1:7">
      <c r="A111" s="27"/>
      <c r="B111" s="28"/>
      <c r="C111" s="28"/>
      <c r="D111" s="29"/>
      <c r="E111" s="83"/>
      <c r="F111" s="29"/>
      <c r="G111" s="61"/>
    </row>
    <row r="112" spans="1:7">
      <c r="A112" s="27"/>
      <c r="B112" s="28"/>
      <c r="C112" s="28"/>
      <c r="D112" s="29"/>
      <c r="E112" s="83"/>
      <c r="F112" s="29"/>
      <c r="G112" s="61"/>
    </row>
    <row r="113" spans="1:7">
      <c r="A113" s="27"/>
      <c r="B113" s="28"/>
      <c r="C113" s="28"/>
      <c r="D113" s="29"/>
      <c r="E113" s="83"/>
      <c r="F113" s="29"/>
      <c r="G113" s="61"/>
    </row>
    <row r="114" spans="1:7">
      <c r="A114" s="27"/>
      <c r="B114" s="28"/>
      <c r="C114" s="28"/>
      <c r="D114" s="29"/>
      <c r="E114" s="83"/>
      <c r="F114" s="29"/>
      <c r="G114" s="61"/>
    </row>
    <row r="115" spans="1:7">
      <c r="A115" s="27"/>
      <c r="B115" s="28"/>
      <c r="C115" s="28"/>
      <c r="D115" s="29"/>
      <c r="E115" s="83"/>
      <c r="F115" s="29"/>
      <c r="G115" s="61"/>
    </row>
    <row r="116" spans="1:7">
      <c r="A116" s="27"/>
      <c r="B116" s="28"/>
      <c r="C116" s="28"/>
      <c r="D116" s="29"/>
      <c r="E116" s="83"/>
      <c r="F116" s="29"/>
      <c r="G116" s="61"/>
    </row>
    <row r="117" spans="1:7">
      <c r="A117" s="27"/>
      <c r="B117" s="28"/>
      <c r="C117" s="28"/>
      <c r="D117" s="29"/>
      <c r="E117" s="83"/>
      <c r="F117" s="29"/>
      <c r="G117" s="61"/>
    </row>
    <row r="118" spans="1:7">
      <c r="A118" s="27"/>
      <c r="B118" s="28"/>
      <c r="C118" s="28"/>
      <c r="D118" s="29"/>
      <c r="E118" s="83"/>
      <c r="F118" s="29"/>
      <c r="G118" s="61"/>
    </row>
    <row r="119" spans="1:7">
      <c r="A119" s="27"/>
      <c r="B119" s="28"/>
      <c r="C119" s="28"/>
      <c r="D119" s="29"/>
      <c r="E119" s="83"/>
      <c r="F119" s="29"/>
      <c r="G119" s="61"/>
    </row>
    <row r="120" spans="1:7">
      <c r="A120" s="27"/>
      <c r="B120" s="28"/>
      <c r="C120" s="28"/>
      <c r="D120" s="29"/>
      <c r="E120" s="83"/>
      <c r="F120" s="29"/>
      <c r="G120" s="61"/>
    </row>
    <row r="121" spans="1:7">
      <c r="A121" s="27"/>
      <c r="B121" s="28"/>
      <c r="C121" s="28"/>
      <c r="D121" s="29"/>
      <c r="E121" s="83"/>
      <c r="F121" s="29"/>
      <c r="G121" s="61"/>
    </row>
    <row r="122" spans="1:7">
      <c r="A122" s="27"/>
      <c r="B122" s="28"/>
      <c r="C122" s="28"/>
      <c r="D122" s="29"/>
      <c r="E122" s="83"/>
      <c r="F122" s="29"/>
      <c r="G122" s="61"/>
    </row>
    <row r="123" spans="1:7">
      <c r="A123" s="27"/>
      <c r="B123" s="28"/>
      <c r="C123" s="28"/>
      <c r="D123" s="29"/>
      <c r="E123" s="83"/>
      <c r="F123" s="29"/>
      <c r="G123" s="61"/>
    </row>
    <row r="124" spans="1:7">
      <c r="A124" s="27"/>
      <c r="B124" s="28"/>
      <c r="C124" s="28"/>
      <c r="D124" s="29"/>
      <c r="E124" s="83"/>
      <c r="F124" s="29"/>
      <c r="G124" s="61"/>
    </row>
    <row r="125" spans="1:7">
      <c r="A125" s="27"/>
      <c r="B125" s="28"/>
      <c r="C125" s="28"/>
      <c r="D125" s="29"/>
      <c r="E125" s="83"/>
      <c r="F125" s="29"/>
      <c r="G125" s="61"/>
    </row>
    <row r="126" spans="1:7">
      <c r="A126" s="27"/>
      <c r="B126" s="28"/>
      <c r="C126" s="28"/>
      <c r="D126" s="29"/>
      <c r="E126" s="83"/>
      <c r="F126" s="29"/>
      <c r="G126" s="61"/>
    </row>
    <row r="127" spans="1:7">
      <c r="A127" s="27"/>
      <c r="B127" s="28"/>
      <c r="C127" s="28"/>
      <c r="D127" s="29"/>
      <c r="E127" s="83"/>
      <c r="F127" s="29"/>
      <c r="G127" s="61"/>
    </row>
    <row r="128" spans="1:7">
      <c r="A128" s="27"/>
      <c r="B128" s="28"/>
      <c r="C128" s="28"/>
      <c r="D128" s="29"/>
      <c r="E128" s="83"/>
      <c r="F128" s="29"/>
      <c r="G128" s="61"/>
    </row>
    <row r="129" spans="1:7">
      <c r="A129" s="27"/>
      <c r="B129" s="28"/>
      <c r="C129" s="28"/>
      <c r="D129" s="29"/>
      <c r="E129" s="83"/>
      <c r="F129" s="29"/>
      <c r="G129" s="61"/>
    </row>
    <row r="130" spans="1:7">
      <c r="A130" s="27"/>
      <c r="B130" s="28"/>
      <c r="C130" s="28"/>
      <c r="D130" s="29"/>
      <c r="E130" s="83"/>
      <c r="F130" s="29"/>
      <c r="G130" s="61"/>
    </row>
    <row r="131" spans="1:7">
      <c r="A131" s="27"/>
      <c r="B131" s="28"/>
      <c r="C131" s="28"/>
      <c r="D131" s="29"/>
      <c r="E131" s="83"/>
      <c r="F131" s="29"/>
      <c r="G131" s="61"/>
    </row>
    <row r="132" spans="1:7">
      <c r="A132" s="27"/>
      <c r="B132" s="28"/>
      <c r="C132" s="28"/>
      <c r="D132" s="29"/>
      <c r="E132" s="83"/>
      <c r="F132" s="29"/>
      <c r="G132" s="61"/>
    </row>
    <row r="133" spans="1:7">
      <c r="A133" s="27"/>
      <c r="B133" s="28"/>
      <c r="C133" s="28"/>
      <c r="D133" s="29"/>
      <c r="E133" s="83"/>
      <c r="F133" s="29"/>
      <c r="G133" s="61"/>
    </row>
    <row r="134" spans="1:7">
      <c r="A134" s="27"/>
      <c r="B134" s="28"/>
      <c r="C134" s="28"/>
      <c r="D134" s="29"/>
      <c r="E134" s="83"/>
      <c r="F134" s="29"/>
      <c r="G134" s="61"/>
    </row>
    <row r="135" spans="1:7">
      <c r="A135" s="27"/>
      <c r="B135" s="28"/>
      <c r="C135" s="28"/>
      <c r="D135" s="29"/>
      <c r="E135" s="83"/>
      <c r="F135" s="29"/>
      <c r="G135" s="61"/>
    </row>
    <row r="136" spans="1:7">
      <c r="A136" s="27"/>
      <c r="B136" s="28"/>
      <c r="C136" s="28"/>
      <c r="D136" s="29"/>
      <c r="E136" s="83"/>
      <c r="F136" s="29"/>
      <c r="G136" s="61"/>
    </row>
    <row r="137" spans="1:7">
      <c r="A137" s="27"/>
      <c r="B137" s="28"/>
      <c r="C137" s="28"/>
      <c r="D137" s="29"/>
      <c r="E137" s="83"/>
      <c r="F137" s="29"/>
      <c r="G137" s="61"/>
    </row>
    <row r="138" spans="1:7">
      <c r="A138" s="27"/>
      <c r="B138" s="28"/>
      <c r="C138" s="28"/>
      <c r="D138" s="29"/>
      <c r="E138" s="83"/>
      <c r="F138" s="29"/>
      <c r="G138" s="61"/>
    </row>
    <row r="139" spans="1:7">
      <c r="A139" s="27"/>
      <c r="B139" s="28"/>
      <c r="C139" s="28"/>
      <c r="D139" s="29"/>
      <c r="E139" s="83"/>
      <c r="F139" s="29"/>
      <c r="G139" s="61"/>
    </row>
    <row r="140" spans="1:7">
      <c r="A140" s="27"/>
      <c r="B140" s="28"/>
      <c r="C140" s="28"/>
      <c r="D140" s="29"/>
      <c r="E140" s="83"/>
      <c r="F140" s="29"/>
      <c r="G140" s="61"/>
    </row>
    <row r="141" spans="1:7">
      <c r="A141" s="27"/>
      <c r="B141" s="28"/>
      <c r="C141" s="28"/>
      <c r="D141" s="29"/>
      <c r="E141" s="83"/>
      <c r="F141" s="29"/>
      <c r="G141" s="61"/>
    </row>
    <row r="142" spans="1:7">
      <c r="A142" s="27"/>
      <c r="B142" s="28"/>
      <c r="C142" s="28"/>
      <c r="D142" s="29"/>
      <c r="E142" s="83"/>
      <c r="F142" s="29"/>
      <c r="G142" s="61"/>
    </row>
    <row r="143" spans="1:7">
      <c r="A143" s="27"/>
      <c r="B143" s="28"/>
      <c r="C143" s="28"/>
      <c r="D143" s="29"/>
      <c r="E143" s="83"/>
      <c r="F143" s="29"/>
      <c r="G143" s="61"/>
    </row>
    <row r="144" spans="1:7">
      <c r="A144" s="27"/>
      <c r="B144" s="28"/>
      <c r="C144" s="28"/>
      <c r="D144" s="29"/>
      <c r="E144" s="83"/>
      <c r="F144" s="29"/>
      <c r="G144" s="61"/>
    </row>
    <row r="145" spans="1:7">
      <c r="A145" s="27"/>
      <c r="B145" s="28"/>
      <c r="C145" s="28"/>
      <c r="D145" s="29"/>
      <c r="E145" s="83"/>
      <c r="F145" s="29"/>
      <c r="G145" s="61"/>
    </row>
    <row r="146" spans="1:7">
      <c r="A146" s="27"/>
      <c r="B146" s="28"/>
      <c r="C146" s="28"/>
      <c r="D146" s="29"/>
      <c r="E146" s="83"/>
      <c r="F146" s="29"/>
      <c r="G146" s="61"/>
    </row>
    <row r="147" spans="1:7">
      <c r="A147" s="27"/>
      <c r="B147" s="28"/>
      <c r="C147" s="28"/>
      <c r="D147" s="29"/>
      <c r="E147" s="83"/>
      <c r="F147" s="29"/>
      <c r="G147" s="61"/>
    </row>
    <row r="148" spans="1:7">
      <c r="A148" s="27"/>
      <c r="B148" s="28"/>
      <c r="C148" s="28"/>
      <c r="D148" s="29"/>
      <c r="E148" s="83"/>
      <c r="F148" s="29"/>
      <c r="G148" s="61"/>
    </row>
    <row r="149" spans="1:7">
      <c r="A149" s="27"/>
      <c r="B149" s="28"/>
      <c r="C149" s="28"/>
      <c r="D149" s="29"/>
      <c r="E149" s="83"/>
      <c r="F149" s="29"/>
      <c r="G149" s="61"/>
    </row>
    <row r="150" spans="1:7">
      <c r="A150" s="27"/>
      <c r="B150" s="28"/>
      <c r="C150" s="28"/>
      <c r="D150" s="29"/>
      <c r="E150" s="83"/>
      <c r="F150" s="29"/>
      <c r="G150" s="61"/>
    </row>
    <row r="151" spans="1:7">
      <c r="A151" s="27"/>
      <c r="B151" s="28"/>
      <c r="C151" s="28"/>
      <c r="D151" s="29"/>
      <c r="E151" s="83"/>
      <c r="F151" s="29"/>
      <c r="G151" s="61"/>
    </row>
    <row r="152" spans="1:7">
      <c r="A152" s="27"/>
      <c r="B152" s="28"/>
      <c r="C152" s="28"/>
      <c r="D152" s="29"/>
      <c r="E152" s="83"/>
      <c r="F152" s="29"/>
      <c r="G152" s="61"/>
    </row>
    <row r="153" spans="1:7">
      <c r="A153" s="27"/>
      <c r="B153" s="28"/>
      <c r="C153" s="28"/>
      <c r="D153" s="29"/>
      <c r="E153" s="83"/>
      <c r="F153" s="29"/>
      <c r="G153" s="61"/>
    </row>
    <row r="154" spans="1:7">
      <c r="A154" s="27"/>
      <c r="B154" s="28"/>
      <c r="C154" s="28"/>
      <c r="D154" s="29"/>
      <c r="E154" s="83"/>
      <c r="F154" s="29"/>
      <c r="G154" s="61"/>
    </row>
    <row r="155" spans="1:7">
      <c r="A155" s="27"/>
      <c r="B155" s="28"/>
      <c r="C155" s="28"/>
      <c r="D155" s="29"/>
      <c r="E155" s="83"/>
      <c r="F155" s="29"/>
      <c r="G155" s="61"/>
    </row>
    <row r="156" spans="1:7">
      <c r="A156" s="27"/>
      <c r="B156" s="28"/>
      <c r="C156" s="28"/>
      <c r="D156" s="29"/>
      <c r="E156" s="83"/>
      <c r="F156" s="29"/>
      <c r="G156" s="61"/>
    </row>
    <row r="157" spans="1:7">
      <c r="A157" s="27"/>
      <c r="B157" s="28"/>
      <c r="C157" s="28"/>
      <c r="D157" s="29"/>
      <c r="E157" s="83"/>
      <c r="F157" s="29"/>
      <c r="G157" s="61"/>
    </row>
    <row r="158" spans="1:7">
      <c r="A158" s="27"/>
      <c r="B158" s="28"/>
      <c r="C158" s="28"/>
      <c r="D158" s="29"/>
      <c r="E158" s="83"/>
      <c r="F158" s="29"/>
      <c r="G158" s="61"/>
    </row>
    <row r="159" spans="1:7">
      <c r="A159" s="27"/>
      <c r="B159" s="28"/>
      <c r="C159" s="28"/>
      <c r="D159" s="29"/>
      <c r="E159" s="83"/>
      <c r="F159" s="29"/>
      <c r="G159" s="61"/>
    </row>
    <row r="160" spans="1:7">
      <c r="A160" s="27"/>
      <c r="B160" s="28"/>
      <c r="C160" s="28"/>
      <c r="D160" s="29"/>
      <c r="E160" s="83"/>
      <c r="F160" s="29"/>
      <c r="G160" s="61"/>
    </row>
    <row r="161" spans="1:7">
      <c r="A161" s="27"/>
      <c r="B161" s="28"/>
      <c r="C161" s="28"/>
      <c r="D161" s="29"/>
      <c r="E161" s="83"/>
      <c r="F161" s="29"/>
      <c r="G161" s="61"/>
    </row>
    <row r="162" spans="1:7">
      <c r="A162" s="27"/>
      <c r="B162" s="28"/>
      <c r="C162" s="28"/>
      <c r="D162" s="29"/>
      <c r="E162" s="83"/>
      <c r="F162" s="29"/>
      <c r="G162" s="61"/>
    </row>
    <row r="163" spans="1:7">
      <c r="A163" s="27"/>
      <c r="B163" s="28"/>
      <c r="C163" s="28"/>
      <c r="D163" s="29"/>
      <c r="E163" s="83"/>
      <c r="F163" s="29"/>
      <c r="G163" s="61"/>
    </row>
    <row r="164" spans="1:7">
      <c r="A164" s="27"/>
      <c r="B164" s="28"/>
      <c r="C164" s="28"/>
      <c r="D164" s="29"/>
      <c r="E164" s="83"/>
      <c r="F164" s="29"/>
      <c r="G164" s="61"/>
    </row>
    <row r="165" spans="1:7">
      <c r="A165" s="27"/>
      <c r="B165" s="28"/>
      <c r="C165" s="28"/>
      <c r="D165" s="29"/>
      <c r="E165" s="83"/>
      <c r="F165" s="29"/>
      <c r="G165" s="61"/>
    </row>
    <row r="166" spans="1:7">
      <c r="A166" s="27"/>
      <c r="B166" s="28"/>
      <c r="C166" s="28"/>
      <c r="D166" s="29"/>
      <c r="E166" s="83"/>
      <c r="F166" s="29"/>
      <c r="G166" s="61"/>
    </row>
    <row r="167" spans="1:7">
      <c r="A167" s="27"/>
      <c r="B167" s="28"/>
      <c r="C167" s="28"/>
      <c r="D167" s="29"/>
      <c r="E167" s="83"/>
      <c r="F167" s="29"/>
      <c r="G167" s="61"/>
    </row>
    <row r="168" spans="1:7">
      <c r="A168" s="27"/>
      <c r="B168" s="28"/>
      <c r="C168" s="28"/>
      <c r="D168" s="29"/>
      <c r="E168" s="83"/>
      <c r="F168" s="29"/>
      <c r="G168" s="61"/>
    </row>
    <row r="169" spans="1:7">
      <c r="A169" s="27"/>
      <c r="B169" s="28"/>
      <c r="C169" s="28"/>
      <c r="D169" s="29"/>
      <c r="E169" s="83"/>
      <c r="F169" s="29"/>
      <c r="G169" s="61"/>
    </row>
    <row r="170" spans="1:7">
      <c r="A170" s="27"/>
      <c r="B170" s="28"/>
      <c r="C170" s="28"/>
      <c r="D170" s="29"/>
      <c r="E170" s="83"/>
      <c r="F170" s="29"/>
      <c r="G170" s="61"/>
    </row>
    <row r="171" spans="1:7">
      <c r="A171" s="27"/>
      <c r="B171" s="28"/>
      <c r="C171" s="28"/>
      <c r="D171" s="29"/>
      <c r="E171" s="83"/>
      <c r="F171" s="29"/>
      <c r="G171" s="61"/>
    </row>
    <row r="172" spans="1:7">
      <c r="A172" s="27"/>
      <c r="B172" s="28"/>
      <c r="C172" s="28"/>
      <c r="D172" s="29"/>
      <c r="E172" s="83"/>
      <c r="F172" s="29"/>
      <c r="G172" s="61"/>
    </row>
    <row r="173" spans="1:7">
      <c r="A173" s="27"/>
      <c r="B173" s="28"/>
      <c r="C173" s="28"/>
      <c r="D173" s="29"/>
      <c r="E173" s="83"/>
      <c r="F173" s="29"/>
      <c r="G173" s="61"/>
    </row>
    <row r="174" spans="1:7">
      <c r="A174" s="27"/>
      <c r="B174" s="28"/>
      <c r="C174" s="28"/>
      <c r="D174" s="29"/>
      <c r="E174" s="83"/>
      <c r="F174" s="29"/>
      <c r="G174" s="61"/>
    </row>
    <row r="175" spans="1:7">
      <c r="A175" s="27"/>
      <c r="B175" s="28"/>
      <c r="C175" s="28"/>
      <c r="D175" s="29"/>
      <c r="E175" s="83"/>
      <c r="F175" s="29"/>
      <c r="G175" s="61"/>
    </row>
    <row r="176" spans="1:7">
      <c r="A176" s="27"/>
      <c r="B176" s="28"/>
      <c r="C176" s="28"/>
      <c r="D176" s="29"/>
      <c r="E176" s="83"/>
      <c r="F176" s="29"/>
      <c r="G176" s="61"/>
    </row>
    <row r="177" spans="1:7">
      <c r="A177" s="27"/>
      <c r="B177" s="28"/>
      <c r="C177" s="28"/>
      <c r="D177" s="29"/>
      <c r="E177" s="83"/>
      <c r="F177" s="29"/>
      <c r="G177" s="61"/>
    </row>
    <row r="178" spans="1:7">
      <c r="A178" s="27"/>
      <c r="B178" s="28"/>
      <c r="C178" s="28"/>
      <c r="D178" s="29"/>
      <c r="E178" s="83"/>
      <c r="F178" s="29"/>
      <c r="G178" s="61"/>
    </row>
    <row r="179" spans="1:7">
      <c r="A179" s="27"/>
      <c r="B179" s="28"/>
      <c r="C179" s="28"/>
      <c r="D179" s="29"/>
      <c r="E179" s="83"/>
      <c r="F179" s="29"/>
      <c r="G179" s="61"/>
    </row>
    <row r="180" spans="1:7">
      <c r="A180" s="27"/>
      <c r="B180" s="28"/>
      <c r="C180" s="28"/>
      <c r="D180" s="29"/>
      <c r="E180" s="83"/>
      <c r="F180" s="29"/>
      <c r="G180" s="61"/>
    </row>
    <row r="181" spans="1:7">
      <c r="A181" s="27"/>
      <c r="B181" s="28"/>
      <c r="C181" s="28"/>
      <c r="D181" s="29"/>
      <c r="E181" s="83"/>
      <c r="F181" s="29"/>
      <c r="G181" s="61"/>
    </row>
    <row r="182" spans="1:7">
      <c r="A182" s="27"/>
      <c r="B182" s="28"/>
      <c r="C182" s="28"/>
      <c r="D182" s="29"/>
      <c r="E182" s="83"/>
      <c r="F182" s="29"/>
      <c r="G182" s="61"/>
    </row>
    <row r="183" spans="1:7">
      <c r="A183" s="27"/>
      <c r="B183" s="28"/>
      <c r="C183" s="28"/>
      <c r="D183" s="29"/>
      <c r="E183" s="83"/>
      <c r="F183" s="29"/>
      <c r="G183" s="61"/>
    </row>
    <row r="184" spans="1:7">
      <c r="A184" s="27"/>
      <c r="B184" s="28"/>
      <c r="C184" s="28"/>
      <c r="D184" s="29"/>
      <c r="E184" s="83"/>
      <c r="F184" s="29"/>
      <c r="G184" s="61"/>
    </row>
    <row r="185" spans="1:7">
      <c r="A185" s="27"/>
      <c r="B185" s="28"/>
      <c r="C185" s="28"/>
      <c r="D185" s="29"/>
      <c r="E185" s="83"/>
      <c r="F185" s="29"/>
      <c r="G185" s="61"/>
    </row>
    <row r="186" spans="1:7">
      <c r="A186" s="27"/>
      <c r="B186" s="28"/>
      <c r="C186" s="28"/>
      <c r="D186" s="29"/>
      <c r="E186" s="83"/>
      <c r="F186" s="29"/>
      <c r="G186" s="61"/>
    </row>
    <row r="187" spans="1:7">
      <c r="A187" s="27"/>
      <c r="B187" s="28"/>
      <c r="C187" s="28"/>
      <c r="D187" s="29"/>
      <c r="E187" s="83"/>
      <c r="F187" s="29"/>
      <c r="G187" s="61"/>
    </row>
    <row r="188" spans="1:7">
      <c r="A188" s="27"/>
      <c r="B188" s="28"/>
      <c r="C188" s="28"/>
      <c r="D188" s="29"/>
      <c r="E188" s="83"/>
      <c r="F188" s="29"/>
      <c r="G188" s="61"/>
    </row>
    <row r="189" spans="1:7">
      <c r="A189" s="27"/>
      <c r="B189" s="28"/>
      <c r="C189" s="28"/>
      <c r="D189" s="29"/>
      <c r="E189" s="83"/>
      <c r="F189" s="29"/>
      <c r="G189" s="61"/>
    </row>
    <row r="190" spans="1:7">
      <c r="A190" s="27"/>
      <c r="B190" s="28"/>
      <c r="C190" s="28"/>
      <c r="D190" s="29"/>
      <c r="E190" s="83"/>
      <c r="F190" s="29"/>
      <c r="G190" s="61"/>
    </row>
    <row r="191" spans="1:7">
      <c r="A191" s="27"/>
      <c r="B191" s="28"/>
      <c r="C191" s="28"/>
      <c r="D191" s="29"/>
      <c r="E191" s="83"/>
      <c r="F191" s="29"/>
      <c r="G191" s="61"/>
    </row>
    <row r="192" spans="1:7">
      <c r="A192" s="27"/>
      <c r="B192" s="28"/>
      <c r="C192" s="28"/>
      <c r="D192" s="29"/>
      <c r="E192" s="83"/>
      <c r="F192" s="29"/>
      <c r="G192" s="61"/>
    </row>
    <row r="193" spans="1:7">
      <c r="A193" s="27"/>
      <c r="B193" s="28"/>
      <c r="C193" s="28"/>
      <c r="D193" s="29"/>
      <c r="E193" s="83"/>
      <c r="F193" s="29"/>
      <c r="G193" s="61"/>
    </row>
    <row r="194" spans="1:7">
      <c r="A194" s="27"/>
      <c r="B194" s="28"/>
      <c r="C194" s="28"/>
      <c r="D194" s="29"/>
      <c r="E194" s="83"/>
      <c r="F194" s="29"/>
      <c r="G194" s="61"/>
    </row>
    <row r="195" spans="1:7">
      <c r="A195" s="27"/>
      <c r="B195" s="28"/>
      <c r="C195" s="28"/>
      <c r="D195" s="29"/>
      <c r="E195" s="83"/>
      <c r="F195" s="29"/>
      <c r="G195" s="61"/>
    </row>
    <row r="196" spans="1:7">
      <c r="A196" s="27"/>
      <c r="B196" s="28"/>
      <c r="C196" s="28"/>
      <c r="D196" s="29"/>
      <c r="E196" s="83"/>
      <c r="F196" s="29"/>
      <c r="G196" s="61"/>
    </row>
    <row r="197" spans="1:7">
      <c r="A197" s="27"/>
      <c r="B197" s="28"/>
      <c r="C197" s="28"/>
      <c r="D197" s="29"/>
      <c r="E197" s="83"/>
      <c r="F197" s="29"/>
      <c r="G197" s="61"/>
    </row>
    <row r="198" spans="1:7">
      <c r="A198" s="27"/>
      <c r="B198" s="28"/>
      <c r="C198" s="28"/>
      <c r="D198" s="29"/>
      <c r="E198" s="83"/>
      <c r="F198" s="29"/>
      <c r="G198" s="61"/>
    </row>
    <row r="199" spans="1:7">
      <c r="A199" s="27"/>
      <c r="B199" s="28"/>
      <c r="C199" s="28"/>
      <c r="D199" s="29"/>
      <c r="E199" s="83"/>
      <c r="F199" s="29"/>
      <c r="G199" s="61"/>
    </row>
    <row r="200" spans="1:7">
      <c r="A200" s="27"/>
      <c r="B200" s="28"/>
      <c r="C200" s="28"/>
      <c r="D200" s="29"/>
      <c r="E200" s="83"/>
      <c r="F200" s="29"/>
      <c r="G200" s="61"/>
    </row>
    <row r="201" spans="1:7">
      <c r="A201" s="27"/>
      <c r="B201" s="28"/>
      <c r="C201" s="28"/>
      <c r="D201" s="29"/>
      <c r="E201" s="83"/>
      <c r="F201" s="29"/>
      <c r="G201" s="61"/>
    </row>
    <row r="202" spans="1:7">
      <c r="A202" s="27"/>
      <c r="B202" s="28"/>
      <c r="C202" s="28"/>
      <c r="D202" s="29"/>
      <c r="E202" s="83"/>
      <c r="F202" s="29"/>
      <c r="G202" s="61"/>
    </row>
    <row r="203" spans="1:7">
      <c r="A203" s="27"/>
      <c r="B203" s="28"/>
      <c r="C203" s="28"/>
      <c r="D203" s="29"/>
      <c r="E203" s="83"/>
      <c r="F203" s="29"/>
      <c r="G203" s="61"/>
    </row>
    <row r="204" spans="1:7">
      <c r="A204" s="27"/>
      <c r="B204" s="28"/>
      <c r="C204" s="28"/>
      <c r="D204" s="29"/>
      <c r="E204" s="83"/>
      <c r="F204" s="29"/>
      <c r="G204" s="61"/>
    </row>
    <row r="205" spans="1:7">
      <c r="A205" s="27"/>
      <c r="B205" s="28"/>
      <c r="C205" s="28"/>
      <c r="D205" s="29"/>
      <c r="E205" s="83"/>
      <c r="F205" s="29"/>
      <c r="G205" s="61"/>
    </row>
    <row r="206" spans="1:7">
      <c r="A206" s="27"/>
      <c r="B206" s="28"/>
      <c r="C206" s="28"/>
      <c r="D206" s="29"/>
      <c r="E206" s="83"/>
      <c r="F206" s="29"/>
      <c r="G206" s="61"/>
    </row>
    <row r="207" spans="1:7">
      <c r="A207" s="27"/>
      <c r="B207" s="28"/>
      <c r="C207" s="28"/>
      <c r="D207" s="29"/>
      <c r="E207" s="83"/>
      <c r="F207" s="29"/>
      <c r="G207" s="61"/>
    </row>
    <row r="208" spans="1:7">
      <c r="A208" s="27"/>
      <c r="B208" s="28"/>
      <c r="C208" s="28"/>
      <c r="D208" s="29"/>
      <c r="E208" s="83"/>
      <c r="F208" s="29"/>
      <c r="G208" s="61"/>
    </row>
    <row r="209" spans="1:7">
      <c r="A209" s="27"/>
      <c r="B209" s="28"/>
      <c r="C209" s="28"/>
      <c r="D209" s="29"/>
      <c r="E209" s="83"/>
      <c r="F209" s="29"/>
      <c r="G209" s="61"/>
    </row>
    <row r="210" spans="1:7">
      <c r="A210" s="27"/>
      <c r="B210" s="28"/>
      <c r="C210" s="28"/>
      <c r="D210" s="29"/>
      <c r="E210" s="83"/>
      <c r="F210" s="29"/>
      <c r="G210" s="61"/>
    </row>
    <row r="211" spans="1:7">
      <c r="A211" s="27"/>
      <c r="B211" s="28"/>
      <c r="C211" s="28"/>
      <c r="D211" s="29"/>
      <c r="E211" s="83"/>
      <c r="F211" s="29"/>
      <c r="G211" s="61"/>
    </row>
    <row r="212" spans="1:7">
      <c r="A212" s="27"/>
      <c r="B212" s="28"/>
      <c r="C212" s="28"/>
      <c r="D212" s="29"/>
      <c r="E212" s="83"/>
      <c r="F212" s="29"/>
      <c r="G212" s="61"/>
    </row>
    <row r="213" spans="1:7">
      <c r="A213" s="27"/>
      <c r="B213" s="28"/>
      <c r="C213" s="28"/>
      <c r="D213" s="29"/>
      <c r="E213" s="83"/>
      <c r="F213" s="29"/>
      <c r="G213" s="61"/>
    </row>
    <row r="214" spans="1:7">
      <c r="A214" s="27"/>
      <c r="B214" s="28"/>
      <c r="C214" s="28"/>
      <c r="D214" s="29"/>
      <c r="E214" s="83"/>
      <c r="F214" s="29"/>
      <c r="G214" s="61"/>
    </row>
    <row r="215" spans="1:7">
      <c r="A215" s="27"/>
      <c r="B215" s="28"/>
      <c r="C215" s="28"/>
      <c r="D215" s="29"/>
      <c r="E215" s="83"/>
      <c r="F215" s="29"/>
      <c r="G215" s="61"/>
    </row>
    <row r="216" spans="1:7">
      <c r="A216" s="27"/>
      <c r="B216" s="28"/>
      <c r="C216" s="28"/>
      <c r="D216" s="29"/>
      <c r="E216" s="83"/>
      <c r="F216" s="29"/>
      <c r="G216" s="61"/>
    </row>
    <row r="217" spans="1:7">
      <c r="A217" s="27"/>
      <c r="B217" s="28"/>
      <c r="C217" s="28"/>
      <c r="D217" s="29"/>
      <c r="E217" s="83"/>
      <c r="F217" s="29"/>
      <c r="G217" s="61"/>
    </row>
    <row r="218" spans="1:7">
      <c r="A218" s="27"/>
      <c r="B218" s="28"/>
      <c r="C218" s="28"/>
      <c r="D218" s="29"/>
      <c r="E218" s="83"/>
      <c r="F218" s="29"/>
      <c r="G218" s="61"/>
    </row>
    <row r="219" spans="1:7">
      <c r="A219" s="27"/>
      <c r="B219" s="28"/>
      <c r="C219" s="28"/>
      <c r="D219" s="29"/>
      <c r="E219" s="83"/>
      <c r="F219" s="29"/>
      <c r="G219" s="61"/>
    </row>
    <row r="220" spans="1:7">
      <c r="A220" s="27"/>
      <c r="B220" s="28"/>
      <c r="C220" s="28"/>
      <c r="D220" s="29"/>
      <c r="E220" s="83"/>
      <c r="F220" s="29"/>
      <c r="G220" s="61"/>
    </row>
    <row r="221" spans="1:7">
      <c r="A221" s="27"/>
      <c r="B221" s="28"/>
      <c r="C221" s="28"/>
      <c r="D221" s="29"/>
      <c r="E221" s="83"/>
      <c r="F221" s="29"/>
      <c r="G221" s="61"/>
    </row>
    <row r="222" spans="1:7">
      <c r="A222" s="27"/>
      <c r="B222" s="28"/>
      <c r="C222" s="28"/>
      <c r="D222" s="29"/>
      <c r="E222" s="83"/>
      <c r="F222" s="29"/>
      <c r="G222" s="61"/>
    </row>
    <row r="223" spans="1:7">
      <c r="A223" s="27"/>
      <c r="B223" s="28"/>
      <c r="C223" s="28"/>
      <c r="D223" s="29"/>
      <c r="E223" s="83"/>
      <c r="F223" s="29"/>
      <c r="G223" s="61"/>
    </row>
    <row r="224" spans="1:7">
      <c r="A224" s="27"/>
      <c r="B224" s="28"/>
      <c r="C224" s="28"/>
      <c r="D224" s="29"/>
      <c r="E224" s="83"/>
      <c r="F224" s="29"/>
      <c r="G224" s="61"/>
    </row>
    <row r="225" spans="1:7">
      <c r="A225" s="27"/>
      <c r="B225" s="28"/>
      <c r="C225" s="28"/>
      <c r="D225" s="29"/>
      <c r="E225" s="83"/>
      <c r="F225" s="29"/>
      <c r="G225" s="61"/>
    </row>
    <row r="226" spans="1:7">
      <c r="A226" s="27"/>
      <c r="B226" s="28"/>
      <c r="C226" s="28"/>
      <c r="D226" s="29"/>
      <c r="E226" s="83"/>
      <c r="F226" s="29"/>
      <c r="G226" s="61"/>
    </row>
    <row r="227" spans="1:7">
      <c r="A227" s="27"/>
      <c r="B227" s="28"/>
      <c r="C227" s="28"/>
      <c r="D227" s="29"/>
      <c r="E227" s="83"/>
      <c r="F227" s="29"/>
      <c r="G227" s="61"/>
    </row>
    <row r="228" spans="1:7">
      <c r="A228" s="27"/>
      <c r="B228" s="28"/>
      <c r="C228" s="28"/>
      <c r="D228" s="29"/>
      <c r="E228" s="83"/>
      <c r="F228" s="29"/>
      <c r="G228" s="61"/>
    </row>
    <row r="229" spans="1:7">
      <c r="A229" s="27"/>
      <c r="B229" s="28"/>
      <c r="C229" s="28"/>
      <c r="D229" s="29"/>
      <c r="E229" s="83"/>
      <c r="F229" s="29"/>
      <c r="G229" s="61"/>
    </row>
    <row r="230" spans="1:7">
      <c r="A230" s="27"/>
      <c r="B230" s="28"/>
      <c r="C230" s="28"/>
      <c r="D230" s="29"/>
      <c r="E230" s="83"/>
      <c r="F230" s="29"/>
      <c r="G230" s="61"/>
    </row>
    <row r="231" spans="1:7">
      <c r="A231" s="27"/>
      <c r="B231" s="28"/>
      <c r="C231" s="28"/>
      <c r="D231" s="29"/>
      <c r="E231" s="83"/>
      <c r="F231" s="29"/>
      <c r="G231" s="61"/>
    </row>
    <row r="232" spans="1:7">
      <c r="A232" s="27"/>
      <c r="B232" s="28"/>
      <c r="C232" s="28"/>
      <c r="D232" s="29"/>
      <c r="E232" s="83"/>
      <c r="F232" s="29"/>
      <c r="G232" s="61"/>
    </row>
    <row r="233" spans="1:7">
      <c r="A233" s="27"/>
      <c r="B233" s="28"/>
      <c r="C233" s="28"/>
      <c r="D233" s="29"/>
      <c r="E233" s="83"/>
      <c r="F233" s="29"/>
      <c r="G233" s="61"/>
    </row>
    <row r="234" spans="1:7">
      <c r="A234" s="27"/>
      <c r="B234" s="28"/>
      <c r="C234" s="28"/>
      <c r="D234" s="29"/>
      <c r="E234" s="83"/>
      <c r="F234" s="29"/>
      <c r="G234" s="61"/>
    </row>
    <row r="235" spans="1:7">
      <c r="A235" s="27"/>
      <c r="B235" s="28"/>
      <c r="C235" s="28"/>
      <c r="D235" s="29"/>
      <c r="E235" s="83"/>
      <c r="F235" s="29"/>
      <c r="G235" s="61"/>
    </row>
    <row r="236" spans="1:7">
      <c r="A236" s="27"/>
      <c r="B236" s="28"/>
      <c r="C236" s="28"/>
      <c r="D236" s="29"/>
      <c r="E236" s="83"/>
      <c r="F236" s="29"/>
      <c r="G236" s="61"/>
    </row>
    <row r="237" spans="1:7">
      <c r="A237" s="27"/>
      <c r="B237" s="28"/>
      <c r="C237" s="28"/>
      <c r="D237" s="29"/>
      <c r="E237" s="83"/>
      <c r="F237" s="29"/>
      <c r="G237" s="61"/>
    </row>
    <row r="238" spans="1:7">
      <c r="A238" s="27"/>
      <c r="B238" s="28"/>
      <c r="C238" s="28"/>
      <c r="D238" s="29"/>
      <c r="E238" s="83"/>
      <c r="F238" s="29"/>
      <c r="G238" s="61"/>
    </row>
    <row r="239" spans="1:7">
      <c r="A239" s="27"/>
      <c r="B239" s="28"/>
      <c r="C239" s="28"/>
      <c r="D239" s="29"/>
      <c r="E239" s="83"/>
      <c r="F239" s="29"/>
      <c r="G239" s="61"/>
    </row>
    <row r="240" spans="1:7">
      <c r="A240" s="27"/>
      <c r="B240" s="28"/>
      <c r="C240" s="28"/>
      <c r="D240" s="29"/>
      <c r="E240" s="83"/>
      <c r="F240" s="29"/>
      <c r="G240" s="61"/>
    </row>
    <row r="241" spans="1:7">
      <c r="A241" s="27"/>
      <c r="B241" s="28"/>
      <c r="C241" s="28"/>
      <c r="D241" s="29"/>
      <c r="E241" s="83"/>
      <c r="F241" s="29"/>
      <c r="G241" s="61"/>
    </row>
    <row r="242" spans="1:7">
      <c r="A242" s="27"/>
      <c r="B242" s="28"/>
      <c r="C242" s="28"/>
      <c r="D242" s="29"/>
      <c r="E242" s="83"/>
      <c r="F242" s="29"/>
      <c r="G242" s="61"/>
    </row>
    <row r="243" spans="1:7">
      <c r="A243" s="27"/>
      <c r="B243" s="28"/>
      <c r="C243" s="28"/>
      <c r="D243" s="29"/>
      <c r="E243" s="83"/>
      <c r="F243" s="29"/>
      <c r="G243" s="61"/>
    </row>
    <row r="244" spans="1:7">
      <c r="A244" s="27"/>
      <c r="B244" s="28"/>
      <c r="C244" s="28"/>
      <c r="D244" s="29"/>
      <c r="E244" s="83"/>
      <c r="F244" s="29"/>
      <c r="G244" s="61"/>
    </row>
    <row r="245" spans="1:7">
      <c r="A245" s="27"/>
      <c r="B245" s="28"/>
      <c r="C245" s="28"/>
      <c r="D245" s="29"/>
      <c r="E245" s="83"/>
      <c r="F245" s="29"/>
      <c r="G245" s="61"/>
    </row>
    <row r="246" spans="1:7">
      <c r="A246" s="27"/>
      <c r="B246" s="28"/>
      <c r="C246" s="28"/>
      <c r="D246" s="29"/>
      <c r="E246" s="83"/>
      <c r="F246" s="29"/>
      <c r="G246" s="61"/>
    </row>
    <row r="247" spans="1:7">
      <c r="A247" s="27"/>
      <c r="B247" s="28"/>
      <c r="C247" s="28"/>
      <c r="D247" s="29"/>
      <c r="E247" s="83"/>
      <c r="F247" s="29"/>
      <c r="G247" s="61"/>
    </row>
    <row r="248" spans="1:7">
      <c r="A248" s="27"/>
      <c r="B248" s="28"/>
      <c r="C248" s="28"/>
      <c r="D248" s="29"/>
      <c r="E248" s="83"/>
      <c r="F248" s="29"/>
      <c r="G248" s="61"/>
    </row>
    <row r="249" spans="1:7">
      <c r="A249" s="27"/>
      <c r="B249" s="28"/>
      <c r="C249" s="28"/>
      <c r="D249" s="29"/>
      <c r="E249" s="83"/>
      <c r="F249" s="29"/>
      <c r="G249" s="61"/>
    </row>
    <row r="250" spans="1:7">
      <c r="A250" s="27"/>
      <c r="B250" s="28"/>
      <c r="C250" s="28"/>
      <c r="D250" s="29"/>
      <c r="E250" s="83"/>
      <c r="F250" s="29"/>
      <c r="G250" s="61"/>
    </row>
    <row r="251" spans="1:7">
      <c r="A251" s="27"/>
      <c r="B251" s="28"/>
      <c r="C251" s="28"/>
      <c r="D251" s="29"/>
      <c r="E251" s="83"/>
      <c r="F251" s="29"/>
      <c r="G251" s="61"/>
    </row>
    <row r="252" spans="1:7">
      <c r="A252" s="27"/>
      <c r="B252" s="28"/>
      <c r="C252" s="28"/>
      <c r="D252" s="29"/>
      <c r="E252" s="83"/>
      <c r="F252" s="29"/>
      <c r="G252" s="61"/>
    </row>
    <row r="253" spans="1:7">
      <c r="A253" s="27"/>
      <c r="B253" s="28"/>
      <c r="C253" s="28"/>
      <c r="D253" s="29"/>
      <c r="E253" s="83"/>
      <c r="F253" s="29"/>
      <c r="G253" s="61"/>
    </row>
    <row r="254" spans="1:7">
      <c r="A254" s="27"/>
      <c r="B254" s="28"/>
      <c r="C254" s="28"/>
      <c r="D254" s="29"/>
      <c r="E254" s="83"/>
      <c r="F254" s="29"/>
      <c r="G254" s="61"/>
    </row>
    <row r="255" spans="1:7">
      <c r="A255" s="27"/>
      <c r="B255" s="28"/>
      <c r="C255" s="28"/>
      <c r="D255" s="29"/>
      <c r="E255" s="83"/>
      <c r="F255" s="29"/>
      <c r="G255" s="61"/>
    </row>
    <row r="256" spans="1:7">
      <c r="A256" s="27"/>
      <c r="B256" s="28"/>
      <c r="C256" s="28"/>
      <c r="D256" s="29"/>
      <c r="E256" s="83"/>
      <c r="F256" s="29"/>
      <c r="G256" s="61"/>
    </row>
    <row r="257" spans="1:7">
      <c r="A257" s="27"/>
      <c r="B257" s="28"/>
      <c r="C257" s="28"/>
      <c r="D257" s="29"/>
      <c r="E257" s="83"/>
      <c r="F257" s="29"/>
      <c r="G257" s="61"/>
    </row>
    <row r="258" spans="1:7">
      <c r="A258" s="27"/>
      <c r="B258" s="28"/>
      <c r="C258" s="28"/>
      <c r="D258" s="29"/>
      <c r="E258" s="83"/>
      <c r="F258" s="29"/>
      <c r="G258" s="61"/>
    </row>
    <row r="259" spans="1:7">
      <c r="A259" s="27"/>
      <c r="B259" s="28"/>
      <c r="C259" s="28"/>
      <c r="D259" s="29"/>
      <c r="E259" s="83"/>
      <c r="F259" s="29"/>
      <c r="G259" s="61"/>
    </row>
    <row r="260" spans="1:7">
      <c r="A260" s="27"/>
      <c r="B260" s="28"/>
      <c r="C260" s="28"/>
      <c r="D260" s="29"/>
      <c r="E260" s="83"/>
      <c r="F260" s="29"/>
      <c r="G260" s="61"/>
    </row>
    <row r="261" spans="1:7">
      <c r="A261" s="27"/>
      <c r="B261" s="28"/>
      <c r="C261" s="28"/>
      <c r="D261" s="29"/>
      <c r="E261" s="83"/>
      <c r="F261" s="29"/>
      <c r="G261" s="61"/>
    </row>
    <row r="262" spans="1:7">
      <c r="A262" s="27"/>
      <c r="B262" s="28"/>
      <c r="C262" s="28"/>
      <c r="D262" s="29"/>
      <c r="E262" s="83"/>
      <c r="F262" s="29"/>
      <c r="G262" s="61"/>
    </row>
    <row r="263" spans="1:7">
      <c r="A263" s="27"/>
      <c r="B263" s="28"/>
      <c r="C263" s="28"/>
      <c r="D263" s="29"/>
      <c r="E263" s="83"/>
      <c r="F263" s="29"/>
      <c r="G263" s="61"/>
    </row>
    <row r="264" spans="1:7">
      <c r="A264" s="27"/>
      <c r="B264" s="28"/>
      <c r="C264" s="28"/>
      <c r="D264" s="29"/>
      <c r="E264" s="83"/>
      <c r="F264" s="29"/>
      <c r="G264" s="61"/>
    </row>
    <row r="265" spans="1:7">
      <c r="A265" s="27"/>
      <c r="B265" s="28"/>
      <c r="C265" s="28"/>
      <c r="D265" s="29"/>
      <c r="E265" s="83"/>
      <c r="F265" s="29"/>
      <c r="G265" s="61"/>
    </row>
    <row r="266" spans="1:7">
      <c r="A266" s="27"/>
      <c r="B266" s="28"/>
      <c r="C266" s="28"/>
      <c r="D266" s="29"/>
      <c r="E266" s="83"/>
      <c r="F266" s="29"/>
      <c r="G266" s="61"/>
    </row>
    <row r="267" spans="1:7">
      <c r="A267" s="27"/>
      <c r="B267" s="28"/>
      <c r="C267" s="28"/>
      <c r="D267" s="29"/>
      <c r="E267" s="83"/>
      <c r="F267" s="29"/>
      <c r="G267" s="61"/>
    </row>
    <row r="268" spans="1:7">
      <c r="A268" s="27"/>
      <c r="B268" s="28"/>
      <c r="C268" s="28"/>
      <c r="D268" s="29"/>
      <c r="E268" s="83"/>
      <c r="F268" s="29"/>
      <c r="G268" s="61"/>
    </row>
    <row r="269" spans="1:7">
      <c r="A269" s="27"/>
      <c r="B269" s="28"/>
      <c r="C269" s="28"/>
      <c r="D269" s="29"/>
      <c r="E269" s="83"/>
      <c r="F269" s="29"/>
      <c r="G269" s="61"/>
    </row>
    <row r="270" spans="1:7">
      <c r="A270" s="27"/>
      <c r="B270" s="28"/>
      <c r="C270" s="28"/>
      <c r="D270" s="29"/>
      <c r="E270" s="83"/>
      <c r="F270" s="29"/>
      <c r="G270" s="61"/>
    </row>
    <row r="271" spans="1:7">
      <c r="A271" s="27"/>
      <c r="B271" s="28"/>
      <c r="C271" s="28"/>
      <c r="D271" s="29"/>
      <c r="E271" s="83"/>
      <c r="F271" s="29"/>
      <c r="G271" s="61"/>
    </row>
    <row r="272" spans="1:7">
      <c r="A272" s="27"/>
      <c r="B272" s="28"/>
      <c r="C272" s="28"/>
      <c r="D272" s="29"/>
      <c r="E272" s="83"/>
      <c r="F272" s="29"/>
      <c r="G272" s="61"/>
    </row>
    <row r="273" spans="1:7">
      <c r="A273" s="27"/>
      <c r="B273" s="28"/>
      <c r="C273" s="28"/>
      <c r="D273" s="29"/>
      <c r="E273" s="83"/>
      <c r="F273" s="29"/>
      <c r="G273" s="61"/>
    </row>
    <row r="274" spans="1:7">
      <c r="A274" s="27"/>
      <c r="B274" s="28"/>
      <c r="C274" s="28"/>
      <c r="D274" s="29"/>
      <c r="E274" s="83"/>
      <c r="F274" s="29"/>
      <c r="G274" s="61"/>
    </row>
    <row r="275" spans="1:7">
      <c r="A275" s="27"/>
      <c r="B275" s="28"/>
      <c r="C275" s="28"/>
      <c r="D275" s="29"/>
      <c r="E275" s="83"/>
      <c r="F275" s="29"/>
      <c r="G275" s="61"/>
    </row>
    <row r="276" spans="1:7">
      <c r="A276" s="27"/>
      <c r="B276" s="28"/>
      <c r="C276" s="28"/>
      <c r="D276" s="29"/>
      <c r="E276" s="83"/>
      <c r="F276" s="29"/>
      <c r="G276" s="61"/>
    </row>
    <row r="277" spans="1:7">
      <c r="A277" s="27"/>
      <c r="B277" s="28"/>
      <c r="C277" s="28"/>
      <c r="D277" s="29"/>
      <c r="E277" s="83"/>
      <c r="F277" s="29"/>
      <c r="G277" s="61"/>
    </row>
    <row r="278" spans="1:7">
      <c r="A278" s="27"/>
      <c r="B278" s="28"/>
      <c r="C278" s="28"/>
      <c r="D278" s="29"/>
      <c r="E278" s="83"/>
      <c r="F278" s="29"/>
      <c r="G278" s="61"/>
    </row>
    <row r="279" spans="1:7">
      <c r="A279" s="27"/>
      <c r="B279" s="28"/>
      <c r="C279" s="28"/>
      <c r="D279" s="29"/>
      <c r="E279" s="83"/>
      <c r="F279" s="29"/>
      <c r="G279" s="61"/>
    </row>
    <row r="280" spans="1:7">
      <c r="A280" s="27"/>
      <c r="B280" s="28"/>
      <c r="C280" s="28"/>
      <c r="D280" s="29"/>
      <c r="E280" s="83"/>
      <c r="F280" s="29"/>
      <c r="G280" s="61"/>
    </row>
    <row r="281" spans="1:7">
      <c r="A281" s="27"/>
      <c r="B281" s="28"/>
      <c r="C281" s="28"/>
      <c r="D281" s="29"/>
      <c r="E281" s="83"/>
      <c r="F281" s="29"/>
      <c r="G281" s="61"/>
    </row>
    <row r="282" spans="1:7">
      <c r="A282" s="27"/>
      <c r="B282" s="28"/>
      <c r="C282" s="28"/>
      <c r="D282" s="29"/>
      <c r="E282" s="83"/>
      <c r="F282" s="29"/>
      <c r="G282" s="61"/>
    </row>
    <row r="283" spans="1:7">
      <c r="A283" s="27"/>
      <c r="B283" s="28"/>
      <c r="C283" s="28"/>
      <c r="D283" s="29"/>
      <c r="E283" s="83"/>
      <c r="F283" s="29"/>
      <c r="G283" s="61"/>
    </row>
    <row r="284" spans="1:7">
      <c r="A284" s="27"/>
      <c r="B284" s="28"/>
      <c r="C284" s="28"/>
      <c r="D284" s="29"/>
      <c r="E284" s="83"/>
      <c r="F284" s="29"/>
      <c r="G284" s="61"/>
    </row>
    <row r="285" spans="1:7">
      <c r="A285" s="27"/>
      <c r="B285" s="28"/>
      <c r="C285" s="28"/>
      <c r="D285" s="29"/>
      <c r="E285" s="83"/>
      <c r="F285" s="29"/>
      <c r="G285" s="61"/>
    </row>
    <row r="286" spans="1:7">
      <c r="A286" s="27"/>
      <c r="B286" s="28"/>
      <c r="C286" s="28"/>
      <c r="D286" s="29"/>
      <c r="E286" s="83"/>
      <c r="F286" s="29"/>
      <c r="G286" s="61"/>
    </row>
    <row r="287" spans="1:7">
      <c r="A287" s="27"/>
      <c r="B287" s="28"/>
      <c r="C287" s="28"/>
      <c r="D287" s="29"/>
      <c r="E287" s="83"/>
      <c r="F287" s="29"/>
      <c r="G287" s="61"/>
    </row>
    <row r="288" spans="1:7">
      <c r="A288" s="27"/>
      <c r="B288" s="28"/>
      <c r="C288" s="28"/>
      <c r="D288" s="29"/>
      <c r="E288" s="83"/>
      <c r="F288" s="29"/>
      <c r="G288" s="61"/>
    </row>
    <row r="289" spans="1:7">
      <c r="A289" s="27"/>
      <c r="B289" s="28"/>
      <c r="C289" s="28"/>
      <c r="D289" s="29"/>
      <c r="E289" s="83"/>
      <c r="F289" s="29"/>
      <c r="G289" s="61"/>
    </row>
    <row r="290" spans="1:7">
      <c r="A290" s="27"/>
      <c r="B290" s="28"/>
      <c r="C290" s="28"/>
      <c r="D290" s="29"/>
      <c r="E290" s="83"/>
      <c r="F290" s="29"/>
      <c r="G290" s="61"/>
    </row>
    <row r="291" spans="1:7">
      <c r="A291" s="27"/>
      <c r="B291" s="28"/>
      <c r="C291" s="28"/>
      <c r="D291" s="29"/>
      <c r="E291" s="83"/>
      <c r="F291" s="29"/>
      <c r="G291" s="61"/>
    </row>
    <row r="292" spans="1:7">
      <c r="A292" s="27"/>
      <c r="B292" s="28"/>
      <c r="C292" s="28"/>
      <c r="D292" s="29"/>
      <c r="E292" s="83"/>
      <c r="F292" s="29"/>
      <c r="G292" s="61"/>
    </row>
    <row r="293" spans="1:7">
      <c r="A293" s="27"/>
      <c r="B293" s="28"/>
      <c r="C293" s="28"/>
      <c r="D293" s="29"/>
      <c r="E293" s="83"/>
      <c r="F293" s="29"/>
      <c r="G293" s="61"/>
    </row>
    <row r="294" spans="1:7">
      <c r="A294" s="27"/>
      <c r="B294" s="28"/>
      <c r="C294" s="28"/>
      <c r="D294" s="29"/>
      <c r="E294" s="83"/>
      <c r="F294" s="29"/>
      <c r="G294" s="61"/>
    </row>
    <row r="295" spans="1:7">
      <c r="A295" s="27"/>
      <c r="B295" s="28"/>
      <c r="C295" s="28"/>
      <c r="D295" s="29"/>
      <c r="E295" s="83"/>
      <c r="F295" s="29"/>
      <c r="G295" s="61"/>
    </row>
    <row r="296" spans="1:7">
      <c r="A296" s="27"/>
      <c r="B296" s="28"/>
      <c r="C296" s="28"/>
      <c r="D296" s="29"/>
      <c r="E296" s="83"/>
      <c r="F296" s="29"/>
      <c r="G296" s="61"/>
    </row>
    <row r="297" spans="1:7">
      <c r="A297" s="27"/>
      <c r="B297" s="28"/>
      <c r="C297" s="28"/>
      <c r="D297" s="29"/>
      <c r="E297" s="83"/>
      <c r="F297" s="29"/>
      <c r="G297" s="61"/>
    </row>
    <row r="298" spans="1:7">
      <c r="A298" s="27"/>
      <c r="B298" s="28"/>
      <c r="C298" s="28"/>
      <c r="D298" s="29"/>
      <c r="E298" s="83"/>
      <c r="F298" s="29"/>
      <c r="G298" s="61"/>
    </row>
    <row r="299" spans="1:7">
      <c r="A299" s="27"/>
      <c r="B299" s="28"/>
      <c r="C299" s="28"/>
      <c r="D299" s="29"/>
      <c r="E299" s="83"/>
      <c r="F299" s="29"/>
      <c r="G299" s="61"/>
    </row>
    <row r="300" spans="1:7">
      <c r="A300" s="27"/>
      <c r="B300" s="28"/>
      <c r="C300" s="28"/>
      <c r="D300" s="29"/>
      <c r="E300" s="83"/>
      <c r="F300" s="29"/>
      <c r="G300" s="61"/>
    </row>
    <row r="301" spans="1:7">
      <c r="A301" s="27"/>
      <c r="B301" s="28"/>
      <c r="C301" s="28"/>
      <c r="D301" s="29"/>
      <c r="E301" s="83"/>
      <c r="F301" s="29"/>
      <c r="G301" s="61"/>
    </row>
    <row r="302" spans="1:7">
      <c r="A302" s="27"/>
      <c r="B302" s="28"/>
      <c r="C302" s="28"/>
      <c r="D302" s="29"/>
      <c r="E302" s="83"/>
      <c r="F302" s="29"/>
      <c r="G302" s="61"/>
    </row>
    <row r="303" spans="1:7">
      <c r="A303" s="27"/>
      <c r="B303" s="28"/>
      <c r="C303" s="28"/>
      <c r="D303" s="29"/>
      <c r="E303" s="83"/>
      <c r="F303" s="29"/>
      <c r="G303" s="61"/>
    </row>
    <row r="304" spans="1:7">
      <c r="A304" s="27"/>
      <c r="B304" s="28"/>
      <c r="C304" s="28"/>
      <c r="D304" s="29"/>
      <c r="E304" s="83"/>
      <c r="F304" s="29"/>
      <c r="G304" s="61"/>
    </row>
    <row r="305" spans="1:7">
      <c r="A305" s="27"/>
      <c r="B305" s="28"/>
      <c r="C305" s="28"/>
      <c r="D305" s="29"/>
      <c r="E305" s="83"/>
      <c r="F305" s="29"/>
      <c r="G305" s="61"/>
    </row>
    <row r="306" spans="1:7">
      <c r="A306" s="27"/>
      <c r="B306" s="28"/>
      <c r="C306" s="28"/>
      <c r="D306" s="29"/>
      <c r="E306" s="83"/>
      <c r="F306" s="29"/>
      <c r="G306" s="61"/>
    </row>
    <row r="307" spans="1:7">
      <c r="A307" s="27"/>
      <c r="B307" s="28"/>
      <c r="C307" s="28"/>
      <c r="D307" s="29"/>
      <c r="E307" s="83"/>
      <c r="F307" s="29"/>
      <c r="G307" s="61"/>
    </row>
    <row r="308" spans="1:7">
      <c r="A308" s="27"/>
      <c r="B308" s="28"/>
      <c r="C308" s="28"/>
      <c r="D308" s="29"/>
      <c r="E308" s="83"/>
      <c r="F308" s="29"/>
      <c r="G308" s="61"/>
    </row>
    <row r="309" spans="1:7">
      <c r="A309" s="27"/>
      <c r="B309" s="28"/>
      <c r="C309" s="28"/>
      <c r="D309" s="29"/>
      <c r="E309" s="83"/>
      <c r="F309" s="29"/>
      <c r="G309" s="61"/>
    </row>
    <row r="310" spans="1:7">
      <c r="A310" s="27"/>
      <c r="B310" s="28"/>
      <c r="C310" s="28"/>
      <c r="D310" s="29"/>
      <c r="E310" s="83"/>
      <c r="F310" s="29"/>
      <c r="G310" s="61"/>
    </row>
    <row r="311" spans="1:7">
      <c r="A311" s="27"/>
      <c r="B311" s="28"/>
      <c r="C311" s="28"/>
      <c r="D311" s="29"/>
      <c r="E311" s="83"/>
      <c r="F311" s="29"/>
      <c r="G311" s="61"/>
    </row>
    <row r="312" spans="1:7">
      <c r="A312" s="27"/>
      <c r="B312" s="28"/>
      <c r="C312" s="28"/>
      <c r="D312" s="29"/>
      <c r="E312" s="83"/>
      <c r="F312" s="29"/>
      <c r="G312" s="61"/>
    </row>
    <row r="313" spans="1:7">
      <c r="A313" s="27"/>
      <c r="B313" s="28"/>
      <c r="C313" s="28"/>
      <c r="D313" s="29"/>
      <c r="E313" s="83"/>
      <c r="F313" s="29"/>
      <c r="G313" s="61"/>
    </row>
    <row r="314" spans="1:7">
      <c r="A314" s="27"/>
      <c r="B314" s="28"/>
      <c r="C314" s="28"/>
      <c r="D314" s="29"/>
      <c r="E314" s="83"/>
      <c r="F314" s="29"/>
      <c r="G314" s="61"/>
    </row>
    <row r="315" spans="1:7">
      <c r="A315" s="27"/>
      <c r="B315" s="28"/>
      <c r="C315" s="28"/>
      <c r="D315" s="29"/>
      <c r="E315" s="83"/>
      <c r="F315" s="29"/>
      <c r="G315" s="61"/>
    </row>
    <row r="316" spans="1:7">
      <c r="A316" s="27"/>
      <c r="B316" s="28"/>
      <c r="C316" s="28"/>
      <c r="D316" s="29"/>
      <c r="E316" s="83"/>
      <c r="F316" s="29"/>
      <c r="G316" s="61"/>
    </row>
    <row r="317" spans="1:7">
      <c r="A317" s="27"/>
      <c r="B317" s="28"/>
      <c r="C317" s="28"/>
      <c r="D317" s="29"/>
      <c r="E317" s="83"/>
      <c r="F317" s="29"/>
      <c r="G317" s="61"/>
    </row>
    <row r="318" spans="1:7">
      <c r="A318" s="27"/>
      <c r="B318" s="28"/>
      <c r="C318" s="28"/>
      <c r="D318" s="29"/>
      <c r="E318" s="83"/>
      <c r="F318" s="29"/>
      <c r="G318" s="61"/>
    </row>
    <row r="319" spans="1:7">
      <c r="A319" s="27"/>
      <c r="B319" s="28"/>
      <c r="C319" s="28"/>
      <c r="D319" s="29"/>
      <c r="E319" s="83"/>
      <c r="F319" s="29"/>
      <c r="G319" s="61"/>
    </row>
    <row r="320" spans="1:7">
      <c r="A320" s="27"/>
      <c r="B320" s="28"/>
      <c r="C320" s="28"/>
      <c r="D320" s="29"/>
      <c r="E320" s="83"/>
      <c r="F320" s="29"/>
      <c r="G320" s="61"/>
    </row>
    <row r="321" spans="1:7">
      <c r="A321" s="27"/>
      <c r="B321" s="28"/>
      <c r="C321" s="28"/>
      <c r="D321" s="29"/>
      <c r="E321" s="83"/>
      <c r="F321" s="29"/>
      <c r="G321" s="61"/>
    </row>
    <row r="322" spans="1:7">
      <c r="A322" s="27"/>
      <c r="B322" s="28"/>
      <c r="C322" s="28"/>
      <c r="D322" s="29"/>
      <c r="E322" s="83"/>
      <c r="F322" s="29"/>
      <c r="G322" s="61"/>
    </row>
    <row r="323" spans="1:7">
      <c r="A323" s="27"/>
      <c r="B323" s="28"/>
      <c r="C323" s="28"/>
      <c r="D323" s="29"/>
      <c r="E323" s="83"/>
      <c r="F323" s="29"/>
      <c r="G323" s="61"/>
    </row>
    <row r="324" spans="1:7">
      <c r="A324" s="27"/>
      <c r="B324" s="28"/>
      <c r="C324" s="28"/>
      <c r="D324" s="29"/>
      <c r="E324" s="83"/>
      <c r="F324" s="29"/>
      <c r="G324" s="61"/>
    </row>
    <row r="325" spans="1:7">
      <c r="A325" s="27"/>
      <c r="B325" s="28"/>
      <c r="C325" s="28"/>
      <c r="D325" s="29"/>
      <c r="E325" s="83"/>
      <c r="F325" s="29"/>
      <c r="G325" s="61"/>
    </row>
    <row r="326" spans="1:7">
      <c r="A326" s="27"/>
      <c r="B326" s="28"/>
      <c r="C326" s="28"/>
      <c r="D326" s="29"/>
      <c r="E326" s="83"/>
      <c r="F326" s="29"/>
      <c r="G326" s="61"/>
    </row>
    <row r="327" spans="1:7">
      <c r="A327" s="27"/>
      <c r="B327" s="28"/>
      <c r="C327" s="28"/>
      <c r="D327" s="29"/>
      <c r="E327" s="83"/>
      <c r="F327" s="29"/>
      <c r="G327" s="61"/>
    </row>
    <row r="328" spans="1:7">
      <c r="A328" s="27"/>
      <c r="B328" s="28"/>
      <c r="C328" s="28"/>
      <c r="D328" s="29"/>
      <c r="E328" s="83"/>
      <c r="F328" s="29"/>
      <c r="G328" s="61"/>
    </row>
    <row r="329" spans="1:7">
      <c r="A329" s="27"/>
      <c r="B329" s="28"/>
      <c r="C329" s="28"/>
      <c r="D329" s="29"/>
      <c r="E329" s="83"/>
      <c r="F329" s="29"/>
      <c r="G329" s="61"/>
    </row>
    <row r="330" spans="1:7">
      <c r="A330" s="27"/>
      <c r="B330" s="28"/>
      <c r="C330" s="28"/>
      <c r="D330" s="29"/>
      <c r="E330" s="83"/>
      <c r="F330" s="29"/>
      <c r="G330" s="61"/>
    </row>
    <row r="331" spans="1:7">
      <c r="A331" s="27"/>
      <c r="B331" s="28"/>
      <c r="C331" s="28"/>
      <c r="D331" s="29"/>
      <c r="E331" s="83"/>
      <c r="F331" s="29"/>
      <c r="G331" s="61"/>
    </row>
    <row r="332" spans="1:7">
      <c r="A332" s="27"/>
      <c r="B332" s="28"/>
      <c r="C332" s="28"/>
      <c r="D332" s="29"/>
      <c r="E332" s="83"/>
      <c r="F332" s="29"/>
      <c r="G332" s="61"/>
    </row>
    <row r="333" spans="1:7">
      <c r="A333" s="27"/>
      <c r="B333" s="28"/>
      <c r="C333" s="28"/>
      <c r="D333" s="29"/>
      <c r="E333" s="83"/>
      <c r="F333" s="29"/>
      <c r="G333" s="61"/>
    </row>
    <row r="334" spans="1:7">
      <c r="A334" s="27"/>
      <c r="B334" s="28"/>
      <c r="C334" s="28"/>
      <c r="D334" s="29"/>
      <c r="E334" s="83"/>
      <c r="F334" s="29"/>
      <c r="G334" s="61"/>
    </row>
    <row r="335" spans="1:7">
      <c r="A335" s="27"/>
      <c r="B335" s="28"/>
      <c r="C335" s="28"/>
      <c r="D335" s="29"/>
      <c r="E335" s="83"/>
      <c r="F335" s="29"/>
      <c r="G335" s="61"/>
    </row>
    <row r="336" spans="1:7">
      <c r="A336" s="27"/>
      <c r="B336" s="28"/>
      <c r="C336" s="28"/>
      <c r="D336" s="29"/>
      <c r="E336" s="83"/>
      <c r="F336" s="29"/>
      <c r="G336" s="61"/>
    </row>
    <row r="337" spans="1:7">
      <c r="A337" s="27"/>
      <c r="B337" s="28"/>
      <c r="C337" s="28"/>
      <c r="D337" s="29"/>
      <c r="E337" s="83"/>
      <c r="F337" s="29"/>
      <c r="G337" s="61"/>
    </row>
    <row r="338" spans="1:7">
      <c r="A338" s="27"/>
      <c r="B338" s="28"/>
      <c r="C338" s="28"/>
      <c r="D338" s="29"/>
      <c r="E338" s="83"/>
      <c r="F338" s="29"/>
      <c r="G338" s="61"/>
    </row>
    <row r="339" spans="1:7">
      <c r="A339" s="27"/>
      <c r="B339" s="28"/>
      <c r="C339" s="28"/>
      <c r="D339" s="29"/>
      <c r="E339" s="83"/>
      <c r="F339" s="29"/>
      <c r="G339" s="61"/>
    </row>
    <row r="340" spans="1:7">
      <c r="A340" s="27"/>
      <c r="B340" s="28"/>
      <c r="C340" s="28"/>
      <c r="D340" s="29"/>
      <c r="E340" s="83"/>
      <c r="F340" s="29"/>
      <c r="G340" s="61"/>
    </row>
    <row r="341" spans="1:7">
      <c r="A341" s="27"/>
      <c r="B341" s="28"/>
      <c r="C341" s="28"/>
      <c r="D341" s="29"/>
      <c r="E341" s="83"/>
      <c r="F341" s="29"/>
      <c r="G341" s="61"/>
    </row>
    <row r="342" spans="1:7">
      <c r="A342" s="27"/>
      <c r="B342" s="28"/>
      <c r="C342" s="28"/>
      <c r="D342" s="29"/>
      <c r="E342" s="83"/>
      <c r="F342" s="29"/>
      <c r="G342" s="61"/>
    </row>
    <row r="343" spans="1:7">
      <c r="A343" s="27"/>
      <c r="B343" s="28"/>
      <c r="C343" s="28"/>
      <c r="D343" s="29"/>
      <c r="E343" s="83"/>
      <c r="F343" s="29"/>
      <c r="G343" s="61"/>
    </row>
    <row r="344" spans="1:7">
      <c r="A344" s="27"/>
      <c r="B344" s="28"/>
      <c r="C344" s="28"/>
      <c r="D344" s="29"/>
      <c r="E344" s="83"/>
      <c r="F344" s="29"/>
      <c r="G344" s="61"/>
    </row>
    <row r="345" spans="1:7">
      <c r="A345" s="27"/>
      <c r="B345" s="28"/>
      <c r="C345" s="28"/>
      <c r="D345" s="29"/>
      <c r="E345" s="83"/>
      <c r="F345" s="29"/>
      <c r="G345" s="61"/>
    </row>
    <row r="346" spans="1:7">
      <c r="A346" s="27"/>
      <c r="B346" s="28"/>
      <c r="C346" s="28"/>
      <c r="D346" s="29"/>
      <c r="E346" s="83"/>
      <c r="F346" s="29"/>
      <c r="G346" s="61"/>
    </row>
    <row r="347" spans="1:7">
      <c r="A347" s="27"/>
      <c r="B347" s="28"/>
      <c r="C347" s="28"/>
      <c r="D347" s="29"/>
      <c r="E347" s="83"/>
      <c r="F347" s="29"/>
      <c r="G347" s="61"/>
    </row>
    <row r="348" spans="1:7">
      <c r="A348" s="27"/>
      <c r="B348" s="28"/>
      <c r="C348" s="28"/>
      <c r="D348" s="29"/>
      <c r="E348" s="83"/>
      <c r="F348" s="29"/>
      <c r="G348" s="61"/>
    </row>
    <row r="349" spans="1:7">
      <c r="A349" s="27"/>
      <c r="B349" s="28"/>
      <c r="C349" s="28"/>
      <c r="D349" s="29"/>
      <c r="E349" s="83"/>
      <c r="F349" s="29"/>
      <c r="G349" s="61"/>
    </row>
    <row r="350" spans="1:7">
      <c r="A350" s="27"/>
      <c r="B350" s="28"/>
      <c r="C350" s="28"/>
      <c r="D350" s="29"/>
      <c r="E350" s="83"/>
      <c r="F350" s="29"/>
      <c r="G350" s="61"/>
    </row>
    <row r="351" spans="1:7">
      <c r="A351" s="27"/>
      <c r="B351" s="28"/>
      <c r="C351" s="28"/>
      <c r="D351" s="29"/>
      <c r="E351" s="83"/>
      <c r="F351" s="29"/>
      <c r="G351" s="61"/>
    </row>
    <row r="352" spans="1:7">
      <c r="A352" s="27"/>
      <c r="B352" s="28"/>
      <c r="C352" s="28"/>
      <c r="D352" s="29"/>
      <c r="E352" s="83"/>
      <c r="F352" s="29"/>
      <c r="G352" s="61"/>
    </row>
    <row r="353" spans="1:7">
      <c r="A353" s="27"/>
      <c r="B353" s="28"/>
      <c r="C353" s="28"/>
      <c r="D353" s="29"/>
      <c r="E353" s="83"/>
      <c r="F353" s="29"/>
      <c r="G353" s="61"/>
    </row>
    <row r="354" spans="1:7">
      <c r="A354" s="27"/>
      <c r="B354" s="28"/>
      <c r="C354" s="28"/>
      <c r="D354" s="29"/>
      <c r="E354" s="83"/>
      <c r="F354" s="29"/>
      <c r="G354" s="61"/>
    </row>
    <row r="355" spans="1:7">
      <c r="A355" s="27"/>
      <c r="B355" s="28"/>
      <c r="C355" s="28"/>
      <c r="D355" s="29"/>
      <c r="E355" s="83"/>
      <c r="F355" s="29"/>
      <c r="G355" s="61"/>
    </row>
    <row r="356" spans="1:7">
      <c r="A356" s="27"/>
      <c r="B356" s="28"/>
      <c r="C356" s="28"/>
      <c r="D356" s="29"/>
      <c r="E356" s="83"/>
      <c r="F356" s="29"/>
      <c r="G356" s="61"/>
    </row>
    <row r="357" spans="1:7">
      <c r="A357" s="27"/>
      <c r="B357" s="28"/>
      <c r="C357" s="28"/>
      <c r="D357" s="29"/>
      <c r="E357" s="83"/>
      <c r="F357" s="29"/>
      <c r="G357" s="61"/>
    </row>
    <row r="358" spans="1:7">
      <c r="A358" s="27"/>
      <c r="B358" s="28"/>
      <c r="C358" s="28"/>
      <c r="D358" s="29"/>
      <c r="E358" s="83"/>
      <c r="F358" s="29"/>
      <c r="G358" s="61"/>
    </row>
    <row r="359" spans="1:7">
      <c r="A359" s="27"/>
      <c r="B359" s="28"/>
      <c r="C359" s="28"/>
      <c r="D359" s="29"/>
      <c r="E359" s="83"/>
      <c r="F359" s="29"/>
      <c r="G359" s="61"/>
    </row>
    <row r="360" spans="1:7">
      <c r="A360" s="27"/>
      <c r="B360" s="28"/>
      <c r="C360" s="28"/>
      <c r="D360" s="29"/>
      <c r="E360" s="83"/>
      <c r="F360" s="29"/>
      <c r="G360" s="61"/>
    </row>
    <row r="361" spans="1:7">
      <c r="A361" s="27"/>
      <c r="B361" s="28"/>
      <c r="C361" s="28"/>
      <c r="D361" s="29"/>
      <c r="E361" s="83"/>
      <c r="F361" s="29"/>
      <c r="G361" s="61"/>
    </row>
    <row r="362" spans="1:7">
      <c r="A362" s="27"/>
      <c r="B362" s="28"/>
      <c r="C362" s="28"/>
      <c r="D362" s="29"/>
      <c r="E362" s="83"/>
      <c r="F362" s="29"/>
      <c r="G362" s="61"/>
    </row>
    <row r="363" spans="1:7">
      <c r="A363" s="27"/>
      <c r="B363" s="28"/>
      <c r="C363" s="28"/>
      <c r="D363" s="29"/>
      <c r="E363" s="83"/>
      <c r="F363" s="29"/>
      <c r="G363" s="61"/>
    </row>
    <row r="364" spans="1:7">
      <c r="A364" s="27"/>
      <c r="B364" s="28"/>
      <c r="C364" s="28"/>
      <c r="D364" s="29"/>
      <c r="E364" s="83"/>
      <c r="F364" s="29"/>
      <c r="G364" s="61"/>
    </row>
    <row r="365" spans="1:7">
      <c r="A365" s="27"/>
      <c r="B365" s="28"/>
      <c r="C365" s="28"/>
      <c r="D365" s="29"/>
      <c r="E365" s="83"/>
      <c r="F365" s="29"/>
      <c r="G365" s="61"/>
    </row>
    <row r="366" spans="1:7">
      <c r="A366" s="27"/>
      <c r="B366" s="28"/>
      <c r="C366" s="28"/>
      <c r="D366" s="29"/>
      <c r="E366" s="83"/>
      <c r="F366" s="29"/>
      <c r="G366" s="61"/>
    </row>
    <row r="367" spans="1:7">
      <c r="A367" s="27"/>
      <c r="B367" s="28"/>
      <c r="C367" s="28"/>
      <c r="D367" s="29"/>
      <c r="E367" s="83"/>
      <c r="F367" s="29"/>
      <c r="G367" s="61"/>
    </row>
    <row r="368" spans="1:7">
      <c r="A368" s="27"/>
      <c r="B368" s="28"/>
      <c r="C368" s="28"/>
      <c r="D368" s="29"/>
      <c r="E368" s="83"/>
      <c r="F368" s="29"/>
      <c r="G368" s="61"/>
    </row>
    <row r="369" spans="1:7">
      <c r="A369" s="27"/>
      <c r="B369" s="28"/>
      <c r="C369" s="28"/>
      <c r="D369" s="29"/>
      <c r="E369" s="83"/>
      <c r="F369" s="29"/>
      <c r="G369" s="61"/>
    </row>
    <row r="370" spans="1:7">
      <c r="A370" s="27"/>
      <c r="B370" s="28"/>
      <c r="C370" s="28"/>
      <c r="D370" s="29"/>
      <c r="E370" s="83"/>
      <c r="F370" s="29"/>
      <c r="G370" s="61"/>
    </row>
    <row r="371" spans="1:7">
      <c r="A371" s="27"/>
      <c r="B371" s="28"/>
      <c r="C371" s="28"/>
      <c r="D371" s="29"/>
      <c r="E371" s="83"/>
      <c r="F371" s="29"/>
      <c r="G371" s="61"/>
    </row>
    <row r="372" spans="1:7">
      <c r="A372" s="27"/>
      <c r="B372" s="28"/>
      <c r="C372" s="28"/>
      <c r="D372" s="29"/>
      <c r="E372" s="83"/>
      <c r="F372" s="29"/>
      <c r="G372" s="61"/>
    </row>
    <row r="373" spans="1:7">
      <c r="A373" s="27"/>
      <c r="B373" s="28"/>
      <c r="C373" s="28"/>
      <c r="D373" s="29"/>
      <c r="E373" s="83"/>
      <c r="F373" s="29"/>
      <c r="G373" s="61"/>
    </row>
    <row r="374" spans="1:7">
      <c r="A374" s="27"/>
      <c r="B374" s="28"/>
      <c r="C374" s="28"/>
      <c r="D374" s="29"/>
      <c r="E374" s="83"/>
      <c r="F374" s="29"/>
      <c r="G374" s="61"/>
    </row>
    <row r="375" spans="1:7">
      <c r="A375" s="27"/>
      <c r="B375" s="28"/>
      <c r="C375" s="28"/>
      <c r="D375" s="29"/>
      <c r="E375" s="83"/>
      <c r="F375" s="29"/>
      <c r="G375" s="61"/>
    </row>
    <row r="376" spans="1:7">
      <c r="A376" s="27"/>
      <c r="B376" s="28"/>
      <c r="C376" s="28"/>
      <c r="D376" s="29"/>
      <c r="E376" s="83"/>
      <c r="F376" s="29"/>
      <c r="G376" s="61"/>
    </row>
    <row r="377" spans="1:7">
      <c r="A377" s="27"/>
      <c r="B377" s="28"/>
      <c r="C377" s="28"/>
      <c r="D377" s="29"/>
      <c r="E377" s="83"/>
      <c r="F377" s="29"/>
      <c r="G377" s="61"/>
    </row>
    <row r="378" spans="1:7">
      <c r="A378" s="27"/>
      <c r="B378" s="28"/>
      <c r="C378" s="28"/>
      <c r="D378" s="29"/>
      <c r="E378" s="83"/>
      <c r="F378" s="29"/>
      <c r="G378" s="61"/>
    </row>
    <row r="379" spans="1:7">
      <c r="A379" s="27"/>
      <c r="B379" s="28"/>
      <c r="C379" s="28"/>
      <c r="D379" s="29"/>
      <c r="E379" s="83"/>
      <c r="F379" s="29"/>
      <c r="G379" s="61"/>
    </row>
    <row r="380" spans="1:7">
      <c r="A380" s="27"/>
      <c r="B380" s="28"/>
      <c r="C380" s="28"/>
      <c r="D380" s="29"/>
      <c r="E380" s="83"/>
      <c r="F380" s="29"/>
      <c r="G380" s="61"/>
    </row>
    <row r="381" spans="1:7">
      <c r="A381" s="27"/>
      <c r="B381" s="28"/>
      <c r="C381" s="28"/>
      <c r="D381" s="29"/>
      <c r="E381" s="83"/>
      <c r="F381" s="29"/>
      <c r="G381" s="61"/>
    </row>
    <row r="382" spans="1:7">
      <c r="A382" s="27"/>
      <c r="B382" s="28"/>
      <c r="C382" s="28"/>
      <c r="D382" s="29"/>
      <c r="E382" s="83"/>
      <c r="F382" s="29"/>
      <c r="G382" s="61"/>
    </row>
    <row r="383" spans="1:7">
      <c r="A383" s="27"/>
      <c r="B383" s="28"/>
      <c r="C383" s="28"/>
      <c r="D383" s="29"/>
      <c r="E383" s="83"/>
      <c r="F383" s="29"/>
      <c r="G383" s="61"/>
    </row>
    <row r="384" spans="1:7">
      <c r="A384" s="27"/>
      <c r="B384" s="28"/>
      <c r="C384" s="28"/>
      <c r="D384" s="29"/>
      <c r="E384" s="83"/>
      <c r="F384" s="29"/>
      <c r="G384" s="61"/>
    </row>
    <row r="385" spans="1:7">
      <c r="A385" s="27"/>
      <c r="B385" s="28"/>
      <c r="C385" s="28"/>
      <c r="D385" s="29"/>
      <c r="E385" s="83"/>
      <c r="F385" s="29"/>
      <c r="G385" s="61"/>
    </row>
    <row r="386" spans="1:7">
      <c r="A386" s="27"/>
      <c r="B386" s="28"/>
      <c r="C386" s="28"/>
      <c r="D386" s="29"/>
      <c r="E386" s="83"/>
      <c r="F386" s="29"/>
      <c r="G386" s="61"/>
    </row>
    <row r="387" spans="1:7">
      <c r="A387" s="27"/>
      <c r="B387" s="28"/>
      <c r="C387" s="28"/>
      <c r="D387" s="29"/>
      <c r="E387" s="83"/>
      <c r="F387" s="29"/>
      <c r="G387" s="61"/>
    </row>
    <row r="388" spans="1:7">
      <c r="A388" s="27"/>
      <c r="B388" s="28"/>
      <c r="C388" s="28"/>
      <c r="D388" s="29"/>
      <c r="E388" s="83"/>
      <c r="F388" s="29"/>
      <c r="G388" s="61"/>
    </row>
    <row r="389" spans="1:7">
      <c r="A389" s="27"/>
      <c r="B389" s="28"/>
      <c r="C389" s="28"/>
      <c r="D389" s="29"/>
      <c r="E389" s="83"/>
      <c r="F389" s="29"/>
      <c r="G389" s="61"/>
    </row>
    <row r="390" spans="1:7">
      <c r="A390" s="27"/>
      <c r="B390" s="28"/>
      <c r="C390" s="28"/>
      <c r="D390" s="29"/>
      <c r="E390" s="83"/>
      <c r="F390" s="29"/>
      <c r="G390" s="61"/>
    </row>
    <row r="391" spans="1:7">
      <c r="A391" s="27"/>
      <c r="B391" s="28"/>
      <c r="C391" s="28"/>
      <c r="D391" s="29"/>
      <c r="E391" s="83"/>
      <c r="F391" s="29"/>
      <c r="G391" s="61"/>
    </row>
    <row r="392" spans="1:7">
      <c r="A392" s="27"/>
      <c r="B392" s="28"/>
      <c r="C392" s="28"/>
      <c r="D392" s="29"/>
      <c r="E392" s="83"/>
      <c r="F392" s="29"/>
      <c r="G392" s="61"/>
    </row>
    <row r="393" spans="1:7">
      <c r="A393" s="27"/>
      <c r="B393" s="28"/>
      <c r="C393" s="28"/>
      <c r="D393" s="29"/>
      <c r="E393" s="83"/>
      <c r="F393" s="29"/>
      <c r="G393" s="61"/>
    </row>
    <row r="394" spans="1:7">
      <c r="A394" s="27"/>
      <c r="B394" s="28"/>
      <c r="C394" s="28"/>
      <c r="D394" s="29"/>
      <c r="E394" s="83"/>
      <c r="F394" s="29"/>
      <c r="G394" s="61"/>
    </row>
    <row r="395" spans="1:7">
      <c r="A395" s="27"/>
      <c r="B395" s="28"/>
      <c r="C395" s="28"/>
      <c r="D395" s="29"/>
      <c r="E395" s="83"/>
      <c r="F395" s="29"/>
      <c r="G395" s="61"/>
    </row>
    <row r="396" spans="1:7">
      <c r="A396" s="27"/>
      <c r="B396" s="28"/>
      <c r="C396" s="28"/>
      <c r="D396" s="29"/>
      <c r="E396" s="83"/>
      <c r="F396" s="29"/>
      <c r="G396" s="61"/>
    </row>
    <row r="397" spans="1:7">
      <c r="A397" s="27"/>
      <c r="B397" s="28"/>
      <c r="C397" s="28"/>
      <c r="D397" s="29"/>
      <c r="E397" s="83"/>
      <c r="F397" s="29"/>
      <c r="G397" s="61"/>
    </row>
    <row r="398" spans="1:7">
      <c r="A398" s="27"/>
      <c r="B398" s="28"/>
      <c r="C398" s="28"/>
      <c r="D398" s="29"/>
      <c r="E398" s="83"/>
      <c r="F398" s="29"/>
      <c r="G398" s="61"/>
    </row>
    <row r="399" spans="1:7">
      <c r="A399" s="27"/>
      <c r="B399" s="28"/>
      <c r="C399" s="28"/>
      <c r="D399" s="29"/>
      <c r="E399" s="83"/>
      <c r="F399" s="29"/>
      <c r="G399" s="61"/>
    </row>
    <row r="400" spans="1:7">
      <c r="A400" s="27"/>
      <c r="B400" s="28"/>
      <c r="C400" s="28"/>
      <c r="D400" s="29"/>
      <c r="E400" s="83"/>
      <c r="F400" s="29"/>
      <c r="G400" s="61"/>
    </row>
    <row r="401" spans="1:7">
      <c r="A401" s="27"/>
      <c r="B401" s="28"/>
      <c r="C401" s="28"/>
      <c r="D401" s="29"/>
      <c r="E401" s="83"/>
      <c r="F401" s="29"/>
      <c r="G401" s="61"/>
    </row>
    <row r="402" spans="1:7">
      <c r="A402" s="27"/>
      <c r="B402" s="28"/>
      <c r="C402" s="28"/>
      <c r="D402" s="29"/>
      <c r="E402" s="83"/>
      <c r="F402" s="29"/>
      <c r="G402" s="61"/>
    </row>
    <row r="403" spans="1:7">
      <c r="A403" s="27"/>
      <c r="B403" s="28"/>
      <c r="C403" s="28"/>
      <c r="D403" s="29"/>
      <c r="E403" s="83"/>
      <c r="F403" s="29"/>
      <c r="G403" s="61"/>
    </row>
    <row r="404" spans="1:7">
      <c r="A404" s="27"/>
      <c r="B404" s="28"/>
      <c r="C404" s="28"/>
      <c r="D404" s="29"/>
      <c r="E404" s="83"/>
      <c r="F404" s="29"/>
      <c r="G404" s="61"/>
    </row>
    <row r="405" spans="1:7">
      <c r="A405" s="27"/>
      <c r="B405" s="28"/>
      <c r="C405" s="28"/>
      <c r="D405" s="29"/>
      <c r="E405" s="83"/>
      <c r="F405" s="29"/>
      <c r="G405" s="61"/>
    </row>
    <row r="406" spans="1:7">
      <c r="A406" s="27"/>
      <c r="B406" s="28"/>
      <c r="C406" s="28"/>
      <c r="D406" s="29"/>
      <c r="E406" s="83"/>
      <c r="F406" s="29"/>
      <c r="G406" s="61"/>
    </row>
    <row r="407" spans="1:7">
      <c r="A407" s="27"/>
      <c r="B407" s="28"/>
      <c r="C407" s="28"/>
      <c r="D407" s="29"/>
      <c r="E407" s="83"/>
      <c r="F407" s="29"/>
      <c r="G407" s="61"/>
    </row>
    <row r="408" spans="1:7">
      <c r="A408" s="27"/>
      <c r="B408" s="28"/>
      <c r="C408" s="28"/>
      <c r="D408" s="29"/>
      <c r="E408" s="83"/>
      <c r="F408" s="29"/>
      <c r="G408" s="61"/>
    </row>
    <row r="409" spans="1:7">
      <c r="A409" s="27"/>
      <c r="B409" s="28"/>
      <c r="C409" s="28"/>
      <c r="D409" s="29"/>
      <c r="E409" s="83"/>
      <c r="F409" s="29"/>
      <c r="G409" s="61"/>
    </row>
    <row r="410" spans="1:7">
      <c r="A410" s="27"/>
      <c r="B410" s="28"/>
      <c r="C410" s="28"/>
      <c r="D410" s="29"/>
      <c r="E410" s="83"/>
      <c r="F410" s="29"/>
      <c r="G410" s="61"/>
    </row>
    <row r="411" spans="1:7">
      <c r="A411" s="27"/>
      <c r="B411" s="28"/>
      <c r="C411" s="28"/>
      <c r="D411" s="29"/>
      <c r="E411" s="83"/>
      <c r="F411" s="29"/>
      <c r="G411" s="61"/>
    </row>
    <row r="412" spans="1:7">
      <c r="A412" s="27"/>
      <c r="B412" s="28"/>
      <c r="C412" s="28"/>
      <c r="D412" s="29"/>
      <c r="E412" s="83"/>
      <c r="F412" s="29"/>
      <c r="G412" s="61"/>
    </row>
    <row r="413" spans="1:7">
      <c r="A413" s="27"/>
      <c r="B413" s="28"/>
      <c r="C413" s="28"/>
      <c r="D413" s="29"/>
      <c r="E413" s="83"/>
      <c r="F413" s="29"/>
      <c r="G413" s="61"/>
    </row>
    <row r="414" spans="1:7">
      <c r="A414" s="27"/>
      <c r="B414" s="28"/>
      <c r="C414" s="28"/>
      <c r="D414" s="29"/>
      <c r="E414" s="83"/>
      <c r="F414" s="29"/>
      <c r="G414" s="61"/>
    </row>
    <row r="415" spans="1:7">
      <c r="A415" s="27"/>
      <c r="B415" s="28"/>
      <c r="C415" s="28"/>
      <c r="D415" s="29"/>
      <c r="E415" s="83"/>
      <c r="F415" s="29"/>
      <c r="G415" s="61"/>
    </row>
    <row r="416" spans="1:7">
      <c r="A416" s="27"/>
      <c r="B416" s="28"/>
      <c r="C416" s="28"/>
      <c r="D416" s="29"/>
      <c r="E416" s="83"/>
      <c r="F416" s="29"/>
      <c r="G416" s="61"/>
    </row>
    <row r="417" spans="1:7">
      <c r="A417" s="27"/>
      <c r="B417" s="28"/>
      <c r="C417" s="28"/>
      <c r="D417" s="29"/>
      <c r="E417" s="83"/>
      <c r="F417" s="29"/>
      <c r="G417" s="61"/>
    </row>
    <row r="418" spans="1:7">
      <c r="A418" s="27"/>
      <c r="B418" s="28"/>
      <c r="C418" s="28"/>
      <c r="D418" s="29"/>
      <c r="E418" s="83"/>
      <c r="F418" s="29"/>
      <c r="G418" s="61"/>
    </row>
    <row r="419" spans="1:7">
      <c r="A419" s="27"/>
      <c r="B419" s="28"/>
      <c r="C419" s="28"/>
      <c r="D419" s="29"/>
      <c r="E419" s="83"/>
      <c r="F419" s="29"/>
      <c r="G419" s="61"/>
    </row>
    <row r="420" spans="1:7">
      <c r="A420" s="27"/>
      <c r="B420" s="28"/>
      <c r="C420" s="28"/>
      <c r="D420" s="29"/>
      <c r="E420" s="83"/>
      <c r="F420" s="29"/>
      <c r="G420" s="61"/>
    </row>
    <row r="421" spans="1:7">
      <c r="A421" s="27"/>
      <c r="B421" s="28"/>
      <c r="C421" s="28"/>
      <c r="D421" s="29"/>
      <c r="E421" s="83"/>
      <c r="F421" s="29"/>
      <c r="G421" s="61"/>
    </row>
    <row r="422" spans="1:7">
      <c r="A422" s="27"/>
      <c r="B422" s="28"/>
      <c r="C422" s="28"/>
      <c r="D422" s="29"/>
      <c r="E422" s="83"/>
      <c r="F422" s="29"/>
      <c r="G422" s="61"/>
    </row>
    <row r="423" spans="1:7">
      <c r="A423" s="27"/>
      <c r="B423" s="28"/>
      <c r="C423" s="28"/>
      <c r="D423" s="29"/>
      <c r="E423" s="83"/>
      <c r="F423" s="29"/>
      <c r="G423" s="61"/>
    </row>
    <row r="424" spans="1:7">
      <c r="A424" s="27"/>
      <c r="B424" s="28"/>
      <c r="C424" s="28"/>
      <c r="D424" s="29"/>
      <c r="E424" s="83"/>
      <c r="F424" s="29"/>
      <c r="G424" s="61"/>
    </row>
    <row r="425" spans="1:7">
      <c r="A425" s="27"/>
      <c r="B425" s="28"/>
      <c r="C425" s="28"/>
      <c r="D425" s="29"/>
      <c r="E425" s="83"/>
      <c r="F425" s="29"/>
      <c r="G425" s="61"/>
    </row>
    <row r="426" spans="1:7">
      <c r="A426" s="27"/>
      <c r="B426" s="28"/>
      <c r="C426" s="28"/>
      <c r="D426" s="29"/>
      <c r="E426" s="83"/>
      <c r="F426" s="29"/>
      <c r="G426" s="61"/>
    </row>
    <row r="427" spans="1:7">
      <c r="A427" s="27"/>
      <c r="B427" s="28"/>
      <c r="C427" s="28"/>
      <c r="D427" s="29"/>
      <c r="E427" s="83"/>
      <c r="F427" s="29"/>
      <c r="G427" s="61"/>
    </row>
    <row r="428" spans="1:7">
      <c r="A428" s="27"/>
      <c r="B428" s="28"/>
      <c r="C428" s="28"/>
      <c r="D428" s="29"/>
      <c r="E428" s="83"/>
      <c r="F428" s="29"/>
      <c r="G428" s="61"/>
    </row>
    <row r="429" spans="1:7">
      <c r="A429" s="27"/>
      <c r="B429" s="28"/>
      <c r="C429" s="28"/>
      <c r="D429" s="29"/>
      <c r="E429" s="83"/>
      <c r="F429" s="29"/>
      <c r="G429" s="61"/>
    </row>
    <row r="430" spans="1:7">
      <c r="A430" s="27"/>
      <c r="B430" s="28"/>
      <c r="C430" s="28"/>
      <c r="D430" s="29"/>
      <c r="E430" s="83"/>
      <c r="F430" s="29"/>
      <c r="G430" s="61"/>
    </row>
    <row r="431" spans="1:7">
      <c r="A431" s="27"/>
      <c r="B431" s="28"/>
      <c r="C431" s="28"/>
      <c r="D431" s="29"/>
      <c r="E431" s="83"/>
      <c r="F431" s="29"/>
      <c r="G431" s="61"/>
    </row>
    <row r="432" spans="1:7">
      <c r="A432" s="27"/>
      <c r="B432" s="28"/>
      <c r="C432" s="28"/>
      <c r="D432" s="29"/>
      <c r="E432" s="83"/>
      <c r="F432" s="29"/>
      <c r="G432" s="61"/>
    </row>
    <row r="433" spans="1:7">
      <c r="A433" s="27"/>
      <c r="B433" s="28"/>
      <c r="C433" s="28"/>
      <c r="D433" s="29"/>
      <c r="E433" s="83"/>
      <c r="F433" s="29"/>
      <c r="G433" s="61"/>
    </row>
    <row r="434" spans="1:7">
      <c r="A434" s="27"/>
      <c r="B434" s="28"/>
      <c r="C434" s="28"/>
      <c r="D434" s="29"/>
      <c r="E434" s="83"/>
      <c r="F434" s="29"/>
      <c r="G434" s="61"/>
    </row>
    <row r="435" spans="1:7">
      <c r="A435" s="27"/>
      <c r="B435" s="28"/>
      <c r="C435" s="28"/>
      <c r="D435" s="29"/>
      <c r="E435" s="83"/>
      <c r="F435" s="29"/>
      <c r="G435" s="61"/>
    </row>
    <row r="436" spans="1:7">
      <c r="A436" s="27"/>
      <c r="B436" s="28"/>
      <c r="C436" s="28"/>
      <c r="D436" s="29"/>
      <c r="E436" s="83"/>
      <c r="F436" s="29"/>
      <c r="G436" s="61"/>
    </row>
    <row r="437" spans="1:7">
      <c r="A437" s="27"/>
      <c r="B437" s="28"/>
      <c r="C437" s="28"/>
      <c r="D437" s="29"/>
      <c r="E437" s="83"/>
      <c r="F437" s="29"/>
      <c r="G437" s="61"/>
    </row>
    <row r="438" spans="1:7">
      <c r="A438" s="27"/>
      <c r="B438" s="28"/>
      <c r="C438" s="28"/>
      <c r="D438" s="29"/>
      <c r="E438" s="83"/>
      <c r="F438" s="29"/>
      <c r="G438" s="61"/>
    </row>
    <row r="439" spans="1:7">
      <c r="A439" s="27"/>
      <c r="B439" s="28"/>
      <c r="C439" s="28"/>
      <c r="D439" s="29"/>
      <c r="E439" s="83"/>
      <c r="F439" s="29"/>
      <c r="G439" s="61"/>
    </row>
    <row r="440" spans="1:7">
      <c r="A440" s="27"/>
      <c r="B440" s="28"/>
      <c r="C440" s="28"/>
      <c r="D440" s="29"/>
      <c r="E440" s="83"/>
      <c r="F440" s="29"/>
      <c r="G440" s="61"/>
    </row>
    <row r="441" spans="1:7">
      <c r="A441" s="27"/>
      <c r="B441" s="28"/>
      <c r="C441" s="28"/>
      <c r="D441" s="29"/>
      <c r="E441" s="83"/>
      <c r="F441" s="29"/>
      <c r="G441" s="61"/>
    </row>
    <row r="442" spans="1:7">
      <c r="A442" s="27"/>
      <c r="B442" s="28"/>
      <c r="C442" s="28"/>
      <c r="D442" s="29"/>
      <c r="E442" s="83"/>
      <c r="F442" s="29"/>
      <c r="G442" s="61"/>
    </row>
    <row r="443" spans="1:7">
      <c r="A443" s="27"/>
      <c r="B443" s="28"/>
      <c r="C443" s="28"/>
      <c r="D443" s="29"/>
      <c r="E443" s="83"/>
      <c r="F443" s="29"/>
      <c r="G443" s="61"/>
    </row>
    <row r="444" spans="1:7">
      <c r="A444" s="27"/>
      <c r="B444" s="28"/>
      <c r="C444" s="28"/>
      <c r="D444" s="29"/>
      <c r="E444" s="83"/>
      <c r="F444" s="29"/>
      <c r="G444" s="61"/>
    </row>
    <row r="445" spans="1:7">
      <c r="A445" s="27"/>
      <c r="B445" s="28"/>
      <c r="C445" s="28"/>
      <c r="D445" s="29"/>
      <c r="E445" s="83"/>
      <c r="F445" s="29"/>
      <c r="G445" s="61"/>
    </row>
    <row r="446" spans="1:7">
      <c r="A446" s="27"/>
      <c r="B446" s="28"/>
      <c r="C446" s="28"/>
      <c r="D446" s="29"/>
      <c r="E446" s="83"/>
      <c r="F446" s="29"/>
      <c r="G446" s="61"/>
    </row>
    <row r="447" spans="1:7">
      <c r="A447" s="27"/>
      <c r="B447" s="28"/>
      <c r="C447" s="28"/>
      <c r="D447" s="29"/>
      <c r="E447" s="83"/>
      <c r="F447" s="29"/>
      <c r="G447" s="61"/>
    </row>
    <row r="448" spans="1:7">
      <c r="A448" s="27"/>
      <c r="B448" s="28"/>
      <c r="C448" s="28"/>
      <c r="D448" s="29"/>
      <c r="E448" s="83"/>
      <c r="F448" s="29"/>
      <c r="G448" s="61"/>
    </row>
    <row r="449" spans="1:7">
      <c r="A449" s="27"/>
      <c r="B449" s="28"/>
      <c r="C449" s="28"/>
      <c r="D449" s="29"/>
      <c r="E449" s="83"/>
      <c r="F449" s="29"/>
      <c r="G449" s="61"/>
    </row>
    <row r="450" spans="1:7">
      <c r="A450" s="27"/>
      <c r="B450" s="28"/>
      <c r="C450" s="28"/>
      <c r="D450" s="29"/>
      <c r="E450" s="83"/>
      <c r="F450" s="29"/>
      <c r="G450" s="61"/>
    </row>
    <row r="451" spans="1:7">
      <c r="A451" s="27"/>
      <c r="B451" s="28"/>
      <c r="C451" s="28"/>
      <c r="D451" s="29"/>
      <c r="E451" s="83"/>
      <c r="F451" s="29"/>
      <c r="G451" s="61"/>
    </row>
    <row r="452" spans="1:7">
      <c r="A452" s="27"/>
      <c r="B452" s="28"/>
      <c r="C452" s="28"/>
      <c r="D452" s="29"/>
      <c r="E452" s="83"/>
      <c r="F452" s="29"/>
      <c r="G452" s="61"/>
    </row>
    <row r="453" spans="1:7">
      <c r="A453" s="27"/>
      <c r="B453" s="28"/>
      <c r="C453" s="28"/>
      <c r="D453" s="29"/>
      <c r="E453" s="83"/>
      <c r="F453" s="29"/>
      <c r="G453" s="61"/>
    </row>
    <row r="454" spans="1:7">
      <c r="A454" s="27"/>
      <c r="B454" s="28"/>
      <c r="C454" s="28"/>
      <c r="D454" s="29"/>
      <c r="E454" s="83"/>
      <c r="F454" s="29"/>
      <c r="G454" s="61"/>
    </row>
    <row r="455" spans="1:7">
      <c r="A455" s="27"/>
      <c r="B455" s="28"/>
      <c r="C455" s="28"/>
      <c r="D455" s="29"/>
      <c r="E455" s="83"/>
      <c r="F455" s="29"/>
      <c r="G455" s="61"/>
    </row>
    <row r="456" spans="1:7">
      <c r="A456" s="27"/>
      <c r="B456" s="28"/>
      <c r="C456" s="28"/>
      <c r="D456" s="29"/>
      <c r="E456" s="83"/>
      <c r="F456" s="29"/>
      <c r="G456" s="61"/>
    </row>
    <row r="457" spans="1:7">
      <c r="A457" s="27"/>
      <c r="B457" s="28"/>
      <c r="C457" s="28"/>
      <c r="D457" s="29"/>
      <c r="E457" s="83"/>
      <c r="F457" s="29"/>
      <c r="G457" s="61"/>
    </row>
    <row r="458" spans="1:7">
      <c r="A458" s="27"/>
      <c r="B458" s="28"/>
      <c r="C458" s="28"/>
      <c r="D458" s="29"/>
      <c r="E458" s="83"/>
      <c r="F458" s="29"/>
      <c r="G458" s="61"/>
    </row>
    <row r="459" spans="1:7">
      <c r="A459" s="27"/>
      <c r="B459" s="28"/>
      <c r="C459" s="28"/>
      <c r="D459" s="29"/>
      <c r="E459" s="83"/>
      <c r="F459" s="29"/>
      <c r="G459" s="61"/>
    </row>
    <row r="460" spans="1:7">
      <c r="A460" s="27"/>
      <c r="B460" s="28"/>
      <c r="C460" s="28"/>
      <c r="D460" s="29"/>
      <c r="E460" s="83"/>
      <c r="F460" s="29"/>
      <c r="G460" s="61"/>
    </row>
    <row r="461" spans="1:7">
      <c r="A461" s="27"/>
      <c r="B461" s="28"/>
      <c r="C461" s="28"/>
      <c r="D461" s="29"/>
      <c r="E461" s="83"/>
      <c r="F461" s="29"/>
      <c r="G461" s="61"/>
    </row>
    <row r="462" spans="1:7">
      <c r="A462" s="27"/>
      <c r="B462" s="28"/>
      <c r="C462" s="28"/>
      <c r="D462" s="29"/>
      <c r="E462" s="83"/>
      <c r="F462" s="29"/>
      <c r="G462" s="61"/>
    </row>
    <row r="463" spans="1:7">
      <c r="A463" s="27"/>
      <c r="B463" s="28"/>
      <c r="C463" s="28"/>
      <c r="D463" s="29"/>
      <c r="E463" s="83"/>
      <c r="F463" s="29"/>
      <c r="G463" s="61"/>
    </row>
    <row r="464" spans="1:7">
      <c r="A464" s="27"/>
      <c r="B464" s="28"/>
      <c r="C464" s="28"/>
      <c r="D464" s="29"/>
      <c r="E464" s="83"/>
      <c r="F464" s="29"/>
      <c r="G464" s="61"/>
    </row>
    <row r="465" spans="1:7">
      <c r="A465" s="27"/>
      <c r="B465" s="28"/>
      <c r="C465" s="28"/>
      <c r="D465" s="29"/>
      <c r="E465" s="83"/>
      <c r="F465" s="29"/>
      <c r="G465" s="61"/>
    </row>
    <row r="466" spans="1:7">
      <c r="A466" s="27"/>
      <c r="B466" s="28"/>
      <c r="C466" s="28"/>
      <c r="D466" s="29"/>
      <c r="E466" s="83"/>
      <c r="F466" s="29"/>
      <c r="G466" s="61"/>
    </row>
    <row r="467" spans="1:7">
      <c r="A467" s="27"/>
      <c r="B467" s="28"/>
      <c r="C467" s="28"/>
      <c r="D467" s="29"/>
      <c r="E467" s="83"/>
      <c r="F467" s="29"/>
      <c r="G467" s="61"/>
    </row>
    <row r="468" spans="1:7">
      <c r="A468" s="27"/>
      <c r="B468" s="28"/>
      <c r="C468" s="28"/>
      <c r="D468" s="29"/>
      <c r="E468" s="83"/>
      <c r="F468" s="29"/>
      <c r="G468" s="61"/>
    </row>
    <row r="469" spans="1:7">
      <c r="A469" s="27"/>
      <c r="B469" s="28"/>
      <c r="C469" s="28"/>
      <c r="D469" s="29"/>
      <c r="E469" s="83"/>
      <c r="F469" s="29"/>
      <c r="G469" s="61"/>
    </row>
    <row r="470" spans="1:7">
      <c r="A470" s="27"/>
      <c r="B470" s="28"/>
      <c r="C470" s="28"/>
      <c r="D470" s="29"/>
      <c r="E470" s="83"/>
      <c r="F470" s="29"/>
      <c r="G470" s="61"/>
    </row>
    <row r="471" spans="1:7">
      <c r="A471" s="27"/>
      <c r="B471" s="28"/>
      <c r="C471" s="28"/>
      <c r="D471" s="29"/>
      <c r="E471" s="83"/>
      <c r="F471" s="29"/>
      <c r="G471" s="61"/>
    </row>
    <row r="472" spans="1:7">
      <c r="A472" s="27"/>
      <c r="B472" s="28"/>
      <c r="C472" s="28"/>
      <c r="D472" s="29"/>
      <c r="E472" s="83"/>
      <c r="F472" s="29"/>
      <c r="G472" s="61"/>
    </row>
    <row r="473" spans="1:7">
      <c r="A473" s="27"/>
      <c r="B473" s="28"/>
      <c r="C473" s="28"/>
      <c r="D473" s="29"/>
      <c r="E473" s="83"/>
      <c r="F473" s="29"/>
      <c r="G473" s="61"/>
    </row>
    <row r="474" spans="1:7">
      <c r="A474" s="27"/>
      <c r="B474" s="28"/>
      <c r="C474" s="28"/>
      <c r="D474" s="29"/>
      <c r="E474" s="83"/>
      <c r="F474" s="29"/>
      <c r="G474" s="61"/>
    </row>
    <row r="475" spans="1:7">
      <c r="A475" s="27"/>
      <c r="B475" s="28"/>
      <c r="C475" s="28"/>
      <c r="D475" s="29"/>
      <c r="E475" s="83"/>
      <c r="F475" s="29"/>
      <c r="G475" s="61"/>
    </row>
    <row r="476" spans="1:7">
      <c r="A476" s="27"/>
      <c r="B476" s="28"/>
      <c r="C476" s="28"/>
      <c r="D476" s="29"/>
      <c r="E476" s="83"/>
      <c r="F476" s="29"/>
      <c r="G476" s="61"/>
    </row>
    <row r="477" spans="1:7">
      <c r="A477" s="27"/>
      <c r="B477" s="28"/>
      <c r="C477" s="28"/>
      <c r="D477" s="29"/>
      <c r="E477" s="83"/>
      <c r="F477" s="29"/>
      <c r="G477" s="61"/>
    </row>
    <row r="478" spans="1:7">
      <c r="A478" s="27"/>
      <c r="B478" s="28"/>
      <c r="C478" s="28"/>
      <c r="D478" s="29"/>
      <c r="E478" s="83"/>
      <c r="F478" s="29"/>
      <c r="G478" s="61"/>
    </row>
    <row r="479" spans="1:7">
      <c r="A479" s="27"/>
      <c r="B479" s="28"/>
      <c r="C479" s="28"/>
      <c r="D479" s="29"/>
      <c r="E479" s="83"/>
      <c r="F479" s="29"/>
      <c r="G479" s="61"/>
    </row>
    <row r="480" spans="1:7">
      <c r="A480" s="27"/>
      <c r="B480" s="28"/>
      <c r="C480" s="28"/>
      <c r="D480" s="29"/>
      <c r="E480" s="83"/>
      <c r="F480" s="29"/>
      <c r="G480" s="61"/>
    </row>
    <row r="481" spans="1:7">
      <c r="A481" s="27"/>
      <c r="B481" s="28"/>
      <c r="C481" s="28"/>
      <c r="D481" s="29"/>
      <c r="E481" s="83"/>
      <c r="F481" s="29"/>
      <c r="G481" s="61"/>
    </row>
    <row r="482" spans="1:7">
      <c r="A482" s="27"/>
      <c r="B482" s="28"/>
      <c r="C482" s="28"/>
      <c r="D482" s="29"/>
      <c r="E482" s="83"/>
      <c r="F482" s="29"/>
      <c r="G482" s="61"/>
    </row>
    <row r="483" spans="1:7">
      <c r="A483" s="27"/>
      <c r="B483" s="28"/>
      <c r="C483" s="28"/>
      <c r="D483" s="29"/>
      <c r="E483" s="83"/>
      <c r="F483" s="29"/>
      <c r="G483" s="61"/>
    </row>
    <row r="484" spans="1:7">
      <c r="A484" s="27"/>
      <c r="B484" s="28"/>
      <c r="C484" s="28"/>
      <c r="D484" s="29"/>
      <c r="E484" s="83"/>
      <c r="F484" s="29"/>
      <c r="G484" s="61"/>
    </row>
    <row r="485" spans="1:7">
      <c r="A485" s="27"/>
      <c r="B485" s="28"/>
      <c r="C485" s="28"/>
      <c r="D485" s="29"/>
      <c r="E485" s="83"/>
      <c r="F485" s="29"/>
      <c r="G485" s="61"/>
    </row>
    <row r="486" spans="1:7">
      <c r="A486" s="27"/>
      <c r="B486" s="28"/>
      <c r="C486" s="28"/>
      <c r="D486" s="29"/>
      <c r="E486" s="83"/>
      <c r="F486" s="29"/>
      <c r="G486" s="61"/>
    </row>
    <row r="487" spans="1:7">
      <c r="A487" s="27"/>
      <c r="B487" s="28"/>
      <c r="C487" s="28"/>
      <c r="D487" s="29"/>
      <c r="E487" s="83"/>
      <c r="F487" s="29"/>
      <c r="G487" s="61"/>
    </row>
    <row r="488" spans="1:7">
      <c r="A488" s="27"/>
      <c r="B488" s="28"/>
      <c r="C488" s="28"/>
      <c r="D488" s="29"/>
      <c r="E488" s="83"/>
      <c r="F488" s="29"/>
      <c r="G488" s="61"/>
    </row>
    <row r="489" spans="1:7">
      <c r="A489" s="27"/>
      <c r="B489" s="28"/>
      <c r="C489" s="28"/>
      <c r="D489" s="29"/>
      <c r="E489" s="83"/>
      <c r="F489" s="29"/>
      <c r="G489" s="61"/>
    </row>
    <row r="490" spans="1:7">
      <c r="A490" s="27"/>
      <c r="B490" s="28"/>
      <c r="C490" s="28"/>
      <c r="D490" s="29"/>
      <c r="E490" s="83"/>
      <c r="F490" s="29"/>
      <c r="G490" s="61"/>
    </row>
    <row r="491" spans="1:7">
      <c r="A491" s="27"/>
      <c r="B491" s="28"/>
      <c r="C491" s="28"/>
      <c r="D491" s="29"/>
      <c r="E491" s="83"/>
      <c r="F491" s="29"/>
      <c r="G491" s="61"/>
    </row>
    <row r="492" spans="1:7">
      <c r="A492" s="27"/>
      <c r="B492" s="28"/>
      <c r="C492" s="28"/>
      <c r="D492" s="29"/>
      <c r="E492" s="83"/>
      <c r="F492" s="29"/>
      <c r="G492" s="61"/>
    </row>
    <row r="493" spans="1:7">
      <c r="A493" s="27"/>
      <c r="B493" s="28"/>
      <c r="C493" s="28"/>
      <c r="D493" s="29"/>
      <c r="E493" s="83"/>
      <c r="F493" s="29"/>
      <c r="G493" s="61"/>
    </row>
    <row r="494" spans="1:7">
      <c r="A494" s="27"/>
      <c r="B494" s="28"/>
      <c r="C494" s="28"/>
      <c r="D494" s="29"/>
      <c r="E494" s="83"/>
      <c r="F494" s="29"/>
      <c r="G494" s="61"/>
    </row>
    <row r="495" spans="1:7">
      <c r="A495" s="27"/>
      <c r="B495" s="28"/>
      <c r="C495" s="28"/>
      <c r="D495" s="29"/>
      <c r="E495" s="83"/>
      <c r="F495" s="29"/>
      <c r="G495" s="61"/>
    </row>
    <row r="496" spans="1:7">
      <c r="A496" s="27"/>
      <c r="B496" s="28"/>
      <c r="C496" s="28"/>
      <c r="D496" s="29"/>
      <c r="E496" s="83"/>
      <c r="F496" s="29"/>
      <c r="G496" s="61"/>
    </row>
    <row r="497" spans="1:7">
      <c r="A497" s="27"/>
      <c r="B497" s="28"/>
      <c r="C497" s="28"/>
      <c r="D497" s="29"/>
      <c r="E497" s="83"/>
      <c r="F497" s="29"/>
      <c r="G497" s="61"/>
    </row>
    <row r="498" spans="1:7">
      <c r="A498" s="27"/>
      <c r="B498" s="28"/>
      <c r="C498" s="28"/>
      <c r="D498" s="29"/>
      <c r="E498" s="83"/>
      <c r="F498" s="29"/>
      <c r="G498" s="61"/>
    </row>
    <row r="499" spans="1:7">
      <c r="A499" s="27"/>
      <c r="B499" s="28"/>
      <c r="C499" s="28"/>
      <c r="D499" s="29"/>
      <c r="E499" s="83"/>
      <c r="F499" s="29"/>
      <c r="G499" s="61"/>
    </row>
    <row r="500" spans="1:7">
      <c r="A500" s="27"/>
      <c r="B500" s="28"/>
      <c r="C500" s="28"/>
      <c r="D500" s="29"/>
      <c r="E500" s="83"/>
      <c r="F500" s="29"/>
      <c r="G500" s="61"/>
    </row>
    <row r="501" spans="1:7">
      <c r="A501" s="27"/>
      <c r="B501" s="28"/>
      <c r="C501" s="28"/>
      <c r="D501" s="29"/>
      <c r="E501" s="83"/>
      <c r="F501" s="29"/>
      <c r="G501" s="61"/>
    </row>
    <row r="502" spans="1:7">
      <c r="A502" s="27"/>
      <c r="B502" s="28"/>
      <c r="C502" s="28"/>
      <c r="D502" s="29"/>
      <c r="E502" s="83"/>
      <c r="F502" s="29"/>
      <c r="G502" s="61"/>
    </row>
    <row r="503" spans="1:7">
      <c r="A503" s="27"/>
      <c r="B503" s="28"/>
      <c r="C503" s="28"/>
      <c r="D503" s="29"/>
      <c r="E503" s="83"/>
      <c r="F503" s="29"/>
      <c r="G503" s="61"/>
    </row>
    <row r="504" spans="1:7">
      <c r="A504" s="27"/>
      <c r="B504" s="28"/>
      <c r="C504" s="28"/>
      <c r="D504" s="29"/>
      <c r="E504" s="83"/>
      <c r="F504" s="29"/>
      <c r="G504" s="61"/>
    </row>
    <row r="505" spans="1:7">
      <c r="A505" s="27"/>
      <c r="B505" s="28"/>
      <c r="C505" s="28"/>
      <c r="D505" s="29"/>
      <c r="E505" s="83"/>
      <c r="F505" s="29"/>
      <c r="G505" s="61"/>
    </row>
    <row r="506" spans="1:7">
      <c r="A506" s="27"/>
      <c r="B506" s="28"/>
      <c r="C506" s="28"/>
      <c r="D506" s="29"/>
      <c r="E506" s="83"/>
      <c r="F506" s="29"/>
      <c r="G506" s="61"/>
    </row>
    <row r="507" spans="1:7">
      <c r="A507" s="27"/>
      <c r="B507" s="28"/>
      <c r="C507" s="28"/>
      <c r="D507" s="29"/>
      <c r="E507" s="83"/>
      <c r="F507" s="29"/>
      <c r="G507" s="61"/>
    </row>
    <row r="508" spans="1:7">
      <c r="A508" s="27"/>
      <c r="B508" s="28"/>
      <c r="C508" s="28"/>
      <c r="D508" s="29"/>
      <c r="E508" s="83"/>
      <c r="F508" s="29"/>
      <c r="G508" s="61"/>
    </row>
    <row r="509" spans="1:7">
      <c r="A509" s="27"/>
      <c r="B509" s="28"/>
      <c r="C509" s="28"/>
      <c r="D509" s="29"/>
      <c r="E509" s="83"/>
      <c r="F509" s="29"/>
      <c r="G509" s="61"/>
    </row>
    <row r="510" spans="1:7">
      <c r="A510" s="27"/>
      <c r="B510" s="28"/>
      <c r="C510" s="28"/>
      <c r="D510" s="29"/>
      <c r="E510" s="83"/>
      <c r="F510" s="29"/>
      <c r="G510" s="61"/>
    </row>
    <row r="511" spans="1:7">
      <c r="A511" s="27"/>
      <c r="B511" s="28"/>
      <c r="C511" s="28"/>
      <c r="D511" s="29"/>
      <c r="E511" s="83"/>
      <c r="F511" s="29"/>
      <c r="G511" s="61"/>
    </row>
    <row r="512" spans="1:7">
      <c r="A512" s="27"/>
      <c r="B512" s="28"/>
      <c r="C512" s="28"/>
      <c r="D512" s="29"/>
      <c r="E512" s="83"/>
      <c r="F512" s="29"/>
      <c r="G512" s="61"/>
    </row>
    <row r="513" spans="1:7">
      <c r="A513" s="27"/>
      <c r="B513" s="28"/>
      <c r="C513" s="28"/>
      <c r="D513" s="29"/>
      <c r="E513" s="83"/>
      <c r="F513" s="29"/>
      <c r="G513" s="61"/>
    </row>
    <row r="514" spans="1:7">
      <c r="A514" s="27"/>
      <c r="B514" s="28"/>
      <c r="C514" s="28"/>
      <c r="D514" s="29"/>
      <c r="E514" s="83"/>
      <c r="F514" s="29"/>
      <c r="G514" s="61"/>
    </row>
    <row r="515" spans="1:7">
      <c r="A515" s="27"/>
      <c r="B515" s="28"/>
      <c r="C515" s="28"/>
      <c r="D515" s="29"/>
      <c r="E515" s="83"/>
      <c r="F515" s="29"/>
      <c r="G515" s="61"/>
    </row>
    <row r="516" spans="1:7">
      <c r="A516" s="27"/>
      <c r="B516" s="28"/>
      <c r="C516" s="28"/>
      <c r="D516" s="29"/>
      <c r="E516" s="83"/>
      <c r="F516" s="29"/>
      <c r="G516" s="61"/>
    </row>
    <row r="517" spans="1:7">
      <c r="A517" s="27"/>
      <c r="B517" s="28"/>
      <c r="C517" s="28"/>
      <c r="D517" s="29"/>
      <c r="E517" s="83"/>
      <c r="F517" s="29"/>
      <c r="G517" s="61"/>
    </row>
    <row r="518" spans="1:7">
      <c r="A518" s="27"/>
      <c r="B518" s="28"/>
      <c r="C518" s="28"/>
      <c r="D518" s="29"/>
      <c r="E518" s="83"/>
      <c r="F518" s="29"/>
      <c r="G518" s="61"/>
    </row>
    <row r="519" spans="1:7">
      <c r="A519" s="27"/>
      <c r="B519" s="28"/>
      <c r="C519" s="28"/>
      <c r="D519" s="29"/>
      <c r="E519" s="83"/>
      <c r="F519" s="29"/>
      <c r="G519" s="61"/>
    </row>
    <row r="520" spans="1:7">
      <c r="A520" s="27"/>
      <c r="B520" s="28"/>
      <c r="C520" s="28"/>
      <c r="D520" s="29"/>
      <c r="E520" s="83"/>
      <c r="F520" s="29"/>
      <c r="G520" s="61"/>
    </row>
    <row r="521" spans="1:7">
      <c r="A521" s="27"/>
      <c r="B521" s="28"/>
      <c r="C521" s="28"/>
      <c r="D521" s="29"/>
      <c r="E521" s="83"/>
      <c r="F521" s="29"/>
      <c r="G521" s="61"/>
    </row>
    <row r="522" spans="1:7">
      <c r="A522" s="27"/>
      <c r="B522" s="28"/>
      <c r="C522" s="28"/>
      <c r="D522" s="29"/>
      <c r="E522" s="83"/>
      <c r="F522" s="29"/>
      <c r="G522" s="61"/>
    </row>
    <row r="523" spans="1:7">
      <c r="A523" s="27"/>
      <c r="B523" s="28"/>
      <c r="C523" s="28"/>
      <c r="D523" s="29"/>
      <c r="E523" s="83"/>
      <c r="F523" s="29"/>
      <c r="G523" s="61"/>
    </row>
    <row r="524" spans="1:7">
      <c r="A524" s="27"/>
      <c r="B524" s="28"/>
      <c r="C524" s="28"/>
      <c r="D524" s="29"/>
      <c r="E524" s="83"/>
      <c r="F524" s="29"/>
      <c r="G524" s="61"/>
    </row>
    <row r="525" spans="1:7">
      <c r="A525" s="27"/>
      <c r="B525" s="28"/>
      <c r="C525" s="28"/>
      <c r="D525" s="29"/>
      <c r="E525" s="83"/>
      <c r="F525" s="29"/>
      <c r="G525" s="61"/>
    </row>
    <row r="526" spans="1:7">
      <c r="A526" s="27"/>
      <c r="B526" s="28"/>
      <c r="C526" s="28"/>
      <c r="D526" s="29"/>
      <c r="E526" s="83"/>
      <c r="F526" s="29"/>
      <c r="G526" s="61"/>
    </row>
    <row r="527" spans="1:7">
      <c r="A527" s="27"/>
      <c r="B527" s="28"/>
      <c r="C527" s="28"/>
      <c r="D527" s="29"/>
      <c r="E527" s="83"/>
      <c r="F527" s="29"/>
      <c r="G527" s="61"/>
    </row>
    <row r="528" spans="1:7">
      <c r="A528" s="27"/>
      <c r="B528" s="28"/>
      <c r="C528" s="28"/>
      <c r="D528" s="29"/>
      <c r="E528" s="83"/>
      <c r="F528" s="29"/>
      <c r="G528" s="61"/>
    </row>
    <row r="529" spans="1:7">
      <c r="A529" s="27"/>
      <c r="B529" s="28"/>
      <c r="C529" s="28"/>
      <c r="D529" s="29"/>
      <c r="E529" s="83"/>
      <c r="F529" s="29"/>
      <c r="G529" s="61"/>
    </row>
    <row r="530" spans="1:7">
      <c r="A530" s="27"/>
      <c r="B530" s="28"/>
      <c r="C530" s="28"/>
      <c r="D530" s="29"/>
      <c r="E530" s="83"/>
      <c r="F530" s="29"/>
      <c r="G530" s="61"/>
    </row>
    <row r="531" spans="1:7">
      <c r="A531" s="27"/>
      <c r="B531" s="28"/>
      <c r="C531" s="28"/>
      <c r="D531" s="29"/>
      <c r="E531" s="83"/>
      <c r="F531" s="29"/>
      <c r="G531" s="61"/>
    </row>
    <row r="532" spans="1:7">
      <c r="A532" s="27"/>
      <c r="B532" s="28"/>
      <c r="C532" s="28"/>
      <c r="D532" s="29"/>
      <c r="E532" s="83"/>
      <c r="F532" s="29"/>
      <c r="G532" s="61"/>
    </row>
    <row r="533" spans="1:7">
      <c r="A533" s="27"/>
      <c r="B533" s="28"/>
      <c r="C533" s="28"/>
      <c r="D533" s="29"/>
      <c r="E533" s="83"/>
      <c r="F533" s="29"/>
      <c r="G533" s="61"/>
    </row>
    <row r="534" spans="1:7">
      <c r="A534" s="27"/>
      <c r="B534" s="28"/>
      <c r="C534" s="28"/>
      <c r="D534" s="29"/>
      <c r="E534" s="83"/>
      <c r="F534" s="29"/>
      <c r="G534" s="61"/>
    </row>
    <row r="535" spans="1:7">
      <c r="A535" s="27"/>
      <c r="B535" s="28"/>
      <c r="C535" s="28"/>
      <c r="D535" s="29"/>
      <c r="E535" s="83"/>
      <c r="F535" s="29"/>
      <c r="G535" s="61"/>
    </row>
    <row r="536" spans="1:7">
      <c r="A536" s="27"/>
      <c r="B536" s="28"/>
      <c r="C536" s="28"/>
      <c r="D536" s="29"/>
      <c r="E536" s="83"/>
      <c r="F536" s="29"/>
      <c r="G536" s="61"/>
    </row>
    <row r="537" spans="1:7">
      <c r="A537" s="27"/>
      <c r="B537" s="28"/>
      <c r="C537" s="28"/>
      <c r="D537" s="29"/>
      <c r="E537" s="83"/>
      <c r="F537" s="29"/>
      <c r="G537" s="61"/>
    </row>
    <row r="538" spans="1:7">
      <c r="A538" s="27"/>
      <c r="B538" s="28"/>
      <c r="C538" s="28"/>
      <c r="D538" s="29"/>
      <c r="E538" s="83"/>
      <c r="F538" s="29"/>
      <c r="G538" s="61"/>
    </row>
    <row r="539" spans="1:7">
      <c r="A539" s="27"/>
      <c r="B539" s="28"/>
      <c r="C539" s="28"/>
      <c r="D539" s="29"/>
      <c r="E539" s="83"/>
      <c r="F539" s="29"/>
      <c r="G539" s="61"/>
    </row>
    <row r="540" spans="1:7">
      <c r="A540" s="27"/>
      <c r="B540" s="28"/>
      <c r="C540" s="28"/>
      <c r="D540" s="29"/>
      <c r="E540" s="83"/>
      <c r="F540" s="29"/>
      <c r="G540" s="61"/>
    </row>
    <row r="541" spans="1:7">
      <c r="A541" s="27"/>
      <c r="B541" s="28"/>
      <c r="C541" s="28"/>
      <c r="D541" s="29"/>
      <c r="E541" s="83"/>
      <c r="F541" s="29"/>
      <c r="G541" s="61"/>
    </row>
    <row r="542" spans="1:7">
      <c r="A542" s="27"/>
      <c r="B542" s="28"/>
      <c r="C542" s="28"/>
      <c r="D542" s="29"/>
      <c r="E542" s="83"/>
      <c r="F542" s="29"/>
      <c r="G542" s="61"/>
    </row>
    <row r="543" spans="1:7">
      <c r="A543" s="27"/>
      <c r="B543" s="28"/>
      <c r="C543" s="28"/>
      <c r="D543" s="29"/>
      <c r="E543" s="83"/>
      <c r="F543" s="29"/>
      <c r="G543" s="61"/>
    </row>
    <row r="544" spans="1:7">
      <c r="A544" s="27"/>
      <c r="B544" s="28"/>
      <c r="C544" s="28"/>
      <c r="D544" s="29"/>
      <c r="E544" s="83"/>
      <c r="F544" s="29"/>
      <c r="G544" s="61"/>
    </row>
    <row r="545" spans="1:7">
      <c r="A545" s="27"/>
      <c r="B545" s="28"/>
      <c r="C545" s="28"/>
      <c r="D545" s="29"/>
      <c r="E545" s="83"/>
      <c r="F545" s="29"/>
      <c r="G545" s="61"/>
    </row>
    <row r="546" spans="1:7">
      <c r="A546" s="27"/>
      <c r="B546" s="28"/>
      <c r="C546" s="28"/>
      <c r="D546" s="29"/>
      <c r="E546" s="83"/>
      <c r="F546" s="29"/>
      <c r="G546" s="61"/>
    </row>
    <row r="547" spans="1:7">
      <c r="A547" s="27"/>
      <c r="B547" s="28"/>
      <c r="C547" s="28"/>
      <c r="D547" s="29"/>
      <c r="E547" s="83"/>
      <c r="F547" s="29"/>
      <c r="G547" s="61"/>
    </row>
    <row r="548" spans="1:7">
      <c r="A548" s="27"/>
      <c r="B548" s="28"/>
      <c r="C548" s="28"/>
      <c r="D548" s="29"/>
      <c r="E548" s="83"/>
      <c r="F548" s="29"/>
      <c r="G548" s="61"/>
    </row>
    <row r="549" spans="1:7">
      <c r="A549" s="27"/>
      <c r="B549" s="28"/>
      <c r="C549" s="28"/>
      <c r="D549" s="29"/>
      <c r="E549" s="83"/>
      <c r="F549" s="29"/>
      <c r="G549" s="61"/>
    </row>
    <row r="550" spans="1:7">
      <c r="A550" s="27"/>
      <c r="B550" s="28"/>
      <c r="C550" s="28"/>
      <c r="D550" s="29"/>
      <c r="E550" s="83"/>
      <c r="F550" s="29"/>
      <c r="G550" s="61"/>
    </row>
    <row r="551" spans="1:7">
      <c r="A551" s="27"/>
      <c r="B551" s="28"/>
      <c r="C551" s="28"/>
      <c r="D551" s="29"/>
      <c r="E551" s="83"/>
      <c r="F551" s="29"/>
      <c r="G551" s="61"/>
    </row>
    <row r="552" spans="1:7">
      <c r="A552" s="27"/>
      <c r="B552" s="28"/>
      <c r="C552" s="28"/>
      <c r="D552" s="29"/>
      <c r="E552" s="83"/>
      <c r="F552" s="29"/>
      <c r="G552" s="61"/>
    </row>
    <row r="553" spans="1:7">
      <c r="A553" s="27"/>
      <c r="B553" s="28"/>
      <c r="C553" s="28"/>
      <c r="D553" s="29"/>
      <c r="E553" s="83"/>
      <c r="F553" s="29"/>
      <c r="G553" s="61"/>
    </row>
    <row r="554" spans="1:7">
      <c r="A554" s="27"/>
      <c r="B554" s="28"/>
      <c r="C554" s="28"/>
      <c r="D554" s="29"/>
      <c r="E554" s="83"/>
      <c r="F554" s="29"/>
      <c r="G554" s="61"/>
    </row>
    <row r="555" spans="1:7">
      <c r="A555" s="27"/>
      <c r="B555" s="28"/>
      <c r="C555" s="28"/>
      <c r="D555" s="29"/>
      <c r="E555" s="83"/>
      <c r="F555" s="29"/>
      <c r="G555" s="61"/>
    </row>
    <row r="556" spans="1:7">
      <c r="A556" s="27"/>
      <c r="B556" s="28"/>
      <c r="C556" s="28"/>
      <c r="D556" s="29"/>
      <c r="E556" s="83"/>
      <c r="F556" s="29"/>
      <c r="G556" s="61"/>
    </row>
    <row r="557" spans="1:7">
      <c r="A557" s="27"/>
      <c r="B557" s="28"/>
      <c r="C557" s="28"/>
      <c r="D557" s="29"/>
      <c r="E557" s="83"/>
      <c r="F557" s="29"/>
      <c r="G557" s="61"/>
    </row>
    <row r="558" spans="1:7">
      <c r="A558" s="27"/>
      <c r="B558" s="28"/>
      <c r="C558" s="28"/>
      <c r="D558" s="29"/>
      <c r="E558" s="83"/>
      <c r="F558" s="29"/>
      <c r="G558" s="61"/>
    </row>
    <row r="559" spans="1:7">
      <c r="A559" s="27"/>
      <c r="B559" s="28"/>
      <c r="C559" s="28"/>
      <c r="D559" s="29"/>
      <c r="E559" s="83"/>
      <c r="F559" s="29"/>
      <c r="G559" s="61"/>
    </row>
    <row r="560" spans="1:7">
      <c r="A560" s="27"/>
      <c r="B560" s="28"/>
      <c r="C560" s="28"/>
      <c r="D560" s="29"/>
      <c r="E560" s="83"/>
      <c r="F560" s="29"/>
      <c r="G560" s="61"/>
    </row>
    <row r="561" spans="1:7">
      <c r="A561" s="27"/>
      <c r="B561" s="28"/>
      <c r="C561" s="28"/>
      <c r="D561" s="29"/>
      <c r="E561" s="83"/>
      <c r="F561" s="29"/>
      <c r="G561" s="61"/>
    </row>
    <row r="562" spans="1:7">
      <c r="A562" s="27"/>
      <c r="B562" s="28"/>
      <c r="C562" s="28"/>
      <c r="D562" s="29"/>
      <c r="E562" s="83"/>
      <c r="F562" s="29"/>
      <c r="G562" s="61"/>
    </row>
    <row r="563" spans="1:7">
      <c r="A563" s="27"/>
      <c r="B563" s="28"/>
      <c r="C563" s="28"/>
      <c r="D563" s="29"/>
      <c r="E563" s="83"/>
      <c r="F563" s="29"/>
      <c r="G563" s="61"/>
    </row>
    <row r="564" spans="1:7">
      <c r="A564" s="27"/>
      <c r="B564" s="28"/>
      <c r="C564" s="28"/>
      <c r="D564" s="29"/>
      <c r="E564" s="83"/>
      <c r="F564" s="29"/>
      <c r="G564" s="61"/>
    </row>
    <row r="565" spans="1:7">
      <c r="A565" s="27"/>
      <c r="B565" s="28"/>
      <c r="C565" s="28"/>
      <c r="D565" s="29"/>
      <c r="E565" s="83"/>
      <c r="F565" s="29"/>
      <c r="G565" s="61"/>
    </row>
    <row r="566" spans="1:7">
      <c r="A566" s="27"/>
      <c r="B566" s="28"/>
      <c r="C566" s="28"/>
      <c r="D566" s="29"/>
      <c r="E566" s="83"/>
      <c r="F566" s="29"/>
      <c r="G566" s="61"/>
    </row>
    <row r="567" spans="1:7">
      <c r="A567" s="27"/>
      <c r="B567" s="28"/>
      <c r="C567" s="28"/>
      <c r="D567" s="29"/>
      <c r="E567" s="83"/>
      <c r="F567" s="29"/>
      <c r="G567" s="61"/>
    </row>
    <row r="568" spans="1:7">
      <c r="A568" s="27"/>
      <c r="B568" s="28"/>
      <c r="C568" s="28"/>
      <c r="D568" s="29"/>
      <c r="E568" s="83"/>
      <c r="F568" s="29"/>
      <c r="G568" s="61"/>
    </row>
    <row r="569" spans="1:7">
      <c r="A569" s="27"/>
      <c r="B569" s="28"/>
      <c r="C569" s="28"/>
      <c r="D569" s="29"/>
      <c r="E569" s="83"/>
      <c r="F569" s="29"/>
      <c r="G569" s="61"/>
    </row>
    <row r="570" spans="1:7">
      <c r="A570" s="27"/>
      <c r="B570" s="28"/>
      <c r="C570" s="28"/>
      <c r="D570" s="29"/>
      <c r="E570" s="83"/>
      <c r="F570" s="29"/>
      <c r="G570" s="61"/>
    </row>
    <row r="571" spans="1:7">
      <c r="A571" s="27"/>
      <c r="B571" s="28"/>
      <c r="C571" s="28"/>
      <c r="D571" s="29"/>
      <c r="E571" s="83"/>
      <c r="F571" s="29"/>
      <c r="G571" s="61"/>
    </row>
    <row r="572" spans="1:7">
      <c r="A572" s="27"/>
      <c r="B572" s="28"/>
      <c r="C572" s="28"/>
      <c r="D572" s="29"/>
      <c r="E572" s="83"/>
      <c r="F572" s="29"/>
      <c r="G572" s="61"/>
    </row>
    <row r="573" spans="1:7">
      <c r="A573" s="27"/>
      <c r="B573" s="28"/>
      <c r="C573" s="28"/>
      <c r="D573" s="29"/>
      <c r="E573" s="83"/>
      <c r="F573" s="29"/>
      <c r="G573" s="61"/>
    </row>
    <row r="574" spans="1:7">
      <c r="A574" s="27"/>
      <c r="B574" s="28"/>
      <c r="C574" s="28"/>
      <c r="D574" s="29"/>
      <c r="E574" s="83"/>
      <c r="F574" s="29"/>
      <c r="G574" s="61"/>
    </row>
    <row r="575" spans="1:7">
      <c r="A575" s="27"/>
      <c r="B575" s="28"/>
      <c r="C575" s="28"/>
      <c r="D575" s="29"/>
      <c r="E575" s="83"/>
      <c r="F575" s="29"/>
      <c r="G575" s="61"/>
    </row>
    <row r="576" spans="1:7">
      <c r="A576" s="27"/>
      <c r="B576" s="28"/>
      <c r="C576" s="28"/>
      <c r="D576" s="29"/>
      <c r="E576" s="83"/>
      <c r="F576" s="29"/>
      <c r="G576" s="61"/>
    </row>
    <row r="577" spans="1:7">
      <c r="A577" s="27"/>
      <c r="B577" s="28"/>
      <c r="C577" s="28"/>
      <c r="D577" s="29"/>
      <c r="E577" s="83"/>
      <c r="F577" s="29"/>
      <c r="G577" s="61"/>
    </row>
    <row r="578" spans="1:7">
      <c r="A578" s="27"/>
      <c r="B578" s="28"/>
      <c r="C578" s="28"/>
      <c r="D578" s="29"/>
      <c r="E578" s="83"/>
      <c r="F578" s="29"/>
      <c r="G578" s="61"/>
    </row>
    <row r="579" spans="1:7">
      <c r="A579" s="27"/>
      <c r="B579" s="28"/>
      <c r="C579" s="28"/>
      <c r="D579" s="29"/>
      <c r="E579" s="83"/>
      <c r="F579" s="29"/>
      <c r="G579" s="61"/>
    </row>
    <row r="580" spans="1:7">
      <c r="A580" s="27"/>
      <c r="B580" s="28"/>
      <c r="C580" s="28"/>
      <c r="D580" s="29"/>
      <c r="E580" s="83"/>
      <c r="F580" s="29"/>
      <c r="G580" s="61"/>
    </row>
    <row r="581" spans="1:7">
      <c r="A581" s="27"/>
      <c r="B581" s="28"/>
      <c r="C581" s="28"/>
      <c r="D581" s="29"/>
      <c r="E581" s="83"/>
      <c r="F581" s="29"/>
      <c r="G581" s="61"/>
    </row>
    <row r="582" spans="1:7">
      <c r="A582" s="27"/>
      <c r="B582" s="28"/>
      <c r="C582" s="28"/>
      <c r="D582" s="29"/>
      <c r="E582" s="83"/>
      <c r="F582" s="29"/>
      <c r="G582" s="61"/>
    </row>
    <row r="583" spans="1:7">
      <c r="A583" s="27"/>
      <c r="B583" s="28"/>
      <c r="C583" s="28"/>
      <c r="D583" s="29"/>
      <c r="E583" s="83"/>
      <c r="F583" s="29"/>
      <c r="G583" s="61"/>
    </row>
    <row r="584" spans="1:7">
      <c r="A584" s="27"/>
      <c r="B584" s="28"/>
      <c r="C584" s="28"/>
      <c r="D584" s="29"/>
      <c r="E584" s="83"/>
      <c r="F584" s="29"/>
      <c r="G584" s="61"/>
    </row>
    <row r="585" spans="1:7">
      <c r="A585" s="27"/>
      <c r="B585" s="28"/>
      <c r="C585" s="28"/>
      <c r="D585" s="29"/>
      <c r="E585" s="83"/>
      <c r="F585" s="29"/>
      <c r="G585" s="61"/>
    </row>
    <row r="586" spans="1:7">
      <c r="A586" s="27"/>
      <c r="B586" s="28"/>
      <c r="C586" s="28"/>
      <c r="D586" s="29"/>
      <c r="E586" s="83"/>
      <c r="F586" s="29"/>
      <c r="G586" s="61"/>
    </row>
    <row r="587" spans="1:7">
      <c r="A587" s="27"/>
      <c r="B587" s="28"/>
      <c r="C587" s="28"/>
      <c r="D587" s="29"/>
      <c r="E587" s="83"/>
      <c r="F587" s="29"/>
      <c r="G587" s="61"/>
    </row>
    <row r="588" spans="1:7">
      <c r="A588" s="27"/>
      <c r="B588" s="28"/>
      <c r="C588" s="28"/>
      <c r="D588" s="29"/>
      <c r="E588" s="83"/>
      <c r="F588" s="29"/>
      <c r="G588" s="61"/>
    </row>
    <row r="589" spans="1:7">
      <c r="A589" s="27"/>
      <c r="B589" s="28"/>
      <c r="C589" s="28"/>
      <c r="D589" s="29"/>
      <c r="E589" s="83"/>
      <c r="F589" s="29"/>
      <c r="G589" s="61"/>
    </row>
    <row r="590" spans="1:7">
      <c r="A590" s="27"/>
      <c r="B590" s="28"/>
      <c r="C590" s="28"/>
      <c r="D590" s="29"/>
      <c r="E590" s="83"/>
      <c r="F590" s="29"/>
      <c r="G590" s="61"/>
    </row>
    <row r="591" spans="1:7">
      <c r="A591" s="27"/>
      <c r="B591" s="28"/>
      <c r="C591" s="28"/>
      <c r="D591" s="29"/>
      <c r="E591" s="83"/>
      <c r="F591" s="29"/>
      <c r="G591" s="61"/>
    </row>
    <row r="592" spans="1:7">
      <c r="A592" s="27"/>
      <c r="B592" s="28"/>
      <c r="C592" s="28"/>
      <c r="D592" s="29"/>
      <c r="E592" s="83"/>
      <c r="F592" s="29"/>
      <c r="G592" s="61"/>
    </row>
    <row r="593" spans="1:7">
      <c r="A593" s="27"/>
      <c r="B593" s="28"/>
      <c r="C593" s="28"/>
      <c r="D593" s="29"/>
      <c r="E593" s="83"/>
      <c r="F593" s="29"/>
      <c r="G593" s="61"/>
    </row>
    <row r="594" spans="1:7">
      <c r="A594" s="27"/>
      <c r="B594" s="28"/>
      <c r="C594" s="28"/>
      <c r="D594" s="29"/>
      <c r="E594" s="83"/>
      <c r="F594" s="29"/>
      <c r="G594" s="61"/>
    </row>
    <row r="595" spans="1:7">
      <c r="A595" s="27"/>
      <c r="B595" s="28"/>
      <c r="C595" s="28"/>
      <c r="D595" s="29"/>
      <c r="E595" s="83"/>
      <c r="F595" s="29"/>
      <c r="G595" s="61"/>
    </row>
    <row r="596" spans="1:7">
      <c r="A596" s="27"/>
      <c r="B596" s="28"/>
      <c r="C596" s="28"/>
      <c r="D596" s="29"/>
      <c r="E596" s="83"/>
      <c r="F596" s="29"/>
      <c r="G596" s="61"/>
    </row>
    <row r="597" spans="1:7">
      <c r="A597" s="27"/>
      <c r="B597" s="28"/>
      <c r="C597" s="28"/>
      <c r="D597" s="29"/>
      <c r="E597" s="83"/>
      <c r="F597" s="29"/>
      <c r="G597" s="61"/>
    </row>
    <row r="598" spans="1:7">
      <c r="A598" s="27"/>
      <c r="B598" s="28"/>
      <c r="C598" s="28"/>
      <c r="D598" s="29"/>
      <c r="E598" s="83"/>
      <c r="F598" s="29"/>
      <c r="G598" s="61"/>
    </row>
    <row r="599" spans="1:7">
      <c r="A599" s="27"/>
      <c r="B599" s="28"/>
      <c r="C599" s="28"/>
      <c r="D599" s="29"/>
      <c r="E599" s="83"/>
      <c r="F599" s="29"/>
      <c r="G599" s="61"/>
    </row>
    <row r="600" spans="1:7">
      <c r="A600" s="27"/>
      <c r="B600" s="28"/>
      <c r="C600" s="28"/>
      <c r="D600" s="29"/>
      <c r="E600" s="83"/>
      <c r="F600" s="29"/>
      <c r="G600" s="61"/>
    </row>
    <row r="601" spans="1:7">
      <c r="A601" s="27"/>
      <c r="B601" s="28"/>
      <c r="C601" s="28"/>
      <c r="D601" s="29"/>
      <c r="E601" s="83"/>
      <c r="F601" s="29"/>
      <c r="G601" s="61"/>
    </row>
    <row r="602" spans="1:7">
      <c r="A602" s="27"/>
      <c r="B602" s="28"/>
      <c r="C602" s="28"/>
      <c r="D602" s="29"/>
      <c r="E602" s="83"/>
      <c r="F602" s="29"/>
      <c r="G602" s="61"/>
    </row>
    <row r="603" spans="1:7">
      <c r="A603" s="27"/>
      <c r="B603" s="28"/>
      <c r="C603" s="28"/>
      <c r="D603" s="29"/>
      <c r="E603" s="83"/>
      <c r="F603" s="29"/>
      <c r="G603" s="61"/>
    </row>
    <row r="604" spans="1:7">
      <c r="A604" s="27"/>
      <c r="B604" s="28"/>
      <c r="C604" s="28"/>
      <c r="D604" s="29"/>
      <c r="E604" s="83"/>
      <c r="F604" s="29"/>
      <c r="G604" s="61"/>
    </row>
    <row r="605" spans="1:7">
      <c r="A605" s="27"/>
      <c r="B605" s="28"/>
      <c r="C605" s="28"/>
      <c r="D605" s="29"/>
      <c r="E605" s="83"/>
      <c r="F605" s="29"/>
      <c r="G605" s="61"/>
    </row>
    <row r="606" spans="1:7">
      <c r="A606" s="27"/>
      <c r="B606" s="28"/>
      <c r="C606" s="28"/>
      <c r="D606" s="29"/>
      <c r="E606" s="83"/>
      <c r="F606" s="29"/>
      <c r="G606" s="61"/>
    </row>
    <row r="607" spans="1:7">
      <c r="A607" s="27"/>
      <c r="B607" s="28"/>
      <c r="C607" s="28"/>
      <c r="D607" s="29"/>
      <c r="E607" s="83"/>
      <c r="F607" s="29"/>
      <c r="G607" s="61"/>
    </row>
    <row r="608" spans="1:7">
      <c r="A608" s="27"/>
      <c r="B608" s="28"/>
      <c r="C608" s="28"/>
      <c r="D608" s="29"/>
      <c r="E608" s="83"/>
      <c r="F608" s="29"/>
      <c r="G608" s="61"/>
    </row>
    <row r="609" spans="1:7">
      <c r="A609" s="27"/>
      <c r="B609" s="28"/>
      <c r="C609" s="28"/>
      <c r="D609" s="29"/>
      <c r="E609" s="83"/>
      <c r="F609" s="29"/>
      <c r="G609" s="61"/>
    </row>
    <row r="610" spans="1:7">
      <c r="A610" s="27"/>
      <c r="B610" s="28"/>
      <c r="C610" s="28"/>
      <c r="D610" s="29"/>
      <c r="E610" s="83"/>
      <c r="F610" s="29"/>
      <c r="G610" s="61"/>
    </row>
    <row r="611" spans="1:7">
      <c r="A611" s="27"/>
      <c r="B611" s="28"/>
      <c r="C611" s="28"/>
      <c r="D611" s="29"/>
      <c r="E611" s="83"/>
      <c r="F611" s="29"/>
      <c r="G611" s="61"/>
    </row>
    <row r="612" spans="1:7">
      <c r="A612" s="27"/>
      <c r="B612" s="28"/>
      <c r="C612" s="28"/>
      <c r="D612" s="29"/>
      <c r="E612" s="83"/>
      <c r="F612" s="29"/>
      <c r="G612" s="61"/>
    </row>
    <row r="613" spans="1:7">
      <c r="A613" s="27"/>
      <c r="B613" s="28"/>
      <c r="C613" s="28"/>
      <c r="D613" s="29"/>
      <c r="E613" s="83"/>
      <c r="F613" s="29"/>
      <c r="G613" s="61"/>
    </row>
    <row r="614" spans="1:7">
      <c r="A614" s="27"/>
      <c r="B614" s="28"/>
      <c r="C614" s="28"/>
      <c r="D614" s="29"/>
      <c r="E614" s="83"/>
      <c r="F614" s="29"/>
      <c r="G614" s="61"/>
    </row>
    <row r="615" spans="1:7">
      <c r="A615" s="27"/>
      <c r="B615" s="28"/>
      <c r="C615" s="28"/>
      <c r="D615" s="29"/>
      <c r="E615" s="83"/>
      <c r="F615" s="29"/>
      <c r="G615" s="61"/>
    </row>
    <row r="616" spans="1:7">
      <c r="A616" s="27"/>
      <c r="B616" s="28"/>
      <c r="C616" s="28"/>
      <c r="D616" s="29"/>
      <c r="E616" s="83"/>
      <c r="F616" s="29"/>
      <c r="G616" s="61"/>
    </row>
    <row r="617" spans="1:7">
      <c r="A617" s="27"/>
      <c r="B617" s="28"/>
      <c r="C617" s="28"/>
      <c r="D617" s="29"/>
      <c r="E617" s="83"/>
      <c r="F617" s="29"/>
      <c r="G617" s="61"/>
    </row>
    <row r="618" spans="1:7">
      <c r="A618" s="27"/>
      <c r="B618" s="28"/>
      <c r="C618" s="28"/>
      <c r="D618" s="29"/>
      <c r="E618" s="83"/>
      <c r="F618" s="29"/>
      <c r="G618" s="61"/>
    </row>
    <row r="619" spans="1:7">
      <c r="A619" s="27"/>
      <c r="B619" s="28"/>
      <c r="C619" s="28"/>
      <c r="D619" s="29"/>
      <c r="E619" s="83"/>
      <c r="F619" s="29"/>
      <c r="G619" s="61"/>
    </row>
    <row r="620" spans="1:7">
      <c r="A620" s="27"/>
      <c r="B620" s="28"/>
      <c r="C620" s="28"/>
      <c r="D620" s="29"/>
      <c r="E620" s="83"/>
      <c r="F620" s="29"/>
      <c r="G620" s="61"/>
    </row>
    <row r="621" spans="1:7">
      <c r="A621" s="27"/>
      <c r="B621" s="28"/>
      <c r="C621" s="28"/>
      <c r="D621" s="29"/>
      <c r="E621" s="83"/>
      <c r="F621" s="29"/>
      <c r="G621" s="61"/>
    </row>
    <row r="622" spans="1:7">
      <c r="A622" s="27"/>
      <c r="B622" s="28"/>
      <c r="C622" s="28"/>
      <c r="D622" s="29"/>
      <c r="E622" s="83"/>
      <c r="F622" s="29"/>
      <c r="G622" s="61"/>
    </row>
    <row r="623" spans="1:7">
      <c r="A623" s="27"/>
      <c r="B623" s="28"/>
      <c r="C623" s="28"/>
      <c r="D623" s="29"/>
      <c r="E623" s="83"/>
      <c r="F623" s="29"/>
      <c r="G623" s="61"/>
    </row>
    <row r="624" spans="1:7">
      <c r="A624" s="27"/>
      <c r="B624" s="28"/>
      <c r="C624" s="28"/>
      <c r="D624" s="29"/>
      <c r="E624" s="83"/>
      <c r="F624" s="29"/>
      <c r="G624" s="61"/>
    </row>
    <row r="625" spans="1:7">
      <c r="A625" s="27"/>
      <c r="B625" s="28"/>
      <c r="C625" s="28"/>
      <c r="D625" s="29"/>
      <c r="E625" s="83"/>
      <c r="F625" s="29"/>
      <c r="G625" s="61"/>
    </row>
    <row r="626" spans="1:7">
      <c r="A626" s="27"/>
      <c r="B626" s="28"/>
      <c r="C626" s="28"/>
      <c r="D626" s="29"/>
      <c r="E626" s="83"/>
      <c r="F626" s="29"/>
      <c r="G626" s="61"/>
    </row>
    <row r="627" spans="1:7">
      <c r="A627" s="27"/>
      <c r="B627" s="28"/>
      <c r="C627" s="28"/>
      <c r="D627" s="29"/>
      <c r="E627" s="83"/>
      <c r="F627" s="29"/>
      <c r="G627" s="61"/>
    </row>
    <row r="628" spans="1:7">
      <c r="A628" s="27"/>
      <c r="B628" s="28"/>
      <c r="C628" s="28"/>
      <c r="D628" s="29"/>
      <c r="E628" s="83"/>
      <c r="F628" s="29"/>
      <c r="G628" s="61"/>
    </row>
    <row r="629" spans="1:7">
      <c r="A629" s="27"/>
      <c r="B629" s="28"/>
      <c r="C629" s="28"/>
      <c r="D629" s="29"/>
      <c r="E629" s="83"/>
      <c r="F629" s="29"/>
      <c r="G629" s="61"/>
    </row>
    <row r="630" spans="1:7">
      <c r="A630" s="27"/>
      <c r="B630" s="28"/>
      <c r="C630" s="28"/>
      <c r="D630" s="29"/>
      <c r="E630" s="83"/>
      <c r="F630" s="29"/>
      <c r="G630" s="61"/>
    </row>
    <row r="631" spans="1:7">
      <c r="A631" s="27"/>
      <c r="B631" s="28"/>
      <c r="C631" s="28"/>
      <c r="D631" s="29"/>
      <c r="E631" s="83"/>
      <c r="F631" s="29"/>
      <c r="G631" s="61"/>
    </row>
    <row r="632" spans="1:7">
      <c r="A632" s="27"/>
      <c r="B632" s="28"/>
      <c r="C632" s="28"/>
      <c r="D632" s="29"/>
      <c r="E632" s="83"/>
      <c r="F632" s="29"/>
      <c r="G632" s="61"/>
    </row>
    <row r="633" spans="1:7">
      <c r="A633" s="27"/>
      <c r="B633" s="28"/>
      <c r="C633" s="28"/>
      <c r="D633" s="29"/>
      <c r="E633" s="83"/>
      <c r="F633" s="29"/>
      <c r="G633" s="61"/>
    </row>
    <row r="634" spans="1:7">
      <c r="A634" s="27"/>
      <c r="B634" s="28"/>
      <c r="C634" s="28"/>
      <c r="D634" s="29"/>
      <c r="E634" s="83"/>
      <c r="F634" s="29"/>
      <c r="G634" s="61"/>
    </row>
    <row r="635" spans="1:7">
      <c r="A635" s="27"/>
      <c r="B635" s="28"/>
      <c r="C635" s="28"/>
      <c r="D635" s="29"/>
      <c r="E635" s="83"/>
      <c r="F635" s="29"/>
      <c r="G635" s="61"/>
    </row>
    <row r="636" spans="1:7">
      <c r="A636" s="27"/>
      <c r="B636" s="28"/>
      <c r="C636" s="28"/>
      <c r="D636" s="29"/>
      <c r="E636" s="83"/>
      <c r="F636" s="29"/>
      <c r="G636" s="61"/>
    </row>
    <row r="637" spans="1:7">
      <c r="A637" s="27"/>
      <c r="B637" s="28"/>
      <c r="C637" s="28"/>
      <c r="D637" s="29"/>
      <c r="E637" s="83"/>
      <c r="F637" s="29"/>
      <c r="G637" s="61"/>
    </row>
    <row r="638" spans="1:7">
      <c r="A638" s="27"/>
      <c r="B638" s="28"/>
      <c r="C638" s="28"/>
      <c r="D638" s="29"/>
      <c r="E638" s="83"/>
      <c r="F638" s="29"/>
      <c r="G638" s="61"/>
    </row>
    <row r="639" spans="1:7">
      <c r="A639" s="27"/>
      <c r="B639" s="28"/>
      <c r="C639" s="28"/>
      <c r="D639" s="29"/>
      <c r="E639" s="83"/>
      <c r="F639" s="29"/>
      <c r="G639" s="61"/>
    </row>
    <row r="640" spans="1:7">
      <c r="A640" s="27"/>
      <c r="B640" s="28"/>
      <c r="C640" s="28"/>
      <c r="D640" s="29"/>
      <c r="E640" s="83"/>
      <c r="F640" s="29"/>
      <c r="G640" s="61"/>
    </row>
    <row r="641" spans="1:7">
      <c r="A641" s="27"/>
      <c r="B641" s="28"/>
      <c r="C641" s="28"/>
      <c r="D641" s="29"/>
      <c r="E641" s="83"/>
      <c r="F641" s="29"/>
      <c r="G641" s="61"/>
    </row>
    <row r="642" spans="1:7">
      <c r="A642" s="27"/>
      <c r="B642" s="28"/>
      <c r="C642" s="28"/>
      <c r="D642" s="29"/>
      <c r="E642" s="83"/>
      <c r="F642" s="29"/>
      <c r="G642" s="61"/>
    </row>
    <row r="643" spans="1:7">
      <c r="A643" s="27"/>
      <c r="B643" s="28"/>
      <c r="C643" s="28"/>
      <c r="D643" s="29"/>
      <c r="E643" s="83"/>
      <c r="F643" s="29"/>
      <c r="G643" s="61"/>
    </row>
    <row r="644" spans="1:7">
      <c r="A644" s="27"/>
      <c r="B644" s="28"/>
      <c r="C644" s="28"/>
      <c r="D644" s="29"/>
      <c r="E644" s="83"/>
      <c r="F644" s="29"/>
      <c r="G644" s="61"/>
    </row>
    <row r="645" spans="1:7">
      <c r="A645" s="27"/>
      <c r="B645" s="28"/>
      <c r="C645" s="28"/>
      <c r="D645" s="29"/>
      <c r="E645" s="83"/>
      <c r="F645" s="29"/>
      <c r="G645" s="61"/>
    </row>
    <row r="646" spans="1:7">
      <c r="A646" s="27"/>
      <c r="B646" s="28"/>
      <c r="C646" s="28"/>
      <c r="D646" s="29"/>
      <c r="E646" s="83"/>
      <c r="F646" s="29"/>
      <c r="G646" s="61"/>
    </row>
    <row r="647" spans="1:7">
      <c r="A647" s="27"/>
      <c r="B647" s="28"/>
      <c r="C647" s="28"/>
      <c r="D647" s="29"/>
      <c r="E647" s="83"/>
      <c r="F647" s="29"/>
      <c r="G647" s="61"/>
    </row>
    <row r="648" spans="1:7">
      <c r="A648" s="27"/>
      <c r="B648" s="28"/>
      <c r="C648" s="28"/>
      <c r="D648" s="29"/>
      <c r="E648" s="83"/>
      <c r="F648" s="29"/>
      <c r="G648" s="61"/>
    </row>
    <row r="649" spans="1:7">
      <c r="A649" s="27"/>
      <c r="B649" s="28"/>
      <c r="C649" s="28"/>
      <c r="D649" s="29"/>
      <c r="E649" s="83"/>
      <c r="F649" s="29"/>
      <c r="G649" s="61"/>
    </row>
    <row r="650" spans="1:7">
      <c r="A650" s="27"/>
      <c r="B650" s="28"/>
      <c r="C650" s="28"/>
      <c r="D650" s="29"/>
      <c r="E650" s="83"/>
      <c r="F650" s="29"/>
      <c r="G650" s="61"/>
    </row>
    <row r="651" spans="1:7">
      <c r="A651" s="27"/>
      <c r="B651" s="28"/>
      <c r="C651" s="28"/>
      <c r="D651" s="29"/>
      <c r="E651" s="83"/>
      <c r="F651" s="29"/>
      <c r="G651" s="61"/>
    </row>
    <row r="652" spans="1:7">
      <c r="A652" s="27"/>
      <c r="B652" s="28"/>
      <c r="C652" s="28"/>
      <c r="D652" s="29"/>
      <c r="E652" s="83"/>
      <c r="F652" s="29"/>
      <c r="G652" s="61"/>
    </row>
    <row r="653" spans="1:7">
      <c r="A653" s="27"/>
      <c r="B653" s="28"/>
      <c r="C653" s="28"/>
      <c r="D653" s="29"/>
      <c r="E653" s="83"/>
      <c r="F653" s="29"/>
      <c r="G653" s="61"/>
    </row>
    <row r="654" spans="1:7">
      <c r="A654" s="27"/>
      <c r="B654" s="28"/>
      <c r="C654" s="28"/>
      <c r="D654" s="29"/>
      <c r="E654" s="83"/>
      <c r="F654" s="29"/>
      <c r="G654" s="61"/>
    </row>
    <row r="655" spans="1:7">
      <c r="A655" s="27"/>
      <c r="B655" s="28"/>
      <c r="C655" s="28"/>
      <c r="D655" s="29"/>
      <c r="E655" s="83"/>
      <c r="F655" s="29"/>
      <c r="G655" s="61"/>
    </row>
    <row r="656" spans="1:7">
      <c r="A656" s="27"/>
      <c r="B656" s="28"/>
      <c r="C656" s="28"/>
      <c r="D656" s="29"/>
      <c r="E656" s="83"/>
      <c r="F656" s="29"/>
      <c r="G656" s="61"/>
    </row>
    <row r="657" spans="1:7">
      <c r="A657" s="27"/>
      <c r="B657" s="28"/>
      <c r="C657" s="28"/>
      <c r="D657" s="29"/>
      <c r="E657" s="83"/>
      <c r="F657" s="29"/>
      <c r="G657" s="61"/>
    </row>
    <row r="658" spans="1:7">
      <c r="A658" s="27"/>
      <c r="B658" s="28"/>
      <c r="C658" s="28"/>
      <c r="D658" s="29"/>
      <c r="E658" s="83"/>
      <c r="F658" s="29"/>
      <c r="G658" s="61"/>
    </row>
    <row r="659" spans="1:7">
      <c r="A659" s="27"/>
      <c r="B659" s="28"/>
      <c r="C659" s="28"/>
      <c r="D659" s="29"/>
      <c r="E659" s="83"/>
      <c r="F659" s="29"/>
      <c r="G659" s="61"/>
    </row>
    <row r="660" spans="1:7">
      <c r="A660" s="27"/>
      <c r="B660" s="28"/>
      <c r="C660" s="28"/>
      <c r="D660" s="29"/>
      <c r="E660" s="83"/>
      <c r="F660" s="29"/>
      <c r="G660" s="61"/>
    </row>
    <row r="661" spans="1:7">
      <c r="A661" s="27"/>
      <c r="B661" s="28"/>
      <c r="C661" s="28"/>
      <c r="D661" s="29"/>
      <c r="E661" s="83"/>
      <c r="F661" s="29"/>
      <c r="G661" s="61"/>
    </row>
    <row r="662" spans="1:7">
      <c r="A662" s="27"/>
      <c r="B662" s="28"/>
      <c r="C662" s="28"/>
      <c r="D662" s="29"/>
      <c r="E662" s="83"/>
      <c r="F662" s="29"/>
      <c r="G662" s="61"/>
    </row>
    <row r="663" spans="1:7">
      <c r="A663" s="27"/>
      <c r="B663" s="28"/>
      <c r="C663" s="28"/>
      <c r="D663" s="29"/>
      <c r="E663" s="83"/>
      <c r="F663" s="29"/>
      <c r="G663" s="61"/>
    </row>
    <row r="664" spans="1:7">
      <c r="A664" s="27"/>
      <c r="B664" s="28"/>
      <c r="C664" s="28"/>
      <c r="D664" s="29"/>
      <c r="E664" s="83"/>
      <c r="F664" s="29"/>
      <c r="G664" s="61"/>
    </row>
    <row r="665" spans="1:7">
      <c r="A665" s="27"/>
      <c r="B665" s="28"/>
      <c r="C665" s="28"/>
      <c r="D665" s="29"/>
      <c r="E665" s="83"/>
      <c r="F665" s="29"/>
      <c r="G665" s="61"/>
    </row>
    <row r="666" spans="1:7">
      <c r="A666" s="27"/>
      <c r="B666" s="28"/>
      <c r="C666" s="28"/>
      <c r="D666" s="29"/>
      <c r="E666" s="83"/>
      <c r="F666" s="29"/>
      <c r="G666" s="61"/>
    </row>
    <row r="667" spans="1:7">
      <c r="A667" s="27"/>
      <c r="B667" s="28"/>
      <c r="C667" s="28"/>
      <c r="D667" s="29"/>
      <c r="E667" s="83"/>
      <c r="F667" s="29"/>
      <c r="G667" s="61"/>
    </row>
    <row r="668" spans="1:7">
      <c r="A668" s="27"/>
      <c r="B668" s="28"/>
      <c r="C668" s="28"/>
      <c r="D668" s="29"/>
      <c r="E668" s="83"/>
      <c r="F668" s="29"/>
      <c r="G668" s="61"/>
    </row>
    <row r="669" spans="1:7">
      <c r="A669" s="27"/>
      <c r="B669" s="28"/>
      <c r="C669" s="28"/>
      <c r="D669" s="29"/>
      <c r="E669" s="83"/>
      <c r="F669" s="29"/>
      <c r="G669" s="61"/>
    </row>
    <row r="670" spans="1:7">
      <c r="A670" s="27"/>
      <c r="B670" s="28"/>
      <c r="C670" s="28"/>
      <c r="D670" s="29"/>
      <c r="E670" s="83"/>
      <c r="F670" s="29"/>
      <c r="G670" s="61"/>
    </row>
    <row r="671" spans="1:7">
      <c r="A671" s="27"/>
      <c r="B671" s="28"/>
      <c r="C671" s="28"/>
      <c r="D671" s="29"/>
      <c r="E671" s="83"/>
      <c r="F671" s="29"/>
      <c r="G671" s="61"/>
    </row>
    <row r="672" spans="1:7">
      <c r="A672" s="27"/>
      <c r="B672" s="28"/>
      <c r="C672" s="28"/>
      <c r="D672" s="29"/>
      <c r="E672" s="83"/>
      <c r="F672" s="29"/>
      <c r="G672" s="61"/>
    </row>
    <row r="673" spans="1:7">
      <c r="A673" s="27"/>
      <c r="B673" s="28"/>
      <c r="C673" s="28"/>
      <c r="D673" s="29"/>
      <c r="E673" s="83"/>
      <c r="F673" s="29"/>
      <c r="G673" s="61"/>
    </row>
    <row r="674" spans="1:7">
      <c r="A674" s="27"/>
      <c r="B674" s="28"/>
      <c r="C674" s="28"/>
      <c r="D674" s="29"/>
      <c r="E674" s="83"/>
      <c r="F674" s="29"/>
      <c r="G674" s="61"/>
    </row>
    <row r="675" spans="1:7">
      <c r="A675" s="27"/>
      <c r="B675" s="28"/>
      <c r="C675" s="28"/>
      <c r="D675" s="29"/>
      <c r="E675" s="83"/>
      <c r="F675" s="29"/>
      <c r="G675" s="61"/>
    </row>
    <row r="676" spans="1:7">
      <c r="A676" s="27"/>
      <c r="B676" s="28"/>
      <c r="C676" s="28"/>
      <c r="D676" s="29"/>
      <c r="E676" s="83"/>
      <c r="F676" s="29"/>
      <c r="G676" s="61"/>
    </row>
    <row r="677" spans="1:7">
      <c r="A677" s="27"/>
      <c r="B677" s="28"/>
      <c r="C677" s="28"/>
      <c r="D677" s="29"/>
      <c r="E677" s="83"/>
      <c r="F677" s="29"/>
      <c r="G677" s="61"/>
    </row>
    <row r="678" spans="1:7">
      <c r="A678" s="27"/>
      <c r="B678" s="28"/>
      <c r="C678" s="28"/>
      <c r="D678" s="29"/>
      <c r="E678" s="83"/>
      <c r="F678" s="29"/>
      <c r="G678" s="61"/>
    </row>
    <row r="679" spans="1:7">
      <c r="A679" s="27"/>
      <c r="B679" s="28"/>
      <c r="C679" s="28"/>
      <c r="D679" s="29"/>
      <c r="E679" s="83"/>
      <c r="F679" s="29"/>
      <c r="G679" s="61"/>
    </row>
    <row r="680" spans="1:7">
      <c r="A680" s="27"/>
      <c r="B680" s="28"/>
      <c r="C680" s="28"/>
      <c r="D680" s="29"/>
      <c r="E680" s="83"/>
      <c r="F680" s="29"/>
      <c r="G680" s="61"/>
    </row>
    <row r="681" spans="1:7">
      <c r="A681" s="27"/>
      <c r="B681" s="28"/>
      <c r="C681" s="28"/>
      <c r="D681" s="29"/>
      <c r="E681" s="83"/>
      <c r="F681" s="29"/>
      <c r="G681" s="61"/>
    </row>
    <row r="682" spans="1:7">
      <c r="A682" s="27"/>
      <c r="B682" s="28"/>
      <c r="C682" s="28"/>
      <c r="D682" s="29"/>
      <c r="E682" s="83"/>
      <c r="F682" s="29"/>
      <c r="G682" s="61"/>
    </row>
    <row r="683" spans="1:7">
      <c r="A683" s="27"/>
      <c r="B683" s="28"/>
      <c r="C683" s="28"/>
      <c r="D683" s="29"/>
      <c r="E683" s="83"/>
      <c r="F683" s="29"/>
      <c r="G683" s="61"/>
    </row>
    <row r="684" spans="1:7">
      <c r="A684" s="27"/>
      <c r="B684" s="28"/>
      <c r="C684" s="28"/>
      <c r="D684" s="29"/>
      <c r="E684" s="83"/>
      <c r="F684" s="29"/>
      <c r="G684" s="61"/>
    </row>
    <row r="685" spans="1:7">
      <c r="A685" s="27"/>
      <c r="B685" s="28"/>
      <c r="C685" s="28"/>
      <c r="D685" s="29"/>
      <c r="E685" s="83"/>
      <c r="F685" s="29"/>
      <c r="G685" s="61"/>
    </row>
    <row r="686" spans="1:7">
      <c r="A686" s="27"/>
      <c r="B686" s="28"/>
      <c r="C686" s="28"/>
      <c r="D686" s="29"/>
      <c r="E686" s="83"/>
      <c r="F686" s="29"/>
      <c r="G686" s="61"/>
    </row>
    <row r="687" spans="1:7">
      <c r="A687" s="27"/>
      <c r="B687" s="28"/>
      <c r="C687" s="28"/>
      <c r="D687" s="29"/>
      <c r="E687" s="83"/>
      <c r="F687" s="29"/>
      <c r="G687" s="61"/>
    </row>
    <row r="688" spans="1:7">
      <c r="A688" s="27"/>
      <c r="B688" s="28"/>
      <c r="C688" s="28"/>
      <c r="D688" s="29"/>
      <c r="E688" s="83"/>
      <c r="F688" s="29"/>
      <c r="G688" s="61"/>
    </row>
    <row r="689" spans="1:7">
      <c r="A689" s="27"/>
      <c r="B689" s="28"/>
      <c r="C689" s="28"/>
      <c r="D689" s="29"/>
      <c r="E689" s="83"/>
      <c r="F689" s="29"/>
      <c r="G689" s="61"/>
    </row>
    <row r="690" spans="1:7">
      <c r="A690" s="27"/>
      <c r="B690" s="28"/>
      <c r="C690" s="28"/>
      <c r="D690" s="29"/>
      <c r="E690" s="83"/>
      <c r="F690" s="29"/>
      <c r="G690" s="61"/>
    </row>
    <row r="691" spans="1:7">
      <c r="A691" s="27"/>
      <c r="B691" s="28"/>
      <c r="C691" s="28"/>
      <c r="D691" s="29"/>
      <c r="E691" s="83"/>
      <c r="F691" s="29"/>
      <c r="G691" s="61"/>
    </row>
    <row r="692" spans="1:7">
      <c r="A692" s="27"/>
      <c r="B692" s="28"/>
      <c r="C692" s="28"/>
      <c r="D692" s="29"/>
      <c r="E692" s="83"/>
      <c r="F692" s="29"/>
      <c r="G692" s="61"/>
    </row>
    <row r="693" spans="1:7">
      <c r="A693" s="27"/>
      <c r="B693" s="28"/>
      <c r="C693" s="28"/>
      <c r="D693" s="29"/>
      <c r="E693" s="83"/>
      <c r="F693" s="29"/>
      <c r="G693" s="61"/>
    </row>
    <row r="694" spans="1:7">
      <c r="A694" s="27"/>
      <c r="B694" s="28"/>
      <c r="C694" s="28"/>
      <c r="D694" s="29"/>
      <c r="E694" s="83"/>
      <c r="F694" s="29"/>
      <c r="G694" s="61"/>
    </row>
    <row r="695" spans="1:7">
      <c r="A695" s="27"/>
      <c r="B695" s="28"/>
      <c r="C695" s="28"/>
      <c r="D695" s="29"/>
      <c r="E695" s="83"/>
      <c r="F695" s="29"/>
      <c r="G695" s="61"/>
    </row>
    <row r="696" spans="1:7">
      <c r="A696" s="27"/>
      <c r="B696" s="28"/>
      <c r="C696" s="28"/>
      <c r="D696" s="29"/>
      <c r="E696" s="83"/>
      <c r="F696" s="29"/>
      <c r="G696" s="61"/>
    </row>
    <row r="697" spans="1:7">
      <c r="A697" s="27"/>
      <c r="B697" s="28"/>
      <c r="C697" s="28"/>
      <c r="D697" s="29"/>
      <c r="E697" s="83"/>
      <c r="F697" s="29"/>
      <c r="G697" s="61"/>
    </row>
    <row r="698" spans="1:7">
      <c r="A698" s="27"/>
      <c r="B698" s="28"/>
      <c r="C698" s="28"/>
      <c r="D698" s="29"/>
      <c r="E698" s="83"/>
      <c r="F698" s="29"/>
      <c r="G698" s="61"/>
    </row>
    <row r="699" spans="1:7">
      <c r="A699" s="27"/>
      <c r="B699" s="28"/>
      <c r="C699" s="28"/>
      <c r="D699" s="29"/>
      <c r="E699" s="83"/>
      <c r="F699" s="29"/>
      <c r="G699" s="61"/>
    </row>
    <row r="700" spans="1:7">
      <c r="A700" s="27"/>
      <c r="B700" s="28"/>
      <c r="C700" s="28"/>
      <c r="D700" s="29"/>
      <c r="E700" s="83"/>
      <c r="F700" s="29"/>
      <c r="G700" s="61"/>
    </row>
    <row r="701" spans="1:7">
      <c r="A701" s="27"/>
      <c r="B701" s="28"/>
      <c r="C701" s="28"/>
      <c r="D701" s="29"/>
      <c r="E701" s="83"/>
      <c r="F701" s="29"/>
      <c r="G701" s="61"/>
    </row>
    <row r="702" spans="1:7">
      <c r="A702" s="27"/>
      <c r="B702" s="28"/>
      <c r="C702" s="28"/>
      <c r="D702" s="29"/>
      <c r="E702" s="83"/>
      <c r="F702" s="29"/>
      <c r="G702" s="61"/>
    </row>
    <row r="703" spans="1:7">
      <c r="A703" s="27"/>
      <c r="B703" s="28"/>
      <c r="C703" s="28"/>
      <c r="D703" s="29"/>
      <c r="E703" s="83"/>
      <c r="F703" s="29"/>
      <c r="G703" s="61"/>
    </row>
    <row r="704" spans="1:7">
      <c r="A704" s="27"/>
      <c r="B704" s="28"/>
      <c r="C704" s="28"/>
      <c r="D704" s="29"/>
      <c r="E704" s="83"/>
      <c r="F704" s="29"/>
      <c r="G704" s="61"/>
    </row>
    <row r="705" spans="1:7">
      <c r="A705" s="27"/>
      <c r="B705" s="28"/>
      <c r="C705" s="28"/>
      <c r="D705" s="29"/>
      <c r="E705" s="83"/>
      <c r="F705" s="29"/>
      <c r="G705" s="61"/>
    </row>
    <row r="706" spans="1:7">
      <c r="A706" s="27"/>
      <c r="B706" s="28"/>
      <c r="C706" s="28"/>
      <c r="D706" s="29"/>
      <c r="E706" s="83"/>
      <c r="F706" s="29"/>
      <c r="G706" s="61"/>
    </row>
    <row r="707" spans="1:7">
      <c r="A707" s="27"/>
      <c r="B707" s="28"/>
      <c r="C707" s="28"/>
      <c r="D707" s="29"/>
      <c r="E707" s="83"/>
      <c r="F707" s="29"/>
      <c r="G707" s="61"/>
    </row>
    <row r="708" spans="1:7">
      <c r="A708" s="27"/>
      <c r="B708" s="28"/>
      <c r="C708" s="28"/>
      <c r="D708" s="29"/>
      <c r="E708" s="83"/>
      <c r="F708" s="29"/>
      <c r="G708" s="61"/>
    </row>
    <row r="709" spans="1:7">
      <c r="A709" s="27"/>
      <c r="B709" s="28"/>
      <c r="C709" s="28"/>
      <c r="D709" s="29"/>
      <c r="E709" s="83"/>
      <c r="F709" s="29"/>
      <c r="G709" s="61"/>
    </row>
    <row r="710" spans="1:7">
      <c r="A710" s="27"/>
      <c r="B710" s="28"/>
      <c r="C710" s="28"/>
      <c r="D710" s="29"/>
      <c r="E710" s="83"/>
      <c r="F710" s="29"/>
      <c r="G710" s="61"/>
    </row>
    <row r="711" spans="1:7">
      <c r="A711" s="27"/>
      <c r="B711" s="28"/>
      <c r="C711" s="28"/>
      <c r="D711" s="29"/>
      <c r="E711" s="83"/>
      <c r="F711" s="29"/>
      <c r="G711" s="61"/>
    </row>
    <row r="712" spans="1:7">
      <c r="A712" s="27"/>
      <c r="B712" s="28"/>
      <c r="C712" s="28"/>
      <c r="D712" s="29"/>
      <c r="E712" s="83"/>
      <c r="F712" s="29"/>
      <c r="G712" s="61"/>
    </row>
    <row r="713" spans="1:7">
      <c r="A713" s="27"/>
      <c r="B713" s="28"/>
      <c r="C713" s="28"/>
      <c r="D713" s="29"/>
      <c r="E713" s="83"/>
      <c r="F713" s="29"/>
      <c r="G713" s="61"/>
    </row>
    <row r="714" spans="1:7">
      <c r="A714" s="27"/>
      <c r="B714" s="28"/>
      <c r="C714" s="28"/>
      <c r="D714" s="29"/>
      <c r="E714" s="83"/>
      <c r="F714" s="29"/>
      <c r="G714" s="61"/>
    </row>
    <row r="715" spans="1:7">
      <c r="A715" s="27"/>
      <c r="B715" s="28"/>
      <c r="C715" s="28"/>
      <c r="D715" s="29"/>
      <c r="E715" s="83"/>
      <c r="F715" s="29"/>
      <c r="G715" s="61"/>
    </row>
    <row r="716" spans="1:7">
      <c r="A716" s="27"/>
      <c r="B716" s="28"/>
      <c r="C716" s="28"/>
      <c r="D716" s="29"/>
      <c r="E716" s="83"/>
      <c r="F716" s="29"/>
      <c r="G716" s="61"/>
    </row>
    <row r="717" spans="1:7">
      <c r="A717" s="27"/>
      <c r="B717" s="28"/>
      <c r="C717" s="28"/>
      <c r="D717" s="29"/>
      <c r="E717" s="83"/>
      <c r="F717" s="29"/>
      <c r="G717" s="61"/>
    </row>
    <row r="718" spans="1:7">
      <c r="A718" s="27"/>
      <c r="B718" s="28"/>
      <c r="C718" s="28"/>
      <c r="D718" s="29"/>
      <c r="E718" s="83"/>
      <c r="F718" s="29"/>
      <c r="G718" s="61"/>
    </row>
    <row r="719" spans="1:7">
      <c r="A719" s="27"/>
      <c r="B719" s="28"/>
      <c r="C719" s="28"/>
      <c r="D719" s="29"/>
      <c r="E719" s="83"/>
      <c r="F719" s="29"/>
      <c r="G719" s="61"/>
    </row>
    <row r="720" spans="1:7">
      <c r="A720" s="27"/>
      <c r="B720" s="28"/>
      <c r="C720" s="28"/>
      <c r="D720" s="29"/>
      <c r="E720" s="83"/>
      <c r="F720" s="29"/>
      <c r="G720" s="61"/>
    </row>
    <row r="721" spans="1:7">
      <c r="A721" s="27"/>
      <c r="B721" s="28"/>
      <c r="C721" s="28"/>
      <c r="D721" s="29"/>
      <c r="E721" s="83"/>
      <c r="F721" s="29"/>
      <c r="G721" s="61"/>
    </row>
    <row r="722" spans="1:7">
      <c r="A722" s="27"/>
      <c r="B722" s="28"/>
      <c r="C722" s="28"/>
      <c r="D722" s="29"/>
      <c r="E722" s="83"/>
      <c r="F722" s="29"/>
      <c r="G722" s="61"/>
    </row>
    <row r="723" spans="1:7">
      <c r="A723" s="27"/>
      <c r="B723" s="28"/>
      <c r="C723" s="28"/>
      <c r="D723" s="29"/>
      <c r="E723" s="83"/>
      <c r="F723" s="29"/>
      <c r="G723" s="61"/>
    </row>
    <row r="724" spans="1:7">
      <c r="A724" s="27"/>
      <c r="B724" s="28"/>
      <c r="C724" s="28"/>
      <c r="D724" s="29"/>
      <c r="E724" s="83"/>
      <c r="F724" s="29"/>
      <c r="G724" s="61"/>
    </row>
    <row r="725" spans="1:7">
      <c r="A725" s="27"/>
      <c r="B725" s="28"/>
      <c r="C725" s="28"/>
      <c r="D725" s="29"/>
      <c r="E725" s="83"/>
      <c r="F725" s="29"/>
      <c r="G725" s="61"/>
    </row>
    <row r="726" spans="1:7">
      <c r="A726" s="27"/>
      <c r="B726" s="28"/>
      <c r="C726" s="28"/>
      <c r="D726" s="29"/>
      <c r="E726" s="83"/>
      <c r="F726" s="29"/>
      <c r="G726" s="61"/>
    </row>
    <row r="727" spans="1:7">
      <c r="A727" s="27"/>
      <c r="B727" s="28"/>
      <c r="C727" s="28"/>
      <c r="D727" s="29"/>
      <c r="E727" s="83"/>
      <c r="F727" s="29"/>
      <c r="G727" s="61"/>
    </row>
    <row r="728" spans="1:7">
      <c r="A728" s="27"/>
      <c r="B728" s="28"/>
      <c r="C728" s="28"/>
      <c r="D728" s="29"/>
      <c r="E728" s="83"/>
      <c r="F728" s="29"/>
      <c r="G728" s="61"/>
    </row>
    <row r="729" spans="1:7">
      <c r="A729" s="27"/>
      <c r="B729" s="28"/>
      <c r="C729" s="28"/>
      <c r="D729" s="29"/>
      <c r="E729" s="83"/>
      <c r="F729" s="29"/>
      <c r="G729" s="61"/>
    </row>
    <row r="730" spans="1:7">
      <c r="A730" s="27"/>
      <c r="B730" s="28"/>
      <c r="C730" s="28"/>
      <c r="D730" s="29"/>
      <c r="E730" s="83"/>
      <c r="F730" s="29"/>
      <c r="G730" s="61"/>
    </row>
    <row r="731" spans="1:7">
      <c r="A731" s="27"/>
      <c r="B731" s="28"/>
      <c r="C731" s="28"/>
      <c r="D731" s="29"/>
      <c r="E731" s="83"/>
      <c r="F731" s="29"/>
      <c r="G731" s="61"/>
    </row>
    <row r="732" spans="1:7">
      <c r="A732" s="27"/>
      <c r="B732" s="28"/>
      <c r="C732" s="28"/>
      <c r="D732" s="29"/>
      <c r="E732" s="83"/>
      <c r="F732" s="29"/>
      <c r="G732" s="61"/>
    </row>
    <row r="733" spans="1:7">
      <c r="A733" s="27"/>
      <c r="B733" s="28"/>
      <c r="C733" s="28"/>
      <c r="D733" s="29"/>
      <c r="E733" s="83"/>
      <c r="F733" s="29"/>
      <c r="G733" s="61"/>
    </row>
    <row r="734" spans="1:7">
      <c r="A734" s="27"/>
      <c r="B734" s="28"/>
      <c r="C734" s="28"/>
      <c r="D734" s="29"/>
      <c r="E734" s="83"/>
      <c r="F734" s="29"/>
      <c r="G734" s="61"/>
    </row>
    <row r="735" spans="1:7">
      <c r="A735" s="27"/>
      <c r="B735" s="28"/>
      <c r="C735" s="28"/>
      <c r="D735" s="29"/>
      <c r="E735" s="83"/>
      <c r="F735" s="29"/>
      <c r="G735" s="61"/>
    </row>
    <row r="736" spans="1:7">
      <c r="A736" s="27"/>
      <c r="B736" s="28"/>
      <c r="C736" s="28"/>
      <c r="D736" s="29"/>
      <c r="E736" s="83"/>
      <c r="F736" s="29"/>
      <c r="G736" s="61"/>
    </row>
    <row r="737" spans="1:7">
      <c r="A737" s="27"/>
      <c r="B737" s="28"/>
      <c r="C737" s="28"/>
      <c r="D737" s="29"/>
      <c r="E737" s="83"/>
      <c r="F737" s="29"/>
      <c r="G737" s="61"/>
    </row>
    <row r="738" spans="1:7">
      <c r="A738" s="27"/>
      <c r="B738" s="28"/>
      <c r="C738" s="28"/>
      <c r="D738" s="29"/>
      <c r="E738" s="83"/>
      <c r="F738" s="29"/>
      <c r="G738" s="61"/>
    </row>
    <row r="739" spans="1:7">
      <c r="A739" s="27"/>
      <c r="B739" s="28"/>
      <c r="C739" s="28"/>
      <c r="D739" s="29"/>
      <c r="E739" s="83"/>
      <c r="F739" s="29"/>
      <c r="G739" s="61"/>
    </row>
    <row r="740" spans="1:7">
      <c r="A740" s="27"/>
      <c r="B740" s="28"/>
      <c r="C740" s="28"/>
      <c r="D740" s="29"/>
      <c r="E740" s="83"/>
      <c r="F740" s="29"/>
      <c r="G740" s="61"/>
    </row>
    <row r="741" spans="1:7">
      <c r="A741" s="27"/>
      <c r="B741" s="28"/>
      <c r="C741" s="28"/>
      <c r="D741" s="29"/>
      <c r="E741" s="83"/>
      <c r="F741" s="29"/>
      <c r="G741" s="61"/>
    </row>
    <row r="742" spans="1:7">
      <c r="A742" s="27"/>
      <c r="B742" s="28"/>
      <c r="C742" s="28"/>
      <c r="D742" s="29"/>
      <c r="E742" s="83"/>
      <c r="F742" s="29"/>
      <c r="G742" s="61"/>
    </row>
    <row r="743" spans="1:7">
      <c r="A743" s="27"/>
      <c r="B743" s="28"/>
      <c r="C743" s="28"/>
      <c r="D743" s="29"/>
      <c r="E743" s="83"/>
      <c r="F743" s="29"/>
      <c r="G743" s="61"/>
    </row>
    <row r="744" spans="1:7">
      <c r="A744" s="27"/>
      <c r="B744" s="28"/>
      <c r="C744" s="28"/>
      <c r="D744" s="29"/>
      <c r="E744" s="83"/>
      <c r="F744" s="29"/>
      <c r="G744" s="61"/>
    </row>
    <row r="745" spans="1:7">
      <c r="A745" s="27"/>
      <c r="B745" s="28"/>
      <c r="C745" s="28"/>
      <c r="D745" s="29"/>
      <c r="E745" s="83"/>
      <c r="F745" s="29"/>
      <c r="G745" s="61"/>
    </row>
    <row r="746" spans="1:7">
      <c r="A746" s="27"/>
      <c r="B746" s="28"/>
      <c r="C746" s="28"/>
      <c r="D746" s="29"/>
      <c r="E746" s="83"/>
      <c r="F746" s="29"/>
      <c r="G746" s="61"/>
    </row>
    <row r="747" spans="1:7">
      <c r="A747" s="27"/>
      <c r="B747" s="28"/>
      <c r="C747" s="28"/>
      <c r="D747" s="29"/>
      <c r="E747" s="83"/>
      <c r="F747" s="29"/>
      <c r="G747" s="61"/>
    </row>
    <row r="748" spans="1:7">
      <c r="A748" s="27"/>
      <c r="B748" s="28"/>
      <c r="C748" s="28"/>
      <c r="D748" s="29"/>
      <c r="E748" s="83"/>
      <c r="F748" s="29"/>
      <c r="G748" s="61"/>
    </row>
    <row r="749" spans="1:7">
      <c r="A749" s="27"/>
      <c r="B749" s="28"/>
      <c r="C749" s="28"/>
      <c r="D749" s="29"/>
      <c r="E749" s="83"/>
      <c r="F749" s="29"/>
      <c r="G749" s="61"/>
    </row>
    <row r="750" spans="1:7">
      <c r="A750" s="27"/>
      <c r="B750" s="28"/>
      <c r="C750" s="28"/>
      <c r="D750" s="29"/>
      <c r="E750" s="83"/>
      <c r="F750" s="29"/>
      <c r="G750" s="61"/>
    </row>
    <row r="751" spans="1:7">
      <c r="A751" s="27"/>
      <c r="B751" s="28"/>
      <c r="C751" s="28"/>
      <c r="D751" s="29"/>
      <c r="E751" s="83"/>
      <c r="F751" s="29"/>
      <c r="G751" s="61"/>
    </row>
    <row r="752" spans="1:7">
      <c r="A752" s="27"/>
      <c r="B752" s="28"/>
      <c r="C752" s="28"/>
      <c r="D752" s="29"/>
      <c r="E752" s="83"/>
      <c r="F752" s="29"/>
      <c r="G752" s="61"/>
    </row>
    <row r="753" spans="1:7">
      <c r="A753" s="27"/>
      <c r="B753" s="28"/>
      <c r="C753" s="28"/>
      <c r="D753" s="29"/>
      <c r="E753" s="83"/>
      <c r="F753" s="29"/>
      <c r="G753" s="61"/>
    </row>
    <row r="754" spans="1:7">
      <c r="A754" s="27"/>
      <c r="B754" s="28"/>
      <c r="C754" s="28"/>
      <c r="D754" s="29"/>
      <c r="E754" s="83"/>
      <c r="F754" s="29"/>
      <c r="G754" s="61"/>
    </row>
    <row r="755" spans="1:7">
      <c r="A755" s="27"/>
      <c r="B755" s="28"/>
      <c r="C755" s="28"/>
      <c r="D755" s="29"/>
      <c r="E755" s="83"/>
      <c r="F755" s="29"/>
      <c r="G755" s="61"/>
    </row>
    <row r="756" spans="1:7">
      <c r="A756" s="27"/>
      <c r="B756" s="28"/>
      <c r="C756" s="28"/>
      <c r="D756" s="29"/>
      <c r="E756" s="83"/>
      <c r="F756" s="29"/>
      <c r="G756" s="61"/>
    </row>
    <row r="757" spans="1:7">
      <c r="A757" s="27"/>
      <c r="B757" s="28"/>
      <c r="C757" s="28"/>
      <c r="D757" s="29"/>
      <c r="E757" s="83"/>
      <c r="F757" s="29"/>
      <c r="G757" s="61"/>
    </row>
    <row r="758" spans="1:7">
      <c r="A758" s="27"/>
      <c r="B758" s="28"/>
      <c r="C758" s="28"/>
      <c r="D758" s="29"/>
      <c r="E758" s="83"/>
      <c r="F758" s="29"/>
      <c r="G758" s="61"/>
    </row>
    <row r="759" spans="1:7">
      <c r="A759" s="27"/>
      <c r="B759" s="28"/>
      <c r="C759" s="28"/>
      <c r="D759" s="29"/>
      <c r="E759" s="83"/>
      <c r="F759" s="29"/>
      <c r="G759" s="61"/>
    </row>
    <row r="760" spans="1:7">
      <c r="A760" s="27"/>
      <c r="B760" s="28"/>
      <c r="C760" s="28"/>
      <c r="D760" s="29"/>
      <c r="E760" s="83"/>
      <c r="F760" s="29"/>
      <c r="G760" s="61"/>
    </row>
    <row r="761" spans="1:7">
      <c r="A761" s="27"/>
      <c r="B761" s="28"/>
      <c r="C761" s="28"/>
      <c r="D761" s="29"/>
      <c r="E761" s="83"/>
      <c r="F761" s="29"/>
      <c r="G761" s="61"/>
    </row>
    <row r="762" spans="1:7">
      <c r="A762" s="27"/>
      <c r="B762" s="28"/>
      <c r="C762" s="28"/>
      <c r="D762" s="29"/>
      <c r="E762" s="83"/>
      <c r="F762" s="29"/>
      <c r="G762" s="61"/>
    </row>
    <row r="763" spans="1:7">
      <c r="A763" s="27"/>
      <c r="B763" s="28"/>
      <c r="C763" s="28"/>
      <c r="D763" s="29"/>
      <c r="E763" s="83"/>
      <c r="F763" s="29"/>
      <c r="G763" s="61"/>
    </row>
    <row r="764" spans="1:7">
      <c r="A764" s="27"/>
      <c r="B764" s="28"/>
      <c r="C764" s="28"/>
      <c r="D764" s="29"/>
      <c r="E764" s="83"/>
      <c r="F764" s="29"/>
      <c r="G764" s="61"/>
    </row>
    <row r="765" spans="1:7">
      <c r="A765" s="27"/>
      <c r="B765" s="28"/>
      <c r="C765" s="28"/>
      <c r="D765" s="29"/>
      <c r="E765" s="83"/>
      <c r="F765" s="29"/>
      <c r="G765" s="61"/>
    </row>
    <row r="766" spans="1:7">
      <c r="A766" s="27"/>
      <c r="B766" s="28"/>
      <c r="C766" s="28"/>
      <c r="D766" s="29"/>
      <c r="E766" s="83"/>
      <c r="F766" s="29"/>
      <c r="G766" s="61"/>
    </row>
    <row r="767" spans="1:7">
      <c r="A767" s="27"/>
      <c r="B767" s="28"/>
      <c r="C767" s="28"/>
      <c r="D767" s="29"/>
      <c r="E767" s="83"/>
      <c r="F767" s="29"/>
      <c r="G767" s="61"/>
    </row>
    <row r="768" spans="1:7">
      <c r="A768" s="27"/>
      <c r="B768" s="28"/>
      <c r="C768" s="28"/>
      <c r="D768" s="29"/>
      <c r="E768" s="83"/>
      <c r="F768" s="29"/>
      <c r="G768" s="61"/>
    </row>
    <row r="769" spans="1:7">
      <c r="A769" s="27"/>
      <c r="B769" s="28"/>
      <c r="C769" s="28"/>
      <c r="D769" s="29"/>
      <c r="E769" s="83"/>
      <c r="F769" s="29"/>
      <c r="G769" s="61"/>
    </row>
    <row r="770" spans="1:7">
      <c r="A770" s="27"/>
      <c r="B770" s="28"/>
      <c r="C770" s="28"/>
      <c r="D770" s="29"/>
      <c r="E770" s="83"/>
      <c r="F770" s="29"/>
      <c r="G770" s="61"/>
    </row>
    <row r="771" spans="1:7">
      <c r="A771" s="27"/>
      <c r="B771" s="28"/>
      <c r="C771" s="28"/>
      <c r="D771" s="29"/>
      <c r="E771" s="83"/>
      <c r="F771" s="29"/>
      <c r="G771" s="61"/>
    </row>
    <row r="772" spans="1:7">
      <c r="A772" s="27"/>
      <c r="B772" s="28"/>
      <c r="C772" s="28"/>
      <c r="D772" s="29"/>
      <c r="E772" s="83"/>
      <c r="F772" s="29"/>
      <c r="G772" s="61"/>
    </row>
    <row r="773" spans="1:7">
      <c r="A773" s="27"/>
      <c r="B773" s="28"/>
      <c r="C773" s="28"/>
      <c r="D773" s="29"/>
      <c r="E773" s="83"/>
      <c r="F773" s="29"/>
      <c r="G773" s="61"/>
    </row>
    <row r="774" spans="1:7">
      <c r="A774" s="27"/>
      <c r="B774" s="28"/>
      <c r="C774" s="28"/>
      <c r="D774" s="29"/>
      <c r="E774" s="83"/>
      <c r="F774" s="29"/>
      <c r="G774" s="61"/>
    </row>
    <row r="775" spans="1:7">
      <c r="A775" s="27"/>
      <c r="B775" s="28"/>
      <c r="C775" s="28"/>
      <c r="D775" s="29"/>
      <c r="E775" s="83"/>
      <c r="F775" s="29"/>
      <c r="G775" s="61"/>
    </row>
    <row r="776" spans="1:7">
      <c r="A776" s="27"/>
      <c r="B776" s="28"/>
      <c r="C776" s="28"/>
      <c r="D776" s="29"/>
      <c r="E776" s="83"/>
      <c r="F776" s="29"/>
      <c r="G776" s="61"/>
    </row>
    <row r="777" spans="1:7">
      <c r="A777" s="27"/>
      <c r="B777" s="28"/>
      <c r="C777" s="28"/>
      <c r="D777" s="29"/>
      <c r="E777" s="83"/>
      <c r="F777" s="29"/>
      <c r="G777" s="61"/>
    </row>
    <row r="778" spans="1:7">
      <c r="A778" s="27"/>
      <c r="B778" s="28"/>
      <c r="C778" s="28"/>
      <c r="D778" s="29"/>
      <c r="E778" s="83"/>
      <c r="F778" s="29"/>
      <c r="G778" s="61"/>
    </row>
    <row r="779" spans="1:7">
      <c r="A779" s="27"/>
      <c r="B779" s="28"/>
      <c r="C779" s="28"/>
      <c r="D779" s="29"/>
      <c r="E779" s="83"/>
      <c r="F779" s="29"/>
      <c r="G779" s="61"/>
    </row>
    <row r="780" spans="1:7">
      <c r="A780" s="27"/>
      <c r="B780" s="28"/>
      <c r="C780" s="28"/>
      <c r="D780" s="29"/>
      <c r="E780" s="83"/>
      <c r="F780" s="29"/>
      <c r="G780" s="61"/>
    </row>
    <row r="781" spans="1:7">
      <c r="A781" s="27"/>
      <c r="B781" s="28"/>
      <c r="C781" s="28"/>
      <c r="D781" s="29"/>
      <c r="E781" s="83"/>
      <c r="F781" s="29"/>
      <c r="G781" s="61"/>
    </row>
    <row r="782" spans="1:7">
      <c r="A782" s="27"/>
      <c r="B782" s="28"/>
      <c r="C782" s="28"/>
      <c r="D782" s="29"/>
      <c r="E782" s="83"/>
      <c r="F782" s="29"/>
      <c r="G782" s="61"/>
    </row>
    <row r="783" spans="1:7">
      <c r="A783" s="27"/>
      <c r="B783" s="28"/>
      <c r="C783" s="28"/>
      <c r="D783" s="29"/>
      <c r="E783" s="83"/>
      <c r="F783" s="29"/>
      <c r="G783" s="61"/>
    </row>
    <row r="784" spans="1:7">
      <c r="A784" s="27"/>
      <c r="B784" s="28"/>
      <c r="C784" s="28"/>
      <c r="D784" s="29"/>
      <c r="E784" s="83"/>
      <c r="F784" s="29"/>
      <c r="G784" s="61"/>
    </row>
    <row r="785" spans="1:7">
      <c r="A785" s="27"/>
      <c r="B785" s="28"/>
      <c r="C785" s="28"/>
      <c r="D785" s="29"/>
      <c r="E785" s="83"/>
      <c r="F785" s="29"/>
      <c r="G785" s="61"/>
    </row>
    <row r="786" spans="1:7">
      <c r="A786" s="27"/>
      <c r="B786" s="28"/>
      <c r="C786" s="28"/>
      <c r="D786" s="29"/>
      <c r="E786" s="83"/>
      <c r="F786" s="29"/>
      <c r="G786" s="61"/>
    </row>
    <row r="787" spans="1:7">
      <c r="A787" s="27"/>
      <c r="B787" s="28"/>
      <c r="C787" s="28"/>
      <c r="D787" s="29"/>
      <c r="E787" s="83"/>
      <c r="F787" s="29"/>
      <c r="G787" s="61"/>
    </row>
    <row r="788" spans="1:7">
      <c r="A788" s="27"/>
      <c r="B788" s="28"/>
      <c r="C788" s="28"/>
      <c r="D788" s="29"/>
      <c r="E788" s="83"/>
      <c r="F788" s="29"/>
      <c r="G788" s="61"/>
    </row>
    <row r="789" spans="1:7">
      <c r="A789" s="27"/>
      <c r="B789" s="28"/>
      <c r="C789" s="28"/>
      <c r="D789" s="29"/>
      <c r="E789" s="83"/>
      <c r="F789" s="29"/>
      <c r="G789" s="61"/>
    </row>
    <row r="790" spans="1:7">
      <c r="A790" s="27"/>
      <c r="B790" s="28"/>
      <c r="C790" s="28"/>
      <c r="D790" s="29"/>
      <c r="E790" s="83"/>
      <c r="F790" s="29"/>
      <c r="G790" s="61"/>
    </row>
    <row r="791" spans="1:7">
      <c r="A791" s="27"/>
      <c r="B791" s="28"/>
      <c r="C791" s="28"/>
      <c r="D791" s="29"/>
      <c r="E791" s="83"/>
      <c r="F791" s="29"/>
      <c r="G791" s="61"/>
    </row>
    <row r="792" spans="1:7">
      <c r="A792" s="27"/>
      <c r="B792" s="28"/>
      <c r="C792" s="28"/>
      <c r="D792" s="29"/>
      <c r="E792" s="83"/>
      <c r="F792" s="29"/>
      <c r="G792" s="61"/>
    </row>
    <row r="793" spans="1:7">
      <c r="A793" s="27"/>
      <c r="B793" s="28"/>
      <c r="C793" s="28"/>
      <c r="D793" s="29"/>
      <c r="E793" s="83"/>
      <c r="F793" s="29"/>
      <c r="G793" s="61"/>
    </row>
    <row r="794" spans="1:7">
      <c r="A794" s="27"/>
      <c r="B794" s="28"/>
      <c r="C794" s="28"/>
      <c r="D794" s="29"/>
      <c r="E794" s="83"/>
      <c r="F794" s="29"/>
      <c r="G794" s="61"/>
    </row>
    <row r="795" spans="1:7">
      <c r="A795" s="27"/>
      <c r="B795" s="28"/>
      <c r="C795" s="28"/>
      <c r="D795" s="29"/>
      <c r="E795" s="83"/>
      <c r="F795" s="29"/>
      <c r="G795" s="61"/>
    </row>
    <row r="796" spans="1:7">
      <c r="A796" s="27"/>
      <c r="B796" s="28"/>
      <c r="C796" s="28"/>
      <c r="D796" s="29"/>
      <c r="E796" s="83"/>
      <c r="F796" s="29"/>
      <c r="G796" s="61"/>
    </row>
    <row r="797" spans="1:7">
      <c r="A797" s="27"/>
      <c r="B797" s="28"/>
      <c r="C797" s="28"/>
      <c r="D797" s="29"/>
      <c r="E797" s="83"/>
      <c r="F797" s="29"/>
      <c r="G797" s="61"/>
    </row>
    <row r="798" spans="1:7">
      <c r="A798" s="27"/>
      <c r="B798" s="28"/>
      <c r="C798" s="28"/>
      <c r="D798" s="29"/>
      <c r="E798" s="83"/>
      <c r="F798" s="29"/>
      <c r="G798" s="61"/>
    </row>
    <row r="799" spans="1:7">
      <c r="A799" s="27"/>
      <c r="B799" s="28"/>
      <c r="C799" s="28"/>
      <c r="D799" s="29"/>
      <c r="E799" s="83"/>
      <c r="F799" s="29"/>
      <c r="G799" s="61"/>
    </row>
    <row r="800" spans="1:7">
      <c r="A800" s="27"/>
      <c r="B800" s="28"/>
      <c r="C800" s="28"/>
      <c r="D800" s="29"/>
      <c r="E800" s="83"/>
      <c r="F800" s="29"/>
      <c r="G800" s="61"/>
    </row>
    <row r="801" spans="1:7">
      <c r="A801" s="27"/>
      <c r="B801" s="28"/>
      <c r="C801" s="28"/>
      <c r="D801" s="29"/>
      <c r="E801" s="83"/>
      <c r="F801" s="29"/>
      <c r="G801" s="61"/>
    </row>
    <row r="802" spans="1:7">
      <c r="A802" s="27"/>
      <c r="B802" s="28"/>
      <c r="C802" s="28"/>
      <c r="D802" s="29"/>
      <c r="E802" s="83"/>
      <c r="F802" s="29"/>
      <c r="G802" s="61"/>
    </row>
    <row r="803" spans="1:7">
      <c r="A803" s="27"/>
      <c r="B803" s="28"/>
      <c r="C803" s="28"/>
      <c r="D803" s="29"/>
      <c r="E803" s="83"/>
      <c r="F803" s="29"/>
      <c r="G803" s="61"/>
    </row>
    <row r="804" spans="1:7">
      <c r="A804" s="27"/>
      <c r="B804" s="28"/>
      <c r="C804" s="28"/>
      <c r="D804" s="29"/>
      <c r="E804" s="83"/>
      <c r="F804" s="29"/>
      <c r="G804" s="61"/>
    </row>
    <row r="805" spans="1:7">
      <c r="A805" s="27"/>
      <c r="B805" s="28"/>
      <c r="C805" s="28"/>
      <c r="D805" s="29"/>
      <c r="E805" s="83"/>
      <c r="F805" s="29"/>
      <c r="G805" s="61"/>
    </row>
    <row r="806" spans="1:7">
      <c r="A806" s="27"/>
      <c r="B806" s="28"/>
      <c r="C806" s="28"/>
      <c r="D806" s="29"/>
      <c r="E806" s="83"/>
      <c r="F806" s="29"/>
      <c r="G806" s="61"/>
    </row>
    <row r="807" spans="1:7">
      <c r="A807" s="27"/>
      <c r="B807" s="28"/>
      <c r="C807" s="28"/>
      <c r="D807" s="29"/>
      <c r="E807" s="83"/>
      <c r="F807" s="29"/>
      <c r="G807" s="61"/>
    </row>
    <row r="808" spans="1:7">
      <c r="A808" s="27"/>
      <c r="B808" s="28"/>
      <c r="C808" s="28"/>
      <c r="D808" s="29"/>
      <c r="E808" s="83"/>
      <c r="F808" s="29"/>
      <c r="G808" s="61"/>
    </row>
    <row r="809" spans="1:7">
      <c r="A809" s="27"/>
      <c r="B809" s="28"/>
      <c r="C809" s="28"/>
      <c r="D809" s="29"/>
      <c r="E809" s="83"/>
      <c r="F809" s="29"/>
      <c r="G809" s="61"/>
    </row>
    <row r="810" spans="1:7">
      <c r="A810" s="27"/>
      <c r="B810" s="28"/>
      <c r="C810" s="28"/>
      <c r="D810" s="29"/>
      <c r="E810" s="83"/>
      <c r="F810" s="29"/>
      <c r="G810" s="61"/>
    </row>
  </sheetData>
  <mergeCells count="5">
    <mergeCell ref="A1:J1"/>
    <mergeCell ref="A30:J30"/>
    <mergeCell ref="B31:J31"/>
    <mergeCell ref="B32:J32"/>
    <mergeCell ref="B33:D33"/>
  </mergeCells>
  <pageMargins left="0.7" right="0.7" top="0.75" bottom="0.75" header="0.3" footer="0.3"/>
  <pageSetup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Q810"/>
  <sheetViews>
    <sheetView view="pageBreakPreview" zoomScale="60" zoomScaleNormal="100" workbookViewId="0">
      <pane ySplit="2" topLeftCell="A26" activePane="bottomLeft" state="frozen"/>
      <selection pane="bottomLeft" activeCell="B44" sqref="B44"/>
    </sheetView>
  </sheetViews>
  <sheetFormatPr defaultColWidth="9.08984375" defaultRowHeight="12.5"/>
  <cols>
    <col min="1" max="1" width="6.90625" style="41" customWidth="1"/>
    <col min="2" max="2" width="53.6328125" style="42" customWidth="1"/>
    <col min="3" max="3" width="9" style="42" customWidth="1"/>
    <col min="4" max="4" width="6.08984375" style="43" customWidth="1"/>
    <col min="5" max="5" width="7.81640625" style="59" customWidth="1"/>
    <col min="6" max="6" width="8.6328125" style="61" customWidth="1"/>
    <col min="7" max="7" width="12" style="61" customWidth="1"/>
    <col min="8" max="8" width="17.453125" customWidth="1"/>
    <col min="9" max="9" width="36.90625" customWidth="1"/>
  </cols>
  <sheetData>
    <row r="1" spans="1:10" s="22" customFormat="1" ht="20">
      <c r="A1" s="1299" t="s">
        <v>1751</v>
      </c>
      <c r="B1" s="1300"/>
      <c r="C1" s="1300"/>
      <c r="D1" s="1300"/>
      <c r="E1" s="1300"/>
      <c r="F1" s="1300"/>
      <c r="G1" s="1300"/>
      <c r="H1" s="1301"/>
    </row>
    <row r="2" spans="1:10" s="22" customFormat="1" ht="46.5">
      <c r="A2" s="63" t="s">
        <v>1752</v>
      </c>
      <c r="B2" s="63" t="s">
        <v>1753</v>
      </c>
      <c r="C2" s="64" t="s">
        <v>1754</v>
      </c>
      <c r="D2" s="64" t="s">
        <v>1755</v>
      </c>
      <c r="E2" s="64" t="s">
        <v>1728</v>
      </c>
      <c r="F2" s="64" t="s">
        <v>1855</v>
      </c>
      <c r="G2" s="1121" t="s">
        <v>1857</v>
      </c>
      <c r="H2" s="64" t="s">
        <v>1758</v>
      </c>
    </row>
    <row r="3" spans="1:10" ht="13">
      <c r="B3" s="50"/>
      <c r="C3" s="50"/>
      <c r="F3" s="66"/>
      <c r="G3" s="66"/>
      <c r="H3" s="2"/>
    </row>
    <row r="4" spans="1:10" ht="13">
      <c r="A4" s="67" t="s">
        <v>138</v>
      </c>
      <c r="B4" s="50" t="s">
        <v>37</v>
      </c>
      <c r="C4" s="50"/>
      <c r="F4" s="60"/>
      <c r="G4" s="60"/>
      <c r="H4" s="2"/>
    </row>
    <row r="5" spans="1:10" ht="13">
      <c r="A5" s="67"/>
      <c r="B5" s="50"/>
      <c r="C5" s="50"/>
      <c r="F5" s="60"/>
      <c r="G5" s="60"/>
      <c r="H5" s="2"/>
    </row>
    <row r="6" spans="1:10" ht="26">
      <c r="A6" s="41">
        <v>1</v>
      </c>
      <c r="B6" s="42" t="s">
        <v>1759</v>
      </c>
      <c r="C6" s="68" t="s">
        <v>1760</v>
      </c>
      <c r="D6" s="43" t="s">
        <v>169</v>
      </c>
      <c r="E6" s="59">
        <v>21</v>
      </c>
      <c r="F6" s="60">
        <v>14</v>
      </c>
      <c r="G6" s="60">
        <v>14</v>
      </c>
      <c r="H6" s="2" t="s">
        <v>1851</v>
      </c>
    </row>
    <row r="7" spans="1:10" ht="13">
      <c r="B7" s="50"/>
      <c r="C7" s="50"/>
      <c r="F7" s="60"/>
      <c r="G7" s="60"/>
      <c r="H7" s="2"/>
    </row>
    <row r="8" spans="1:10" ht="26">
      <c r="A8" s="41">
        <v>2</v>
      </c>
      <c r="B8" s="42" t="s">
        <v>1759</v>
      </c>
      <c r="C8" s="68" t="s">
        <v>1761</v>
      </c>
      <c r="D8" s="43" t="s">
        <v>169</v>
      </c>
      <c r="E8" s="59">
        <v>21</v>
      </c>
      <c r="F8" s="60">
        <v>14</v>
      </c>
      <c r="G8" s="60">
        <v>14</v>
      </c>
      <c r="H8" s="2" t="s">
        <v>1851</v>
      </c>
      <c r="I8" s="84"/>
      <c r="J8" s="84"/>
    </row>
    <row r="9" spans="1:10" ht="13">
      <c r="B9" s="50"/>
      <c r="C9" s="50"/>
      <c r="F9" s="60"/>
      <c r="G9" s="60"/>
      <c r="H9" s="85"/>
      <c r="I9" s="84"/>
      <c r="J9" s="84"/>
    </row>
    <row r="10" spans="1:10" ht="25.5">
      <c r="A10" s="41">
        <v>3</v>
      </c>
      <c r="B10" s="42" t="s">
        <v>1762</v>
      </c>
      <c r="C10" s="68" t="s">
        <v>1763</v>
      </c>
      <c r="D10" s="43" t="s">
        <v>169</v>
      </c>
      <c r="E10" s="59">
        <v>24</v>
      </c>
      <c r="F10" s="60">
        <v>37</v>
      </c>
      <c r="G10" s="60">
        <v>37</v>
      </c>
      <c r="H10" s="2" t="s">
        <v>1851</v>
      </c>
    </row>
    <row r="11" spans="1:10" ht="13">
      <c r="B11" s="50"/>
      <c r="C11" s="50"/>
      <c r="F11" s="60"/>
      <c r="G11" s="60"/>
      <c r="H11" s="85"/>
    </row>
    <row r="12" spans="1:10" ht="39">
      <c r="A12" s="41">
        <v>4</v>
      </c>
      <c r="B12" s="42" t="s">
        <v>1764</v>
      </c>
      <c r="C12" s="68" t="s">
        <v>1765</v>
      </c>
      <c r="D12" s="43" t="s">
        <v>169</v>
      </c>
      <c r="E12" s="59">
        <v>2</v>
      </c>
      <c r="F12" s="60">
        <v>0</v>
      </c>
      <c r="G12" s="60">
        <v>0</v>
      </c>
      <c r="H12" s="2"/>
    </row>
    <row r="13" spans="1:10" ht="13">
      <c r="B13" s="50"/>
      <c r="C13" s="50"/>
      <c r="F13" s="60"/>
      <c r="G13" s="60"/>
      <c r="H13" s="2"/>
    </row>
    <row r="14" spans="1:10" ht="25.5">
      <c r="A14" s="41">
        <v>5</v>
      </c>
      <c r="B14" s="42" t="s">
        <v>1766</v>
      </c>
      <c r="C14" s="68" t="s">
        <v>1767</v>
      </c>
      <c r="D14" s="43" t="s">
        <v>169</v>
      </c>
      <c r="E14" s="59">
        <v>5</v>
      </c>
      <c r="F14" s="60">
        <v>3</v>
      </c>
      <c r="G14" s="60">
        <v>3</v>
      </c>
      <c r="H14" s="2"/>
    </row>
    <row r="15" spans="1:10" ht="13">
      <c r="B15" s="50"/>
      <c r="C15" s="50"/>
      <c r="F15" s="60"/>
      <c r="G15" s="60"/>
      <c r="H15" s="85"/>
    </row>
    <row r="16" spans="1:10" ht="26">
      <c r="A16" s="41">
        <v>6</v>
      </c>
      <c r="B16" s="42" t="s">
        <v>1768</v>
      </c>
      <c r="C16" s="68" t="s">
        <v>1769</v>
      </c>
      <c r="D16" s="43" t="s">
        <v>169</v>
      </c>
      <c r="E16" s="59">
        <v>14</v>
      </c>
      <c r="F16" s="60">
        <v>0</v>
      </c>
      <c r="G16" s="60">
        <v>0</v>
      </c>
      <c r="H16" s="86"/>
    </row>
    <row r="17" spans="1:251" ht="13">
      <c r="B17" s="50"/>
      <c r="C17" s="50"/>
      <c r="F17" s="60"/>
      <c r="G17" s="60"/>
      <c r="H17" s="2"/>
    </row>
    <row r="18" spans="1:251" s="24" customFormat="1" ht="26">
      <c r="A18" s="43">
        <v>7</v>
      </c>
      <c r="B18" s="49" t="s">
        <v>1768</v>
      </c>
      <c r="C18" s="68" t="s">
        <v>1770</v>
      </c>
      <c r="D18" s="43" t="s">
        <v>169</v>
      </c>
      <c r="E18" s="59">
        <v>14</v>
      </c>
      <c r="F18" s="60">
        <v>0</v>
      </c>
      <c r="G18" s="60">
        <v>0</v>
      </c>
      <c r="H18" s="86"/>
    </row>
    <row r="19" spans="1:251" ht="13">
      <c r="B19" s="50"/>
      <c r="C19" s="50"/>
      <c r="F19" s="60"/>
      <c r="G19" s="60"/>
      <c r="H19" s="2"/>
    </row>
    <row r="20" spans="1:251" s="24" customFormat="1" ht="13">
      <c r="A20" s="43">
        <v>8</v>
      </c>
      <c r="B20" s="70" t="s">
        <v>1771</v>
      </c>
      <c r="C20" s="68" t="s">
        <v>1772</v>
      </c>
      <c r="D20" s="43" t="s">
        <v>169</v>
      </c>
      <c r="E20" s="59">
        <v>1</v>
      </c>
      <c r="F20" s="59">
        <v>1</v>
      </c>
      <c r="G20" s="59">
        <v>1</v>
      </c>
      <c r="H20" s="2" t="s">
        <v>1851</v>
      </c>
    </row>
    <row r="21" spans="1:251" ht="13">
      <c r="B21" s="50"/>
      <c r="C21" s="50"/>
      <c r="F21" s="59"/>
      <c r="G21" s="59"/>
      <c r="H21" s="2"/>
    </row>
    <row r="22" spans="1:251" ht="25">
      <c r="A22" s="41">
        <v>10</v>
      </c>
      <c r="B22" s="72" t="s">
        <v>1773</v>
      </c>
      <c r="C22" s="68" t="s">
        <v>1772</v>
      </c>
      <c r="D22" s="43" t="s">
        <v>169</v>
      </c>
      <c r="E22" s="59">
        <v>1</v>
      </c>
      <c r="F22" s="59">
        <v>1</v>
      </c>
      <c r="G22" s="59">
        <v>1</v>
      </c>
      <c r="H22" s="2" t="s">
        <v>1851</v>
      </c>
    </row>
    <row r="23" spans="1:251">
      <c r="F23" s="60"/>
      <c r="G23" s="60"/>
      <c r="H23" s="2"/>
    </row>
    <row r="24" spans="1:251" ht="13">
      <c r="B24" s="50"/>
      <c r="C24" s="50"/>
      <c r="F24" s="60"/>
      <c r="G24" s="60"/>
      <c r="H24" s="86"/>
    </row>
    <row r="25" spans="1:251" ht="38">
      <c r="A25" s="41">
        <v>11</v>
      </c>
      <c r="B25" s="72" t="s">
        <v>1774</v>
      </c>
      <c r="C25" s="68" t="s">
        <v>1775</v>
      </c>
      <c r="D25" s="43" t="s">
        <v>169</v>
      </c>
      <c r="E25" s="59">
        <v>4</v>
      </c>
      <c r="F25" s="59">
        <v>4</v>
      </c>
      <c r="G25" s="59">
        <v>4</v>
      </c>
      <c r="H25" s="2" t="s">
        <v>1851</v>
      </c>
    </row>
    <row r="26" spans="1:251">
      <c r="F26" s="60"/>
      <c r="G26" s="60"/>
      <c r="H26" s="2"/>
    </row>
    <row r="27" spans="1:251" ht="38">
      <c r="A27" s="41">
        <v>12</v>
      </c>
      <c r="B27" s="72" t="s">
        <v>1776</v>
      </c>
      <c r="C27" s="68" t="s">
        <v>1777</v>
      </c>
      <c r="D27" s="43" t="s">
        <v>169</v>
      </c>
      <c r="E27" s="59">
        <v>1</v>
      </c>
      <c r="F27" s="59">
        <v>1</v>
      </c>
      <c r="G27" s="59">
        <v>1</v>
      </c>
      <c r="H27" s="2" t="s">
        <v>1851</v>
      </c>
    </row>
    <row r="28" spans="1:251" ht="13">
      <c r="B28" s="50"/>
      <c r="C28" s="50"/>
      <c r="F28" s="60"/>
      <c r="G28" s="60"/>
      <c r="H28" s="2"/>
    </row>
    <row r="29" spans="1:251" ht="15.5">
      <c r="A29" s="73"/>
      <c r="B29" s="74" t="s">
        <v>1778</v>
      </c>
      <c r="C29" s="74"/>
      <c r="D29" s="75"/>
      <c r="E29" s="76"/>
      <c r="F29" s="76"/>
      <c r="G29" s="76"/>
      <c r="H29" s="88"/>
    </row>
    <row r="30" spans="1:251" ht="27" hidden="1" customHeight="1">
      <c r="A30" s="1302" t="s">
        <v>1779</v>
      </c>
      <c r="B30" s="1302"/>
      <c r="C30" s="1302"/>
      <c r="D30" s="1302"/>
      <c r="E30" s="1302"/>
      <c r="F30" s="1302"/>
      <c r="G30" s="1302"/>
      <c r="H30" s="1302"/>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row>
    <row r="31" spans="1:251" s="58" customFormat="1" ht="38.15" hidden="1" customHeight="1">
      <c r="A31" s="78">
        <v>1</v>
      </c>
      <c r="B31" s="1303" t="s">
        <v>1780</v>
      </c>
      <c r="C31" s="1303"/>
      <c r="D31" s="1303"/>
      <c r="E31" s="1303"/>
      <c r="F31" s="1303"/>
      <c r="G31" s="1303"/>
      <c r="H31" s="1303"/>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row>
    <row r="32" spans="1:251" s="58" customFormat="1" ht="23.15" hidden="1" customHeight="1">
      <c r="A32" s="78">
        <v>2</v>
      </c>
      <c r="B32" s="1303" t="s">
        <v>1781</v>
      </c>
      <c r="C32" s="1303"/>
      <c r="D32" s="1303"/>
      <c r="E32" s="1303"/>
      <c r="F32" s="1303"/>
      <c r="G32" s="1303"/>
      <c r="H32" s="1303"/>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row>
    <row r="33" spans="1:8" ht="13">
      <c r="A33" s="79" t="s">
        <v>1746</v>
      </c>
      <c r="B33" s="1298" t="s">
        <v>1747</v>
      </c>
      <c r="C33" s="1298"/>
      <c r="D33" s="1298"/>
      <c r="E33" s="80"/>
      <c r="F33" s="80"/>
      <c r="G33" s="80"/>
      <c r="H33" s="91"/>
    </row>
    <row r="34" spans="1:8" ht="25">
      <c r="A34" s="41">
        <v>1</v>
      </c>
      <c r="B34" s="72" t="s">
        <v>1782</v>
      </c>
      <c r="C34" s="68" t="s">
        <v>1769</v>
      </c>
      <c r="D34" s="43" t="s">
        <v>169</v>
      </c>
      <c r="E34" s="59">
        <v>0</v>
      </c>
      <c r="F34" s="82">
        <v>9</v>
      </c>
      <c r="G34" s="60">
        <v>9</v>
      </c>
      <c r="H34" s="2" t="s">
        <v>1851</v>
      </c>
    </row>
    <row r="35" spans="1:8" ht="25">
      <c r="A35" s="41">
        <v>2</v>
      </c>
      <c r="B35" s="72" t="s">
        <v>1783</v>
      </c>
      <c r="C35" s="68" t="s">
        <v>1784</v>
      </c>
      <c r="D35" s="43" t="s">
        <v>169</v>
      </c>
      <c r="E35" s="59">
        <v>0</v>
      </c>
      <c r="F35" s="82">
        <v>13</v>
      </c>
      <c r="G35" s="60">
        <v>13</v>
      </c>
      <c r="H35" s="2" t="s">
        <v>1851</v>
      </c>
    </row>
    <row r="36" spans="1:8" ht="26">
      <c r="A36" s="43">
        <v>3</v>
      </c>
      <c r="B36" s="72" t="s">
        <v>1768</v>
      </c>
      <c r="C36" s="68" t="s">
        <v>1770</v>
      </c>
      <c r="D36" s="43" t="s">
        <v>169</v>
      </c>
      <c r="E36" s="59">
        <v>0</v>
      </c>
      <c r="F36" s="82">
        <v>14</v>
      </c>
      <c r="G36" s="60">
        <v>14</v>
      </c>
      <c r="H36" s="2" t="s">
        <v>1851</v>
      </c>
    </row>
    <row r="37" spans="1:8">
      <c r="F37" s="60"/>
      <c r="G37" s="60"/>
      <c r="H37" s="2"/>
    </row>
    <row r="38" spans="1:8" ht="15.5">
      <c r="A38" s="73"/>
      <c r="B38" s="1304" t="s">
        <v>1778</v>
      </c>
      <c r="C38" s="1305"/>
      <c r="D38" s="1305"/>
      <c r="E38" s="1305"/>
      <c r="F38" s="1305"/>
      <c r="G38" s="76"/>
      <c r="H38" s="93"/>
    </row>
    <row r="39" spans="1:8">
      <c r="A39" s="27"/>
      <c r="B39" s="28"/>
      <c r="C39" s="28"/>
      <c r="D39" s="29"/>
      <c r="E39" s="83"/>
    </row>
    <row r="40" spans="1:8">
      <c r="A40" s="27"/>
      <c r="B40" s="28"/>
      <c r="C40" s="28"/>
      <c r="D40" s="29"/>
      <c r="E40" s="83"/>
    </row>
    <row r="41" spans="1:8">
      <c r="A41" s="27"/>
      <c r="B41" s="28"/>
      <c r="C41" s="28"/>
      <c r="D41" s="29"/>
      <c r="E41" s="83"/>
    </row>
    <row r="42" spans="1:8">
      <c r="A42" s="27"/>
      <c r="B42" s="28"/>
      <c r="C42" s="28"/>
      <c r="D42" s="29"/>
      <c r="E42" s="83"/>
    </row>
    <row r="43" spans="1:8">
      <c r="A43" s="27"/>
      <c r="B43" s="28"/>
      <c r="C43" s="28"/>
      <c r="D43" s="29"/>
      <c r="E43" s="83"/>
    </row>
    <row r="44" spans="1:8">
      <c r="A44" s="27"/>
      <c r="B44" s="28"/>
      <c r="C44" s="28"/>
      <c r="D44" s="29"/>
      <c r="E44" s="83"/>
    </row>
    <row r="45" spans="1:8">
      <c r="A45" s="27"/>
      <c r="B45" s="28"/>
      <c r="C45" s="28"/>
      <c r="D45" s="29"/>
      <c r="E45" s="83"/>
    </row>
    <row r="46" spans="1:8">
      <c r="A46" s="27"/>
      <c r="B46" s="28"/>
      <c r="C46" s="28"/>
      <c r="D46" s="29"/>
      <c r="E46" s="83"/>
    </row>
    <row r="47" spans="1:8">
      <c r="A47" s="27"/>
      <c r="B47" s="28"/>
      <c r="C47" s="28"/>
      <c r="D47" s="29"/>
      <c r="E47" s="83"/>
    </row>
    <row r="48" spans="1:8">
      <c r="A48" s="27"/>
      <c r="B48" s="28"/>
      <c r="C48" s="28"/>
      <c r="D48" s="29"/>
      <c r="E48" s="83"/>
    </row>
    <row r="49" spans="1:5">
      <c r="A49" s="27"/>
      <c r="B49" s="28"/>
      <c r="C49" s="28"/>
      <c r="D49" s="29"/>
      <c r="E49" s="83"/>
    </row>
    <row r="50" spans="1:5">
      <c r="A50" s="27"/>
      <c r="B50" s="28"/>
      <c r="C50" s="28"/>
      <c r="D50" s="29"/>
      <c r="E50" s="83"/>
    </row>
    <row r="51" spans="1:5">
      <c r="A51" s="27"/>
      <c r="B51" s="28"/>
      <c r="C51" s="28"/>
      <c r="D51" s="29"/>
      <c r="E51" s="83"/>
    </row>
    <row r="52" spans="1:5">
      <c r="A52" s="27"/>
      <c r="B52" s="28"/>
      <c r="C52" s="28"/>
      <c r="D52" s="29"/>
      <c r="E52" s="83"/>
    </row>
    <row r="53" spans="1:5">
      <c r="A53" s="27"/>
      <c r="B53" s="28"/>
      <c r="C53" s="28"/>
      <c r="D53" s="29"/>
      <c r="E53" s="83"/>
    </row>
    <row r="54" spans="1:5">
      <c r="A54" s="27"/>
      <c r="B54" s="28"/>
      <c r="C54" s="28"/>
      <c r="D54" s="29"/>
      <c r="E54" s="83"/>
    </row>
    <row r="55" spans="1:5">
      <c r="A55" s="27"/>
      <c r="B55" s="28"/>
      <c r="C55" s="28"/>
      <c r="D55" s="29"/>
      <c r="E55" s="83"/>
    </row>
    <row r="56" spans="1:5">
      <c r="A56" s="27"/>
      <c r="B56" s="28"/>
      <c r="C56" s="28"/>
      <c r="D56" s="29"/>
      <c r="E56" s="83"/>
    </row>
    <row r="57" spans="1:5">
      <c r="A57" s="27"/>
      <c r="B57" s="28"/>
      <c r="C57" s="28"/>
      <c r="D57" s="29"/>
      <c r="E57" s="83"/>
    </row>
    <row r="58" spans="1:5">
      <c r="A58" s="27"/>
      <c r="B58" s="28"/>
      <c r="C58" s="28"/>
      <c r="D58" s="29"/>
      <c r="E58" s="83"/>
    </row>
    <row r="59" spans="1:5">
      <c r="A59" s="27"/>
      <c r="B59" s="28"/>
      <c r="C59" s="28"/>
      <c r="D59" s="29"/>
      <c r="E59" s="83"/>
    </row>
    <row r="60" spans="1:5">
      <c r="A60" s="27"/>
      <c r="B60" s="28"/>
      <c r="C60" s="28"/>
      <c r="D60" s="29"/>
      <c r="E60" s="83"/>
    </row>
    <row r="61" spans="1:5">
      <c r="A61" s="27"/>
      <c r="B61" s="28"/>
      <c r="C61" s="28"/>
      <c r="D61" s="29"/>
      <c r="E61" s="83"/>
    </row>
    <row r="62" spans="1:5">
      <c r="A62" s="27"/>
      <c r="B62" s="28"/>
      <c r="C62" s="28"/>
      <c r="D62" s="29"/>
      <c r="E62" s="83"/>
    </row>
    <row r="63" spans="1:5">
      <c r="A63" s="27"/>
      <c r="B63" s="28"/>
      <c r="C63" s="28"/>
      <c r="D63" s="29"/>
      <c r="E63" s="83"/>
    </row>
    <row r="64" spans="1:5">
      <c r="A64" s="27"/>
      <c r="B64" s="28"/>
      <c r="C64" s="28"/>
      <c r="D64" s="29"/>
      <c r="E64" s="83"/>
    </row>
    <row r="65" spans="1:5">
      <c r="A65" s="27"/>
      <c r="B65" s="28"/>
      <c r="C65" s="28"/>
      <c r="D65" s="29"/>
      <c r="E65" s="83"/>
    </row>
    <row r="66" spans="1:5">
      <c r="A66" s="27"/>
      <c r="B66" s="28"/>
      <c r="C66" s="28"/>
      <c r="D66" s="29"/>
      <c r="E66" s="83"/>
    </row>
    <row r="67" spans="1:5">
      <c r="A67" s="27"/>
      <c r="B67" s="28"/>
      <c r="C67" s="28"/>
      <c r="D67" s="29"/>
      <c r="E67" s="83"/>
    </row>
    <row r="68" spans="1:5">
      <c r="A68" s="27"/>
      <c r="B68" s="28"/>
      <c r="C68" s="28"/>
      <c r="D68" s="29"/>
      <c r="E68" s="83"/>
    </row>
    <row r="69" spans="1:5">
      <c r="A69" s="27"/>
      <c r="B69" s="28"/>
      <c r="C69" s="28"/>
      <c r="D69" s="29"/>
      <c r="E69" s="83"/>
    </row>
    <row r="70" spans="1:5">
      <c r="A70" s="27"/>
      <c r="B70" s="28"/>
      <c r="C70" s="28"/>
      <c r="D70" s="29"/>
      <c r="E70" s="83"/>
    </row>
    <row r="71" spans="1:5">
      <c r="A71" s="27"/>
      <c r="B71" s="28"/>
      <c r="C71" s="28"/>
      <c r="D71" s="29"/>
      <c r="E71" s="83"/>
    </row>
    <row r="72" spans="1:5">
      <c r="A72" s="27"/>
      <c r="B72" s="28"/>
      <c r="C72" s="28"/>
      <c r="D72" s="29"/>
      <c r="E72" s="83"/>
    </row>
    <row r="73" spans="1:5">
      <c r="A73" s="27"/>
      <c r="B73" s="28"/>
      <c r="C73" s="28"/>
      <c r="D73" s="29"/>
      <c r="E73" s="83"/>
    </row>
    <row r="74" spans="1:5">
      <c r="A74" s="27"/>
      <c r="B74" s="28"/>
      <c r="C74" s="28"/>
      <c r="D74" s="29"/>
      <c r="E74" s="83"/>
    </row>
    <row r="75" spans="1:5">
      <c r="A75" s="27"/>
      <c r="B75" s="28"/>
      <c r="C75" s="28"/>
      <c r="D75" s="29"/>
      <c r="E75" s="83"/>
    </row>
    <row r="76" spans="1:5">
      <c r="A76" s="27"/>
      <c r="B76" s="28"/>
      <c r="C76" s="28"/>
      <c r="D76" s="29"/>
      <c r="E76" s="83"/>
    </row>
    <row r="77" spans="1:5">
      <c r="A77" s="27"/>
      <c r="B77" s="28"/>
      <c r="C77" s="28"/>
      <c r="D77" s="29"/>
      <c r="E77" s="83"/>
    </row>
    <row r="78" spans="1:5">
      <c r="A78" s="27"/>
      <c r="B78" s="28"/>
      <c r="C78" s="28"/>
      <c r="D78" s="29"/>
      <c r="E78" s="83"/>
    </row>
    <row r="79" spans="1:5">
      <c r="A79" s="27"/>
      <c r="B79" s="28"/>
      <c r="C79" s="28"/>
      <c r="D79" s="29"/>
      <c r="E79" s="83"/>
    </row>
    <row r="80" spans="1:5">
      <c r="A80" s="27"/>
      <c r="B80" s="28"/>
      <c r="C80" s="28"/>
      <c r="D80" s="29"/>
      <c r="E80" s="83"/>
    </row>
    <row r="81" spans="1:5">
      <c r="A81" s="27"/>
      <c r="B81" s="28"/>
      <c r="C81" s="28"/>
      <c r="D81" s="29"/>
      <c r="E81" s="83"/>
    </row>
    <row r="82" spans="1:5">
      <c r="A82" s="27"/>
      <c r="B82" s="28"/>
      <c r="C82" s="28"/>
      <c r="D82" s="29"/>
      <c r="E82" s="83"/>
    </row>
    <row r="83" spans="1:5">
      <c r="A83" s="27"/>
      <c r="B83" s="28"/>
      <c r="C83" s="28"/>
      <c r="D83" s="29"/>
      <c r="E83" s="83"/>
    </row>
    <row r="84" spans="1:5">
      <c r="A84" s="27"/>
      <c r="B84" s="28"/>
      <c r="C84" s="28"/>
      <c r="D84" s="29"/>
      <c r="E84" s="83"/>
    </row>
    <row r="85" spans="1:5">
      <c r="A85" s="27"/>
      <c r="B85" s="28"/>
      <c r="C85" s="28"/>
      <c r="D85" s="29"/>
      <c r="E85" s="83"/>
    </row>
    <row r="86" spans="1:5">
      <c r="A86" s="27"/>
      <c r="B86" s="28"/>
      <c r="C86" s="28"/>
      <c r="D86" s="29"/>
      <c r="E86" s="83"/>
    </row>
    <row r="87" spans="1:5">
      <c r="A87" s="27"/>
      <c r="B87" s="28"/>
      <c r="C87" s="28"/>
      <c r="D87" s="29"/>
      <c r="E87" s="83"/>
    </row>
    <row r="88" spans="1:5">
      <c r="A88" s="27"/>
      <c r="B88" s="28"/>
      <c r="C88" s="28"/>
      <c r="D88" s="29"/>
      <c r="E88" s="83"/>
    </row>
    <row r="89" spans="1:5">
      <c r="A89" s="27"/>
      <c r="B89" s="28"/>
      <c r="C89" s="28"/>
      <c r="D89" s="29"/>
      <c r="E89" s="83"/>
    </row>
    <row r="90" spans="1:5">
      <c r="A90" s="27"/>
      <c r="B90" s="28"/>
      <c r="C90" s="28"/>
      <c r="D90" s="29"/>
      <c r="E90" s="83"/>
    </row>
    <row r="91" spans="1:5">
      <c r="A91" s="27"/>
      <c r="B91" s="28"/>
      <c r="C91" s="28"/>
      <c r="D91" s="29"/>
      <c r="E91" s="83"/>
    </row>
    <row r="92" spans="1:5">
      <c r="A92" s="27"/>
      <c r="B92" s="28"/>
      <c r="C92" s="28"/>
      <c r="D92" s="29"/>
      <c r="E92" s="83"/>
    </row>
    <row r="93" spans="1:5">
      <c r="A93" s="27"/>
      <c r="B93" s="28"/>
      <c r="C93" s="28"/>
      <c r="D93" s="29"/>
      <c r="E93" s="83"/>
    </row>
    <row r="94" spans="1:5">
      <c r="A94" s="27"/>
      <c r="B94" s="28"/>
      <c r="C94" s="28"/>
      <c r="D94" s="29"/>
      <c r="E94" s="83"/>
    </row>
    <row r="95" spans="1:5">
      <c r="A95" s="27"/>
      <c r="B95" s="28"/>
      <c r="C95" s="28"/>
      <c r="D95" s="29"/>
      <c r="E95" s="83"/>
    </row>
    <row r="96" spans="1:5">
      <c r="A96" s="27"/>
      <c r="B96" s="28"/>
      <c r="C96" s="28"/>
      <c r="D96" s="29"/>
      <c r="E96" s="83"/>
    </row>
    <row r="97" spans="1:5">
      <c r="A97" s="27"/>
      <c r="B97" s="28"/>
      <c r="C97" s="28"/>
      <c r="D97" s="29"/>
      <c r="E97" s="83"/>
    </row>
    <row r="98" spans="1:5">
      <c r="A98" s="27"/>
      <c r="B98" s="28"/>
      <c r="C98" s="28"/>
      <c r="D98" s="29"/>
      <c r="E98" s="83"/>
    </row>
    <row r="99" spans="1:5">
      <c r="A99" s="27"/>
      <c r="B99" s="28"/>
      <c r="C99" s="28"/>
      <c r="D99" s="29"/>
      <c r="E99" s="83"/>
    </row>
    <row r="100" spans="1:5">
      <c r="A100" s="27"/>
      <c r="B100" s="28"/>
      <c r="C100" s="28"/>
      <c r="D100" s="29"/>
      <c r="E100" s="83"/>
    </row>
    <row r="101" spans="1:5">
      <c r="A101" s="27"/>
      <c r="B101" s="28"/>
      <c r="C101" s="28"/>
      <c r="D101" s="29"/>
      <c r="E101" s="83"/>
    </row>
    <row r="102" spans="1:5">
      <c r="A102" s="27"/>
      <c r="B102" s="28"/>
      <c r="C102" s="28"/>
      <c r="D102" s="29"/>
      <c r="E102" s="83"/>
    </row>
    <row r="103" spans="1:5">
      <c r="A103" s="27"/>
      <c r="B103" s="28"/>
      <c r="C103" s="28"/>
      <c r="D103" s="29"/>
      <c r="E103" s="83"/>
    </row>
    <row r="104" spans="1:5">
      <c r="A104" s="27"/>
      <c r="B104" s="28"/>
      <c r="C104" s="28"/>
      <c r="D104" s="29"/>
      <c r="E104" s="83"/>
    </row>
    <row r="105" spans="1:5">
      <c r="A105" s="27"/>
      <c r="B105" s="28"/>
      <c r="C105" s="28"/>
      <c r="D105" s="29"/>
      <c r="E105" s="83"/>
    </row>
    <row r="106" spans="1:5">
      <c r="A106" s="27"/>
      <c r="B106" s="28"/>
      <c r="C106" s="28"/>
      <c r="D106" s="29"/>
      <c r="E106" s="83"/>
    </row>
    <row r="107" spans="1:5">
      <c r="A107" s="27"/>
      <c r="B107" s="28"/>
      <c r="C107" s="28"/>
      <c r="D107" s="29"/>
      <c r="E107" s="83"/>
    </row>
    <row r="108" spans="1:5">
      <c r="A108" s="27"/>
      <c r="B108" s="28"/>
      <c r="C108" s="28"/>
      <c r="D108" s="29"/>
      <c r="E108" s="83"/>
    </row>
    <row r="109" spans="1:5">
      <c r="A109" s="27"/>
      <c r="B109" s="28"/>
      <c r="C109" s="28"/>
      <c r="D109" s="29"/>
      <c r="E109" s="83"/>
    </row>
    <row r="110" spans="1:5">
      <c r="A110" s="27"/>
      <c r="B110" s="28"/>
      <c r="C110" s="28"/>
      <c r="D110" s="29"/>
      <c r="E110" s="83"/>
    </row>
    <row r="111" spans="1:5">
      <c r="A111" s="27"/>
      <c r="B111" s="28"/>
      <c r="C111" s="28"/>
      <c r="D111" s="29"/>
      <c r="E111" s="83"/>
    </row>
    <row r="112" spans="1:5">
      <c r="A112" s="27"/>
      <c r="B112" s="28"/>
      <c r="C112" s="28"/>
      <c r="D112" s="29"/>
      <c r="E112" s="83"/>
    </row>
    <row r="113" spans="1:5">
      <c r="A113" s="27"/>
      <c r="B113" s="28"/>
      <c r="C113" s="28"/>
      <c r="D113" s="29"/>
      <c r="E113" s="83"/>
    </row>
    <row r="114" spans="1:5">
      <c r="A114" s="27"/>
      <c r="B114" s="28"/>
      <c r="C114" s="28"/>
      <c r="D114" s="29"/>
      <c r="E114" s="83"/>
    </row>
    <row r="115" spans="1:5">
      <c r="A115" s="27"/>
      <c r="B115" s="28"/>
      <c r="C115" s="28"/>
      <c r="D115" s="29"/>
      <c r="E115" s="83"/>
    </row>
    <row r="116" spans="1:5">
      <c r="A116" s="27"/>
      <c r="B116" s="28"/>
      <c r="C116" s="28"/>
      <c r="D116" s="29"/>
      <c r="E116" s="83"/>
    </row>
    <row r="117" spans="1:5">
      <c r="A117" s="27"/>
      <c r="B117" s="28"/>
      <c r="C117" s="28"/>
      <c r="D117" s="29"/>
      <c r="E117" s="83"/>
    </row>
    <row r="118" spans="1:5">
      <c r="A118" s="27"/>
      <c r="B118" s="28"/>
      <c r="C118" s="28"/>
      <c r="D118" s="29"/>
      <c r="E118" s="83"/>
    </row>
    <row r="119" spans="1:5">
      <c r="A119" s="27"/>
      <c r="B119" s="28"/>
      <c r="C119" s="28"/>
      <c r="D119" s="29"/>
      <c r="E119" s="83"/>
    </row>
    <row r="120" spans="1:5">
      <c r="A120" s="27"/>
      <c r="B120" s="28"/>
      <c r="C120" s="28"/>
      <c r="D120" s="29"/>
      <c r="E120" s="83"/>
    </row>
    <row r="121" spans="1:5">
      <c r="A121" s="27"/>
      <c r="B121" s="28"/>
      <c r="C121" s="28"/>
      <c r="D121" s="29"/>
      <c r="E121" s="83"/>
    </row>
    <row r="122" spans="1:5">
      <c r="A122" s="27"/>
      <c r="B122" s="28"/>
      <c r="C122" s="28"/>
      <c r="D122" s="29"/>
      <c r="E122" s="83"/>
    </row>
    <row r="123" spans="1:5">
      <c r="A123" s="27"/>
      <c r="B123" s="28"/>
      <c r="C123" s="28"/>
      <c r="D123" s="29"/>
      <c r="E123" s="83"/>
    </row>
    <row r="124" spans="1:5">
      <c r="A124" s="27"/>
      <c r="B124" s="28"/>
      <c r="C124" s="28"/>
      <c r="D124" s="29"/>
      <c r="E124" s="83"/>
    </row>
    <row r="125" spans="1:5">
      <c r="A125" s="27"/>
      <c r="B125" s="28"/>
      <c r="C125" s="28"/>
      <c r="D125" s="29"/>
      <c r="E125" s="83"/>
    </row>
    <row r="126" spans="1:5">
      <c r="A126" s="27"/>
      <c r="B126" s="28"/>
      <c r="C126" s="28"/>
      <c r="D126" s="29"/>
      <c r="E126" s="83"/>
    </row>
    <row r="127" spans="1:5">
      <c r="A127" s="27"/>
      <c r="B127" s="28"/>
      <c r="C127" s="28"/>
      <c r="D127" s="29"/>
      <c r="E127" s="83"/>
    </row>
    <row r="128" spans="1:5">
      <c r="A128" s="27"/>
      <c r="B128" s="28"/>
      <c r="C128" s="28"/>
      <c r="D128" s="29"/>
      <c r="E128" s="83"/>
    </row>
    <row r="129" spans="1:5">
      <c r="A129" s="27"/>
      <c r="B129" s="28"/>
      <c r="C129" s="28"/>
      <c r="D129" s="29"/>
      <c r="E129" s="83"/>
    </row>
    <row r="130" spans="1:5">
      <c r="A130" s="27"/>
      <c r="B130" s="28"/>
      <c r="C130" s="28"/>
      <c r="D130" s="29"/>
      <c r="E130" s="83"/>
    </row>
    <row r="131" spans="1:5">
      <c r="A131" s="27"/>
      <c r="B131" s="28"/>
      <c r="C131" s="28"/>
      <c r="D131" s="29"/>
      <c r="E131" s="83"/>
    </row>
    <row r="132" spans="1:5">
      <c r="A132" s="27"/>
      <c r="B132" s="28"/>
      <c r="C132" s="28"/>
      <c r="D132" s="29"/>
      <c r="E132" s="83"/>
    </row>
    <row r="133" spans="1:5">
      <c r="A133" s="27"/>
      <c r="B133" s="28"/>
      <c r="C133" s="28"/>
      <c r="D133" s="29"/>
      <c r="E133" s="83"/>
    </row>
    <row r="134" spans="1:5">
      <c r="A134" s="27"/>
      <c r="B134" s="28"/>
      <c r="C134" s="28"/>
      <c r="D134" s="29"/>
      <c r="E134" s="83"/>
    </row>
    <row r="135" spans="1:5">
      <c r="A135" s="27"/>
      <c r="B135" s="28"/>
      <c r="C135" s="28"/>
      <c r="D135" s="29"/>
      <c r="E135" s="83"/>
    </row>
    <row r="136" spans="1:5">
      <c r="A136" s="27"/>
      <c r="B136" s="28"/>
      <c r="C136" s="28"/>
      <c r="D136" s="29"/>
      <c r="E136" s="83"/>
    </row>
    <row r="137" spans="1:5">
      <c r="A137" s="27"/>
      <c r="B137" s="28"/>
      <c r="C137" s="28"/>
      <c r="D137" s="29"/>
      <c r="E137" s="83"/>
    </row>
    <row r="138" spans="1:5">
      <c r="A138" s="27"/>
      <c r="B138" s="28"/>
      <c r="C138" s="28"/>
      <c r="D138" s="29"/>
      <c r="E138" s="83"/>
    </row>
    <row r="139" spans="1:5">
      <c r="A139" s="27"/>
      <c r="B139" s="28"/>
      <c r="C139" s="28"/>
      <c r="D139" s="29"/>
      <c r="E139" s="83"/>
    </row>
    <row r="140" spans="1:5">
      <c r="A140" s="27"/>
      <c r="B140" s="28"/>
      <c r="C140" s="28"/>
      <c r="D140" s="29"/>
      <c r="E140" s="83"/>
    </row>
    <row r="141" spans="1:5">
      <c r="A141" s="27"/>
      <c r="B141" s="28"/>
      <c r="C141" s="28"/>
      <c r="D141" s="29"/>
      <c r="E141" s="83"/>
    </row>
    <row r="142" spans="1:5">
      <c r="A142" s="27"/>
      <c r="B142" s="28"/>
      <c r="C142" s="28"/>
      <c r="D142" s="29"/>
      <c r="E142" s="83"/>
    </row>
    <row r="143" spans="1:5">
      <c r="A143" s="27"/>
      <c r="B143" s="28"/>
      <c r="C143" s="28"/>
      <c r="D143" s="29"/>
      <c r="E143" s="83"/>
    </row>
    <row r="144" spans="1:5">
      <c r="A144" s="27"/>
      <c r="B144" s="28"/>
      <c r="C144" s="28"/>
      <c r="D144" s="29"/>
      <c r="E144" s="83"/>
    </row>
    <row r="145" spans="1:5">
      <c r="A145" s="27"/>
      <c r="B145" s="28"/>
      <c r="C145" s="28"/>
      <c r="D145" s="29"/>
      <c r="E145" s="83"/>
    </row>
    <row r="146" spans="1:5">
      <c r="A146" s="27"/>
      <c r="B146" s="28"/>
      <c r="C146" s="28"/>
      <c r="D146" s="29"/>
      <c r="E146" s="83"/>
    </row>
    <row r="147" spans="1:5">
      <c r="A147" s="27"/>
      <c r="B147" s="28"/>
      <c r="C147" s="28"/>
      <c r="D147" s="29"/>
      <c r="E147" s="83"/>
    </row>
    <row r="148" spans="1:5">
      <c r="A148" s="27"/>
      <c r="B148" s="28"/>
      <c r="C148" s="28"/>
      <c r="D148" s="29"/>
      <c r="E148" s="83"/>
    </row>
    <row r="149" spans="1:5">
      <c r="A149" s="27"/>
      <c r="B149" s="28"/>
      <c r="C149" s="28"/>
      <c r="D149" s="29"/>
      <c r="E149" s="83"/>
    </row>
    <row r="150" spans="1:5">
      <c r="A150" s="27"/>
      <c r="B150" s="28"/>
      <c r="C150" s="28"/>
      <c r="D150" s="29"/>
      <c r="E150" s="83"/>
    </row>
    <row r="151" spans="1:5">
      <c r="A151" s="27"/>
      <c r="B151" s="28"/>
      <c r="C151" s="28"/>
      <c r="D151" s="29"/>
      <c r="E151" s="83"/>
    </row>
    <row r="152" spans="1:5">
      <c r="A152" s="27"/>
      <c r="B152" s="28"/>
      <c r="C152" s="28"/>
      <c r="D152" s="29"/>
      <c r="E152" s="83"/>
    </row>
    <row r="153" spans="1:5">
      <c r="A153" s="27"/>
      <c r="B153" s="28"/>
      <c r="C153" s="28"/>
      <c r="D153" s="29"/>
      <c r="E153" s="83"/>
    </row>
    <row r="154" spans="1:5">
      <c r="A154" s="27"/>
      <c r="B154" s="28"/>
      <c r="C154" s="28"/>
      <c r="D154" s="29"/>
      <c r="E154" s="83"/>
    </row>
    <row r="155" spans="1:5">
      <c r="A155" s="27"/>
      <c r="B155" s="28"/>
      <c r="C155" s="28"/>
      <c r="D155" s="29"/>
      <c r="E155" s="83"/>
    </row>
    <row r="156" spans="1:5">
      <c r="A156" s="27"/>
      <c r="B156" s="28"/>
      <c r="C156" s="28"/>
      <c r="D156" s="29"/>
      <c r="E156" s="83"/>
    </row>
    <row r="157" spans="1:5">
      <c r="A157" s="27"/>
      <c r="B157" s="28"/>
      <c r="C157" s="28"/>
      <c r="D157" s="29"/>
      <c r="E157" s="83"/>
    </row>
    <row r="158" spans="1:5">
      <c r="A158" s="27"/>
      <c r="B158" s="28"/>
      <c r="C158" s="28"/>
      <c r="D158" s="29"/>
      <c r="E158" s="83"/>
    </row>
    <row r="159" spans="1:5">
      <c r="A159" s="27"/>
      <c r="B159" s="28"/>
      <c r="C159" s="28"/>
      <c r="D159" s="29"/>
      <c r="E159" s="83"/>
    </row>
    <row r="160" spans="1:5">
      <c r="A160" s="27"/>
      <c r="B160" s="28"/>
      <c r="C160" s="28"/>
      <c r="D160" s="29"/>
      <c r="E160" s="83"/>
    </row>
    <row r="161" spans="1:5">
      <c r="A161" s="27"/>
      <c r="B161" s="28"/>
      <c r="C161" s="28"/>
      <c r="D161" s="29"/>
      <c r="E161" s="83"/>
    </row>
    <row r="162" spans="1:5">
      <c r="A162" s="27"/>
      <c r="B162" s="28"/>
      <c r="C162" s="28"/>
      <c r="D162" s="29"/>
      <c r="E162" s="83"/>
    </row>
    <row r="163" spans="1:5">
      <c r="A163" s="27"/>
      <c r="B163" s="28"/>
      <c r="C163" s="28"/>
      <c r="D163" s="29"/>
      <c r="E163" s="83"/>
    </row>
    <row r="164" spans="1:5">
      <c r="A164" s="27"/>
      <c r="B164" s="28"/>
      <c r="C164" s="28"/>
      <c r="D164" s="29"/>
      <c r="E164" s="83"/>
    </row>
    <row r="165" spans="1:5">
      <c r="A165" s="27"/>
      <c r="B165" s="28"/>
      <c r="C165" s="28"/>
      <c r="D165" s="29"/>
      <c r="E165" s="83"/>
    </row>
    <row r="166" spans="1:5">
      <c r="A166" s="27"/>
      <c r="B166" s="28"/>
      <c r="C166" s="28"/>
      <c r="D166" s="29"/>
      <c r="E166" s="83"/>
    </row>
    <row r="167" spans="1:5">
      <c r="A167" s="27"/>
      <c r="B167" s="28"/>
      <c r="C167" s="28"/>
      <c r="D167" s="29"/>
      <c r="E167" s="83"/>
    </row>
    <row r="168" spans="1:5">
      <c r="A168" s="27"/>
      <c r="B168" s="28"/>
      <c r="C168" s="28"/>
      <c r="D168" s="29"/>
      <c r="E168" s="83"/>
    </row>
    <row r="169" spans="1:5">
      <c r="A169" s="27"/>
      <c r="B169" s="28"/>
      <c r="C169" s="28"/>
      <c r="D169" s="29"/>
      <c r="E169" s="83"/>
    </row>
    <row r="170" spans="1:5">
      <c r="A170" s="27"/>
      <c r="B170" s="28"/>
      <c r="C170" s="28"/>
      <c r="D170" s="29"/>
      <c r="E170" s="83"/>
    </row>
    <row r="171" spans="1:5">
      <c r="A171" s="27"/>
      <c r="B171" s="28"/>
      <c r="C171" s="28"/>
      <c r="D171" s="29"/>
      <c r="E171" s="83"/>
    </row>
    <row r="172" spans="1:5">
      <c r="A172" s="27"/>
      <c r="B172" s="28"/>
      <c r="C172" s="28"/>
      <c r="D172" s="29"/>
      <c r="E172" s="83"/>
    </row>
    <row r="173" spans="1:5">
      <c r="A173" s="27"/>
      <c r="B173" s="28"/>
      <c r="C173" s="28"/>
      <c r="D173" s="29"/>
      <c r="E173" s="83"/>
    </row>
    <row r="174" spans="1:5">
      <c r="A174" s="27"/>
      <c r="B174" s="28"/>
      <c r="C174" s="28"/>
      <c r="D174" s="29"/>
      <c r="E174" s="83"/>
    </row>
    <row r="175" spans="1:5">
      <c r="A175" s="27"/>
      <c r="B175" s="28"/>
      <c r="C175" s="28"/>
      <c r="D175" s="29"/>
      <c r="E175" s="83"/>
    </row>
    <row r="176" spans="1:5">
      <c r="A176" s="27"/>
      <c r="B176" s="28"/>
      <c r="C176" s="28"/>
      <c r="D176" s="29"/>
      <c r="E176" s="83"/>
    </row>
    <row r="177" spans="1:5">
      <c r="A177" s="27"/>
      <c r="B177" s="28"/>
      <c r="C177" s="28"/>
      <c r="D177" s="29"/>
      <c r="E177" s="83"/>
    </row>
    <row r="178" spans="1:5">
      <c r="A178" s="27"/>
      <c r="B178" s="28"/>
      <c r="C178" s="28"/>
      <c r="D178" s="29"/>
      <c r="E178" s="83"/>
    </row>
    <row r="179" spans="1:5">
      <c r="A179" s="27"/>
      <c r="B179" s="28"/>
      <c r="C179" s="28"/>
      <c r="D179" s="29"/>
      <c r="E179" s="83"/>
    </row>
    <row r="180" spans="1:5">
      <c r="A180" s="27"/>
      <c r="B180" s="28"/>
      <c r="C180" s="28"/>
      <c r="D180" s="29"/>
      <c r="E180" s="83"/>
    </row>
    <row r="181" spans="1:5">
      <c r="A181" s="27"/>
      <c r="B181" s="28"/>
      <c r="C181" s="28"/>
      <c r="D181" s="29"/>
      <c r="E181" s="83"/>
    </row>
    <row r="182" spans="1:5">
      <c r="A182" s="27"/>
      <c r="B182" s="28"/>
      <c r="C182" s="28"/>
      <c r="D182" s="29"/>
      <c r="E182" s="83"/>
    </row>
    <row r="183" spans="1:5">
      <c r="A183" s="27"/>
      <c r="B183" s="28"/>
      <c r="C183" s="28"/>
      <c r="D183" s="29"/>
      <c r="E183" s="83"/>
    </row>
    <row r="184" spans="1:5">
      <c r="A184" s="27"/>
      <c r="B184" s="28"/>
      <c r="C184" s="28"/>
      <c r="D184" s="29"/>
      <c r="E184" s="83"/>
    </row>
    <row r="185" spans="1:5">
      <c r="A185" s="27"/>
      <c r="B185" s="28"/>
      <c r="C185" s="28"/>
      <c r="D185" s="29"/>
      <c r="E185" s="83"/>
    </row>
    <row r="186" spans="1:5">
      <c r="A186" s="27"/>
      <c r="B186" s="28"/>
      <c r="C186" s="28"/>
      <c r="D186" s="29"/>
      <c r="E186" s="83"/>
    </row>
    <row r="187" spans="1:5">
      <c r="A187" s="27"/>
      <c r="B187" s="28"/>
      <c r="C187" s="28"/>
      <c r="D187" s="29"/>
      <c r="E187" s="83"/>
    </row>
    <row r="188" spans="1:5">
      <c r="A188" s="27"/>
      <c r="B188" s="28"/>
      <c r="C188" s="28"/>
      <c r="D188" s="29"/>
      <c r="E188" s="83"/>
    </row>
    <row r="189" spans="1:5">
      <c r="A189" s="27"/>
      <c r="B189" s="28"/>
      <c r="C189" s="28"/>
      <c r="D189" s="29"/>
      <c r="E189" s="83"/>
    </row>
    <row r="190" spans="1:5">
      <c r="A190" s="27"/>
      <c r="B190" s="28"/>
      <c r="C190" s="28"/>
      <c r="D190" s="29"/>
      <c r="E190" s="83"/>
    </row>
    <row r="191" spans="1:5">
      <c r="A191" s="27"/>
      <c r="B191" s="28"/>
      <c r="C191" s="28"/>
      <c r="D191" s="29"/>
      <c r="E191" s="83"/>
    </row>
    <row r="192" spans="1:5">
      <c r="A192" s="27"/>
      <c r="B192" s="28"/>
      <c r="C192" s="28"/>
      <c r="D192" s="29"/>
      <c r="E192" s="83"/>
    </row>
    <row r="193" spans="1:5">
      <c r="A193" s="27"/>
      <c r="B193" s="28"/>
      <c r="C193" s="28"/>
      <c r="D193" s="29"/>
      <c r="E193" s="83"/>
    </row>
    <row r="194" spans="1:5">
      <c r="A194" s="27"/>
      <c r="B194" s="28"/>
      <c r="C194" s="28"/>
      <c r="D194" s="29"/>
      <c r="E194" s="83"/>
    </row>
    <row r="195" spans="1:5">
      <c r="A195" s="27"/>
      <c r="B195" s="28"/>
      <c r="C195" s="28"/>
      <c r="D195" s="29"/>
      <c r="E195" s="83"/>
    </row>
    <row r="196" spans="1:5">
      <c r="A196" s="27"/>
      <c r="B196" s="28"/>
      <c r="C196" s="28"/>
      <c r="D196" s="29"/>
      <c r="E196" s="83"/>
    </row>
    <row r="197" spans="1:5">
      <c r="A197" s="27"/>
      <c r="B197" s="28"/>
      <c r="C197" s="28"/>
      <c r="D197" s="29"/>
      <c r="E197" s="83"/>
    </row>
    <row r="198" spans="1:5">
      <c r="A198" s="27"/>
      <c r="B198" s="28"/>
      <c r="C198" s="28"/>
      <c r="D198" s="29"/>
      <c r="E198" s="83"/>
    </row>
    <row r="199" spans="1:5">
      <c r="A199" s="27"/>
      <c r="B199" s="28"/>
      <c r="C199" s="28"/>
      <c r="D199" s="29"/>
      <c r="E199" s="83"/>
    </row>
    <row r="200" spans="1:5">
      <c r="A200" s="27"/>
      <c r="B200" s="28"/>
      <c r="C200" s="28"/>
      <c r="D200" s="29"/>
      <c r="E200" s="83"/>
    </row>
    <row r="201" spans="1:5">
      <c r="A201" s="27"/>
      <c r="B201" s="28"/>
      <c r="C201" s="28"/>
      <c r="D201" s="29"/>
      <c r="E201" s="83"/>
    </row>
    <row r="202" spans="1:5">
      <c r="A202" s="27"/>
      <c r="B202" s="28"/>
      <c r="C202" s="28"/>
      <c r="D202" s="29"/>
      <c r="E202" s="83"/>
    </row>
    <row r="203" spans="1:5">
      <c r="A203" s="27"/>
      <c r="B203" s="28"/>
      <c r="C203" s="28"/>
      <c r="D203" s="29"/>
      <c r="E203" s="83"/>
    </row>
    <row r="204" spans="1:5">
      <c r="A204" s="27"/>
      <c r="B204" s="28"/>
      <c r="C204" s="28"/>
      <c r="D204" s="29"/>
      <c r="E204" s="83"/>
    </row>
    <row r="205" spans="1:5">
      <c r="A205" s="27"/>
      <c r="B205" s="28"/>
      <c r="C205" s="28"/>
      <c r="D205" s="29"/>
      <c r="E205" s="83"/>
    </row>
    <row r="206" spans="1:5">
      <c r="A206" s="27"/>
      <c r="B206" s="28"/>
      <c r="C206" s="28"/>
      <c r="D206" s="29"/>
      <c r="E206" s="83"/>
    </row>
    <row r="207" spans="1:5">
      <c r="A207" s="27"/>
      <c r="B207" s="28"/>
      <c r="C207" s="28"/>
      <c r="D207" s="29"/>
      <c r="E207" s="83"/>
    </row>
    <row r="208" spans="1:5">
      <c r="A208" s="27"/>
      <c r="B208" s="28"/>
      <c r="C208" s="28"/>
      <c r="D208" s="29"/>
      <c r="E208" s="83"/>
    </row>
    <row r="209" spans="1:5">
      <c r="A209" s="27"/>
      <c r="B209" s="28"/>
      <c r="C209" s="28"/>
      <c r="D209" s="29"/>
      <c r="E209" s="83"/>
    </row>
    <row r="210" spans="1:5">
      <c r="A210" s="27"/>
      <c r="B210" s="28"/>
      <c r="C210" s="28"/>
      <c r="D210" s="29"/>
      <c r="E210" s="83"/>
    </row>
    <row r="211" spans="1:5">
      <c r="A211" s="27"/>
      <c r="B211" s="28"/>
      <c r="C211" s="28"/>
      <c r="D211" s="29"/>
      <c r="E211" s="83"/>
    </row>
    <row r="212" spans="1:5">
      <c r="A212" s="27"/>
      <c r="B212" s="28"/>
      <c r="C212" s="28"/>
      <c r="D212" s="29"/>
      <c r="E212" s="83"/>
    </row>
    <row r="213" spans="1:5">
      <c r="A213" s="27"/>
      <c r="B213" s="28"/>
      <c r="C213" s="28"/>
      <c r="D213" s="29"/>
      <c r="E213" s="83"/>
    </row>
    <row r="214" spans="1:5">
      <c r="A214" s="27"/>
      <c r="B214" s="28"/>
      <c r="C214" s="28"/>
      <c r="D214" s="29"/>
      <c r="E214" s="83"/>
    </row>
    <row r="215" spans="1:5">
      <c r="A215" s="27"/>
      <c r="B215" s="28"/>
      <c r="C215" s="28"/>
      <c r="D215" s="29"/>
      <c r="E215" s="83"/>
    </row>
    <row r="216" spans="1:5">
      <c r="A216" s="27"/>
      <c r="B216" s="28"/>
      <c r="C216" s="28"/>
      <c r="D216" s="29"/>
      <c r="E216" s="83"/>
    </row>
    <row r="217" spans="1:5">
      <c r="A217" s="27"/>
      <c r="B217" s="28"/>
      <c r="C217" s="28"/>
      <c r="D217" s="29"/>
      <c r="E217" s="83"/>
    </row>
    <row r="218" spans="1:5">
      <c r="A218" s="27"/>
      <c r="B218" s="28"/>
      <c r="C218" s="28"/>
      <c r="D218" s="29"/>
      <c r="E218" s="83"/>
    </row>
    <row r="219" spans="1:5">
      <c r="A219" s="27"/>
      <c r="B219" s="28"/>
      <c r="C219" s="28"/>
      <c r="D219" s="29"/>
      <c r="E219" s="83"/>
    </row>
    <row r="220" spans="1:5">
      <c r="A220" s="27"/>
      <c r="B220" s="28"/>
      <c r="C220" s="28"/>
      <c r="D220" s="29"/>
      <c r="E220" s="83"/>
    </row>
    <row r="221" spans="1:5">
      <c r="A221" s="27"/>
      <c r="B221" s="28"/>
      <c r="C221" s="28"/>
      <c r="D221" s="29"/>
      <c r="E221" s="83"/>
    </row>
    <row r="222" spans="1:5">
      <c r="A222" s="27"/>
      <c r="B222" s="28"/>
      <c r="C222" s="28"/>
      <c r="D222" s="29"/>
      <c r="E222" s="83"/>
    </row>
    <row r="223" spans="1:5">
      <c r="A223" s="27"/>
      <c r="B223" s="28"/>
      <c r="C223" s="28"/>
      <c r="D223" s="29"/>
      <c r="E223" s="83"/>
    </row>
    <row r="224" spans="1:5">
      <c r="A224" s="27"/>
      <c r="B224" s="28"/>
      <c r="C224" s="28"/>
      <c r="D224" s="29"/>
      <c r="E224" s="83"/>
    </row>
    <row r="225" spans="1:5">
      <c r="A225" s="27"/>
      <c r="B225" s="28"/>
      <c r="C225" s="28"/>
      <c r="D225" s="29"/>
      <c r="E225" s="83"/>
    </row>
    <row r="226" spans="1:5">
      <c r="A226" s="27"/>
      <c r="B226" s="28"/>
      <c r="C226" s="28"/>
      <c r="D226" s="29"/>
      <c r="E226" s="83"/>
    </row>
    <row r="227" spans="1:5">
      <c r="A227" s="27"/>
      <c r="B227" s="28"/>
      <c r="C227" s="28"/>
      <c r="D227" s="29"/>
      <c r="E227" s="83"/>
    </row>
    <row r="228" spans="1:5">
      <c r="A228" s="27"/>
      <c r="B228" s="28"/>
      <c r="C228" s="28"/>
      <c r="D228" s="29"/>
      <c r="E228" s="83"/>
    </row>
    <row r="229" spans="1:5">
      <c r="A229" s="27"/>
      <c r="B229" s="28"/>
      <c r="C229" s="28"/>
      <c r="D229" s="29"/>
      <c r="E229" s="83"/>
    </row>
    <row r="230" spans="1:5">
      <c r="A230" s="27"/>
      <c r="B230" s="28"/>
      <c r="C230" s="28"/>
      <c r="D230" s="29"/>
      <c r="E230" s="83"/>
    </row>
    <row r="231" spans="1:5">
      <c r="A231" s="27"/>
      <c r="B231" s="28"/>
      <c r="C231" s="28"/>
      <c r="D231" s="29"/>
      <c r="E231" s="83"/>
    </row>
    <row r="232" spans="1:5">
      <c r="A232" s="27"/>
      <c r="B232" s="28"/>
      <c r="C232" s="28"/>
      <c r="D232" s="29"/>
      <c r="E232" s="83"/>
    </row>
    <row r="233" spans="1:5">
      <c r="A233" s="27"/>
      <c r="B233" s="28"/>
      <c r="C233" s="28"/>
      <c r="D233" s="29"/>
      <c r="E233" s="83"/>
    </row>
    <row r="234" spans="1:5">
      <c r="A234" s="27"/>
      <c r="B234" s="28"/>
      <c r="C234" s="28"/>
      <c r="D234" s="29"/>
      <c r="E234" s="83"/>
    </row>
    <row r="235" spans="1:5">
      <c r="A235" s="27"/>
      <c r="B235" s="28"/>
      <c r="C235" s="28"/>
      <c r="D235" s="29"/>
      <c r="E235" s="83"/>
    </row>
    <row r="236" spans="1:5">
      <c r="A236" s="27"/>
      <c r="B236" s="28"/>
      <c r="C236" s="28"/>
      <c r="D236" s="29"/>
      <c r="E236" s="83"/>
    </row>
    <row r="237" spans="1:5">
      <c r="A237" s="27"/>
      <c r="B237" s="28"/>
      <c r="C237" s="28"/>
      <c r="D237" s="29"/>
      <c r="E237" s="83"/>
    </row>
    <row r="238" spans="1:5">
      <c r="A238" s="27"/>
      <c r="B238" s="28"/>
      <c r="C238" s="28"/>
      <c r="D238" s="29"/>
      <c r="E238" s="83"/>
    </row>
    <row r="239" spans="1:5">
      <c r="A239" s="27"/>
      <c r="B239" s="28"/>
      <c r="C239" s="28"/>
      <c r="D239" s="29"/>
      <c r="E239" s="83"/>
    </row>
    <row r="240" spans="1:5">
      <c r="A240" s="27"/>
      <c r="B240" s="28"/>
      <c r="C240" s="28"/>
      <c r="D240" s="29"/>
      <c r="E240" s="83"/>
    </row>
    <row r="241" spans="1:5">
      <c r="A241" s="27"/>
      <c r="B241" s="28"/>
      <c r="C241" s="28"/>
      <c r="D241" s="29"/>
      <c r="E241" s="83"/>
    </row>
    <row r="242" spans="1:5">
      <c r="A242" s="27"/>
      <c r="B242" s="28"/>
      <c r="C242" s="28"/>
      <c r="D242" s="29"/>
      <c r="E242" s="83"/>
    </row>
    <row r="243" spans="1:5">
      <c r="A243" s="27"/>
      <c r="B243" s="28"/>
      <c r="C243" s="28"/>
      <c r="D243" s="29"/>
      <c r="E243" s="83"/>
    </row>
    <row r="244" spans="1:5">
      <c r="A244" s="27"/>
      <c r="B244" s="28"/>
      <c r="C244" s="28"/>
      <c r="D244" s="29"/>
      <c r="E244" s="83"/>
    </row>
    <row r="245" spans="1:5">
      <c r="A245" s="27"/>
      <c r="B245" s="28"/>
      <c r="C245" s="28"/>
      <c r="D245" s="29"/>
      <c r="E245" s="83"/>
    </row>
    <row r="246" spans="1:5">
      <c r="A246" s="27"/>
      <c r="B246" s="28"/>
      <c r="C246" s="28"/>
      <c r="D246" s="29"/>
      <c r="E246" s="83"/>
    </row>
    <row r="247" spans="1:5">
      <c r="A247" s="27"/>
      <c r="B247" s="28"/>
      <c r="C247" s="28"/>
      <c r="D247" s="29"/>
      <c r="E247" s="83"/>
    </row>
    <row r="248" spans="1:5">
      <c r="A248" s="27"/>
      <c r="B248" s="28"/>
      <c r="C248" s="28"/>
      <c r="D248" s="29"/>
      <c r="E248" s="83"/>
    </row>
    <row r="249" spans="1:5">
      <c r="A249" s="27"/>
      <c r="B249" s="28"/>
      <c r="C249" s="28"/>
      <c r="D249" s="29"/>
      <c r="E249" s="83"/>
    </row>
    <row r="250" spans="1:5">
      <c r="A250" s="27"/>
      <c r="B250" s="28"/>
      <c r="C250" s="28"/>
      <c r="D250" s="29"/>
      <c r="E250" s="83"/>
    </row>
    <row r="251" spans="1:5">
      <c r="A251" s="27"/>
      <c r="B251" s="28"/>
      <c r="C251" s="28"/>
      <c r="D251" s="29"/>
      <c r="E251" s="83"/>
    </row>
    <row r="252" spans="1:5">
      <c r="A252" s="27"/>
      <c r="B252" s="28"/>
      <c r="C252" s="28"/>
      <c r="D252" s="29"/>
      <c r="E252" s="83"/>
    </row>
    <row r="253" spans="1:5">
      <c r="A253" s="27"/>
      <c r="B253" s="28"/>
      <c r="C253" s="28"/>
      <c r="D253" s="29"/>
      <c r="E253" s="83"/>
    </row>
    <row r="254" spans="1:5">
      <c r="A254" s="27"/>
      <c r="B254" s="28"/>
      <c r="C254" s="28"/>
      <c r="D254" s="29"/>
      <c r="E254" s="83"/>
    </row>
    <row r="255" spans="1:5">
      <c r="A255" s="27"/>
      <c r="B255" s="28"/>
      <c r="C255" s="28"/>
      <c r="D255" s="29"/>
      <c r="E255" s="83"/>
    </row>
    <row r="256" spans="1:5">
      <c r="A256" s="27"/>
      <c r="B256" s="28"/>
      <c r="C256" s="28"/>
      <c r="D256" s="29"/>
      <c r="E256" s="83"/>
    </row>
    <row r="257" spans="1:5">
      <c r="A257" s="27"/>
      <c r="B257" s="28"/>
      <c r="C257" s="28"/>
      <c r="D257" s="29"/>
      <c r="E257" s="83"/>
    </row>
    <row r="258" spans="1:5">
      <c r="A258" s="27"/>
      <c r="B258" s="28"/>
      <c r="C258" s="28"/>
      <c r="D258" s="29"/>
      <c r="E258" s="83"/>
    </row>
    <row r="259" spans="1:5">
      <c r="A259" s="27"/>
      <c r="B259" s="28"/>
      <c r="C259" s="28"/>
      <c r="D259" s="29"/>
      <c r="E259" s="83"/>
    </row>
    <row r="260" spans="1:5">
      <c r="A260" s="27"/>
      <c r="B260" s="28"/>
      <c r="C260" s="28"/>
      <c r="D260" s="29"/>
      <c r="E260" s="83"/>
    </row>
    <row r="261" spans="1:5">
      <c r="A261" s="27"/>
      <c r="B261" s="28"/>
      <c r="C261" s="28"/>
      <c r="D261" s="29"/>
      <c r="E261" s="83"/>
    </row>
    <row r="262" spans="1:5">
      <c r="A262" s="27"/>
      <c r="B262" s="28"/>
      <c r="C262" s="28"/>
      <c r="D262" s="29"/>
      <c r="E262" s="83"/>
    </row>
    <row r="263" spans="1:5">
      <c r="A263" s="27"/>
      <c r="B263" s="28"/>
      <c r="C263" s="28"/>
      <c r="D263" s="29"/>
      <c r="E263" s="83"/>
    </row>
    <row r="264" spans="1:5">
      <c r="A264" s="27"/>
      <c r="B264" s="28"/>
      <c r="C264" s="28"/>
      <c r="D264" s="29"/>
      <c r="E264" s="83"/>
    </row>
    <row r="265" spans="1:5">
      <c r="A265" s="27"/>
      <c r="B265" s="28"/>
      <c r="C265" s="28"/>
      <c r="D265" s="29"/>
      <c r="E265" s="83"/>
    </row>
    <row r="266" spans="1:5">
      <c r="A266" s="27"/>
      <c r="B266" s="28"/>
      <c r="C266" s="28"/>
      <c r="D266" s="29"/>
      <c r="E266" s="83"/>
    </row>
    <row r="267" spans="1:5">
      <c r="A267" s="27"/>
      <c r="B267" s="28"/>
      <c r="C267" s="28"/>
      <c r="D267" s="29"/>
      <c r="E267" s="83"/>
    </row>
    <row r="268" spans="1:5">
      <c r="A268" s="27"/>
      <c r="B268" s="28"/>
      <c r="C268" s="28"/>
      <c r="D268" s="29"/>
      <c r="E268" s="83"/>
    </row>
    <row r="269" spans="1:5">
      <c r="A269" s="27"/>
      <c r="B269" s="28"/>
      <c r="C269" s="28"/>
      <c r="D269" s="29"/>
      <c r="E269" s="83"/>
    </row>
    <row r="270" spans="1:5">
      <c r="A270" s="27"/>
      <c r="B270" s="28"/>
      <c r="C270" s="28"/>
      <c r="D270" s="29"/>
      <c r="E270" s="83"/>
    </row>
    <row r="271" spans="1:5">
      <c r="A271" s="27"/>
      <c r="B271" s="28"/>
      <c r="C271" s="28"/>
      <c r="D271" s="29"/>
      <c r="E271" s="83"/>
    </row>
    <row r="272" spans="1:5">
      <c r="A272" s="27"/>
      <c r="B272" s="28"/>
      <c r="C272" s="28"/>
      <c r="D272" s="29"/>
      <c r="E272" s="83"/>
    </row>
    <row r="273" spans="1:5">
      <c r="A273" s="27"/>
      <c r="B273" s="28"/>
      <c r="C273" s="28"/>
      <c r="D273" s="29"/>
      <c r="E273" s="83"/>
    </row>
    <row r="274" spans="1:5">
      <c r="A274" s="27"/>
      <c r="B274" s="28"/>
      <c r="C274" s="28"/>
      <c r="D274" s="29"/>
      <c r="E274" s="83"/>
    </row>
    <row r="275" spans="1:5">
      <c r="A275" s="27"/>
      <c r="B275" s="28"/>
      <c r="C275" s="28"/>
      <c r="D275" s="29"/>
      <c r="E275" s="83"/>
    </row>
    <row r="276" spans="1:5">
      <c r="A276" s="27"/>
      <c r="B276" s="28"/>
      <c r="C276" s="28"/>
      <c r="D276" s="29"/>
      <c r="E276" s="83"/>
    </row>
    <row r="277" spans="1:5">
      <c r="A277" s="27"/>
      <c r="B277" s="28"/>
      <c r="C277" s="28"/>
      <c r="D277" s="29"/>
      <c r="E277" s="83"/>
    </row>
    <row r="278" spans="1:5">
      <c r="A278" s="27"/>
      <c r="B278" s="28"/>
      <c r="C278" s="28"/>
      <c r="D278" s="29"/>
      <c r="E278" s="83"/>
    </row>
    <row r="279" spans="1:5">
      <c r="A279" s="27"/>
      <c r="B279" s="28"/>
      <c r="C279" s="28"/>
      <c r="D279" s="29"/>
      <c r="E279" s="83"/>
    </row>
    <row r="280" spans="1:5">
      <c r="A280" s="27"/>
      <c r="B280" s="28"/>
      <c r="C280" s="28"/>
      <c r="D280" s="29"/>
      <c r="E280" s="83"/>
    </row>
    <row r="281" spans="1:5">
      <c r="A281" s="27"/>
      <c r="B281" s="28"/>
      <c r="C281" s="28"/>
      <c r="D281" s="29"/>
      <c r="E281" s="83"/>
    </row>
    <row r="282" spans="1:5">
      <c r="A282" s="27"/>
      <c r="B282" s="28"/>
      <c r="C282" s="28"/>
      <c r="D282" s="29"/>
      <c r="E282" s="83"/>
    </row>
    <row r="283" spans="1:5">
      <c r="A283" s="27"/>
      <c r="B283" s="28"/>
      <c r="C283" s="28"/>
      <c r="D283" s="29"/>
      <c r="E283" s="83"/>
    </row>
    <row r="284" spans="1:5">
      <c r="A284" s="27"/>
      <c r="B284" s="28"/>
      <c r="C284" s="28"/>
      <c r="D284" s="29"/>
      <c r="E284" s="83"/>
    </row>
    <row r="285" spans="1:5">
      <c r="A285" s="27"/>
      <c r="B285" s="28"/>
      <c r="C285" s="28"/>
      <c r="D285" s="29"/>
      <c r="E285" s="83"/>
    </row>
    <row r="286" spans="1:5">
      <c r="A286" s="27"/>
      <c r="B286" s="28"/>
      <c r="C286" s="28"/>
      <c r="D286" s="29"/>
      <c r="E286" s="83"/>
    </row>
    <row r="287" spans="1:5">
      <c r="A287" s="27"/>
      <c r="B287" s="28"/>
      <c r="C287" s="28"/>
      <c r="D287" s="29"/>
      <c r="E287" s="83"/>
    </row>
    <row r="288" spans="1:5">
      <c r="A288" s="27"/>
      <c r="B288" s="28"/>
      <c r="C288" s="28"/>
      <c r="D288" s="29"/>
      <c r="E288" s="83"/>
    </row>
    <row r="289" spans="1:5">
      <c r="A289" s="27"/>
      <c r="B289" s="28"/>
      <c r="C289" s="28"/>
      <c r="D289" s="29"/>
      <c r="E289" s="83"/>
    </row>
    <row r="290" spans="1:5">
      <c r="A290" s="27"/>
      <c r="B290" s="28"/>
      <c r="C290" s="28"/>
      <c r="D290" s="29"/>
      <c r="E290" s="83"/>
    </row>
    <row r="291" spans="1:5">
      <c r="A291" s="27"/>
      <c r="B291" s="28"/>
      <c r="C291" s="28"/>
      <c r="D291" s="29"/>
      <c r="E291" s="83"/>
    </row>
    <row r="292" spans="1:5">
      <c r="A292" s="27"/>
      <c r="B292" s="28"/>
      <c r="C292" s="28"/>
      <c r="D292" s="29"/>
      <c r="E292" s="83"/>
    </row>
    <row r="293" spans="1:5">
      <c r="A293" s="27"/>
      <c r="B293" s="28"/>
      <c r="C293" s="28"/>
      <c r="D293" s="29"/>
      <c r="E293" s="83"/>
    </row>
    <row r="294" spans="1:5">
      <c r="A294" s="27"/>
      <c r="B294" s="28"/>
      <c r="C294" s="28"/>
      <c r="D294" s="29"/>
      <c r="E294" s="83"/>
    </row>
    <row r="295" spans="1:5">
      <c r="A295" s="27"/>
      <c r="B295" s="28"/>
      <c r="C295" s="28"/>
      <c r="D295" s="29"/>
      <c r="E295" s="83"/>
    </row>
    <row r="296" spans="1:5">
      <c r="A296" s="27"/>
      <c r="B296" s="28"/>
      <c r="C296" s="28"/>
      <c r="D296" s="29"/>
      <c r="E296" s="83"/>
    </row>
    <row r="297" spans="1:5">
      <c r="A297" s="27"/>
      <c r="B297" s="28"/>
      <c r="C297" s="28"/>
      <c r="D297" s="29"/>
      <c r="E297" s="83"/>
    </row>
    <row r="298" spans="1:5">
      <c r="A298" s="27"/>
      <c r="B298" s="28"/>
      <c r="C298" s="28"/>
      <c r="D298" s="29"/>
      <c r="E298" s="83"/>
    </row>
    <row r="299" spans="1:5">
      <c r="A299" s="27"/>
      <c r="B299" s="28"/>
      <c r="C299" s="28"/>
      <c r="D299" s="29"/>
      <c r="E299" s="83"/>
    </row>
    <row r="300" spans="1:5">
      <c r="A300" s="27"/>
      <c r="B300" s="28"/>
      <c r="C300" s="28"/>
      <c r="D300" s="29"/>
      <c r="E300" s="83"/>
    </row>
    <row r="301" spans="1:5">
      <c r="A301" s="27"/>
      <c r="B301" s="28"/>
      <c r="C301" s="28"/>
      <c r="D301" s="29"/>
      <c r="E301" s="83"/>
    </row>
    <row r="302" spans="1:5">
      <c r="A302" s="27"/>
      <c r="B302" s="28"/>
      <c r="C302" s="28"/>
      <c r="D302" s="29"/>
      <c r="E302" s="83"/>
    </row>
    <row r="303" spans="1:5">
      <c r="A303" s="27"/>
      <c r="B303" s="28"/>
      <c r="C303" s="28"/>
      <c r="D303" s="29"/>
      <c r="E303" s="83"/>
    </row>
    <row r="304" spans="1:5">
      <c r="A304" s="27"/>
      <c r="B304" s="28"/>
      <c r="C304" s="28"/>
      <c r="D304" s="29"/>
      <c r="E304" s="83"/>
    </row>
    <row r="305" spans="1:5">
      <c r="A305" s="27"/>
      <c r="B305" s="28"/>
      <c r="C305" s="28"/>
      <c r="D305" s="29"/>
      <c r="E305" s="83"/>
    </row>
    <row r="306" spans="1:5">
      <c r="A306" s="27"/>
      <c r="B306" s="28"/>
      <c r="C306" s="28"/>
      <c r="D306" s="29"/>
      <c r="E306" s="83"/>
    </row>
    <row r="307" spans="1:5">
      <c r="A307" s="27"/>
      <c r="B307" s="28"/>
      <c r="C307" s="28"/>
      <c r="D307" s="29"/>
      <c r="E307" s="83"/>
    </row>
    <row r="308" spans="1:5">
      <c r="A308" s="27"/>
      <c r="B308" s="28"/>
      <c r="C308" s="28"/>
      <c r="D308" s="29"/>
      <c r="E308" s="83"/>
    </row>
    <row r="309" spans="1:5">
      <c r="A309" s="27"/>
      <c r="B309" s="28"/>
      <c r="C309" s="28"/>
      <c r="D309" s="29"/>
      <c r="E309" s="83"/>
    </row>
    <row r="310" spans="1:5">
      <c r="A310" s="27"/>
      <c r="B310" s="28"/>
      <c r="C310" s="28"/>
      <c r="D310" s="29"/>
      <c r="E310" s="83"/>
    </row>
    <row r="311" spans="1:5">
      <c r="A311" s="27"/>
      <c r="B311" s="28"/>
      <c r="C311" s="28"/>
      <c r="D311" s="29"/>
      <c r="E311" s="83"/>
    </row>
    <row r="312" spans="1:5">
      <c r="A312" s="27"/>
      <c r="B312" s="28"/>
      <c r="C312" s="28"/>
      <c r="D312" s="29"/>
      <c r="E312" s="83"/>
    </row>
    <row r="313" spans="1:5">
      <c r="A313" s="27"/>
      <c r="B313" s="28"/>
      <c r="C313" s="28"/>
      <c r="D313" s="29"/>
      <c r="E313" s="83"/>
    </row>
    <row r="314" spans="1:5">
      <c r="A314" s="27"/>
      <c r="B314" s="28"/>
      <c r="C314" s="28"/>
      <c r="D314" s="29"/>
      <c r="E314" s="83"/>
    </row>
    <row r="315" spans="1:5">
      <c r="A315" s="27"/>
      <c r="B315" s="28"/>
      <c r="C315" s="28"/>
      <c r="D315" s="29"/>
      <c r="E315" s="83"/>
    </row>
    <row r="316" spans="1:5">
      <c r="A316" s="27"/>
      <c r="B316" s="28"/>
      <c r="C316" s="28"/>
      <c r="D316" s="29"/>
      <c r="E316" s="83"/>
    </row>
    <row r="317" spans="1:5">
      <c r="A317" s="27"/>
      <c r="B317" s="28"/>
      <c r="C317" s="28"/>
      <c r="D317" s="29"/>
      <c r="E317" s="83"/>
    </row>
    <row r="318" spans="1:5">
      <c r="A318" s="27"/>
      <c r="B318" s="28"/>
      <c r="C318" s="28"/>
      <c r="D318" s="29"/>
      <c r="E318" s="83"/>
    </row>
    <row r="319" spans="1:5">
      <c r="A319" s="27"/>
      <c r="B319" s="28"/>
      <c r="C319" s="28"/>
      <c r="D319" s="29"/>
      <c r="E319" s="83"/>
    </row>
    <row r="320" spans="1:5">
      <c r="A320" s="27"/>
      <c r="B320" s="28"/>
      <c r="C320" s="28"/>
      <c r="D320" s="29"/>
      <c r="E320" s="83"/>
    </row>
    <row r="321" spans="1:5">
      <c r="A321" s="27"/>
      <c r="B321" s="28"/>
      <c r="C321" s="28"/>
      <c r="D321" s="29"/>
      <c r="E321" s="83"/>
    </row>
    <row r="322" spans="1:5">
      <c r="A322" s="27"/>
      <c r="B322" s="28"/>
      <c r="C322" s="28"/>
      <c r="D322" s="29"/>
      <c r="E322" s="83"/>
    </row>
    <row r="323" spans="1:5">
      <c r="A323" s="27"/>
      <c r="B323" s="28"/>
      <c r="C323" s="28"/>
      <c r="D323" s="29"/>
      <c r="E323" s="83"/>
    </row>
    <row r="324" spans="1:5">
      <c r="A324" s="27"/>
      <c r="B324" s="28"/>
      <c r="C324" s="28"/>
      <c r="D324" s="29"/>
      <c r="E324" s="83"/>
    </row>
    <row r="325" spans="1:5">
      <c r="A325" s="27"/>
      <c r="B325" s="28"/>
      <c r="C325" s="28"/>
      <c r="D325" s="29"/>
      <c r="E325" s="83"/>
    </row>
    <row r="326" spans="1:5">
      <c r="A326" s="27"/>
      <c r="B326" s="28"/>
      <c r="C326" s="28"/>
      <c r="D326" s="29"/>
      <c r="E326" s="83"/>
    </row>
    <row r="327" spans="1:5">
      <c r="A327" s="27"/>
      <c r="B327" s="28"/>
      <c r="C327" s="28"/>
      <c r="D327" s="29"/>
      <c r="E327" s="83"/>
    </row>
    <row r="328" spans="1:5">
      <c r="A328" s="27"/>
      <c r="B328" s="28"/>
      <c r="C328" s="28"/>
      <c r="D328" s="29"/>
      <c r="E328" s="83"/>
    </row>
    <row r="329" spans="1:5">
      <c r="A329" s="27"/>
      <c r="B329" s="28"/>
      <c r="C329" s="28"/>
      <c r="D329" s="29"/>
      <c r="E329" s="83"/>
    </row>
    <row r="330" spans="1:5">
      <c r="A330" s="27"/>
      <c r="B330" s="28"/>
      <c r="C330" s="28"/>
      <c r="D330" s="29"/>
      <c r="E330" s="83"/>
    </row>
    <row r="331" spans="1:5">
      <c r="A331" s="27"/>
      <c r="B331" s="28"/>
      <c r="C331" s="28"/>
      <c r="D331" s="29"/>
      <c r="E331" s="83"/>
    </row>
    <row r="332" spans="1:5">
      <c r="A332" s="27"/>
      <c r="B332" s="28"/>
      <c r="C332" s="28"/>
      <c r="D332" s="29"/>
      <c r="E332" s="83"/>
    </row>
    <row r="333" spans="1:5">
      <c r="A333" s="27"/>
      <c r="B333" s="28"/>
      <c r="C333" s="28"/>
      <c r="D333" s="29"/>
      <c r="E333" s="83"/>
    </row>
    <row r="334" spans="1:5">
      <c r="A334" s="27"/>
      <c r="B334" s="28"/>
      <c r="C334" s="28"/>
      <c r="D334" s="29"/>
      <c r="E334" s="83"/>
    </row>
    <row r="335" spans="1:5">
      <c r="A335" s="27"/>
      <c r="B335" s="28"/>
      <c r="C335" s="28"/>
      <c r="D335" s="29"/>
      <c r="E335" s="83"/>
    </row>
    <row r="336" spans="1:5">
      <c r="A336" s="27"/>
      <c r="B336" s="28"/>
      <c r="C336" s="28"/>
      <c r="D336" s="29"/>
      <c r="E336" s="83"/>
    </row>
    <row r="337" spans="1:5">
      <c r="A337" s="27"/>
      <c r="B337" s="28"/>
      <c r="C337" s="28"/>
      <c r="D337" s="29"/>
      <c r="E337" s="83"/>
    </row>
    <row r="338" spans="1:5">
      <c r="A338" s="27"/>
      <c r="B338" s="28"/>
      <c r="C338" s="28"/>
      <c r="D338" s="29"/>
      <c r="E338" s="83"/>
    </row>
    <row r="339" spans="1:5">
      <c r="A339" s="27"/>
      <c r="B339" s="28"/>
      <c r="C339" s="28"/>
      <c r="D339" s="29"/>
      <c r="E339" s="83"/>
    </row>
    <row r="340" spans="1:5">
      <c r="A340" s="27"/>
      <c r="B340" s="28"/>
      <c r="C340" s="28"/>
      <c r="D340" s="29"/>
      <c r="E340" s="83"/>
    </row>
    <row r="341" spans="1:5">
      <c r="A341" s="27"/>
      <c r="B341" s="28"/>
      <c r="C341" s="28"/>
      <c r="D341" s="29"/>
      <c r="E341" s="83"/>
    </row>
    <row r="342" spans="1:5">
      <c r="A342" s="27"/>
      <c r="B342" s="28"/>
      <c r="C342" s="28"/>
      <c r="D342" s="29"/>
      <c r="E342" s="83"/>
    </row>
    <row r="343" spans="1:5">
      <c r="A343" s="27"/>
      <c r="B343" s="28"/>
      <c r="C343" s="28"/>
      <c r="D343" s="29"/>
      <c r="E343" s="83"/>
    </row>
    <row r="344" spans="1:5">
      <c r="A344" s="27"/>
      <c r="B344" s="28"/>
      <c r="C344" s="28"/>
      <c r="D344" s="29"/>
      <c r="E344" s="83"/>
    </row>
    <row r="345" spans="1:5">
      <c r="A345" s="27"/>
      <c r="B345" s="28"/>
      <c r="C345" s="28"/>
      <c r="D345" s="29"/>
      <c r="E345" s="83"/>
    </row>
    <row r="346" spans="1:5">
      <c r="A346" s="27"/>
      <c r="B346" s="28"/>
      <c r="C346" s="28"/>
      <c r="D346" s="29"/>
      <c r="E346" s="83"/>
    </row>
    <row r="347" spans="1:5">
      <c r="A347" s="27"/>
      <c r="B347" s="28"/>
      <c r="C347" s="28"/>
      <c r="D347" s="29"/>
      <c r="E347" s="83"/>
    </row>
    <row r="348" spans="1:5">
      <c r="A348" s="27"/>
      <c r="B348" s="28"/>
      <c r="C348" s="28"/>
      <c r="D348" s="29"/>
      <c r="E348" s="83"/>
    </row>
    <row r="349" spans="1:5">
      <c r="A349" s="27"/>
      <c r="B349" s="28"/>
      <c r="C349" s="28"/>
      <c r="D349" s="29"/>
      <c r="E349" s="83"/>
    </row>
    <row r="350" spans="1:5">
      <c r="A350" s="27"/>
      <c r="B350" s="28"/>
      <c r="C350" s="28"/>
      <c r="D350" s="29"/>
      <c r="E350" s="83"/>
    </row>
    <row r="351" spans="1:5">
      <c r="A351" s="27"/>
      <c r="B351" s="28"/>
      <c r="C351" s="28"/>
      <c r="D351" s="29"/>
      <c r="E351" s="83"/>
    </row>
    <row r="352" spans="1:5">
      <c r="A352" s="27"/>
      <c r="B352" s="28"/>
      <c r="C352" s="28"/>
      <c r="D352" s="29"/>
      <c r="E352" s="83"/>
    </row>
    <row r="353" spans="1:5">
      <c r="A353" s="27"/>
      <c r="B353" s="28"/>
      <c r="C353" s="28"/>
      <c r="D353" s="29"/>
      <c r="E353" s="83"/>
    </row>
    <row r="354" spans="1:5">
      <c r="A354" s="27"/>
      <c r="B354" s="28"/>
      <c r="C354" s="28"/>
      <c r="D354" s="29"/>
      <c r="E354" s="83"/>
    </row>
    <row r="355" spans="1:5">
      <c r="A355" s="27"/>
      <c r="B355" s="28"/>
      <c r="C355" s="28"/>
      <c r="D355" s="29"/>
      <c r="E355" s="83"/>
    </row>
    <row r="356" spans="1:5">
      <c r="A356" s="27"/>
      <c r="B356" s="28"/>
      <c r="C356" s="28"/>
      <c r="D356" s="29"/>
      <c r="E356" s="83"/>
    </row>
    <row r="357" spans="1:5">
      <c r="A357" s="27"/>
      <c r="B357" s="28"/>
      <c r="C357" s="28"/>
      <c r="D357" s="29"/>
      <c r="E357" s="83"/>
    </row>
    <row r="358" spans="1:5">
      <c r="A358" s="27"/>
      <c r="B358" s="28"/>
      <c r="C358" s="28"/>
      <c r="D358" s="29"/>
      <c r="E358" s="83"/>
    </row>
    <row r="359" spans="1:5">
      <c r="A359" s="27"/>
      <c r="B359" s="28"/>
      <c r="C359" s="28"/>
      <c r="D359" s="29"/>
      <c r="E359" s="83"/>
    </row>
    <row r="360" spans="1:5">
      <c r="A360" s="27"/>
      <c r="B360" s="28"/>
      <c r="C360" s="28"/>
      <c r="D360" s="29"/>
      <c r="E360" s="83"/>
    </row>
    <row r="361" spans="1:5">
      <c r="A361" s="27"/>
      <c r="B361" s="28"/>
      <c r="C361" s="28"/>
      <c r="D361" s="29"/>
      <c r="E361" s="83"/>
    </row>
    <row r="362" spans="1:5">
      <c r="A362" s="27"/>
      <c r="B362" s="28"/>
      <c r="C362" s="28"/>
      <c r="D362" s="29"/>
      <c r="E362" s="83"/>
    </row>
    <row r="363" spans="1:5">
      <c r="A363" s="27"/>
      <c r="B363" s="28"/>
      <c r="C363" s="28"/>
      <c r="D363" s="29"/>
      <c r="E363" s="83"/>
    </row>
    <row r="364" spans="1:5">
      <c r="A364" s="27"/>
      <c r="B364" s="28"/>
      <c r="C364" s="28"/>
      <c r="D364" s="29"/>
      <c r="E364" s="83"/>
    </row>
    <row r="365" spans="1:5">
      <c r="A365" s="27"/>
      <c r="B365" s="28"/>
      <c r="C365" s="28"/>
      <c r="D365" s="29"/>
      <c r="E365" s="83"/>
    </row>
    <row r="366" spans="1:5">
      <c r="A366" s="27"/>
      <c r="B366" s="28"/>
      <c r="C366" s="28"/>
      <c r="D366" s="29"/>
      <c r="E366" s="83"/>
    </row>
    <row r="367" spans="1:5">
      <c r="A367" s="27"/>
      <c r="B367" s="28"/>
      <c r="C367" s="28"/>
      <c r="D367" s="29"/>
      <c r="E367" s="83"/>
    </row>
    <row r="368" spans="1:5">
      <c r="A368" s="27"/>
      <c r="B368" s="28"/>
      <c r="C368" s="28"/>
      <c r="D368" s="29"/>
      <c r="E368" s="83"/>
    </row>
    <row r="369" spans="1:5">
      <c r="A369" s="27"/>
      <c r="B369" s="28"/>
      <c r="C369" s="28"/>
      <c r="D369" s="29"/>
      <c r="E369" s="83"/>
    </row>
    <row r="370" spans="1:5">
      <c r="A370" s="27"/>
      <c r="B370" s="28"/>
      <c r="C370" s="28"/>
      <c r="D370" s="29"/>
      <c r="E370" s="83"/>
    </row>
    <row r="371" spans="1:5">
      <c r="A371" s="27"/>
      <c r="B371" s="28"/>
      <c r="C371" s="28"/>
      <c r="D371" s="29"/>
      <c r="E371" s="83"/>
    </row>
    <row r="372" spans="1:5">
      <c r="A372" s="27"/>
      <c r="B372" s="28"/>
      <c r="C372" s="28"/>
      <c r="D372" s="29"/>
      <c r="E372" s="83"/>
    </row>
    <row r="373" spans="1:5">
      <c r="A373" s="27"/>
      <c r="B373" s="28"/>
      <c r="C373" s="28"/>
      <c r="D373" s="29"/>
      <c r="E373" s="83"/>
    </row>
    <row r="374" spans="1:5">
      <c r="A374" s="27"/>
      <c r="B374" s="28"/>
      <c r="C374" s="28"/>
      <c r="D374" s="29"/>
      <c r="E374" s="83"/>
    </row>
    <row r="375" spans="1:5">
      <c r="A375" s="27"/>
      <c r="B375" s="28"/>
      <c r="C375" s="28"/>
      <c r="D375" s="29"/>
      <c r="E375" s="83"/>
    </row>
    <row r="376" spans="1:5">
      <c r="A376" s="27"/>
      <c r="B376" s="28"/>
      <c r="C376" s="28"/>
      <c r="D376" s="29"/>
      <c r="E376" s="83"/>
    </row>
    <row r="377" spans="1:5">
      <c r="A377" s="27"/>
      <c r="B377" s="28"/>
      <c r="C377" s="28"/>
      <c r="D377" s="29"/>
      <c r="E377" s="83"/>
    </row>
    <row r="378" spans="1:5">
      <c r="A378" s="27"/>
      <c r="B378" s="28"/>
      <c r="C378" s="28"/>
      <c r="D378" s="29"/>
      <c r="E378" s="83"/>
    </row>
    <row r="379" spans="1:5">
      <c r="A379" s="27"/>
      <c r="B379" s="28"/>
      <c r="C379" s="28"/>
      <c r="D379" s="29"/>
      <c r="E379" s="83"/>
    </row>
    <row r="380" spans="1:5">
      <c r="A380" s="27"/>
      <c r="B380" s="28"/>
      <c r="C380" s="28"/>
      <c r="D380" s="29"/>
      <c r="E380" s="83"/>
    </row>
    <row r="381" spans="1:5">
      <c r="A381" s="27"/>
      <c r="B381" s="28"/>
      <c r="C381" s="28"/>
      <c r="D381" s="29"/>
      <c r="E381" s="83"/>
    </row>
    <row r="382" spans="1:5">
      <c r="A382" s="27"/>
      <c r="B382" s="28"/>
      <c r="C382" s="28"/>
      <c r="D382" s="29"/>
      <c r="E382" s="83"/>
    </row>
    <row r="383" spans="1:5">
      <c r="A383" s="27"/>
      <c r="B383" s="28"/>
      <c r="C383" s="28"/>
      <c r="D383" s="29"/>
      <c r="E383" s="83"/>
    </row>
    <row r="384" spans="1:5">
      <c r="A384" s="27"/>
      <c r="B384" s="28"/>
      <c r="C384" s="28"/>
      <c r="D384" s="29"/>
      <c r="E384" s="83"/>
    </row>
    <row r="385" spans="1:5">
      <c r="A385" s="27"/>
      <c r="B385" s="28"/>
      <c r="C385" s="28"/>
      <c r="D385" s="29"/>
      <c r="E385" s="83"/>
    </row>
    <row r="386" spans="1:5">
      <c r="A386" s="27"/>
      <c r="B386" s="28"/>
      <c r="C386" s="28"/>
      <c r="D386" s="29"/>
      <c r="E386" s="83"/>
    </row>
    <row r="387" spans="1:5">
      <c r="A387" s="27"/>
      <c r="B387" s="28"/>
      <c r="C387" s="28"/>
      <c r="D387" s="29"/>
      <c r="E387" s="83"/>
    </row>
    <row r="388" spans="1:5">
      <c r="A388" s="27"/>
      <c r="B388" s="28"/>
      <c r="C388" s="28"/>
      <c r="D388" s="29"/>
      <c r="E388" s="83"/>
    </row>
    <row r="389" spans="1:5">
      <c r="A389" s="27"/>
      <c r="B389" s="28"/>
      <c r="C389" s="28"/>
      <c r="D389" s="29"/>
      <c r="E389" s="83"/>
    </row>
    <row r="390" spans="1:5">
      <c r="A390" s="27"/>
      <c r="B390" s="28"/>
      <c r="C390" s="28"/>
      <c r="D390" s="29"/>
      <c r="E390" s="83"/>
    </row>
    <row r="391" spans="1:5">
      <c r="A391" s="27"/>
      <c r="B391" s="28"/>
      <c r="C391" s="28"/>
      <c r="D391" s="29"/>
      <c r="E391" s="83"/>
    </row>
    <row r="392" spans="1:5">
      <c r="A392" s="27"/>
      <c r="B392" s="28"/>
      <c r="C392" s="28"/>
      <c r="D392" s="29"/>
      <c r="E392" s="83"/>
    </row>
    <row r="393" spans="1:5">
      <c r="A393" s="27"/>
      <c r="B393" s="28"/>
      <c r="C393" s="28"/>
      <c r="D393" s="29"/>
      <c r="E393" s="83"/>
    </row>
    <row r="394" spans="1:5">
      <c r="A394" s="27"/>
      <c r="B394" s="28"/>
      <c r="C394" s="28"/>
      <c r="D394" s="29"/>
      <c r="E394" s="83"/>
    </row>
    <row r="395" spans="1:5">
      <c r="A395" s="27"/>
      <c r="B395" s="28"/>
      <c r="C395" s="28"/>
      <c r="D395" s="29"/>
      <c r="E395" s="83"/>
    </row>
    <row r="396" spans="1:5">
      <c r="A396" s="27"/>
      <c r="B396" s="28"/>
      <c r="C396" s="28"/>
      <c r="D396" s="29"/>
      <c r="E396" s="83"/>
    </row>
    <row r="397" spans="1:5">
      <c r="A397" s="27"/>
      <c r="B397" s="28"/>
      <c r="C397" s="28"/>
      <c r="D397" s="29"/>
      <c r="E397" s="83"/>
    </row>
    <row r="398" spans="1:5">
      <c r="A398" s="27"/>
      <c r="B398" s="28"/>
      <c r="C398" s="28"/>
      <c r="D398" s="29"/>
      <c r="E398" s="83"/>
    </row>
    <row r="399" spans="1:5">
      <c r="A399" s="27"/>
      <c r="B399" s="28"/>
      <c r="C399" s="28"/>
      <c r="D399" s="29"/>
      <c r="E399" s="83"/>
    </row>
    <row r="400" spans="1:5">
      <c r="A400" s="27"/>
      <c r="B400" s="28"/>
      <c r="C400" s="28"/>
      <c r="D400" s="29"/>
      <c r="E400" s="83"/>
    </row>
    <row r="401" spans="1:5">
      <c r="A401" s="27"/>
      <c r="B401" s="28"/>
      <c r="C401" s="28"/>
      <c r="D401" s="29"/>
      <c r="E401" s="83"/>
    </row>
    <row r="402" spans="1:5">
      <c r="A402" s="27"/>
      <c r="B402" s="28"/>
      <c r="C402" s="28"/>
      <c r="D402" s="29"/>
      <c r="E402" s="83"/>
    </row>
    <row r="403" spans="1:5">
      <c r="A403" s="27"/>
      <c r="B403" s="28"/>
      <c r="C403" s="28"/>
      <c r="D403" s="29"/>
      <c r="E403" s="83"/>
    </row>
    <row r="404" spans="1:5">
      <c r="A404" s="27"/>
      <c r="B404" s="28"/>
      <c r="C404" s="28"/>
      <c r="D404" s="29"/>
      <c r="E404" s="83"/>
    </row>
    <row r="405" spans="1:5">
      <c r="A405" s="27"/>
      <c r="B405" s="28"/>
      <c r="C405" s="28"/>
      <c r="D405" s="29"/>
      <c r="E405" s="83"/>
    </row>
    <row r="406" spans="1:5">
      <c r="A406" s="27"/>
      <c r="B406" s="28"/>
      <c r="C406" s="28"/>
      <c r="D406" s="29"/>
      <c r="E406" s="83"/>
    </row>
    <row r="407" spans="1:5">
      <c r="A407" s="27"/>
      <c r="B407" s="28"/>
      <c r="C407" s="28"/>
      <c r="D407" s="29"/>
      <c r="E407" s="83"/>
    </row>
    <row r="408" spans="1:5">
      <c r="A408" s="27"/>
      <c r="B408" s="28"/>
      <c r="C408" s="28"/>
      <c r="D408" s="29"/>
      <c r="E408" s="83"/>
    </row>
    <row r="409" spans="1:5">
      <c r="A409" s="27"/>
      <c r="B409" s="28"/>
      <c r="C409" s="28"/>
      <c r="D409" s="29"/>
      <c r="E409" s="83"/>
    </row>
    <row r="410" spans="1:5">
      <c r="A410" s="27"/>
      <c r="B410" s="28"/>
      <c r="C410" s="28"/>
      <c r="D410" s="29"/>
      <c r="E410" s="83"/>
    </row>
    <row r="411" spans="1:5">
      <c r="A411" s="27"/>
      <c r="B411" s="28"/>
      <c r="C411" s="28"/>
      <c r="D411" s="29"/>
      <c r="E411" s="83"/>
    </row>
    <row r="412" spans="1:5">
      <c r="A412" s="27"/>
      <c r="B412" s="28"/>
      <c r="C412" s="28"/>
      <c r="D412" s="29"/>
      <c r="E412" s="83"/>
    </row>
    <row r="413" spans="1:5">
      <c r="A413" s="27"/>
      <c r="B413" s="28"/>
      <c r="C413" s="28"/>
      <c r="D413" s="29"/>
      <c r="E413" s="83"/>
    </row>
    <row r="414" spans="1:5">
      <c r="A414" s="27"/>
      <c r="B414" s="28"/>
      <c r="C414" s="28"/>
      <c r="D414" s="29"/>
      <c r="E414" s="83"/>
    </row>
    <row r="415" spans="1:5">
      <c r="A415" s="27"/>
      <c r="B415" s="28"/>
      <c r="C415" s="28"/>
      <c r="D415" s="29"/>
      <c r="E415" s="83"/>
    </row>
    <row r="416" spans="1:5">
      <c r="A416" s="27"/>
      <c r="B416" s="28"/>
      <c r="C416" s="28"/>
      <c r="D416" s="29"/>
      <c r="E416" s="83"/>
    </row>
    <row r="417" spans="1:5">
      <c r="A417" s="27"/>
      <c r="B417" s="28"/>
      <c r="C417" s="28"/>
      <c r="D417" s="29"/>
      <c r="E417" s="83"/>
    </row>
    <row r="418" spans="1:5">
      <c r="A418" s="27"/>
      <c r="B418" s="28"/>
      <c r="C418" s="28"/>
      <c r="D418" s="29"/>
      <c r="E418" s="83"/>
    </row>
    <row r="419" spans="1:5">
      <c r="A419" s="27"/>
      <c r="B419" s="28"/>
      <c r="C419" s="28"/>
      <c r="D419" s="29"/>
      <c r="E419" s="83"/>
    </row>
    <row r="420" spans="1:5">
      <c r="A420" s="27"/>
      <c r="B420" s="28"/>
      <c r="C420" s="28"/>
      <c r="D420" s="29"/>
      <c r="E420" s="83"/>
    </row>
    <row r="421" spans="1:5">
      <c r="A421" s="27"/>
      <c r="B421" s="28"/>
      <c r="C421" s="28"/>
      <c r="D421" s="29"/>
      <c r="E421" s="83"/>
    </row>
    <row r="422" spans="1:5">
      <c r="A422" s="27"/>
      <c r="B422" s="28"/>
      <c r="C422" s="28"/>
      <c r="D422" s="29"/>
      <c r="E422" s="83"/>
    </row>
    <row r="423" spans="1:5">
      <c r="A423" s="27"/>
      <c r="B423" s="28"/>
      <c r="C423" s="28"/>
      <c r="D423" s="29"/>
      <c r="E423" s="83"/>
    </row>
    <row r="424" spans="1:5">
      <c r="A424" s="27"/>
      <c r="B424" s="28"/>
      <c r="C424" s="28"/>
      <c r="D424" s="29"/>
      <c r="E424" s="83"/>
    </row>
    <row r="425" spans="1:5">
      <c r="A425" s="27"/>
      <c r="B425" s="28"/>
      <c r="C425" s="28"/>
      <c r="D425" s="29"/>
      <c r="E425" s="83"/>
    </row>
    <row r="426" spans="1:5">
      <c r="A426" s="27"/>
      <c r="B426" s="28"/>
      <c r="C426" s="28"/>
      <c r="D426" s="29"/>
      <c r="E426" s="83"/>
    </row>
    <row r="427" spans="1:5">
      <c r="A427" s="27"/>
      <c r="B427" s="28"/>
      <c r="C427" s="28"/>
      <c r="D427" s="29"/>
      <c r="E427" s="83"/>
    </row>
    <row r="428" spans="1:5">
      <c r="A428" s="27"/>
      <c r="B428" s="28"/>
      <c r="C428" s="28"/>
      <c r="D428" s="29"/>
      <c r="E428" s="83"/>
    </row>
    <row r="429" spans="1:5">
      <c r="A429" s="27"/>
      <c r="B429" s="28"/>
      <c r="C429" s="28"/>
      <c r="D429" s="29"/>
      <c r="E429" s="83"/>
    </row>
    <row r="430" spans="1:5">
      <c r="A430" s="27"/>
      <c r="B430" s="28"/>
      <c r="C430" s="28"/>
      <c r="D430" s="29"/>
      <c r="E430" s="83"/>
    </row>
    <row r="431" spans="1:5">
      <c r="A431" s="27"/>
      <c r="B431" s="28"/>
      <c r="C431" s="28"/>
      <c r="D431" s="29"/>
      <c r="E431" s="83"/>
    </row>
    <row r="432" spans="1:5">
      <c r="A432" s="27"/>
      <c r="B432" s="28"/>
      <c r="C432" s="28"/>
      <c r="D432" s="29"/>
      <c r="E432" s="83"/>
    </row>
    <row r="433" spans="1:5">
      <c r="A433" s="27"/>
      <c r="B433" s="28"/>
      <c r="C433" s="28"/>
      <c r="D433" s="29"/>
      <c r="E433" s="83"/>
    </row>
    <row r="434" spans="1:5">
      <c r="A434" s="27"/>
      <c r="B434" s="28"/>
      <c r="C434" s="28"/>
      <c r="D434" s="29"/>
      <c r="E434" s="83"/>
    </row>
    <row r="435" spans="1:5">
      <c r="A435" s="27"/>
      <c r="B435" s="28"/>
      <c r="C435" s="28"/>
      <c r="D435" s="29"/>
      <c r="E435" s="83"/>
    </row>
    <row r="436" spans="1:5">
      <c r="A436" s="27"/>
      <c r="B436" s="28"/>
      <c r="C436" s="28"/>
      <c r="D436" s="29"/>
      <c r="E436" s="83"/>
    </row>
    <row r="437" spans="1:5">
      <c r="A437" s="27"/>
      <c r="B437" s="28"/>
      <c r="C437" s="28"/>
      <c r="D437" s="29"/>
      <c r="E437" s="83"/>
    </row>
    <row r="438" spans="1:5">
      <c r="A438" s="27"/>
      <c r="B438" s="28"/>
      <c r="C438" s="28"/>
      <c r="D438" s="29"/>
      <c r="E438" s="83"/>
    </row>
    <row r="439" spans="1:5">
      <c r="A439" s="27"/>
      <c r="B439" s="28"/>
      <c r="C439" s="28"/>
      <c r="D439" s="29"/>
      <c r="E439" s="83"/>
    </row>
    <row r="440" spans="1:5">
      <c r="A440" s="27"/>
      <c r="B440" s="28"/>
      <c r="C440" s="28"/>
      <c r="D440" s="29"/>
      <c r="E440" s="83"/>
    </row>
    <row r="441" spans="1:5">
      <c r="A441" s="27"/>
      <c r="B441" s="28"/>
      <c r="C441" s="28"/>
      <c r="D441" s="29"/>
      <c r="E441" s="83"/>
    </row>
    <row r="442" spans="1:5">
      <c r="A442" s="27"/>
      <c r="B442" s="28"/>
      <c r="C442" s="28"/>
      <c r="D442" s="29"/>
      <c r="E442" s="83"/>
    </row>
    <row r="443" spans="1:5">
      <c r="A443" s="27"/>
      <c r="B443" s="28"/>
      <c r="C443" s="28"/>
      <c r="D443" s="29"/>
      <c r="E443" s="83"/>
    </row>
    <row r="444" spans="1:5">
      <c r="A444" s="27"/>
      <c r="B444" s="28"/>
      <c r="C444" s="28"/>
      <c r="D444" s="29"/>
      <c r="E444" s="83"/>
    </row>
    <row r="445" spans="1:5">
      <c r="A445" s="27"/>
      <c r="B445" s="28"/>
      <c r="C445" s="28"/>
      <c r="D445" s="29"/>
      <c r="E445" s="83"/>
    </row>
    <row r="446" spans="1:5">
      <c r="A446" s="27"/>
      <c r="B446" s="28"/>
      <c r="C446" s="28"/>
      <c r="D446" s="29"/>
      <c r="E446" s="83"/>
    </row>
    <row r="447" spans="1:5">
      <c r="A447" s="27"/>
      <c r="B447" s="28"/>
      <c r="C447" s="28"/>
      <c r="D447" s="29"/>
      <c r="E447" s="83"/>
    </row>
    <row r="448" spans="1:5">
      <c r="A448" s="27"/>
      <c r="B448" s="28"/>
      <c r="C448" s="28"/>
      <c r="D448" s="29"/>
      <c r="E448" s="83"/>
    </row>
    <row r="449" spans="1:5">
      <c r="A449" s="27"/>
      <c r="B449" s="28"/>
      <c r="C449" s="28"/>
      <c r="D449" s="29"/>
      <c r="E449" s="83"/>
    </row>
    <row r="450" spans="1:5">
      <c r="A450" s="27"/>
      <c r="B450" s="28"/>
      <c r="C450" s="28"/>
      <c r="D450" s="29"/>
      <c r="E450" s="83"/>
    </row>
    <row r="451" spans="1:5">
      <c r="A451" s="27"/>
      <c r="B451" s="28"/>
      <c r="C451" s="28"/>
      <c r="D451" s="29"/>
      <c r="E451" s="83"/>
    </row>
    <row r="452" spans="1:5">
      <c r="A452" s="27"/>
      <c r="B452" s="28"/>
      <c r="C452" s="28"/>
      <c r="D452" s="29"/>
      <c r="E452" s="83"/>
    </row>
    <row r="453" spans="1:5">
      <c r="A453" s="27"/>
      <c r="B453" s="28"/>
      <c r="C453" s="28"/>
      <c r="D453" s="29"/>
      <c r="E453" s="83"/>
    </row>
    <row r="454" spans="1:5">
      <c r="A454" s="27"/>
      <c r="B454" s="28"/>
      <c r="C454" s="28"/>
      <c r="D454" s="29"/>
      <c r="E454" s="83"/>
    </row>
    <row r="455" spans="1:5">
      <c r="A455" s="27"/>
      <c r="B455" s="28"/>
      <c r="C455" s="28"/>
      <c r="D455" s="29"/>
      <c r="E455" s="83"/>
    </row>
    <row r="456" spans="1:5">
      <c r="A456" s="27"/>
      <c r="B456" s="28"/>
      <c r="C456" s="28"/>
      <c r="D456" s="29"/>
      <c r="E456" s="83"/>
    </row>
    <row r="457" spans="1:5">
      <c r="A457" s="27"/>
      <c r="B457" s="28"/>
      <c r="C457" s="28"/>
      <c r="D457" s="29"/>
      <c r="E457" s="83"/>
    </row>
    <row r="458" spans="1:5">
      <c r="A458" s="27"/>
      <c r="B458" s="28"/>
      <c r="C458" s="28"/>
      <c r="D458" s="29"/>
      <c r="E458" s="83"/>
    </row>
    <row r="459" spans="1:5">
      <c r="A459" s="27"/>
      <c r="B459" s="28"/>
      <c r="C459" s="28"/>
      <c r="D459" s="29"/>
      <c r="E459" s="83"/>
    </row>
    <row r="460" spans="1:5">
      <c r="A460" s="27"/>
      <c r="B460" s="28"/>
      <c r="C460" s="28"/>
      <c r="D460" s="29"/>
      <c r="E460" s="83"/>
    </row>
    <row r="461" spans="1:5">
      <c r="A461" s="27"/>
      <c r="B461" s="28"/>
      <c r="C461" s="28"/>
      <c r="D461" s="29"/>
      <c r="E461" s="83"/>
    </row>
    <row r="462" spans="1:5">
      <c r="A462" s="27"/>
      <c r="B462" s="28"/>
      <c r="C462" s="28"/>
      <c r="D462" s="29"/>
      <c r="E462" s="83"/>
    </row>
    <row r="463" spans="1:5">
      <c r="A463" s="27"/>
      <c r="B463" s="28"/>
      <c r="C463" s="28"/>
      <c r="D463" s="29"/>
      <c r="E463" s="83"/>
    </row>
    <row r="464" spans="1:5">
      <c r="A464" s="27"/>
      <c r="B464" s="28"/>
      <c r="C464" s="28"/>
      <c r="D464" s="29"/>
      <c r="E464" s="83"/>
    </row>
    <row r="465" spans="1:5">
      <c r="A465" s="27"/>
      <c r="B465" s="28"/>
      <c r="C465" s="28"/>
      <c r="D465" s="29"/>
      <c r="E465" s="83"/>
    </row>
    <row r="466" spans="1:5">
      <c r="A466" s="27"/>
      <c r="B466" s="28"/>
      <c r="C466" s="28"/>
      <c r="D466" s="29"/>
      <c r="E466" s="83"/>
    </row>
    <row r="467" spans="1:5">
      <c r="A467" s="27"/>
      <c r="B467" s="28"/>
      <c r="C467" s="28"/>
      <c r="D467" s="29"/>
      <c r="E467" s="83"/>
    </row>
    <row r="468" spans="1:5">
      <c r="A468" s="27"/>
      <c r="B468" s="28"/>
      <c r="C468" s="28"/>
      <c r="D468" s="29"/>
      <c r="E468" s="83"/>
    </row>
    <row r="469" spans="1:5">
      <c r="A469" s="27"/>
      <c r="B469" s="28"/>
      <c r="C469" s="28"/>
      <c r="D469" s="29"/>
      <c r="E469" s="83"/>
    </row>
    <row r="470" spans="1:5">
      <c r="A470" s="27"/>
      <c r="B470" s="28"/>
      <c r="C470" s="28"/>
      <c r="D470" s="29"/>
      <c r="E470" s="83"/>
    </row>
    <row r="471" spans="1:5">
      <c r="A471" s="27"/>
      <c r="B471" s="28"/>
      <c r="C471" s="28"/>
      <c r="D471" s="29"/>
      <c r="E471" s="83"/>
    </row>
    <row r="472" spans="1:5">
      <c r="A472" s="27"/>
      <c r="B472" s="28"/>
      <c r="C472" s="28"/>
      <c r="D472" s="29"/>
      <c r="E472" s="83"/>
    </row>
    <row r="473" spans="1:5">
      <c r="A473" s="27"/>
      <c r="B473" s="28"/>
      <c r="C473" s="28"/>
      <c r="D473" s="29"/>
      <c r="E473" s="83"/>
    </row>
    <row r="474" spans="1:5">
      <c r="A474" s="27"/>
      <c r="B474" s="28"/>
      <c r="C474" s="28"/>
      <c r="D474" s="29"/>
      <c r="E474" s="83"/>
    </row>
    <row r="475" spans="1:5">
      <c r="A475" s="27"/>
      <c r="B475" s="28"/>
      <c r="C475" s="28"/>
      <c r="D475" s="29"/>
      <c r="E475" s="83"/>
    </row>
    <row r="476" spans="1:5">
      <c r="A476" s="27"/>
      <c r="B476" s="28"/>
      <c r="C476" s="28"/>
      <c r="D476" s="29"/>
      <c r="E476" s="83"/>
    </row>
    <row r="477" spans="1:5">
      <c r="A477" s="27"/>
      <c r="B477" s="28"/>
      <c r="C477" s="28"/>
      <c r="D477" s="29"/>
      <c r="E477" s="83"/>
    </row>
    <row r="478" spans="1:5">
      <c r="A478" s="27"/>
      <c r="B478" s="28"/>
      <c r="C478" s="28"/>
      <c r="D478" s="29"/>
      <c r="E478" s="83"/>
    </row>
    <row r="479" spans="1:5">
      <c r="A479" s="27"/>
      <c r="B479" s="28"/>
      <c r="C479" s="28"/>
      <c r="D479" s="29"/>
      <c r="E479" s="83"/>
    </row>
    <row r="480" spans="1:5">
      <c r="A480" s="27"/>
      <c r="B480" s="28"/>
      <c r="C480" s="28"/>
      <c r="D480" s="29"/>
      <c r="E480" s="83"/>
    </row>
    <row r="481" spans="1:5">
      <c r="A481" s="27"/>
      <c r="B481" s="28"/>
      <c r="C481" s="28"/>
      <c r="D481" s="29"/>
      <c r="E481" s="83"/>
    </row>
    <row r="482" spans="1:5">
      <c r="A482" s="27"/>
      <c r="B482" s="28"/>
      <c r="C482" s="28"/>
      <c r="D482" s="29"/>
      <c r="E482" s="83"/>
    </row>
    <row r="483" spans="1:5">
      <c r="A483" s="27"/>
      <c r="B483" s="28"/>
      <c r="C483" s="28"/>
      <c r="D483" s="29"/>
      <c r="E483" s="83"/>
    </row>
    <row r="484" spans="1:5">
      <c r="A484" s="27"/>
      <c r="B484" s="28"/>
      <c r="C484" s="28"/>
      <c r="D484" s="29"/>
      <c r="E484" s="83"/>
    </row>
    <row r="485" spans="1:5">
      <c r="A485" s="27"/>
      <c r="B485" s="28"/>
      <c r="C485" s="28"/>
      <c r="D485" s="29"/>
      <c r="E485" s="83"/>
    </row>
    <row r="486" spans="1:5">
      <c r="A486" s="27"/>
      <c r="B486" s="28"/>
      <c r="C486" s="28"/>
      <c r="D486" s="29"/>
      <c r="E486" s="83"/>
    </row>
    <row r="487" spans="1:5">
      <c r="A487" s="27"/>
      <c r="B487" s="28"/>
      <c r="C487" s="28"/>
      <c r="D487" s="29"/>
      <c r="E487" s="83"/>
    </row>
    <row r="488" spans="1:5">
      <c r="A488" s="27"/>
      <c r="B488" s="28"/>
      <c r="C488" s="28"/>
      <c r="D488" s="29"/>
      <c r="E488" s="83"/>
    </row>
    <row r="489" spans="1:5">
      <c r="A489" s="27"/>
      <c r="B489" s="28"/>
      <c r="C489" s="28"/>
      <c r="D489" s="29"/>
      <c r="E489" s="83"/>
    </row>
    <row r="490" spans="1:5">
      <c r="A490" s="27"/>
      <c r="B490" s="28"/>
      <c r="C490" s="28"/>
      <c r="D490" s="29"/>
      <c r="E490" s="83"/>
    </row>
    <row r="491" spans="1:5">
      <c r="A491" s="27"/>
      <c r="B491" s="28"/>
      <c r="C491" s="28"/>
      <c r="D491" s="29"/>
      <c r="E491" s="83"/>
    </row>
    <row r="492" spans="1:5">
      <c r="A492" s="27"/>
      <c r="B492" s="28"/>
      <c r="C492" s="28"/>
      <c r="D492" s="29"/>
      <c r="E492" s="83"/>
    </row>
    <row r="493" spans="1:5">
      <c r="A493" s="27"/>
      <c r="B493" s="28"/>
      <c r="C493" s="28"/>
      <c r="D493" s="29"/>
      <c r="E493" s="83"/>
    </row>
    <row r="494" spans="1:5">
      <c r="A494" s="27"/>
      <c r="B494" s="28"/>
      <c r="C494" s="28"/>
      <c r="D494" s="29"/>
      <c r="E494" s="83"/>
    </row>
    <row r="495" spans="1:5">
      <c r="A495" s="27"/>
      <c r="B495" s="28"/>
      <c r="C495" s="28"/>
      <c r="D495" s="29"/>
      <c r="E495" s="83"/>
    </row>
    <row r="496" spans="1:5">
      <c r="A496" s="27"/>
      <c r="B496" s="28"/>
      <c r="C496" s="28"/>
      <c r="D496" s="29"/>
      <c r="E496" s="83"/>
    </row>
    <row r="497" spans="1:5">
      <c r="A497" s="27"/>
      <c r="B497" s="28"/>
      <c r="C497" s="28"/>
      <c r="D497" s="29"/>
      <c r="E497" s="83"/>
    </row>
    <row r="498" spans="1:5">
      <c r="A498" s="27"/>
      <c r="B498" s="28"/>
      <c r="C498" s="28"/>
      <c r="D498" s="29"/>
      <c r="E498" s="83"/>
    </row>
    <row r="499" spans="1:5">
      <c r="A499" s="27"/>
      <c r="B499" s="28"/>
      <c r="C499" s="28"/>
      <c r="D499" s="29"/>
      <c r="E499" s="83"/>
    </row>
    <row r="500" spans="1:5">
      <c r="A500" s="27"/>
      <c r="B500" s="28"/>
      <c r="C500" s="28"/>
      <c r="D500" s="29"/>
      <c r="E500" s="83"/>
    </row>
    <row r="501" spans="1:5">
      <c r="A501" s="27"/>
      <c r="B501" s="28"/>
      <c r="C501" s="28"/>
      <c r="D501" s="29"/>
      <c r="E501" s="83"/>
    </row>
    <row r="502" spans="1:5">
      <c r="A502" s="27"/>
      <c r="B502" s="28"/>
      <c r="C502" s="28"/>
      <c r="D502" s="29"/>
      <c r="E502" s="83"/>
    </row>
    <row r="503" spans="1:5">
      <c r="A503" s="27"/>
      <c r="B503" s="28"/>
      <c r="C503" s="28"/>
      <c r="D503" s="29"/>
      <c r="E503" s="83"/>
    </row>
    <row r="504" spans="1:5">
      <c r="A504" s="27"/>
      <c r="B504" s="28"/>
      <c r="C504" s="28"/>
      <c r="D504" s="29"/>
      <c r="E504" s="83"/>
    </row>
    <row r="505" spans="1:5">
      <c r="A505" s="27"/>
      <c r="B505" s="28"/>
      <c r="C505" s="28"/>
      <c r="D505" s="29"/>
      <c r="E505" s="83"/>
    </row>
    <row r="506" spans="1:5">
      <c r="A506" s="27"/>
      <c r="B506" s="28"/>
      <c r="C506" s="28"/>
      <c r="D506" s="29"/>
      <c r="E506" s="83"/>
    </row>
    <row r="507" spans="1:5">
      <c r="A507" s="27"/>
      <c r="B507" s="28"/>
      <c r="C507" s="28"/>
      <c r="D507" s="29"/>
      <c r="E507" s="83"/>
    </row>
    <row r="508" spans="1:5">
      <c r="A508" s="27"/>
      <c r="B508" s="28"/>
      <c r="C508" s="28"/>
      <c r="D508" s="29"/>
      <c r="E508" s="83"/>
    </row>
    <row r="509" spans="1:5">
      <c r="A509" s="27"/>
      <c r="B509" s="28"/>
      <c r="C509" s="28"/>
      <c r="D509" s="29"/>
      <c r="E509" s="83"/>
    </row>
    <row r="510" spans="1:5">
      <c r="A510" s="27"/>
      <c r="B510" s="28"/>
      <c r="C510" s="28"/>
      <c r="D510" s="29"/>
      <c r="E510" s="83"/>
    </row>
    <row r="511" spans="1:5">
      <c r="A511" s="27"/>
      <c r="B511" s="28"/>
      <c r="C511" s="28"/>
      <c r="D511" s="29"/>
      <c r="E511" s="83"/>
    </row>
    <row r="512" spans="1:5">
      <c r="A512" s="27"/>
      <c r="B512" s="28"/>
      <c r="C512" s="28"/>
      <c r="D512" s="29"/>
      <c r="E512" s="83"/>
    </row>
    <row r="513" spans="1:5">
      <c r="A513" s="27"/>
      <c r="B513" s="28"/>
      <c r="C513" s="28"/>
      <c r="D513" s="29"/>
      <c r="E513" s="83"/>
    </row>
    <row r="514" spans="1:5">
      <c r="A514" s="27"/>
      <c r="B514" s="28"/>
      <c r="C514" s="28"/>
      <c r="D514" s="29"/>
      <c r="E514" s="83"/>
    </row>
    <row r="515" spans="1:5">
      <c r="A515" s="27"/>
      <c r="B515" s="28"/>
      <c r="C515" s="28"/>
      <c r="D515" s="29"/>
      <c r="E515" s="83"/>
    </row>
    <row r="516" spans="1:5">
      <c r="A516" s="27"/>
      <c r="B516" s="28"/>
      <c r="C516" s="28"/>
      <c r="D516" s="29"/>
      <c r="E516" s="83"/>
    </row>
    <row r="517" spans="1:5">
      <c r="A517" s="27"/>
      <c r="B517" s="28"/>
      <c r="C517" s="28"/>
      <c r="D517" s="29"/>
      <c r="E517" s="83"/>
    </row>
    <row r="518" spans="1:5">
      <c r="A518" s="27"/>
      <c r="B518" s="28"/>
      <c r="C518" s="28"/>
      <c r="D518" s="29"/>
      <c r="E518" s="83"/>
    </row>
    <row r="519" spans="1:5">
      <c r="A519" s="27"/>
      <c r="B519" s="28"/>
      <c r="C519" s="28"/>
      <c r="D519" s="29"/>
      <c r="E519" s="83"/>
    </row>
    <row r="520" spans="1:5">
      <c r="A520" s="27"/>
      <c r="B520" s="28"/>
      <c r="C520" s="28"/>
      <c r="D520" s="29"/>
      <c r="E520" s="83"/>
    </row>
    <row r="521" spans="1:5">
      <c r="A521" s="27"/>
      <c r="B521" s="28"/>
      <c r="C521" s="28"/>
      <c r="D521" s="29"/>
      <c r="E521" s="83"/>
    </row>
    <row r="522" spans="1:5">
      <c r="A522" s="27"/>
      <c r="B522" s="28"/>
      <c r="C522" s="28"/>
      <c r="D522" s="29"/>
      <c r="E522" s="83"/>
    </row>
    <row r="523" spans="1:5">
      <c r="A523" s="27"/>
      <c r="B523" s="28"/>
      <c r="C523" s="28"/>
      <c r="D523" s="29"/>
      <c r="E523" s="83"/>
    </row>
    <row r="524" spans="1:5">
      <c r="A524" s="27"/>
      <c r="B524" s="28"/>
      <c r="C524" s="28"/>
      <c r="D524" s="29"/>
      <c r="E524" s="83"/>
    </row>
    <row r="525" spans="1:5">
      <c r="A525" s="27"/>
      <c r="B525" s="28"/>
      <c r="C525" s="28"/>
      <c r="D525" s="29"/>
      <c r="E525" s="83"/>
    </row>
    <row r="526" spans="1:5">
      <c r="A526" s="27"/>
      <c r="B526" s="28"/>
      <c r="C526" s="28"/>
      <c r="D526" s="29"/>
      <c r="E526" s="83"/>
    </row>
    <row r="527" spans="1:5">
      <c r="A527" s="27"/>
      <c r="B527" s="28"/>
      <c r="C527" s="28"/>
      <c r="D527" s="29"/>
      <c r="E527" s="83"/>
    </row>
    <row r="528" spans="1:5">
      <c r="A528" s="27"/>
      <c r="B528" s="28"/>
      <c r="C528" s="28"/>
      <c r="D528" s="29"/>
      <c r="E528" s="83"/>
    </row>
    <row r="529" spans="1:5">
      <c r="A529" s="27"/>
      <c r="B529" s="28"/>
      <c r="C529" s="28"/>
      <c r="D529" s="29"/>
      <c r="E529" s="83"/>
    </row>
    <row r="530" spans="1:5">
      <c r="A530" s="27"/>
      <c r="B530" s="28"/>
      <c r="C530" s="28"/>
      <c r="D530" s="29"/>
      <c r="E530" s="83"/>
    </row>
    <row r="531" spans="1:5">
      <c r="A531" s="27"/>
      <c r="B531" s="28"/>
      <c r="C531" s="28"/>
      <c r="D531" s="29"/>
      <c r="E531" s="83"/>
    </row>
    <row r="532" spans="1:5">
      <c r="A532" s="27"/>
      <c r="B532" s="28"/>
      <c r="C532" s="28"/>
      <c r="D532" s="29"/>
      <c r="E532" s="83"/>
    </row>
    <row r="533" spans="1:5">
      <c r="A533" s="27"/>
      <c r="B533" s="28"/>
      <c r="C533" s="28"/>
      <c r="D533" s="29"/>
      <c r="E533" s="83"/>
    </row>
    <row r="534" spans="1:5">
      <c r="A534" s="27"/>
      <c r="B534" s="28"/>
      <c r="C534" s="28"/>
      <c r="D534" s="29"/>
      <c r="E534" s="83"/>
    </row>
    <row r="535" spans="1:5">
      <c r="A535" s="27"/>
      <c r="B535" s="28"/>
      <c r="C535" s="28"/>
      <c r="D535" s="29"/>
      <c r="E535" s="83"/>
    </row>
    <row r="536" spans="1:5">
      <c r="A536" s="27"/>
      <c r="B536" s="28"/>
      <c r="C536" s="28"/>
      <c r="D536" s="29"/>
      <c r="E536" s="83"/>
    </row>
    <row r="537" spans="1:5">
      <c r="A537" s="27"/>
      <c r="B537" s="28"/>
      <c r="C537" s="28"/>
      <c r="D537" s="29"/>
      <c r="E537" s="83"/>
    </row>
    <row r="538" spans="1:5">
      <c r="A538" s="27"/>
      <c r="B538" s="28"/>
      <c r="C538" s="28"/>
      <c r="D538" s="29"/>
      <c r="E538" s="83"/>
    </row>
    <row r="539" spans="1:5">
      <c r="A539" s="27"/>
      <c r="B539" s="28"/>
      <c r="C539" s="28"/>
      <c r="D539" s="29"/>
      <c r="E539" s="83"/>
    </row>
    <row r="540" spans="1:5">
      <c r="A540" s="27"/>
      <c r="B540" s="28"/>
      <c r="C540" s="28"/>
      <c r="D540" s="29"/>
      <c r="E540" s="83"/>
    </row>
    <row r="541" spans="1:5">
      <c r="A541" s="27"/>
      <c r="B541" s="28"/>
      <c r="C541" s="28"/>
      <c r="D541" s="29"/>
      <c r="E541" s="83"/>
    </row>
    <row r="542" spans="1:5">
      <c r="A542" s="27"/>
      <c r="B542" s="28"/>
      <c r="C542" s="28"/>
      <c r="D542" s="29"/>
      <c r="E542" s="83"/>
    </row>
    <row r="543" spans="1:5">
      <c r="A543" s="27"/>
      <c r="B543" s="28"/>
      <c r="C543" s="28"/>
      <c r="D543" s="29"/>
      <c r="E543" s="83"/>
    </row>
    <row r="544" spans="1:5">
      <c r="A544" s="27"/>
      <c r="B544" s="28"/>
      <c r="C544" s="28"/>
      <c r="D544" s="29"/>
      <c r="E544" s="83"/>
    </row>
    <row r="545" spans="1:5">
      <c r="A545" s="27"/>
      <c r="B545" s="28"/>
      <c r="C545" s="28"/>
      <c r="D545" s="29"/>
      <c r="E545" s="83"/>
    </row>
    <row r="546" spans="1:5">
      <c r="A546" s="27"/>
      <c r="B546" s="28"/>
      <c r="C546" s="28"/>
      <c r="D546" s="29"/>
      <c r="E546" s="83"/>
    </row>
    <row r="547" spans="1:5">
      <c r="A547" s="27"/>
      <c r="B547" s="28"/>
      <c r="C547" s="28"/>
      <c r="D547" s="29"/>
      <c r="E547" s="83"/>
    </row>
    <row r="548" spans="1:5">
      <c r="A548" s="27"/>
      <c r="B548" s="28"/>
      <c r="C548" s="28"/>
      <c r="D548" s="29"/>
      <c r="E548" s="83"/>
    </row>
    <row r="549" spans="1:5">
      <c r="A549" s="27"/>
      <c r="B549" s="28"/>
      <c r="C549" s="28"/>
      <c r="D549" s="29"/>
      <c r="E549" s="83"/>
    </row>
    <row r="550" spans="1:5">
      <c r="A550" s="27"/>
      <c r="B550" s="28"/>
      <c r="C550" s="28"/>
      <c r="D550" s="29"/>
      <c r="E550" s="83"/>
    </row>
    <row r="551" spans="1:5">
      <c r="A551" s="27"/>
      <c r="B551" s="28"/>
      <c r="C551" s="28"/>
      <c r="D551" s="29"/>
      <c r="E551" s="83"/>
    </row>
    <row r="552" spans="1:5">
      <c r="A552" s="27"/>
      <c r="B552" s="28"/>
      <c r="C552" s="28"/>
      <c r="D552" s="29"/>
      <c r="E552" s="83"/>
    </row>
    <row r="553" spans="1:5">
      <c r="A553" s="27"/>
      <c r="B553" s="28"/>
      <c r="C553" s="28"/>
      <c r="D553" s="29"/>
      <c r="E553" s="83"/>
    </row>
    <row r="554" spans="1:5">
      <c r="A554" s="27"/>
      <c r="B554" s="28"/>
      <c r="C554" s="28"/>
      <c r="D554" s="29"/>
      <c r="E554" s="83"/>
    </row>
    <row r="555" spans="1:5">
      <c r="A555" s="27"/>
      <c r="B555" s="28"/>
      <c r="C555" s="28"/>
      <c r="D555" s="29"/>
      <c r="E555" s="83"/>
    </row>
    <row r="556" spans="1:5">
      <c r="A556" s="27"/>
      <c r="B556" s="28"/>
      <c r="C556" s="28"/>
      <c r="D556" s="29"/>
      <c r="E556" s="83"/>
    </row>
    <row r="557" spans="1:5">
      <c r="A557" s="27"/>
      <c r="B557" s="28"/>
      <c r="C557" s="28"/>
      <c r="D557" s="29"/>
      <c r="E557" s="83"/>
    </row>
    <row r="558" spans="1:5">
      <c r="A558" s="27"/>
      <c r="B558" s="28"/>
      <c r="C558" s="28"/>
      <c r="D558" s="29"/>
      <c r="E558" s="83"/>
    </row>
    <row r="559" spans="1:5">
      <c r="A559" s="27"/>
      <c r="B559" s="28"/>
      <c r="C559" s="28"/>
      <c r="D559" s="29"/>
      <c r="E559" s="83"/>
    </row>
    <row r="560" spans="1:5">
      <c r="A560" s="27"/>
      <c r="B560" s="28"/>
      <c r="C560" s="28"/>
      <c r="D560" s="29"/>
      <c r="E560" s="83"/>
    </row>
    <row r="561" spans="1:5">
      <c r="A561" s="27"/>
      <c r="B561" s="28"/>
      <c r="C561" s="28"/>
      <c r="D561" s="29"/>
      <c r="E561" s="83"/>
    </row>
    <row r="562" spans="1:5">
      <c r="A562" s="27"/>
      <c r="B562" s="28"/>
      <c r="C562" s="28"/>
      <c r="D562" s="29"/>
      <c r="E562" s="83"/>
    </row>
    <row r="563" spans="1:5">
      <c r="A563" s="27"/>
      <c r="B563" s="28"/>
      <c r="C563" s="28"/>
      <c r="D563" s="29"/>
      <c r="E563" s="83"/>
    </row>
    <row r="564" spans="1:5">
      <c r="A564" s="27"/>
      <c r="B564" s="28"/>
      <c r="C564" s="28"/>
      <c r="D564" s="29"/>
      <c r="E564" s="83"/>
    </row>
    <row r="565" spans="1:5">
      <c r="A565" s="27"/>
      <c r="B565" s="28"/>
      <c r="C565" s="28"/>
      <c r="D565" s="29"/>
      <c r="E565" s="83"/>
    </row>
    <row r="566" spans="1:5">
      <c r="A566" s="27"/>
      <c r="B566" s="28"/>
      <c r="C566" s="28"/>
      <c r="D566" s="29"/>
      <c r="E566" s="83"/>
    </row>
    <row r="567" spans="1:5">
      <c r="A567" s="27"/>
      <c r="B567" s="28"/>
      <c r="C567" s="28"/>
      <c r="D567" s="29"/>
      <c r="E567" s="83"/>
    </row>
    <row r="568" spans="1:5">
      <c r="A568" s="27"/>
      <c r="B568" s="28"/>
      <c r="C568" s="28"/>
      <c r="D568" s="29"/>
      <c r="E568" s="83"/>
    </row>
    <row r="569" spans="1:5">
      <c r="A569" s="27"/>
      <c r="B569" s="28"/>
      <c r="C569" s="28"/>
      <c r="D569" s="29"/>
      <c r="E569" s="83"/>
    </row>
    <row r="570" spans="1:5">
      <c r="A570" s="27"/>
      <c r="B570" s="28"/>
      <c r="C570" s="28"/>
      <c r="D570" s="29"/>
      <c r="E570" s="83"/>
    </row>
    <row r="571" spans="1:5">
      <c r="A571" s="27"/>
      <c r="B571" s="28"/>
      <c r="C571" s="28"/>
      <c r="D571" s="29"/>
      <c r="E571" s="83"/>
    </row>
    <row r="572" spans="1:5">
      <c r="A572" s="27"/>
      <c r="B572" s="28"/>
      <c r="C572" s="28"/>
      <c r="D572" s="29"/>
      <c r="E572" s="83"/>
    </row>
    <row r="573" spans="1:5">
      <c r="A573" s="27"/>
      <c r="B573" s="28"/>
      <c r="C573" s="28"/>
      <c r="D573" s="29"/>
      <c r="E573" s="83"/>
    </row>
    <row r="574" spans="1:5">
      <c r="A574" s="27"/>
      <c r="B574" s="28"/>
      <c r="C574" s="28"/>
      <c r="D574" s="29"/>
      <c r="E574" s="83"/>
    </row>
    <row r="575" spans="1:5">
      <c r="A575" s="27"/>
      <c r="B575" s="28"/>
      <c r="C575" s="28"/>
      <c r="D575" s="29"/>
      <c r="E575" s="83"/>
    </row>
    <row r="576" spans="1:5">
      <c r="A576" s="27"/>
      <c r="B576" s="28"/>
      <c r="C576" s="28"/>
      <c r="D576" s="29"/>
      <c r="E576" s="83"/>
    </row>
    <row r="577" spans="1:5">
      <c r="A577" s="27"/>
      <c r="B577" s="28"/>
      <c r="C577" s="28"/>
      <c r="D577" s="29"/>
      <c r="E577" s="83"/>
    </row>
    <row r="578" spans="1:5">
      <c r="A578" s="27"/>
      <c r="B578" s="28"/>
      <c r="C578" s="28"/>
      <c r="D578" s="29"/>
      <c r="E578" s="83"/>
    </row>
    <row r="579" spans="1:5">
      <c r="A579" s="27"/>
      <c r="B579" s="28"/>
      <c r="C579" s="28"/>
      <c r="D579" s="29"/>
      <c r="E579" s="83"/>
    </row>
    <row r="580" spans="1:5">
      <c r="A580" s="27"/>
      <c r="B580" s="28"/>
      <c r="C580" s="28"/>
      <c r="D580" s="29"/>
      <c r="E580" s="83"/>
    </row>
    <row r="581" spans="1:5">
      <c r="A581" s="27"/>
      <c r="B581" s="28"/>
      <c r="C581" s="28"/>
      <c r="D581" s="29"/>
      <c r="E581" s="83"/>
    </row>
    <row r="582" spans="1:5">
      <c r="A582" s="27"/>
      <c r="B582" s="28"/>
      <c r="C582" s="28"/>
      <c r="D582" s="29"/>
      <c r="E582" s="83"/>
    </row>
    <row r="583" spans="1:5">
      <c r="A583" s="27"/>
      <c r="B583" s="28"/>
      <c r="C583" s="28"/>
      <c r="D583" s="29"/>
      <c r="E583" s="83"/>
    </row>
    <row r="584" spans="1:5">
      <c r="A584" s="27"/>
      <c r="B584" s="28"/>
      <c r="C584" s="28"/>
      <c r="D584" s="29"/>
      <c r="E584" s="83"/>
    </row>
    <row r="585" spans="1:5">
      <c r="A585" s="27"/>
      <c r="B585" s="28"/>
      <c r="C585" s="28"/>
      <c r="D585" s="29"/>
      <c r="E585" s="83"/>
    </row>
    <row r="586" spans="1:5">
      <c r="A586" s="27"/>
      <c r="B586" s="28"/>
      <c r="C586" s="28"/>
      <c r="D586" s="29"/>
      <c r="E586" s="83"/>
    </row>
    <row r="587" spans="1:5">
      <c r="A587" s="27"/>
      <c r="B587" s="28"/>
      <c r="C587" s="28"/>
      <c r="D587" s="29"/>
      <c r="E587" s="83"/>
    </row>
    <row r="588" spans="1:5">
      <c r="A588" s="27"/>
      <c r="B588" s="28"/>
      <c r="C588" s="28"/>
      <c r="D588" s="29"/>
      <c r="E588" s="83"/>
    </row>
    <row r="589" spans="1:5">
      <c r="A589" s="27"/>
      <c r="B589" s="28"/>
      <c r="C589" s="28"/>
      <c r="D589" s="29"/>
      <c r="E589" s="83"/>
    </row>
    <row r="590" spans="1:5">
      <c r="A590" s="27"/>
      <c r="B590" s="28"/>
      <c r="C590" s="28"/>
      <c r="D590" s="29"/>
      <c r="E590" s="83"/>
    </row>
    <row r="591" spans="1:5">
      <c r="A591" s="27"/>
      <c r="B591" s="28"/>
      <c r="C591" s="28"/>
      <c r="D591" s="29"/>
      <c r="E591" s="83"/>
    </row>
    <row r="592" spans="1:5">
      <c r="A592" s="27"/>
      <c r="B592" s="28"/>
      <c r="C592" s="28"/>
      <c r="D592" s="29"/>
      <c r="E592" s="83"/>
    </row>
    <row r="593" spans="1:5">
      <c r="A593" s="27"/>
      <c r="B593" s="28"/>
      <c r="C593" s="28"/>
      <c r="D593" s="29"/>
      <c r="E593" s="83"/>
    </row>
    <row r="594" spans="1:5">
      <c r="A594" s="27"/>
      <c r="B594" s="28"/>
      <c r="C594" s="28"/>
      <c r="D594" s="29"/>
      <c r="E594" s="83"/>
    </row>
    <row r="595" spans="1:5">
      <c r="A595" s="27"/>
      <c r="B595" s="28"/>
      <c r="C595" s="28"/>
      <c r="D595" s="29"/>
      <c r="E595" s="83"/>
    </row>
    <row r="596" spans="1:5">
      <c r="A596" s="27"/>
      <c r="B596" s="28"/>
      <c r="C596" s="28"/>
      <c r="D596" s="29"/>
      <c r="E596" s="83"/>
    </row>
    <row r="597" spans="1:5">
      <c r="A597" s="27"/>
      <c r="B597" s="28"/>
      <c r="C597" s="28"/>
      <c r="D597" s="29"/>
      <c r="E597" s="83"/>
    </row>
    <row r="598" spans="1:5">
      <c r="A598" s="27"/>
      <c r="B598" s="28"/>
      <c r="C598" s="28"/>
      <c r="D598" s="29"/>
      <c r="E598" s="83"/>
    </row>
    <row r="599" spans="1:5">
      <c r="A599" s="27"/>
      <c r="B599" s="28"/>
      <c r="C599" s="28"/>
      <c r="D599" s="29"/>
      <c r="E599" s="83"/>
    </row>
    <row r="600" spans="1:5">
      <c r="A600" s="27"/>
      <c r="B600" s="28"/>
      <c r="C600" s="28"/>
      <c r="D600" s="29"/>
      <c r="E600" s="83"/>
    </row>
    <row r="601" spans="1:5">
      <c r="A601" s="27"/>
      <c r="B601" s="28"/>
      <c r="C601" s="28"/>
      <c r="D601" s="29"/>
      <c r="E601" s="83"/>
    </row>
    <row r="602" spans="1:5">
      <c r="A602" s="27"/>
      <c r="B602" s="28"/>
      <c r="C602" s="28"/>
      <c r="D602" s="29"/>
      <c r="E602" s="83"/>
    </row>
    <row r="603" spans="1:5">
      <c r="A603" s="27"/>
      <c r="B603" s="28"/>
      <c r="C603" s="28"/>
      <c r="D603" s="29"/>
      <c r="E603" s="83"/>
    </row>
    <row r="604" spans="1:5">
      <c r="A604" s="27"/>
      <c r="B604" s="28"/>
      <c r="C604" s="28"/>
      <c r="D604" s="29"/>
      <c r="E604" s="83"/>
    </row>
    <row r="605" spans="1:5">
      <c r="A605" s="27"/>
      <c r="B605" s="28"/>
      <c r="C605" s="28"/>
      <c r="D605" s="29"/>
      <c r="E605" s="83"/>
    </row>
    <row r="606" spans="1:5">
      <c r="A606" s="27"/>
      <c r="B606" s="28"/>
      <c r="C606" s="28"/>
      <c r="D606" s="29"/>
      <c r="E606" s="83"/>
    </row>
    <row r="607" spans="1:5">
      <c r="A607" s="27"/>
      <c r="B607" s="28"/>
      <c r="C607" s="28"/>
      <c r="D607" s="29"/>
      <c r="E607" s="83"/>
    </row>
    <row r="608" spans="1:5">
      <c r="A608" s="27"/>
      <c r="B608" s="28"/>
      <c r="C608" s="28"/>
      <c r="D608" s="29"/>
      <c r="E608" s="83"/>
    </row>
    <row r="609" spans="1:5">
      <c r="A609" s="27"/>
      <c r="B609" s="28"/>
      <c r="C609" s="28"/>
      <c r="D609" s="29"/>
      <c r="E609" s="83"/>
    </row>
    <row r="610" spans="1:5">
      <c r="A610" s="27"/>
      <c r="B610" s="28"/>
      <c r="C610" s="28"/>
      <c r="D610" s="29"/>
      <c r="E610" s="83"/>
    </row>
    <row r="611" spans="1:5">
      <c r="A611" s="27"/>
      <c r="B611" s="28"/>
      <c r="C611" s="28"/>
      <c r="D611" s="29"/>
      <c r="E611" s="83"/>
    </row>
    <row r="612" spans="1:5">
      <c r="A612" s="27"/>
      <c r="B612" s="28"/>
      <c r="C612" s="28"/>
      <c r="D612" s="29"/>
      <c r="E612" s="83"/>
    </row>
    <row r="613" spans="1:5">
      <c r="A613" s="27"/>
      <c r="B613" s="28"/>
      <c r="C613" s="28"/>
      <c r="D613" s="29"/>
      <c r="E613" s="83"/>
    </row>
    <row r="614" spans="1:5">
      <c r="A614" s="27"/>
      <c r="B614" s="28"/>
      <c r="C614" s="28"/>
      <c r="D614" s="29"/>
      <c r="E614" s="83"/>
    </row>
    <row r="615" spans="1:5">
      <c r="A615" s="27"/>
      <c r="B615" s="28"/>
      <c r="C615" s="28"/>
      <c r="D615" s="29"/>
      <c r="E615" s="83"/>
    </row>
    <row r="616" spans="1:5">
      <c r="A616" s="27"/>
      <c r="B616" s="28"/>
      <c r="C616" s="28"/>
      <c r="D616" s="29"/>
      <c r="E616" s="83"/>
    </row>
    <row r="617" spans="1:5">
      <c r="A617" s="27"/>
      <c r="B617" s="28"/>
      <c r="C617" s="28"/>
      <c r="D617" s="29"/>
      <c r="E617" s="83"/>
    </row>
    <row r="618" spans="1:5">
      <c r="A618" s="27"/>
      <c r="B618" s="28"/>
      <c r="C618" s="28"/>
      <c r="D618" s="29"/>
      <c r="E618" s="83"/>
    </row>
    <row r="619" spans="1:5">
      <c r="A619" s="27"/>
      <c r="B619" s="28"/>
      <c r="C619" s="28"/>
      <c r="D619" s="29"/>
      <c r="E619" s="83"/>
    </row>
    <row r="620" spans="1:5">
      <c r="A620" s="27"/>
      <c r="B620" s="28"/>
      <c r="C620" s="28"/>
      <c r="D620" s="29"/>
      <c r="E620" s="83"/>
    </row>
    <row r="621" spans="1:5">
      <c r="A621" s="27"/>
      <c r="B621" s="28"/>
      <c r="C621" s="28"/>
      <c r="D621" s="29"/>
      <c r="E621" s="83"/>
    </row>
    <row r="622" spans="1:5">
      <c r="A622" s="27"/>
      <c r="B622" s="28"/>
      <c r="C622" s="28"/>
      <c r="D622" s="29"/>
      <c r="E622" s="83"/>
    </row>
    <row r="623" spans="1:5">
      <c r="A623" s="27"/>
      <c r="B623" s="28"/>
      <c r="C623" s="28"/>
      <c r="D623" s="29"/>
      <c r="E623" s="83"/>
    </row>
    <row r="624" spans="1:5">
      <c r="A624" s="27"/>
      <c r="B624" s="28"/>
      <c r="C624" s="28"/>
      <c r="D624" s="29"/>
      <c r="E624" s="83"/>
    </row>
    <row r="625" spans="1:5">
      <c r="A625" s="27"/>
      <c r="B625" s="28"/>
      <c r="C625" s="28"/>
      <c r="D625" s="29"/>
      <c r="E625" s="83"/>
    </row>
    <row r="626" spans="1:5">
      <c r="A626" s="27"/>
      <c r="B626" s="28"/>
      <c r="C626" s="28"/>
      <c r="D626" s="29"/>
      <c r="E626" s="83"/>
    </row>
    <row r="627" spans="1:5">
      <c r="A627" s="27"/>
      <c r="B627" s="28"/>
      <c r="C627" s="28"/>
      <c r="D627" s="29"/>
      <c r="E627" s="83"/>
    </row>
    <row r="628" spans="1:5">
      <c r="A628" s="27"/>
      <c r="B628" s="28"/>
      <c r="C628" s="28"/>
      <c r="D628" s="29"/>
      <c r="E628" s="83"/>
    </row>
    <row r="629" spans="1:5">
      <c r="A629" s="27"/>
      <c r="B629" s="28"/>
      <c r="C629" s="28"/>
      <c r="D629" s="29"/>
      <c r="E629" s="83"/>
    </row>
    <row r="630" spans="1:5">
      <c r="A630" s="27"/>
      <c r="B630" s="28"/>
      <c r="C630" s="28"/>
      <c r="D630" s="29"/>
      <c r="E630" s="83"/>
    </row>
    <row r="631" spans="1:5">
      <c r="A631" s="27"/>
      <c r="B631" s="28"/>
      <c r="C631" s="28"/>
      <c r="D631" s="29"/>
      <c r="E631" s="83"/>
    </row>
    <row r="632" spans="1:5">
      <c r="A632" s="27"/>
      <c r="B632" s="28"/>
      <c r="C632" s="28"/>
      <c r="D632" s="29"/>
      <c r="E632" s="83"/>
    </row>
    <row r="633" spans="1:5">
      <c r="A633" s="27"/>
      <c r="B633" s="28"/>
      <c r="C633" s="28"/>
      <c r="D633" s="29"/>
      <c r="E633" s="83"/>
    </row>
    <row r="634" spans="1:5">
      <c r="A634" s="27"/>
      <c r="B634" s="28"/>
      <c r="C634" s="28"/>
      <c r="D634" s="29"/>
      <c r="E634" s="83"/>
    </row>
    <row r="635" spans="1:5">
      <c r="A635" s="27"/>
      <c r="B635" s="28"/>
      <c r="C635" s="28"/>
      <c r="D635" s="29"/>
      <c r="E635" s="83"/>
    </row>
    <row r="636" spans="1:5">
      <c r="A636" s="27"/>
      <c r="B636" s="28"/>
      <c r="C636" s="28"/>
      <c r="D636" s="29"/>
      <c r="E636" s="83"/>
    </row>
    <row r="637" spans="1:5">
      <c r="A637" s="27"/>
      <c r="B637" s="28"/>
      <c r="C637" s="28"/>
      <c r="D637" s="29"/>
      <c r="E637" s="83"/>
    </row>
    <row r="638" spans="1:5">
      <c r="A638" s="27"/>
      <c r="B638" s="28"/>
      <c r="C638" s="28"/>
      <c r="D638" s="29"/>
      <c r="E638" s="83"/>
    </row>
    <row r="639" spans="1:5">
      <c r="A639" s="27"/>
      <c r="B639" s="28"/>
      <c r="C639" s="28"/>
      <c r="D639" s="29"/>
      <c r="E639" s="83"/>
    </row>
    <row r="640" spans="1:5">
      <c r="A640" s="27"/>
      <c r="B640" s="28"/>
      <c r="C640" s="28"/>
      <c r="D640" s="29"/>
      <c r="E640" s="83"/>
    </row>
    <row r="641" spans="1:5">
      <c r="A641" s="27"/>
      <c r="B641" s="28"/>
      <c r="C641" s="28"/>
      <c r="D641" s="29"/>
      <c r="E641" s="83"/>
    </row>
    <row r="642" spans="1:5">
      <c r="A642" s="27"/>
      <c r="B642" s="28"/>
      <c r="C642" s="28"/>
      <c r="D642" s="29"/>
      <c r="E642" s="83"/>
    </row>
    <row r="643" spans="1:5">
      <c r="A643" s="27"/>
      <c r="B643" s="28"/>
      <c r="C643" s="28"/>
      <c r="D643" s="29"/>
      <c r="E643" s="83"/>
    </row>
    <row r="644" spans="1:5">
      <c r="A644" s="27"/>
      <c r="B644" s="28"/>
      <c r="C644" s="28"/>
      <c r="D644" s="29"/>
      <c r="E644" s="83"/>
    </row>
    <row r="645" spans="1:5">
      <c r="A645" s="27"/>
      <c r="B645" s="28"/>
      <c r="C645" s="28"/>
      <c r="D645" s="29"/>
      <c r="E645" s="83"/>
    </row>
    <row r="646" spans="1:5">
      <c r="A646" s="27"/>
      <c r="B646" s="28"/>
      <c r="C646" s="28"/>
      <c r="D646" s="29"/>
      <c r="E646" s="83"/>
    </row>
    <row r="647" spans="1:5">
      <c r="A647" s="27"/>
      <c r="B647" s="28"/>
      <c r="C647" s="28"/>
      <c r="D647" s="29"/>
      <c r="E647" s="83"/>
    </row>
    <row r="648" spans="1:5">
      <c r="A648" s="27"/>
      <c r="B648" s="28"/>
      <c r="C648" s="28"/>
      <c r="D648" s="29"/>
      <c r="E648" s="83"/>
    </row>
    <row r="649" spans="1:5">
      <c r="A649" s="27"/>
      <c r="B649" s="28"/>
      <c r="C649" s="28"/>
      <c r="D649" s="29"/>
      <c r="E649" s="83"/>
    </row>
    <row r="650" spans="1:5">
      <c r="A650" s="27"/>
      <c r="B650" s="28"/>
      <c r="C650" s="28"/>
      <c r="D650" s="29"/>
      <c r="E650" s="83"/>
    </row>
    <row r="651" spans="1:5">
      <c r="A651" s="27"/>
      <c r="B651" s="28"/>
      <c r="C651" s="28"/>
      <c r="D651" s="29"/>
      <c r="E651" s="83"/>
    </row>
    <row r="652" spans="1:5">
      <c r="A652" s="27"/>
      <c r="B652" s="28"/>
      <c r="C652" s="28"/>
      <c r="D652" s="29"/>
      <c r="E652" s="83"/>
    </row>
    <row r="653" spans="1:5">
      <c r="A653" s="27"/>
      <c r="B653" s="28"/>
      <c r="C653" s="28"/>
      <c r="D653" s="29"/>
      <c r="E653" s="83"/>
    </row>
    <row r="654" spans="1:5">
      <c r="A654" s="27"/>
      <c r="B654" s="28"/>
      <c r="C654" s="28"/>
      <c r="D654" s="29"/>
      <c r="E654" s="83"/>
    </row>
    <row r="655" spans="1:5">
      <c r="A655" s="27"/>
      <c r="B655" s="28"/>
      <c r="C655" s="28"/>
      <c r="D655" s="29"/>
      <c r="E655" s="83"/>
    </row>
    <row r="656" spans="1:5">
      <c r="A656" s="27"/>
      <c r="B656" s="28"/>
      <c r="C656" s="28"/>
      <c r="D656" s="29"/>
      <c r="E656" s="83"/>
    </row>
    <row r="657" spans="1:5">
      <c r="A657" s="27"/>
      <c r="B657" s="28"/>
      <c r="C657" s="28"/>
      <c r="D657" s="29"/>
      <c r="E657" s="83"/>
    </row>
    <row r="658" spans="1:5">
      <c r="A658" s="27"/>
      <c r="B658" s="28"/>
      <c r="C658" s="28"/>
      <c r="D658" s="29"/>
      <c r="E658" s="83"/>
    </row>
    <row r="659" spans="1:5">
      <c r="A659" s="27"/>
      <c r="B659" s="28"/>
      <c r="C659" s="28"/>
      <c r="D659" s="29"/>
      <c r="E659" s="83"/>
    </row>
    <row r="660" spans="1:5">
      <c r="A660" s="27"/>
      <c r="B660" s="28"/>
      <c r="C660" s="28"/>
      <c r="D660" s="29"/>
      <c r="E660" s="83"/>
    </row>
    <row r="661" spans="1:5">
      <c r="A661" s="27"/>
      <c r="B661" s="28"/>
      <c r="C661" s="28"/>
      <c r="D661" s="29"/>
      <c r="E661" s="83"/>
    </row>
    <row r="662" spans="1:5">
      <c r="A662" s="27"/>
      <c r="B662" s="28"/>
      <c r="C662" s="28"/>
      <c r="D662" s="29"/>
      <c r="E662" s="83"/>
    </row>
    <row r="663" spans="1:5">
      <c r="A663" s="27"/>
      <c r="B663" s="28"/>
      <c r="C663" s="28"/>
      <c r="D663" s="29"/>
      <c r="E663" s="83"/>
    </row>
    <row r="664" spans="1:5">
      <c r="A664" s="27"/>
      <c r="B664" s="28"/>
      <c r="C664" s="28"/>
      <c r="D664" s="29"/>
      <c r="E664" s="83"/>
    </row>
    <row r="665" spans="1:5">
      <c r="A665" s="27"/>
      <c r="B665" s="28"/>
      <c r="C665" s="28"/>
      <c r="D665" s="29"/>
      <c r="E665" s="83"/>
    </row>
    <row r="666" spans="1:5">
      <c r="A666" s="27"/>
      <c r="B666" s="28"/>
      <c r="C666" s="28"/>
      <c r="D666" s="29"/>
      <c r="E666" s="83"/>
    </row>
    <row r="667" spans="1:5">
      <c r="A667" s="27"/>
      <c r="B667" s="28"/>
      <c r="C667" s="28"/>
      <c r="D667" s="29"/>
      <c r="E667" s="83"/>
    </row>
    <row r="668" spans="1:5">
      <c r="A668" s="27"/>
      <c r="B668" s="28"/>
      <c r="C668" s="28"/>
      <c r="D668" s="29"/>
      <c r="E668" s="83"/>
    </row>
    <row r="669" spans="1:5">
      <c r="A669" s="27"/>
      <c r="B669" s="28"/>
      <c r="C669" s="28"/>
      <c r="D669" s="29"/>
      <c r="E669" s="83"/>
    </row>
    <row r="670" spans="1:5">
      <c r="A670" s="27"/>
      <c r="B670" s="28"/>
      <c r="C670" s="28"/>
      <c r="D670" s="29"/>
      <c r="E670" s="83"/>
    </row>
    <row r="671" spans="1:5">
      <c r="A671" s="27"/>
      <c r="B671" s="28"/>
      <c r="C671" s="28"/>
      <c r="D671" s="29"/>
      <c r="E671" s="83"/>
    </row>
    <row r="672" spans="1:5">
      <c r="A672" s="27"/>
      <c r="B672" s="28"/>
      <c r="C672" s="28"/>
      <c r="D672" s="29"/>
      <c r="E672" s="83"/>
    </row>
    <row r="673" spans="1:5">
      <c r="A673" s="27"/>
      <c r="B673" s="28"/>
      <c r="C673" s="28"/>
      <c r="D673" s="29"/>
      <c r="E673" s="83"/>
    </row>
    <row r="674" spans="1:5">
      <c r="A674" s="27"/>
      <c r="B674" s="28"/>
      <c r="C674" s="28"/>
      <c r="D674" s="29"/>
      <c r="E674" s="83"/>
    </row>
    <row r="675" spans="1:5">
      <c r="A675" s="27"/>
      <c r="B675" s="28"/>
      <c r="C675" s="28"/>
      <c r="D675" s="29"/>
      <c r="E675" s="83"/>
    </row>
    <row r="676" spans="1:5">
      <c r="A676" s="27"/>
      <c r="B676" s="28"/>
      <c r="C676" s="28"/>
      <c r="D676" s="29"/>
      <c r="E676" s="83"/>
    </row>
    <row r="677" spans="1:5">
      <c r="A677" s="27"/>
      <c r="B677" s="28"/>
      <c r="C677" s="28"/>
      <c r="D677" s="29"/>
      <c r="E677" s="83"/>
    </row>
    <row r="678" spans="1:5">
      <c r="A678" s="27"/>
      <c r="B678" s="28"/>
      <c r="C678" s="28"/>
      <c r="D678" s="29"/>
      <c r="E678" s="83"/>
    </row>
    <row r="679" spans="1:5">
      <c r="A679" s="27"/>
      <c r="B679" s="28"/>
      <c r="C679" s="28"/>
      <c r="D679" s="29"/>
      <c r="E679" s="83"/>
    </row>
    <row r="680" spans="1:5">
      <c r="A680" s="27"/>
      <c r="B680" s="28"/>
      <c r="C680" s="28"/>
      <c r="D680" s="29"/>
      <c r="E680" s="83"/>
    </row>
    <row r="681" spans="1:5">
      <c r="A681" s="27"/>
      <c r="B681" s="28"/>
      <c r="C681" s="28"/>
      <c r="D681" s="29"/>
      <c r="E681" s="83"/>
    </row>
    <row r="682" spans="1:5">
      <c r="A682" s="27"/>
      <c r="B682" s="28"/>
      <c r="C682" s="28"/>
      <c r="D682" s="29"/>
      <c r="E682" s="83"/>
    </row>
    <row r="683" spans="1:5">
      <c r="A683" s="27"/>
      <c r="B683" s="28"/>
      <c r="C683" s="28"/>
      <c r="D683" s="29"/>
      <c r="E683" s="83"/>
    </row>
    <row r="684" spans="1:5">
      <c r="A684" s="27"/>
      <c r="B684" s="28"/>
      <c r="C684" s="28"/>
      <c r="D684" s="29"/>
      <c r="E684" s="83"/>
    </row>
    <row r="685" spans="1:5">
      <c r="A685" s="27"/>
      <c r="B685" s="28"/>
      <c r="C685" s="28"/>
      <c r="D685" s="29"/>
      <c r="E685" s="83"/>
    </row>
    <row r="686" spans="1:5">
      <c r="A686" s="27"/>
      <c r="B686" s="28"/>
      <c r="C686" s="28"/>
      <c r="D686" s="29"/>
      <c r="E686" s="83"/>
    </row>
    <row r="687" spans="1:5">
      <c r="A687" s="27"/>
      <c r="B687" s="28"/>
      <c r="C687" s="28"/>
      <c r="D687" s="29"/>
      <c r="E687" s="83"/>
    </row>
    <row r="688" spans="1:5">
      <c r="A688" s="27"/>
      <c r="B688" s="28"/>
      <c r="C688" s="28"/>
      <c r="D688" s="29"/>
      <c r="E688" s="83"/>
    </row>
    <row r="689" spans="1:5">
      <c r="A689" s="27"/>
      <c r="B689" s="28"/>
      <c r="C689" s="28"/>
      <c r="D689" s="29"/>
      <c r="E689" s="83"/>
    </row>
    <row r="690" spans="1:5">
      <c r="A690" s="27"/>
      <c r="B690" s="28"/>
      <c r="C690" s="28"/>
      <c r="D690" s="29"/>
      <c r="E690" s="83"/>
    </row>
    <row r="691" spans="1:5">
      <c r="A691" s="27"/>
      <c r="B691" s="28"/>
      <c r="C691" s="28"/>
      <c r="D691" s="29"/>
      <c r="E691" s="83"/>
    </row>
    <row r="692" spans="1:5">
      <c r="A692" s="27"/>
      <c r="B692" s="28"/>
      <c r="C692" s="28"/>
      <c r="D692" s="29"/>
      <c r="E692" s="83"/>
    </row>
    <row r="693" spans="1:5">
      <c r="A693" s="27"/>
      <c r="B693" s="28"/>
      <c r="C693" s="28"/>
      <c r="D693" s="29"/>
      <c r="E693" s="83"/>
    </row>
    <row r="694" spans="1:5">
      <c r="A694" s="27"/>
      <c r="B694" s="28"/>
      <c r="C694" s="28"/>
      <c r="D694" s="29"/>
      <c r="E694" s="83"/>
    </row>
    <row r="695" spans="1:5">
      <c r="A695" s="27"/>
      <c r="B695" s="28"/>
      <c r="C695" s="28"/>
      <c r="D695" s="29"/>
      <c r="E695" s="83"/>
    </row>
    <row r="696" spans="1:5">
      <c r="A696" s="27"/>
      <c r="B696" s="28"/>
      <c r="C696" s="28"/>
      <c r="D696" s="29"/>
      <c r="E696" s="83"/>
    </row>
    <row r="697" spans="1:5">
      <c r="A697" s="27"/>
      <c r="B697" s="28"/>
      <c r="C697" s="28"/>
      <c r="D697" s="29"/>
      <c r="E697" s="83"/>
    </row>
    <row r="698" spans="1:5">
      <c r="A698" s="27"/>
      <c r="B698" s="28"/>
      <c r="C698" s="28"/>
      <c r="D698" s="29"/>
      <c r="E698" s="83"/>
    </row>
    <row r="699" spans="1:5">
      <c r="A699" s="27"/>
      <c r="B699" s="28"/>
      <c r="C699" s="28"/>
      <c r="D699" s="29"/>
      <c r="E699" s="83"/>
    </row>
    <row r="700" spans="1:5">
      <c r="A700" s="27"/>
      <c r="B700" s="28"/>
      <c r="C700" s="28"/>
      <c r="D700" s="29"/>
      <c r="E700" s="83"/>
    </row>
    <row r="701" spans="1:5">
      <c r="A701" s="27"/>
      <c r="B701" s="28"/>
      <c r="C701" s="28"/>
      <c r="D701" s="29"/>
      <c r="E701" s="83"/>
    </row>
    <row r="702" spans="1:5">
      <c r="A702" s="27"/>
      <c r="B702" s="28"/>
      <c r="C702" s="28"/>
      <c r="D702" s="29"/>
      <c r="E702" s="83"/>
    </row>
    <row r="703" spans="1:5">
      <c r="A703" s="27"/>
      <c r="B703" s="28"/>
      <c r="C703" s="28"/>
      <c r="D703" s="29"/>
      <c r="E703" s="83"/>
    </row>
    <row r="704" spans="1:5">
      <c r="A704" s="27"/>
      <c r="B704" s="28"/>
      <c r="C704" s="28"/>
      <c r="D704" s="29"/>
      <c r="E704" s="83"/>
    </row>
    <row r="705" spans="1:5">
      <c r="A705" s="27"/>
      <c r="B705" s="28"/>
      <c r="C705" s="28"/>
      <c r="D705" s="29"/>
      <c r="E705" s="83"/>
    </row>
    <row r="706" spans="1:5">
      <c r="A706" s="27"/>
      <c r="B706" s="28"/>
      <c r="C706" s="28"/>
      <c r="D706" s="29"/>
      <c r="E706" s="83"/>
    </row>
    <row r="707" spans="1:5">
      <c r="A707" s="27"/>
      <c r="B707" s="28"/>
      <c r="C707" s="28"/>
      <c r="D707" s="29"/>
      <c r="E707" s="83"/>
    </row>
    <row r="708" spans="1:5">
      <c r="A708" s="27"/>
      <c r="B708" s="28"/>
      <c r="C708" s="28"/>
      <c r="D708" s="29"/>
      <c r="E708" s="83"/>
    </row>
    <row r="709" spans="1:5">
      <c r="A709" s="27"/>
      <c r="B709" s="28"/>
      <c r="C709" s="28"/>
      <c r="D709" s="29"/>
      <c r="E709" s="83"/>
    </row>
    <row r="710" spans="1:5">
      <c r="A710" s="27"/>
      <c r="B710" s="28"/>
      <c r="C710" s="28"/>
      <c r="D710" s="29"/>
      <c r="E710" s="83"/>
    </row>
    <row r="711" spans="1:5">
      <c r="A711" s="27"/>
      <c r="B711" s="28"/>
      <c r="C711" s="28"/>
      <c r="D711" s="29"/>
      <c r="E711" s="83"/>
    </row>
    <row r="712" spans="1:5">
      <c r="A712" s="27"/>
      <c r="B712" s="28"/>
      <c r="C712" s="28"/>
      <c r="D712" s="29"/>
      <c r="E712" s="83"/>
    </row>
    <row r="713" spans="1:5">
      <c r="A713" s="27"/>
      <c r="B713" s="28"/>
      <c r="C713" s="28"/>
      <c r="D713" s="29"/>
      <c r="E713" s="83"/>
    </row>
    <row r="714" spans="1:5">
      <c r="A714" s="27"/>
      <c r="B714" s="28"/>
      <c r="C714" s="28"/>
      <c r="D714" s="29"/>
      <c r="E714" s="83"/>
    </row>
    <row r="715" spans="1:5">
      <c r="A715" s="27"/>
      <c r="B715" s="28"/>
      <c r="C715" s="28"/>
      <c r="D715" s="29"/>
      <c r="E715" s="83"/>
    </row>
    <row r="716" spans="1:5">
      <c r="A716" s="27"/>
      <c r="B716" s="28"/>
      <c r="C716" s="28"/>
      <c r="D716" s="29"/>
      <c r="E716" s="83"/>
    </row>
    <row r="717" spans="1:5">
      <c r="A717" s="27"/>
      <c r="B717" s="28"/>
      <c r="C717" s="28"/>
      <c r="D717" s="29"/>
      <c r="E717" s="83"/>
    </row>
    <row r="718" spans="1:5">
      <c r="A718" s="27"/>
      <c r="B718" s="28"/>
      <c r="C718" s="28"/>
      <c r="D718" s="29"/>
      <c r="E718" s="83"/>
    </row>
    <row r="719" spans="1:5">
      <c r="A719" s="27"/>
      <c r="B719" s="28"/>
      <c r="C719" s="28"/>
      <c r="D719" s="29"/>
      <c r="E719" s="83"/>
    </row>
    <row r="720" spans="1:5">
      <c r="A720" s="27"/>
      <c r="B720" s="28"/>
      <c r="C720" s="28"/>
      <c r="D720" s="29"/>
      <c r="E720" s="83"/>
    </row>
    <row r="721" spans="1:5">
      <c r="A721" s="27"/>
      <c r="B721" s="28"/>
      <c r="C721" s="28"/>
      <c r="D721" s="29"/>
      <c r="E721" s="83"/>
    </row>
    <row r="722" spans="1:5">
      <c r="A722" s="27"/>
      <c r="B722" s="28"/>
      <c r="C722" s="28"/>
      <c r="D722" s="29"/>
      <c r="E722" s="83"/>
    </row>
    <row r="723" spans="1:5">
      <c r="A723" s="27"/>
      <c r="B723" s="28"/>
      <c r="C723" s="28"/>
      <c r="D723" s="29"/>
      <c r="E723" s="83"/>
    </row>
    <row r="724" spans="1:5">
      <c r="A724" s="27"/>
      <c r="B724" s="28"/>
      <c r="C724" s="28"/>
      <c r="D724" s="29"/>
      <c r="E724" s="83"/>
    </row>
    <row r="725" spans="1:5">
      <c r="A725" s="27"/>
      <c r="B725" s="28"/>
      <c r="C725" s="28"/>
      <c r="D725" s="29"/>
      <c r="E725" s="83"/>
    </row>
    <row r="726" spans="1:5">
      <c r="A726" s="27"/>
      <c r="B726" s="28"/>
      <c r="C726" s="28"/>
      <c r="D726" s="29"/>
      <c r="E726" s="83"/>
    </row>
    <row r="727" spans="1:5">
      <c r="A727" s="27"/>
      <c r="B727" s="28"/>
      <c r="C727" s="28"/>
      <c r="D727" s="29"/>
      <c r="E727" s="83"/>
    </row>
    <row r="728" spans="1:5">
      <c r="A728" s="27"/>
      <c r="B728" s="28"/>
      <c r="C728" s="28"/>
      <c r="D728" s="29"/>
      <c r="E728" s="83"/>
    </row>
    <row r="729" spans="1:5">
      <c r="A729" s="27"/>
      <c r="B729" s="28"/>
      <c r="C729" s="28"/>
      <c r="D729" s="29"/>
      <c r="E729" s="83"/>
    </row>
    <row r="730" spans="1:5">
      <c r="A730" s="27"/>
      <c r="B730" s="28"/>
      <c r="C730" s="28"/>
      <c r="D730" s="29"/>
      <c r="E730" s="83"/>
    </row>
    <row r="731" spans="1:5">
      <c r="A731" s="27"/>
      <c r="B731" s="28"/>
      <c r="C731" s="28"/>
      <c r="D731" s="29"/>
      <c r="E731" s="83"/>
    </row>
    <row r="732" spans="1:5">
      <c r="A732" s="27"/>
      <c r="B732" s="28"/>
      <c r="C732" s="28"/>
      <c r="D732" s="29"/>
      <c r="E732" s="83"/>
    </row>
    <row r="733" spans="1:5">
      <c r="A733" s="27"/>
      <c r="B733" s="28"/>
      <c r="C733" s="28"/>
      <c r="D733" s="29"/>
      <c r="E733" s="83"/>
    </row>
    <row r="734" spans="1:5">
      <c r="A734" s="27"/>
      <c r="B734" s="28"/>
      <c r="C734" s="28"/>
      <c r="D734" s="29"/>
      <c r="E734" s="83"/>
    </row>
    <row r="735" spans="1:5">
      <c r="A735" s="27"/>
      <c r="B735" s="28"/>
      <c r="C735" s="28"/>
      <c r="D735" s="29"/>
      <c r="E735" s="83"/>
    </row>
    <row r="736" spans="1:5">
      <c r="A736" s="27"/>
      <c r="B736" s="28"/>
      <c r="C736" s="28"/>
      <c r="D736" s="29"/>
      <c r="E736" s="83"/>
    </row>
    <row r="737" spans="1:5">
      <c r="A737" s="27"/>
      <c r="B737" s="28"/>
      <c r="C737" s="28"/>
      <c r="D737" s="29"/>
      <c r="E737" s="83"/>
    </row>
    <row r="738" spans="1:5">
      <c r="A738" s="27"/>
      <c r="B738" s="28"/>
      <c r="C738" s="28"/>
      <c r="D738" s="29"/>
      <c r="E738" s="83"/>
    </row>
    <row r="739" spans="1:5">
      <c r="A739" s="27"/>
      <c r="B739" s="28"/>
      <c r="C739" s="28"/>
      <c r="D739" s="29"/>
      <c r="E739" s="83"/>
    </row>
    <row r="740" spans="1:5">
      <c r="A740" s="27"/>
      <c r="B740" s="28"/>
      <c r="C740" s="28"/>
      <c r="D740" s="29"/>
      <c r="E740" s="83"/>
    </row>
    <row r="741" spans="1:5">
      <c r="A741" s="27"/>
      <c r="B741" s="28"/>
      <c r="C741" s="28"/>
      <c r="D741" s="29"/>
      <c r="E741" s="83"/>
    </row>
    <row r="742" spans="1:5">
      <c r="A742" s="27"/>
      <c r="B742" s="28"/>
      <c r="C742" s="28"/>
      <c r="D742" s="29"/>
      <c r="E742" s="83"/>
    </row>
    <row r="743" spans="1:5">
      <c r="A743" s="27"/>
      <c r="B743" s="28"/>
      <c r="C743" s="28"/>
      <c r="D743" s="29"/>
      <c r="E743" s="83"/>
    </row>
    <row r="744" spans="1:5">
      <c r="A744" s="27"/>
      <c r="B744" s="28"/>
      <c r="C744" s="28"/>
      <c r="D744" s="29"/>
      <c r="E744" s="83"/>
    </row>
    <row r="745" spans="1:5">
      <c r="A745" s="27"/>
      <c r="B745" s="28"/>
      <c r="C745" s="28"/>
      <c r="D745" s="29"/>
      <c r="E745" s="83"/>
    </row>
    <row r="746" spans="1:5">
      <c r="A746" s="27"/>
      <c r="B746" s="28"/>
      <c r="C746" s="28"/>
      <c r="D746" s="29"/>
      <c r="E746" s="83"/>
    </row>
    <row r="747" spans="1:5">
      <c r="A747" s="27"/>
      <c r="B747" s="28"/>
      <c r="C747" s="28"/>
      <c r="D747" s="29"/>
      <c r="E747" s="83"/>
    </row>
    <row r="748" spans="1:5">
      <c r="A748" s="27"/>
      <c r="B748" s="28"/>
      <c r="C748" s="28"/>
      <c r="D748" s="29"/>
      <c r="E748" s="83"/>
    </row>
    <row r="749" spans="1:5">
      <c r="A749" s="27"/>
      <c r="B749" s="28"/>
      <c r="C749" s="28"/>
      <c r="D749" s="29"/>
      <c r="E749" s="83"/>
    </row>
    <row r="750" spans="1:5">
      <c r="A750" s="27"/>
      <c r="B750" s="28"/>
      <c r="C750" s="28"/>
      <c r="D750" s="29"/>
      <c r="E750" s="83"/>
    </row>
    <row r="751" spans="1:5">
      <c r="A751" s="27"/>
      <c r="B751" s="28"/>
      <c r="C751" s="28"/>
      <c r="D751" s="29"/>
      <c r="E751" s="83"/>
    </row>
    <row r="752" spans="1:5">
      <c r="A752" s="27"/>
      <c r="B752" s="28"/>
      <c r="C752" s="28"/>
      <c r="D752" s="29"/>
      <c r="E752" s="83"/>
    </row>
    <row r="753" spans="1:5">
      <c r="A753" s="27"/>
      <c r="B753" s="28"/>
      <c r="C753" s="28"/>
      <c r="D753" s="29"/>
      <c r="E753" s="83"/>
    </row>
    <row r="754" spans="1:5">
      <c r="A754" s="27"/>
      <c r="B754" s="28"/>
      <c r="C754" s="28"/>
      <c r="D754" s="29"/>
      <c r="E754" s="83"/>
    </row>
    <row r="755" spans="1:5">
      <c r="A755" s="27"/>
      <c r="B755" s="28"/>
      <c r="C755" s="28"/>
      <c r="D755" s="29"/>
      <c r="E755" s="83"/>
    </row>
    <row r="756" spans="1:5">
      <c r="A756" s="27"/>
      <c r="B756" s="28"/>
      <c r="C756" s="28"/>
      <c r="D756" s="29"/>
      <c r="E756" s="83"/>
    </row>
    <row r="757" spans="1:5">
      <c r="A757" s="27"/>
      <c r="B757" s="28"/>
      <c r="C757" s="28"/>
      <c r="D757" s="29"/>
      <c r="E757" s="83"/>
    </row>
    <row r="758" spans="1:5">
      <c r="A758" s="27"/>
      <c r="B758" s="28"/>
      <c r="C758" s="28"/>
      <c r="D758" s="29"/>
      <c r="E758" s="83"/>
    </row>
    <row r="759" spans="1:5">
      <c r="A759" s="27"/>
      <c r="B759" s="28"/>
      <c r="C759" s="28"/>
      <c r="D759" s="29"/>
      <c r="E759" s="83"/>
    </row>
    <row r="760" spans="1:5">
      <c r="A760" s="27"/>
      <c r="B760" s="28"/>
      <c r="C760" s="28"/>
      <c r="D760" s="29"/>
      <c r="E760" s="83"/>
    </row>
    <row r="761" spans="1:5">
      <c r="A761" s="27"/>
      <c r="B761" s="28"/>
      <c r="C761" s="28"/>
      <c r="D761" s="29"/>
      <c r="E761" s="83"/>
    </row>
    <row r="762" spans="1:5">
      <c r="A762" s="27"/>
      <c r="B762" s="28"/>
      <c r="C762" s="28"/>
      <c r="D762" s="29"/>
      <c r="E762" s="83"/>
    </row>
    <row r="763" spans="1:5">
      <c r="A763" s="27"/>
      <c r="B763" s="28"/>
      <c r="C763" s="28"/>
      <c r="D763" s="29"/>
      <c r="E763" s="83"/>
    </row>
    <row r="764" spans="1:5">
      <c r="A764" s="27"/>
      <c r="B764" s="28"/>
      <c r="C764" s="28"/>
      <c r="D764" s="29"/>
      <c r="E764" s="83"/>
    </row>
    <row r="765" spans="1:5">
      <c r="A765" s="27"/>
      <c r="B765" s="28"/>
      <c r="C765" s="28"/>
      <c r="D765" s="29"/>
      <c r="E765" s="83"/>
    </row>
    <row r="766" spans="1:5">
      <c r="A766" s="27"/>
      <c r="B766" s="28"/>
      <c r="C766" s="28"/>
      <c r="D766" s="29"/>
      <c r="E766" s="83"/>
    </row>
    <row r="767" spans="1:5">
      <c r="A767" s="27"/>
      <c r="B767" s="28"/>
      <c r="C767" s="28"/>
      <c r="D767" s="29"/>
      <c r="E767" s="83"/>
    </row>
    <row r="768" spans="1:5">
      <c r="A768" s="27"/>
      <c r="B768" s="28"/>
      <c r="C768" s="28"/>
      <c r="D768" s="29"/>
      <c r="E768" s="83"/>
    </row>
    <row r="769" spans="1:5">
      <c r="A769" s="27"/>
      <c r="B769" s="28"/>
      <c r="C769" s="28"/>
      <c r="D769" s="29"/>
      <c r="E769" s="83"/>
    </row>
    <row r="770" spans="1:5">
      <c r="A770" s="27"/>
      <c r="B770" s="28"/>
      <c r="C770" s="28"/>
      <c r="D770" s="29"/>
      <c r="E770" s="83"/>
    </row>
    <row r="771" spans="1:5">
      <c r="A771" s="27"/>
      <c r="B771" s="28"/>
      <c r="C771" s="28"/>
      <c r="D771" s="29"/>
      <c r="E771" s="83"/>
    </row>
    <row r="772" spans="1:5">
      <c r="A772" s="27"/>
      <c r="B772" s="28"/>
      <c r="C772" s="28"/>
      <c r="D772" s="29"/>
      <c r="E772" s="83"/>
    </row>
    <row r="773" spans="1:5">
      <c r="A773" s="27"/>
      <c r="B773" s="28"/>
      <c r="C773" s="28"/>
      <c r="D773" s="29"/>
      <c r="E773" s="83"/>
    </row>
    <row r="774" spans="1:5">
      <c r="A774" s="27"/>
      <c r="B774" s="28"/>
      <c r="C774" s="28"/>
      <c r="D774" s="29"/>
      <c r="E774" s="83"/>
    </row>
    <row r="775" spans="1:5">
      <c r="A775" s="27"/>
      <c r="B775" s="28"/>
      <c r="C775" s="28"/>
      <c r="D775" s="29"/>
      <c r="E775" s="83"/>
    </row>
    <row r="776" spans="1:5">
      <c r="A776" s="27"/>
      <c r="B776" s="28"/>
      <c r="C776" s="28"/>
      <c r="D776" s="29"/>
      <c r="E776" s="83"/>
    </row>
    <row r="777" spans="1:5">
      <c r="A777" s="27"/>
      <c r="B777" s="28"/>
      <c r="C777" s="28"/>
      <c r="D777" s="29"/>
      <c r="E777" s="83"/>
    </row>
    <row r="778" spans="1:5">
      <c r="A778" s="27"/>
      <c r="B778" s="28"/>
      <c r="C778" s="28"/>
      <c r="D778" s="29"/>
      <c r="E778" s="83"/>
    </row>
    <row r="779" spans="1:5">
      <c r="A779" s="27"/>
      <c r="B779" s="28"/>
      <c r="C779" s="28"/>
      <c r="D779" s="29"/>
      <c r="E779" s="83"/>
    </row>
    <row r="780" spans="1:5">
      <c r="A780" s="27"/>
      <c r="B780" s="28"/>
      <c r="C780" s="28"/>
      <c r="D780" s="29"/>
      <c r="E780" s="83"/>
    </row>
    <row r="781" spans="1:5">
      <c r="A781" s="27"/>
      <c r="B781" s="28"/>
      <c r="C781" s="28"/>
      <c r="D781" s="29"/>
      <c r="E781" s="83"/>
    </row>
    <row r="782" spans="1:5">
      <c r="A782" s="27"/>
      <c r="B782" s="28"/>
      <c r="C782" s="28"/>
      <c r="D782" s="29"/>
      <c r="E782" s="83"/>
    </row>
    <row r="783" spans="1:5">
      <c r="A783" s="27"/>
      <c r="B783" s="28"/>
      <c r="C783" s="28"/>
      <c r="D783" s="29"/>
      <c r="E783" s="83"/>
    </row>
    <row r="784" spans="1:5">
      <c r="A784" s="27"/>
      <c r="B784" s="28"/>
      <c r="C784" s="28"/>
      <c r="D784" s="29"/>
      <c r="E784" s="83"/>
    </row>
    <row r="785" spans="1:5">
      <c r="A785" s="27"/>
      <c r="B785" s="28"/>
      <c r="C785" s="28"/>
      <c r="D785" s="29"/>
      <c r="E785" s="83"/>
    </row>
    <row r="786" spans="1:5">
      <c r="A786" s="27"/>
      <c r="B786" s="28"/>
      <c r="C786" s="28"/>
      <c r="D786" s="29"/>
      <c r="E786" s="83"/>
    </row>
    <row r="787" spans="1:5">
      <c r="A787" s="27"/>
      <c r="B787" s="28"/>
      <c r="C787" s="28"/>
      <c r="D787" s="29"/>
      <c r="E787" s="83"/>
    </row>
    <row r="788" spans="1:5">
      <c r="A788" s="27"/>
      <c r="B788" s="28"/>
      <c r="C788" s="28"/>
      <c r="D788" s="29"/>
      <c r="E788" s="83"/>
    </row>
    <row r="789" spans="1:5">
      <c r="A789" s="27"/>
      <c r="B789" s="28"/>
      <c r="C789" s="28"/>
      <c r="D789" s="29"/>
      <c r="E789" s="83"/>
    </row>
    <row r="790" spans="1:5">
      <c r="A790" s="27"/>
      <c r="B790" s="28"/>
      <c r="C790" s="28"/>
      <c r="D790" s="29"/>
      <c r="E790" s="83"/>
    </row>
    <row r="791" spans="1:5">
      <c r="A791" s="27"/>
      <c r="B791" s="28"/>
      <c r="C791" s="28"/>
      <c r="D791" s="29"/>
      <c r="E791" s="83"/>
    </row>
    <row r="792" spans="1:5">
      <c r="A792" s="27"/>
      <c r="B792" s="28"/>
      <c r="C792" s="28"/>
      <c r="D792" s="29"/>
      <c r="E792" s="83"/>
    </row>
    <row r="793" spans="1:5">
      <c r="A793" s="27"/>
      <c r="B793" s="28"/>
      <c r="C793" s="28"/>
      <c r="D793" s="29"/>
      <c r="E793" s="83"/>
    </row>
    <row r="794" spans="1:5">
      <c r="A794" s="27"/>
      <c r="B794" s="28"/>
      <c r="C794" s="28"/>
      <c r="D794" s="29"/>
      <c r="E794" s="83"/>
    </row>
    <row r="795" spans="1:5">
      <c r="A795" s="27"/>
      <c r="B795" s="28"/>
      <c r="C795" s="28"/>
      <c r="D795" s="29"/>
      <c r="E795" s="83"/>
    </row>
    <row r="796" spans="1:5">
      <c r="A796" s="27"/>
      <c r="B796" s="28"/>
      <c r="C796" s="28"/>
      <c r="D796" s="29"/>
      <c r="E796" s="83"/>
    </row>
    <row r="797" spans="1:5">
      <c r="A797" s="27"/>
      <c r="B797" s="28"/>
      <c r="C797" s="28"/>
      <c r="D797" s="29"/>
      <c r="E797" s="83"/>
    </row>
    <row r="798" spans="1:5">
      <c r="A798" s="27"/>
      <c r="B798" s="28"/>
      <c r="C798" s="28"/>
      <c r="D798" s="29"/>
      <c r="E798" s="83"/>
    </row>
    <row r="799" spans="1:5">
      <c r="A799" s="27"/>
      <c r="B799" s="28"/>
      <c r="C799" s="28"/>
      <c r="D799" s="29"/>
      <c r="E799" s="83"/>
    </row>
    <row r="800" spans="1:5">
      <c r="A800" s="27"/>
      <c r="B800" s="28"/>
      <c r="C800" s="28"/>
      <c r="D800" s="29"/>
      <c r="E800" s="83"/>
    </row>
    <row r="801" spans="1:5">
      <c r="A801" s="27"/>
      <c r="B801" s="28"/>
      <c r="C801" s="28"/>
      <c r="D801" s="29"/>
      <c r="E801" s="83"/>
    </row>
    <row r="802" spans="1:5">
      <c r="A802" s="27"/>
      <c r="B802" s="28"/>
      <c r="C802" s="28"/>
      <c r="D802" s="29"/>
      <c r="E802" s="83"/>
    </row>
    <row r="803" spans="1:5">
      <c r="A803" s="27"/>
      <c r="B803" s="28"/>
      <c r="C803" s="28"/>
      <c r="D803" s="29"/>
      <c r="E803" s="83"/>
    </row>
    <row r="804" spans="1:5">
      <c r="A804" s="27"/>
      <c r="B804" s="28"/>
      <c r="C804" s="28"/>
      <c r="D804" s="29"/>
      <c r="E804" s="83"/>
    </row>
    <row r="805" spans="1:5">
      <c r="A805" s="27"/>
      <c r="B805" s="28"/>
      <c r="C805" s="28"/>
      <c r="D805" s="29"/>
      <c r="E805" s="83"/>
    </row>
    <row r="806" spans="1:5">
      <c r="A806" s="27"/>
      <c r="B806" s="28"/>
      <c r="C806" s="28"/>
      <c r="D806" s="29"/>
      <c r="E806" s="83"/>
    </row>
    <row r="807" spans="1:5">
      <c r="A807" s="27"/>
      <c r="B807" s="28"/>
      <c r="C807" s="28"/>
      <c r="D807" s="29"/>
      <c r="E807" s="83"/>
    </row>
    <row r="808" spans="1:5">
      <c r="A808" s="27"/>
      <c r="B808" s="28"/>
      <c r="C808" s="28"/>
      <c r="D808" s="29"/>
      <c r="E808" s="83"/>
    </row>
    <row r="809" spans="1:5">
      <c r="A809" s="27"/>
      <c r="B809" s="28"/>
      <c r="C809" s="28"/>
      <c r="D809" s="29"/>
      <c r="E809" s="83"/>
    </row>
    <row r="810" spans="1:5">
      <c r="A810" s="27"/>
      <c r="B810" s="28"/>
      <c r="C810" s="28"/>
      <c r="D810" s="29"/>
      <c r="E810" s="83"/>
    </row>
  </sheetData>
  <mergeCells count="6">
    <mergeCell ref="B38:F38"/>
    <mergeCell ref="A1:H1"/>
    <mergeCell ref="A30:H30"/>
    <mergeCell ref="B31:H31"/>
    <mergeCell ref="B32:H32"/>
    <mergeCell ref="B33:D33"/>
  </mergeCells>
  <pageMargins left="0.7" right="0.7" top="0.75" bottom="0.75" header="0.3" footer="0.3"/>
  <pageSetup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85" zoomScaleNormal="100" workbookViewId="0">
      <pane ySplit="3" topLeftCell="A40" activePane="bottomLeft" state="frozen"/>
      <selection pane="bottomLeft" activeCell="B47" sqref="B47"/>
    </sheetView>
  </sheetViews>
  <sheetFormatPr defaultColWidth="9.08984375" defaultRowHeight="12.5"/>
  <cols>
    <col min="1" max="1" width="7" style="27" customWidth="1"/>
    <col min="2" max="2" width="88.36328125" style="28" customWidth="1"/>
    <col min="3" max="3" width="8.90625" style="29" customWidth="1"/>
    <col min="4" max="4" width="12.81640625" style="30" customWidth="1"/>
    <col min="5" max="5" width="10.453125" style="29" customWidth="1"/>
    <col min="6" max="6" width="13.1796875" style="31" customWidth="1"/>
    <col min="7" max="7" width="47.6328125" style="32" customWidth="1"/>
    <col min="9" max="9" width="24" customWidth="1"/>
  </cols>
  <sheetData>
    <row r="1" spans="1:7" s="22" customFormat="1" ht="31" customHeight="1">
      <c r="A1" s="1306" t="s">
        <v>85</v>
      </c>
      <c r="B1" s="1307"/>
      <c r="C1" s="1307"/>
      <c r="D1" s="1307"/>
      <c r="E1" s="1307"/>
      <c r="F1" s="1307"/>
      <c r="G1" s="1308"/>
    </row>
    <row r="2" spans="1:7" s="22" customFormat="1" ht="15.5">
      <c r="A2" s="33"/>
      <c r="B2" s="34"/>
      <c r="C2" s="35"/>
      <c r="D2" s="1309"/>
      <c r="E2" s="1309"/>
      <c r="F2" s="1309"/>
      <c r="G2" s="36"/>
    </row>
    <row r="3" spans="1:7" s="23" customFormat="1" ht="28">
      <c r="A3" s="37" t="s">
        <v>86</v>
      </c>
      <c r="B3" s="38" t="s">
        <v>87</v>
      </c>
      <c r="C3" s="37" t="s">
        <v>88</v>
      </c>
      <c r="D3" s="39" t="s">
        <v>89</v>
      </c>
      <c r="E3" s="38" t="s">
        <v>1785</v>
      </c>
      <c r="F3" s="40" t="s">
        <v>1786</v>
      </c>
      <c r="G3" s="40" t="s">
        <v>92</v>
      </c>
    </row>
    <row r="4" spans="1:7" s="23" customFormat="1" ht="13">
      <c r="A4" s="41" t="s">
        <v>6</v>
      </c>
      <c r="B4" s="42" t="s">
        <v>93</v>
      </c>
      <c r="C4" s="43"/>
      <c r="D4" s="44"/>
      <c r="E4" s="45"/>
      <c r="F4" s="46"/>
      <c r="G4" s="47"/>
    </row>
    <row r="5" spans="1:7" s="23" customFormat="1" ht="13">
      <c r="A5" s="41"/>
      <c r="B5" s="42"/>
      <c r="C5" s="43"/>
      <c r="D5" s="44"/>
      <c r="E5" s="45"/>
      <c r="F5" s="46"/>
      <c r="G5" s="47"/>
    </row>
    <row r="6" spans="1:7" s="23" customFormat="1" ht="13">
      <c r="A6" s="41"/>
      <c r="B6" s="42"/>
      <c r="C6" s="43"/>
      <c r="D6" s="44"/>
      <c r="E6" s="45"/>
      <c r="F6" s="46"/>
      <c r="G6" s="47"/>
    </row>
    <row r="7" spans="1:7" s="23" customFormat="1" ht="37.5">
      <c r="A7" s="41">
        <v>2</v>
      </c>
      <c r="B7" s="42" t="s">
        <v>1787</v>
      </c>
      <c r="C7" s="43" t="s">
        <v>111</v>
      </c>
      <c r="D7" s="44">
        <v>180</v>
      </c>
      <c r="E7" s="45">
        <v>400</v>
      </c>
      <c r="F7" s="46">
        <f t="shared" ref="F7:F20" si="0">E7*D7</f>
        <v>72000</v>
      </c>
      <c r="G7" s="47" t="s">
        <v>1788</v>
      </c>
    </row>
    <row r="8" spans="1:7" s="23" customFormat="1" ht="37.5">
      <c r="A8" s="41">
        <v>7</v>
      </c>
      <c r="B8" s="42" t="s">
        <v>1789</v>
      </c>
      <c r="C8" s="43" t="s">
        <v>1790</v>
      </c>
      <c r="D8" s="44">
        <v>50</v>
      </c>
      <c r="E8" s="45">
        <v>325</v>
      </c>
      <c r="F8" s="46">
        <f t="shared" si="0"/>
        <v>16250</v>
      </c>
      <c r="G8" s="47" t="s">
        <v>1791</v>
      </c>
    </row>
    <row r="9" spans="1:7" s="23" customFormat="1" ht="37.5">
      <c r="A9" s="41">
        <v>9</v>
      </c>
      <c r="B9" s="42" t="s">
        <v>1792</v>
      </c>
      <c r="C9" s="43" t="s">
        <v>111</v>
      </c>
      <c r="D9" s="44">
        <v>100</v>
      </c>
      <c r="E9" s="45">
        <v>300</v>
      </c>
      <c r="F9" s="46">
        <f t="shared" si="0"/>
        <v>30000</v>
      </c>
      <c r="G9" s="47" t="s">
        <v>1793</v>
      </c>
    </row>
    <row r="10" spans="1:7" s="23" customFormat="1" ht="37.5">
      <c r="A10" s="41">
        <v>10</v>
      </c>
      <c r="B10" s="42" t="s">
        <v>1794</v>
      </c>
      <c r="C10" s="43" t="s">
        <v>98</v>
      </c>
      <c r="D10" s="44">
        <v>1</v>
      </c>
      <c r="E10" s="45">
        <v>11000</v>
      </c>
      <c r="F10" s="46">
        <f t="shared" si="0"/>
        <v>11000</v>
      </c>
      <c r="G10" s="47" t="s">
        <v>1795</v>
      </c>
    </row>
    <row r="11" spans="1:7" s="23" customFormat="1" ht="37.5">
      <c r="A11" s="41">
        <v>11</v>
      </c>
      <c r="B11" s="42" t="s">
        <v>1796</v>
      </c>
      <c r="C11" s="43" t="s">
        <v>111</v>
      </c>
      <c r="D11" s="44">
        <v>180</v>
      </c>
      <c r="E11" s="45">
        <v>150</v>
      </c>
      <c r="F11" s="46">
        <f t="shared" si="0"/>
        <v>27000</v>
      </c>
      <c r="G11" s="47" t="s">
        <v>1797</v>
      </c>
    </row>
    <row r="12" spans="1:7" s="23" customFormat="1" ht="62.5">
      <c r="A12" s="41">
        <v>13</v>
      </c>
      <c r="B12" s="42" t="s">
        <v>1798</v>
      </c>
      <c r="C12" s="43" t="s">
        <v>98</v>
      </c>
      <c r="D12" s="44">
        <v>1</v>
      </c>
      <c r="E12" s="45">
        <v>27000</v>
      </c>
      <c r="F12" s="46">
        <f t="shared" si="0"/>
        <v>27000</v>
      </c>
      <c r="G12" s="48" t="s">
        <v>1799</v>
      </c>
    </row>
    <row r="13" spans="1:7" s="23" customFormat="1" ht="37.5">
      <c r="A13" s="43">
        <v>15</v>
      </c>
      <c r="B13" s="42" t="s">
        <v>1800</v>
      </c>
      <c r="C13" s="44" t="s">
        <v>99</v>
      </c>
      <c r="D13" s="44">
        <v>1</v>
      </c>
      <c r="E13" s="45">
        <v>11000</v>
      </c>
      <c r="F13" s="46">
        <f t="shared" si="0"/>
        <v>11000</v>
      </c>
      <c r="G13" s="47" t="s">
        <v>1801</v>
      </c>
    </row>
    <row r="14" spans="1:7" s="23" customFormat="1" ht="50">
      <c r="A14" s="43">
        <v>16</v>
      </c>
      <c r="B14" s="42" t="s">
        <v>1802</v>
      </c>
      <c r="C14" s="43" t="s">
        <v>111</v>
      </c>
      <c r="D14" s="44">
        <v>15</v>
      </c>
      <c r="E14" s="45">
        <v>1200</v>
      </c>
      <c r="F14" s="46">
        <f t="shared" si="0"/>
        <v>18000</v>
      </c>
      <c r="G14" s="47" t="s">
        <v>1803</v>
      </c>
    </row>
    <row r="15" spans="1:7" s="23" customFormat="1" ht="46" customHeight="1">
      <c r="A15" s="43">
        <v>17</v>
      </c>
      <c r="B15" s="42" t="s">
        <v>1804</v>
      </c>
      <c r="C15" s="44" t="s">
        <v>1805</v>
      </c>
      <c r="D15" s="44">
        <v>169</v>
      </c>
      <c r="E15" s="45">
        <v>1250</v>
      </c>
      <c r="F15" s="46">
        <f t="shared" si="0"/>
        <v>211250</v>
      </c>
      <c r="G15" s="47" t="s">
        <v>1806</v>
      </c>
    </row>
    <row r="16" spans="1:7" s="23" customFormat="1" ht="50">
      <c r="A16" s="43">
        <v>18</v>
      </c>
      <c r="B16" s="42" t="s">
        <v>1807</v>
      </c>
      <c r="C16" s="43" t="s">
        <v>98</v>
      </c>
      <c r="D16" s="44">
        <v>1</v>
      </c>
      <c r="E16" s="45">
        <v>8000</v>
      </c>
      <c r="F16" s="46">
        <f t="shared" si="0"/>
        <v>8000</v>
      </c>
      <c r="G16" s="47" t="s">
        <v>1808</v>
      </c>
    </row>
    <row r="17" spans="1:7" s="23" customFormat="1" ht="50">
      <c r="A17" s="43">
        <v>18.010000000000002</v>
      </c>
      <c r="B17" s="42" t="s">
        <v>1809</v>
      </c>
      <c r="C17" s="44" t="s">
        <v>1810</v>
      </c>
      <c r="D17" s="44">
        <v>25</v>
      </c>
      <c r="E17" s="45">
        <v>3500</v>
      </c>
      <c r="F17" s="46">
        <f t="shared" si="0"/>
        <v>87500</v>
      </c>
      <c r="G17" s="47" t="s">
        <v>1811</v>
      </c>
    </row>
    <row r="18" spans="1:7" ht="15" customHeight="1">
      <c r="A18" s="41">
        <v>18.02</v>
      </c>
      <c r="B18" s="42" t="s">
        <v>1812</v>
      </c>
      <c r="C18" s="43" t="s">
        <v>98</v>
      </c>
      <c r="D18" s="44">
        <v>1</v>
      </c>
      <c r="E18" s="43">
        <v>10000</v>
      </c>
      <c r="F18" s="46">
        <f t="shared" si="0"/>
        <v>10000</v>
      </c>
      <c r="G18" s="1310" t="s">
        <v>1813</v>
      </c>
    </row>
    <row r="19" spans="1:7" s="24" customFormat="1" ht="18" customHeight="1">
      <c r="A19" s="43">
        <v>18.03</v>
      </c>
      <c r="B19" s="49" t="s">
        <v>1814</v>
      </c>
      <c r="C19" s="43" t="s">
        <v>390</v>
      </c>
      <c r="D19" s="44">
        <v>4</v>
      </c>
      <c r="E19" s="43">
        <v>2000</v>
      </c>
      <c r="F19" s="46">
        <f t="shared" si="0"/>
        <v>8000</v>
      </c>
      <c r="G19" s="1311"/>
    </row>
    <row r="20" spans="1:7" s="25" customFormat="1" ht="16" customHeight="1">
      <c r="A20" s="43">
        <v>18.04</v>
      </c>
      <c r="B20" s="49" t="s">
        <v>1815</v>
      </c>
      <c r="C20" s="43" t="s">
        <v>390</v>
      </c>
      <c r="D20" s="44">
        <v>4</v>
      </c>
      <c r="E20" s="43">
        <v>4000</v>
      </c>
      <c r="F20" s="46">
        <f t="shared" si="0"/>
        <v>16000</v>
      </c>
      <c r="G20" s="1312"/>
    </row>
    <row r="21" spans="1:7" s="25" customFormat="1" ht="16" customHeight="1">
      <c r="A21" s="43"/>
      <c r="B21" s="49"/>
      <c r="C21" s="43"/>
      <c r="D21" s="44"/>
      <c r="E21" s="43"/>
      <c r="F21" s="46"/>
      <c r="G21" s="47"/>
    </row>
    <row r="22" spans="1:7" s="25" customFormat="1" ht="16" customHeight="1">
      <c r="A22" s="43"/>
      <c r="B22" s="49"/>
      <c r="C22" s="43"/>
      <c r="D22" s="44"/>
      <c r="E22" s="43"/>
      <c r="F22" s="46"/>
      <c r="G22" s="47"/>
    </row>
    <row r="23" spans="1:7" s="23" customFormat="1" ht="26">
      <c r="A23" s="41">
        <v>19</v>
      </c>
      <c r="B23" s="50" t="s">
        <v>1816</v>
      </c>
      <c r="C23" s="44"/>
      <c r="D23" s="44"/>
      <c r="E23" s="45"/>
      <c r="F23" s="46"/>
      <c r="G23" s="47"/>
    </row>
    <row r="24" spans="1:7" s="23" customFormat="1" ht="50">
      <c r="A24" s="41">
        <v>19.100000000000001</v>
      </c>
      <c r="B24" s="42" t="s">
        <v>1817</v>
      </c>
      <c r="C24" s="44" t="s">
        <v>1818</v>
      </c>
      <c r="D24" s="44">
        <v>60</v>
      </c>
      <c r="E24" s="45">
        <v>2250</v>
      </c>
      <c r="F24" s="46">
        <f t="shared" ref="F24:F29" si="1">E24*D24</f>
        <v>135000</v>
      </c>
      <c r="G24" s="1313" t="s">
        <v>1819</v>
      </c>
    </row>
    <row r="25" spans="1:7" s="23" customFormat="1" ht="25">
      <c r="A25" s="41">
        <v>19.2</v>
      </c>
      <c r="B25" s="42" t="s">
        <v>1820</v>
      </c>
      <c r="C25" s="43" t="s">
        <v>111</v>
      </c>
      <c r="D25" s="44">
        <v>80</v>
      </c>
      <c r="E25" s="45">
        <v>900</v>
      </c>
      <c r="F25" s="46">
        <f t="shared" si="1"/>
        <v>72000</v>
      </c>
      <c r="G25" s="1314"/>
    </row>
    <row r="26" spans="1:7" s="23" customFormat="1" ht="37.5">
      <c r="A26" s="41">
        <v>19.3</v>
      </c>
      <c r="B26" s="42" t="s">
        <v>1821</v>
      </c>
      <c r="C26" s="43" t="s">
        <v>98</v>
      </c>
      <c r="D26" s="44">
        <v>1</v>
      </c>
      <c r="E26" s="45">
        <v>25000</v>
      </c>
      <c r="F26" s="46">
        <f t="shared" si="1"/>
        <v>25000</v>
      </c>
      <c r="G26" s="1314"/>
    </row>
    <row r="27" spans="1:7" ht="37.5">
      <c r="A27" s="41">
        <v>19.399999999999999</v>
      </c>
      <c r="B27" s="42" t="s">
        <v>1822</v>
      </c>
      <c r="C27" s="43" t="s">
        <v>98</v>
      </c>
      <c r="D27" s="44">
        <v>1</v>
      </c>
      <c r="E27" s="45">
        <v>15000</v>
      </c>
      <c r="F27" s="46">
        <f t="shared" si="1"/>
        <v>15000</v>
      </c>
      <c r="G27" s="1315"/>
    </row>
    <row r="28" spans="1:7" s="25" customFormat="1" ht="17" customHeight="1">
      <c r="A28" s="43">
        <v>19.5</v>
      </c>
      <c r="B28" s="49" t="s">
        <v>1823</v>
      </c>
      <c r="C28" s="43" t="s">
        <v>390</v>
      </c>
      <c r="D28" s="44">
        <v>3</v>
      </c>
      <c r="E28" s="43">
        <v>5000</v>
      </c>
      <c r="F28" s="46">
        <f t="shared" si="1"/>
        <v>15000</v>
      </c>
      <c r="G28" s="47" t="s">
        <v>1824</v>
      </c>
    </row>
    <row r="29" spans="1:7" s="26" customFormat="1" ht="16" customHeight="1">
      <c r="A29" s="41">
        <v>19.600000000000001</v>
      </c>
      <c r="B29" s="42" t="s">
        <v>1825</v>
      </c>
      <c r="C29" s="43" t="s">
        <v>111</v>
      </c>
      <c r="D29" s="44">
        <v>27.78</v>
      </c>
      <c r="E29" s="51">
        <v>2300</v>
      </c>
      <c r="F29" s="46">
        <f t="shared" si="1"/>
        <v>63894</v>
      </c>
      <c r="G29" s="47" t="s">
        <v>1826</v>
      </c>
    </row>
    <row r="30" spans="1:7">
      <c r="A30" s="41"/>
      <c r="B30" s="42"/>
      <c r="C30" s="43"/>
      <c r="D30" s="44"/>
      <c r="E30" s="43"/>
      <c r="F30" s="46"/>
      <c r="G30" s="47"/>
    </row>
    <row r="31" spans="1:7" s="23" customFormat="1" ht="13">
      <c r="A31" s="41">
        <v>20</v>
      </c>
      <c r="B31" s="50" t="s">
        <v>1827</v>
      </c>
      <c r="C31" s="44"/>
      <c r="D31" s="44"/>
      <c r="E31" s="45"/>
      <c r="F31" s="46"/>
      <c r="G31" s="47"/>
    </row>
    <row r="32" spans="1:7" s="23" customFormat="1" ht="50" customHeight="1">
      <c r="A32" s="41">
        <v>20.100000000000001</v>
      </c>
      <c r="B32" s="42" t="s">
        <v>1828</v>
      </c>
      <c r="C32" s="44" t="s">
        <v>1829</v>
      </c>
      <c r="D32" s="44">
        <v>1</v>
      </c>
      <c r="E32" s="45">
        <v>20000</v>
      </c>
      <c r="F32" s="46">
        <f t="shared" ref="F32:F34" si="2">E32*D32</f>
        <v>20000</v>
      </c>
      <c r="G32" s="1313" t="s">
        <v>1830</v>
      </c>
    </row>
    <row r="33" spans="1:7" s="23" customFormat="1" ht="37.5" customHeight="1">
      <c r="A33" s="41">
        <v>9</v>
      </c>
      <c r="B33" s="42" t="s">
        <v>1831</v>
      </c>
      <c r="C33" s="43" t="s">
        <v>111</v>
      </c>
      <c r="D33" s="44">
        <v>20</v>
      </c>
      <c r="E33" s="45">
        <v>800</v>
      </c>
      <c r="F33" s="46">
        <f t="shared" si="2"/>
        <v>16000</v>
      </c>
      <c r="G33" s="1315"/>
    </row>
    <row r="34" spans="1:7" s="23" customFormat="1" ht="62.5">
      <c r="A34" s="41">
        <v>21</v>
      </c>
      <c r="B34" s="42" t="s">
        <v>1832</v>
      </c>
      <c r="C34" s="43" t="s">
        <v>96</v>
      </c>
      <c r="D34" s="44">
        <v>80</v>
      </c>
      <c r="E34" s="45">
        <v>7500</v>
      </c>
      <c r="F34" s="46">
        <f t="shared" si="2"/>
        <v>600000</v>
      </c>
      <c r="G34" s="47" t="s">
        <v>1833</v>
      </c>
    </row>
    <row r="35" spans="1:7">
      <c r="A35" s="41"/>
      <c r="B35" s="42"/>
      <c r="C35" s="43"/>
      <c r="D35" s="44"/>
      <c r="E35" s="43"/>
      <c r="F35" s="46"/>
      <c r="G35" s="47"/>
    </row>
    <row r="36" spans="1:7" s="23" customFormat="1" ht="13">
      <c r="A36" s="52"/>
      <c r="B36" s="53" t="s">
        <v>105</v>
      </c>
      <c r="C36" s="54"/>
      <c r="D36" s="55"/>
      <c r="E36" s="56"/>
      <c r="F36" s="57"/>
      <c r="G36" s="57">
        <f>SUM(F7:F34)</f>
        <v>1514894</v>
      </c>
    </row>
    <row r="37" spans="1:7">
      <c r="A37" s="41"/>
      <c r="B37" s="42"/>
      <c r="C37" s="43"/>
      <c r="D37" s="44"/>
      <c r="E37" s="43"/>
      <c r="F37" s="46"/>
      <c r="G37" s="47"/>
    </row>
    <row r="38" spans="1:7">
      <c r="A38" s="41"/>
      <c r="B38" s="42"/>
      <c r="C38" s="43"/>
      <c r="D38" s="44"/>
      <c r="E38" s="43"/>
      <c r="F38" s="46"/>
      <c r="G38" s="47"/>
    </row>
    <row r="39" spans="1:7">
      <c r="A39" s="41"/>
      <c r="B39" s="42"/>
      <c r="C39" s="43"/>
      <c r="D39" s="44"/>
      <c r="E39" s="43"/>
      <c r="F39" s="46"/>
      <c r="G39" s="47"/>
    </row>
  </sheetData>
  <mergeCells count="5">
    <mergeCell ref="A1:G1"/>
    <mergeCell ref="D2:F2"/>
    <mergeCell ref="G18:G20"/>
    <mergeCell ref="G24:G27"/>
    <mergeCell ref="G32:G33"/>
  </mergeCells>
  <pageMargins left="0.75" right="0.75" top="1" bottom="1" header="0.5" footer="0.5"/>
  <pageSetup scale="50" orientation="portrait" r:id="rId1"/>
  <colBreaks count="1" manualBreakCount="1">
    <brk id="1" max="3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4"/>
  <sheetViews>
    <sheetView view="pageBreakPreview" zoomScale="60" zoomScaleNormal="100" workbookViewId="0">
      <pane ySplit="3" topLeftCell="A13" activePane="bottomLeft" state="frozen"/>
      <selection pane="bottomLeft" activeCell="C36" sqref="C36"/>
    </sheetView>
  </sheetViews>
  <sheetFormatPr defaultColWidth="9" defaultRowHeight="12.5"/>
  <cols>
    <col min="2" max="2" width="65.1796875" customWidth="1"/>
    <col min="5" max="5" width="11.36328125" customWidth="1"/>
    <col min="6" max="6" width="13.90625" customWidth="1"/>
    <col min="7" max="7" width="22.6328125" customWidth="1"/>
  </cols>
  <sheetData>
    <row r="2" spans="1:7" ht="24" customHeight="1">
      <c r="A2" s="1316" t="s">
        <v>1834</v>
      </c>
      <c r="B2" s="1316"/>
      <c r="C2" s="1316"/>
      <c r="D2" s="1316"/>
      <c r="E2" s="1316"/>
      <c r="F2" s="1316"/>
      <c r="G2" s="3"/>
    </row>
    <row r="3" spans="1:7" ht="13.5">
      <c r="A3" s="4">
        <v>2</v>
      </c>
      <c r="B3" s="5" t="s">
        <v>1441</v>
      </c>
      <c r="C3" s="2" t="s">
        <v>742</v>
      </c>
      <c r="D3" s="2" t="s">
        <v>89</v>
      </c>
      <c r="E3" s="2" t="s">
        <v>744</v>
      </c>
      <c r="F3" s="2" t="s">
        <v>745</v>
      </c>
      <c r="G3" s="2" t="s">
        <v>1835</v>
      </c>
    </row>
    <row r="4" spans="1:7" ht="13.5">
      <c r="A4" s="4"/>
      <c r="B4" s="6"/>
      <c r="C4" s="4"/>
      <c r="D4" s="4"/>
      <c r="E4" s="4"/>
      <c r="F4" s="4"/>
      <c r="G4" s="2"/>
    </row>
    <row r="5" spans="1:7" ht="162">
      <c r="A5" s="4">
        <v>2.1</v>
      </c>
      <c r="B5" s="6" t="s">
        <v>1836</v>
      </c>
      <c r="C5" s="4"/>
      <c r="D5" s="4"/>
      <c r="E5" s="7"/>
      <c r="F5" s="7"/>
      <c r="G5" s="1317" t="s">
        <v>1837</v>
      </c>
    </row>
    <row r="6" spans="1:7" ht="13.5">
      <c r="A6" s="4"/>
      <c r="B6" s="6"/>
      <c r="C6" s="4"/>
      <c r="D6" s="4"/>
      <c r="E6" s="7"/>
      <c r="F6" s="7"/>
      <c r="G6" s="1318"/>
    </row>
    <row r="7" spans="1:7" ht="13.5">
      <c r="A7" s="4" t="s">
        <v>1443</v>
      </c>
      <c r="B7" s="6" t="s">
        <v>1444</v>
      </c>
      <c r="C7" s="4" t="s">
        <v>1445</v>
      </c>
      <c r="D7" s="4">
        <v>60</v>
      </c>
      <c r="E7" s="8">
        <v>1441</v>
      </c>
      <c r="F7" s="9">
        <f t="shared" ref="F7:F9" si="0">E7*D7</f>
        <v>86460</v>
      </c>
      <c r="G7" s="1318"/>
    </row>
    <row r="8" spans="1:7" ht="13.5">
      <c r="A8" s="4" t="s">
        <v>1446</v>
      </c>
      <c r="B8" s="6" t="s">
        <v>1447</v>
      </c>
      <c r="C8" s="4" t="s">
        <v>1445</v>
      </c>
      <c r="D8" s="4">
        <v>100</v>
      </c>
      <c r="E8" s="8">
        <v>1729</v>
      </c>
      <c r="F8" s="9">
        <f t="shared" si="0"/>
        <v>172900</v>
      </c>
      <c r="G8" s="1318"/>
    </row>
    <row r="9" spans="1:7" ht="13.5">
      <c r="A9" s="4" t="s">
        <v>1448</v>
      </c>
      <c r="B9" s="6" t="s">
        <v>1449</v>
      </c>
      <c r="C9" s="4" t="s">
        <v>1445</v>
      </c>
      <c r="D9" s="4">
        <v>10</v>
      </c>
      <c r="E9" s="8">
        <v>2113</v>
      </c>
      <c r="F9" s="9">
        <f t="shared" si="0"/>
        <v>21130</v>
      </c>
      <c r="G9" s="1318"/>
    </row>
    <row r="10" spans="1:7" ht="13.5">
      <c r="A10" s="4" t="s">
        <v>1450</v>
      </c>
      <c r="B10" s="6" t="s">
        <v>1451</v>
      </c>
      <c r="C10" s="4" t="s">
        <v>1445</v>
      </c>
      <c r="D10" s="1086" t="s">
        <v>864</v>
      </c>
      <c r="E10" s="8"/>
      <c r="F10" s="9"/>
      <c r="G10" s="1318"/>
    </row>
    <row r="11" spans="1:7" ht="13.5">
      <c r="A11" s="4"/>
      <c r="B11" s="6"/>
      <c r="C11" s="4"/>
      <c r="D11" s="4"/>
      <c r="E11" s="8"/>
      <c r="F11" s="9"/>
      <c r="G11" s="1318"/>
    </row>
    <row r="12" spans="1:7" ht="13.5">
      <c r="A12" s="4" t="s">
        <v>1476</v>
      </c>
      <c r="B12" s="5" t="s">
        <v>1477</v>
      </c>
      <c r="C12" s="4"/>
      <c r="D12" s="4"/>
      <c r="E12" s="8"/>
      <c r="F12" s="9"/>
      <c r="G12" s="1318"/>
    </row>
    <row r="13" spans="1:7" ht="81">
      <c r="A13" s="4"/>
      <c r="B13" s="6" t="s">
        <v>1838</v>
      </c>
      <c r="C13" s="4"/>
      <c r="D13" s="4"/>
      <c r="E13" s="8"/>
      <c r="F13" s="9"/>
      <c r="G13" s="1318"/>
    </row>
    <row r="14" spans="1:7" ht="27">
      <c r="A14" s="4"/>
      <c r="B14" s="6" t="s">
        <v>1479</v>
      </c>
      <c r="C14" s="4"/>
      <c r="D14" s="4"/>
      <c r="E14" s="8"/>
      <c r="F14" s="9"/>
      <c r="G14" s="1318"/>
    </row>
    <row r="15" spans="1:7" ht="13.5">
      <c r="A15" s="4"/>
      <c r="B15" s="6"/>
      <c r="C15" s="4"/>
      <c r="D15" s="4"/>
      <c r="E15" s="8"/>
      <c r="F15" s="9"/>
      <c r="G15" s="1318"/>
    </row>
    <row r="16" spans="1:7" ht="13.5">
      <c r="A16" s="10" t="s">
        <v>1485</v>
      </c>
      <c r="B16" s="6" t="s">
        <v>1486</v>
      </c>
      <c r="C16" s="10" t="s">
        <v>111</v>
      </c>
      <c r="D16" s="10">
        <v>160</v>
      </c>
      <c r="E16" s="11">
        <v>1201</v>
      </c>
      <c r="F16" s="12">
        <f t="shared" ref="F16" si="1">E16*D16</f>
        <v>192160</v>
      </c>
      <c r="G16" s="1318"/>
    </row>
    <row r="17" spans="1:7" ht="13.5">
      <c r="A17" s="4"/>
      <c r="B17" s="6"/>
      <c r="C17" s="4"/>
      <c r="D17" s="4"/>
      <c r="E17" s="8"/>
      <c r="F17" s="9"/>
      <c r="G17" s="1318"/>
    </row>
    <row r="18" spans="1:7" ht="14.5">
      <c r="A18" s="13">
        <v>3</v>
      </c>
      <c r="B18" s="14" t="s">
        <v>1839</v>
      </c>
      <c r="C18" s="15"/>
      <c r="D18" s="16"/>
      <c r="E18" s="17"/>
      <c r="F18" s="17"/>
      <c r="G18" s="1318"/>
    </row>
    <row r="19" spans="1:7" ht="14.5">
      <c r="A19" s="13"/>
      <c r="B19" s="18"/>
      <c r="C19" s="15"/>
      <c r="D19" s="16"/>
      <c r="E19" s="17"/>
      <c r="F19" s="17"/>
      <c r="G19" s="1318"/>
    </row>
    <row r="20" spans="1:7" ht="58">
      <c r="A20" s="13"/>
      <c r="B20" s="18" t="s">
        <v>1840</v>
      </c>
      <c r="C20" s="15"/>
      <c r="D20" s="16"/>
      <c r="E20" s="17"/>
      <c r="F20" s="17"/>
      <c r="G20" s="1318"/>
    </row>
    <row r="21" spans="1:7" ht="14.5">
      <c r="A21" s="15" t="s">
        <v>883</v>
      </c>
      <c r="B21" s="18" t="s">
        <v>1841</v>
      </c>
      <c r="C21" s="15" t="s">
        <v>390</v>
      </c>
      <c r="D21" s="16">
        <v>4</v>
      </c>
      <c r="E21" s="17">
        <v>9000</v>
      </c>
      <c r="F21" s="17">
        <f>E21*D21</f>
        <v>36000</v>
      </c>
      <c r="G21" s="1318"/>
    </row>
    <row r="22" spans="1:7" ht="14.5">
      <c r="A22" s="15"/>
      <c r="B22" s="18"/>
      <c r="C22" s="15"/>
      <c r="D22" s="16"/>
      <c r="E22" s="17"/>
      <c r="F22" s="17"/>
      <c r="G22" s="1319"/>
    </row>
    <row r="23" spans="1:7" ht="15.5">
      <c r="A23" s="19"/>
      <c r="B23" s="20" t="s">
        <v>813</v>
      </c>
      <c r="C23" s="19"/>
      <c r="D23" s="19"/>
      <c r="E23" s="19"/>
      <c r="F23" s="21"/>
      <c r="G23" s="1161">
        <f>SUM(F7:F21)</f>
        <v>508650</v>
      </c>
    </row>
    <row r="24" spans="1:7" ht="14.5">
      <c r="A24" s="2"/>
      <c r="B24" s="18"/>
      <c r="C24" s="2"/>
      <c r="D24" s="2"/>
      <c r="E24" s="2"/>
      <c r="F24" s="2"/>
      <c r="G24" s="2"/>
    </row>
  </sheetData>
  <mergeCells count="2">
    <mergeCell ref="A2:F2"/>
    <mergeCell ref="G5:G22"/>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3AC34-F37A-4093-A19D-13A03DFABBB2}">
  <ds:schemaRefs>
    <ds:schemaRef ds:uri="72b43016-16a7-42f7-bc1a-063c27e5d515"/>
    <ds:schemaRef ds:uri="http://www.w3.org/XML/1998/namespace"/>
    <ds:schemaRef ds:uri="http://schemas.microsoft.com/office/2006/documentManagement/types"/>
    <ds:schemaRef ds:uri="http://schemas.microsoft.com/office/2006/metadata/properties"/>
    <ds:schemaRef ds:uri="7326994b-23a0-4b5e-a973-7b87443abe0a"/>
    <ds:schemaRef ds:uri="http://purl.org/dc/term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3C97228-DA07-4EA0-83CD-B7EBAAD46F8C}">
  <ds:schemaRefs/>
</ds:datastoreItem>
</file>

<file path=customXml/itemProps3.xml><?xml version="1.0" encoding="utf-8"?>
<ds:datastoreItem xmlns:ds="http://schemas.openxmlformats.org/officeDocument/2006/customXml" ds:itemID="{D1CEC1E1-FD10-48CB-8559-66388ACF4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 Summary RAB-02</vt:lpstr>
      <vt:lpstr>WORK ODER ISSUED</vt:lpstr>
      <vt:lpstr>C&amp;I BOQ </vt:lpstr>
      <vt:lpstr>Sheet1</vt:lpstr>
      <vt:lpstr>MB </vt:lpstr>
      <vt:lpstr>C&amp;I M.B Sheet</vt:lpstr>
      <vt:lpstr>Structural Steel Work BOQ</vt:lpstr>
      <vt:lpstr>Structural Steel Work M.B</vt:lpstr>
      <vt:lpstr>MEP SUMMARY</vt:lpstr>
      <vt:lpstr>ELECTRICAL</vt:lpstr>
      <vt:lpstr>MB ELELCTRICAL</vt:lpstr>
      <vt:lpstr>HVAC </vt:lpstr>
      <vt:lpstr>MB HVAC </vt:lpstr>
      <vt:lpstr>PHE &amp;FF</vt:lpstr>
      <vt:lpstr>MB PHE </vt:lpstr>
      <vt:lpstr>LIGHT FITTING</vt:lpstr>
      <vt:lpstr>LIGHT MB</vt:lpstr>
      <vt:lpstr>FURNITURE BOQ</vt:lpstr>
      <vt:lpstr>FURNITURE MB </vt:lpstr>
      <vt:lpstr>C&amp;S Extra items </vt:lpstr>
      <vt:lpstr>HVAC EXTRA ITEM</vt:lpstr>
      <vt:lpstr>' Summary RAB-02'!Print_Area</vt:lpstr>
      <vt:lpstr>'C&amp;I BOQ '!Print_Area</vt:lpstr>
      <vt:lpstr>'C&amp;I M.B Sheet'!Print_Area</vt:lpstr>
      <vt:lpstr>ELECTRICAL!Print_Area</vt:lpstr>
      <vt:lpstr>'HVAC '!Print_Area</vt:lpstr>
      <vt:lpstr>'HVAC EXTRA ITEM'!Print_Area</vt:lpstr>
      <vt:lpstr>'MB ELELCTRICAL'!Print_Area</vt:lpstr>
      <vt:lpstr>'MB PHE '!Print_Area</vt:lpstr>
      <vt:lpstr>'MEP SUMMARY'!Print_Area</vt:lpstr>
      <vt:lpstr>'PHE &amp;FF'!Print_Area</vt:lpstr>
      <vt:lpstr>'WORK ODER ISSUED'!Print_Area</vt:lpstr>
      <vt:lpstr>'C&amp;I BOQ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Urmila Jadhav</cp:lastModifiedBy>
  <cp:lastPrinted>2024-05-07T07:29:04Z</cp:lastPrinted>
  <dcterms:created xsi:type="dcterms:W3CDTF">1996-10-14T23:33:00Z</dcterms:created>
  <dcterms:modified xsi:type="dcterms:W3CDTF">2024-05-22T12:46:51Z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y fmtid="{D5CDD505-2E9C-101B-9397-08002B2CF9AE}" pid="3" name="ICV">
    <vt:lpwstr>7A0FC4C447794E238682B5EFEECD0431_13</vt:lpwstr>
  </property>
  <property fmtid="{D5CDD505-2E9C-101B-9397-08002B2CF9AE}" pid="4" name="KSOProductBuildVer">
    <vt:lpwstr>1033-12.2.0.13431</vt:lpwstr>
  </property>
  <property fmtid="{D5CDD505-2E9C-101B-9397-08002B2CF9AE}" pid="5" name="KSOReadingLayout">
    <vt:bool>false</vt:bool>
  </property>
</Properties>
</file>