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21860\AppData\Local\Microsoft\Windows\INetCache\Content.Outlook\7X9FK23S\"/>
    </mc:Choice>
  </mc:AlternateContent>
  <bookViews>
    <workbookView xWindow="-110" yWindow="-110" windowWidth="23260" windowHeight="12460"/>
  </bookViews>
  <sheets>
    <sheet name="Summay Sheet " sheetId="3" r:id="rId1"/>
    <sheet name="Abtract " sheetId="2" r:id="rId2"/>
    <sheet name="JMS RA-01 " sheetId="4" r:id="rId3"/>
    <sheet name="JMS - Final " sheetId="5" r:id="rId4"/>
  </sheets>
  <definedNames>
    <definedName name="_xlnm._FilterDatabase" localSheetId="1" hidden="1">'Abtract '!$A$2:$D$246</definedName>
    <definedName name="_xlnm._FilterDatabase" localSheetId="3" hidden="1">'JMS - Final '!$A$2:$D$171</definedName>
    <definedName name="_xlnm._FilterDatabase" localSheetId="2" hidden="1">'JMS RA-01 '!$A$2:$D$382</definedName>
    <definedName name="_xlnm.Print_Area" localSheetId="3">'JMS - Final '!$A$1:$I$173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3" l="1"/>
  <c r="H126" i="2"/>
  <c r="K216" i="2"/>
  <c r="K69" i="2"/>
  <c r="J5" i="2"/>
  <c r="K19" i="2"/>
  <c r="K7" i="2"/>
  <c r="C16" i="3"/>
  <c r="I70" i="5" l="1"/>
  <c r="K171" i="2" l="1"/>
  <c r="K170" i="2"/>
  <c r="K169" i="2"/>
  <c r="H214" i="2"/>
  <c r="H211" i="2"/>
  <c r="H204" i="2"/>
  <c r="H223" i="2"/>
  <c r="H222" i="2"/>
  <c r="H146" i="2"/>
  <c r="H130" i="2"/>
  <c r="H112" i="2"/>
  <c r="H94" i="2"/>
  <c r="H84" i="2"/>
  <c r="H78" i="2"/>
  <c r="H77" i="2"/>
  <c r="H71" i="2"/>
  <c r="L8" i="2"/>
  <c r="L12" i="2"/>
  <c r="L14" i="2"/>
  <c r="L17" i="2"/>
  <c r="L34" i="2"/>
  <c r="L42" i="2"/>
  <c r="L44" i="2"/>
  <c r="I46" i="2"/>
  <c r="I41" i="2"/>
  <c r="I20" i="2"/>
  <c r="H209" i="2" l="1"/>
  <c r="I171" i="5"/>
  <c r="I170" i="5"/>
  <c r="I169" i="5"/>
  <c r="I168" i="5"/>
  <c r="H246" i="2"/>
  <c r="I246" i="2" s="1"/>
  <c r="I232" i="2"/>
  <c r="I58" i="5"/>
  <c r="I57" i="5"/>
  <c r="I56" i="5"/>
  <c r="I55" i="5"/>
  <c r="I54" i="5"/>
  <c r="I53" i="5"/>
  <c r="I52" i="5"/>
  <c r="I14" i="5"/>
  <c r="I13" i="5"/>
  <c r="I223" i="2"/>
  <c r="I224" i="2"/>
  <c r="I225" i="2"/>
  <c r="I226" i="2"/>
  <c r="I227" i="2"/>
  <c r="I228" i="2"/>
  <c r="I229" i="2"/>
  <c r="I230" i="2"/>
  <c r="I231" i="2"/>
  <c r="I233" i="2"/>
  <c r="I234" i="2"/>
  <c r="I235" i="2"/>
  <c r="I236" i="2"/>
  <c r="K223" i="2"/>
  <c r="K224" i="2"/>
  <c r="K225" i="2"/>
  <c r="K226" i="2"/>
  <c r="K227" i="2"/>
  <c r="K228" i="2"/>
  <c r="K229" i="2"/>
  <c r="K230" i="2"/>
  <c r="K231" i="2"/>
  <c r="K233" i="2"/>
  <c r="K234" i="2"/>
  <c r="K235" i="2"/>
  <c r="K236" i="2"/>
  <c r="K222" i="2"/>
  <c r="J223" i="2"/>
  <c r="J224" i="2"/>
  <c r="J225" i="2"/>
  <c r="J226" i="2"/>
  <c r="J227" i="2"/>
  <c r="L227" i="2" s="1"/>
  <c r="J228" i="2"/>
  <c r="J229" i="2"/>
  <c r="J230" i="2"/>
  <c r="J231" i="2"/>
  <c r="J232" i="2"/>
  <c r="J233" i="2"/>
  <c r="J234" i="2"/>
  <c r="J235" i="2"/>
  <c r="L235" i="2" s="1"/>
  <c r="J236" i="2"/>
  <c r="L243" i="2"/>
  <c r="J246" i="2"/>
  <c r="I243" i="2"/>
  <c r="H213" i="2"/>
  <c r="I213" i="2" s="1"/>
  <c r="H212" i="2"/>
  <c r="K212" i="2" s="1"/>
  <c r="L212" i="2" s="1"/>
  <c r="H210" i="2"/>
  <c r="I210" i="2" s="1"/>
  <c r="H208" i="2"/>
  <c r="I208" i="2" s="1"/>
  <c r="H205" i="2"/>
  <c r="I205" i="2" s="1"/>
  <c r="H203" i="2"/>
  <c r="I203" i="2" s="1"/>
  <c r="H202" i="2"/>
  <c r="K202" i="2" s="1"/>
  <c r="L202" i="2" s="1"/>
  <c r="H200" i="2"/>
  <c r="I200" i="2" s="1"/>
  <c r="H199" i="2"/>
  <c r="I199" i="2" s="1"/>
  <c r="H197" i="2"/>
  <c r="I197" i="2" s="1"/>
  <c r="H196" i="2"/>
  <c r="K196" i="2" s="1"/>
  <c r="L196" i="2" s="1"/>
  <c r="H195" i="2"/>
  <c r="K195" i="2" s="1"/>
  <c r="L195" i="2" s="1"/>
  <c r="K193" i="2"/>
  <c r="L193" i="2" s="1"/>
  <c r="K194" i="2"/>
  <c r="L194" i="2" s="1"/>
  <c r="K198" i="2"/>
  <c r="L198" i="2" s="1"/>
  <c r="K201" i="2"/>
  <c r="L201" i="2" s="1"/>
  <c r="K204" i="2"/>
  <c r="L204" i="2" s="1"/>
  <c r="K206" i="2"/>
  <c r="L206" i="2" s="1"/>
  <c r="K207" i="2"/>
  <c r="L207" i="2" s="1"/>
  <c r="K209" i="2"/>
  <c r="L209" i="2" s="1"/>
  <c r="K211" i="2"/>
  <c r="L211" i="2" s="1"/>
  <c r="K214" i="2"/>
  <c r="L214" i="2" s="1"/>
  <c r="K192" i="2"/>
  <c r="L192" i="2" s="1"/>
  <c r="I193" i="2"/>
  <c r="I194" i="2"/>
  <c r="I198" i="2"/>
  <c r="I201" i="2"/>
  <c r="I204" i="2"/>
  <c r="I206" i="2"/>
  <c r="I207" i="2"/>
  <c r="I209" i="2"/>
  <c r="I211" i="2"/>
  <c r="I214" i="2"/>
  <c r="I192" i="2"/>
  <c r="H188" i="2"/>
  <c r="K188" i="2" s="1"/>
  <c r="L188" i="2" s="1"/>
  <c r="H187" i="2"/>
  <c r="K187" i="2" s="1"/>
  <c r="L187" i="2" s="1"/>
  <c r="H183" i="2"/>
  <c r="K183" i="2" s="1"/>
  <c r="L183" i="2" s="1"/>
  <c r="H182" i="2"/>
  <c r="K182" i="2" s="1"/>
  <c r="L182" i="2" s="1"/>
  <c r="H181" i="2"/>
  <c r="K181" i="2" s="1"/>
  <c r="J176" i="2"/>
  <c r="L152" i="2"/>
  <c r="K152" i="2"/>
  <c r="H150" i="2"/>
  <c r="K150" i="2" s="1"/>
  <c r="L150" i="2" s="1"/>
  <c r="H149" i="2"/>
  <c r="K149" i="2" s="1"/>
  <c r="L149" i="2" s="1"/>
  <c r="H147" i="2"/>
  <c r="I147" i="2" s="1"/>
  <c r="H142" i="2"/>
  <c r="K142" i="2" s="1"/>
  <c r="L142" i="2" s="1"/>
  <c r="H139" i="2"/>
  <c r="I139" i="2" s="1"/>
  <c r="H135" i="2"/>
  <c r="I135" i="2" s="1"/>
  <c r="H134" i="2"/>
  <c r="K134" i="2" s="1"/>
  <c r="L134" i="2" s="1"/>
  <c r="H133" i="2"/>
  <c r="I133" i="2" s="1"/>
  <c r="H129" i="2"/>
  <c r="K129" i="2" s="1"/>
  <c r="K127" i="2"/>
  <c r="K130" i="2"/>
  <c r="K131" i="2"/>
  <c r="K140" i="2"/>
  <c r="K141" i="2"/>
  <c r="K145" i="2"/>
  <c r="L145" i="2" s="1"/>
  <c r="K146" i="2"/>
  <c r="L146" i="2" s="1"/>
  <c r="K148" i="2"/>
  <c r="L148" i="2"/>
  <c r="I145" i="2"/>
  <c r="I146" i="2"/>
  <c r="I148" i="2"/>
  <c r="H120" i="2"/>
  <c r="K120" i="2" s="1"/>
  <c r="L120" i="2" s="1"/>
  <c r="H119" i="2"/>
  <c r="I119" i="2" s="1"/>
  <c r="H117" i="2"/>
  <c r="H107" i="2"/>
  <c r="K107" i="2" s="1"/>
  <c r="L107" i="2" s="1"/>
  <c r="H101" i="2"/>
  <c r="I101" i="2" s="1"/>
  <c r="H99" i="2"/>
  <c r="K99" i="2" s="1"/>
  <c r="L99" i="2" s="1"/>
  <c r="H98" i="2"/>
  <c r="K98" i="2" s="1"/>
  <c r="L98" i="2" s="1"/>
  <c r="H96" i="2"/>
  <c r="K96" i="2" s="1"/>
  <c r="L96" i="2" s="1"/>
  <c r="H88" i="2"/>
  <c r="K88" i="2" s="1"/>
  <c r="L88" i="2" s="1"/>
  <c r="H82" i="2"/>
  <c r="K82" i="2" s="1"/>
  <c r="L82" i="2" s="1"/>
  <c r="H81" i="2"/>
  <c r="I81" i="2" s="1"/>
  <c r="H80" i="2"/>
  <c r="K80" i="2" s="1"/>
  <c r="L80" i="2" s="1"/>
  <c r="H76" i="2"/>
  <c r="K76" i="2" s="1"/>
  <c r="L76" i="2" s="1"/>
  <c r="H75" i="2"/>
  <c r="K75" i="2" s="1"/>
  <c r="L75" i="2" s="1"/>
  <c r="H74" i="2"/>
  <c r="I74" i="2" s="1"/>
  <c r="H69" i="2"/>
  <c r="L69" i="2" s="1"/>
  <c r="H68" i="2"/>
  <c r="K68" i="2" s="1"/>
  <c r="L68" i="2" s="1"/>
  <c r="H67" i="2"/>
  <c r="K67" i="2" s="1"/>
  <c r="L67" i="2" s="1"/>
  <c r="H66" i="2"/>
  <c r="K66" i="2" s="1"/>
  <c r="L66" i="2" s="1"/>
  <c r="H64" i="2"/>
  <c r="K64" i="2" s="1"/>
  <c r="L64" i="2" s="1"/>
  <c r="H63" i="2"/>
  <c r="I63" i="2" s="1"/>
  <c r="H62" i="2"/>
  <c r="K62" i="2" s="1"/>
  <c r="L62" i="2" s="1"/>
  <c r="K70" i="2"/>
  <c r="L70" i="2" s="1"/>
  <c r="K71" i="2"/>
  <c r="L71" i="2"/>
  <c r="K72" i="2"/>
  <c r="L72" i="2" s="1"/>
  <c r="K73" i="2"/>
  <c r="L73" i="2"/>
  <c r="K77" i="2"/>
  <c r="L77" i="2" s="1"/>
  <c r="K78" i="2"/>
  <c r="L78" i="2" s="1"/>
  <c r="K84" i="2"/>
  <c r="K86" i="2"/>
  <c r="K87" i="2"/>
  <c r="K90" i="2"/>
  <c r="K91" i="2"/>
  <c r="K92" i="2"/>
  <c r="L92" i="2"/>
  <c r="K94" i="2"/>
  <c r="L94" i="2" s="1"/>
  <c r="K97" i="2"/>
  <c r="L97" i="2" s="1"/>
  <c r="K100" i="2"/>
  <c r="L100" i="2"/>
  <c r="K102" i="2"/>
  <c r="L102" i="2" s="1"/>
  <c r="K103" i="2"/>
  <c r="K104" i="2"/>
  <c r="L104" i="2" s="1"/>
  <c r="K105" i="2"/>
  <c r="L105" i="2" s="1"/>
  <c r="K106" i="2"/>
  <c r="L106" i="2"/>
  <c r="K108" i="2"/>
  <c r="L108" i="2" s="1"/>
  <c r="K109" i="2"/>
  <c r="L109" i="2" s="1"/>
  <c r="K110" i="2"/>
  <c r="L110" i="2" s="1"/>
  <c r="K112" i="2"/>
  <c r="K114" i="2"/>
  <c r="L114" i="2"/>
  <c r="K115" i="2"/>
  <c r="L115" i="2" s="1"/>
  <c r="K116" i="2"/>
  <c r="L116" i="2" s="1"/>
  <c r="I70" i="2"/>
  <c r="I71" i="2"/>
  <c r="I72" i="2"/>
  <c r="I73" i="2"/>
  <c r="I77" i="2"/>
  <c r="I78" i="2"/>
  <c r="I84" i="2"/>
  <c r="I92" i="2"/>
  <c r="I94" i="2"/>
  <c r="I97" i="2"/>
  <c r="I100" i="2"/>
  <c r="I102" i="2"/>
  <c r="I104" i="2"/>
  <c r="I105" i="2"/>
  <c r="I106" i="2"/>
  <c r="I108" i="2"/>
  <c r="I109" i="2"/>
  <c r="I110" i="2"/>
  <c r="I112" i="2"/>
  <c r="I114" i="2"/>
  <c r="I115" i="2"/>
  <c r="I116" i="2"/>
  <c r="H60" i="2"/>
  <c r="I60" i="2" s="1"/>
  <c r="J59" i="2"/>
  <c r="K59" i="2"/>
  <c r="H55" i="2"/>
  <c r="H54" i="2"/>
  <c r="H53" i="2"/>
  <c r="I53" i="2" s="1"/>
  <c r="H52" i="2"/>
  <c r="I52" i="2" s="1"/>
  <c r="K13" i="2"/>
  <c r="K15" i="2"/>
  <c r="K16" i="2"/>
  <c r="K20" i="2"/>
  <c r="L20" i="2" s="1"/>
  <c r="K21" i="2"/>
  <c r="L21" i="2" s="1"/>
  <c r="K22" i="2"/>
  <c r="K23" i="2"/>
  <c r="K24" i="2"/>
  <c r="K26" i="2"/>
  <c r="K27" i="2"/>
  <c r="K32" i="2"/>
  <c r="K35" i="2"/>
  <c r="K36" i="2"/>
  <c r="K38" i="2"/>
  <c r="K41" i="2"/>
  <c r="L41" i="2" s="1"/>
  <c r="K45" i="2"/>
  <c r="K46" i="2"/>
  <c r="L46" i="2" s="1"/>
  <c r="K47" i="2"/>
  <c r="K48" i="2"/>
  <c r="K49" i="2"/>
  <c r="K50" i="2"/>
  <c r="H11" i="2"/>
  <c r="I11" i="2" s="1"/>
  <c r="H10" i="2"/>
  <c r="I10" i="2" s="1"/>
  <c r="H9" i="2"/>
  <c r="I166" i="5"/>
  <c r="I165" i="5"/>
  <c r="I164" i="5"/>
  <c r="I163" i="5"/>
  <c r="I100" i="5"/>
  <c r="H111" i="2" s="1"/>
  <c r="I111" i="2" s="1"/>
  <c r="H56" i="2"/>
  <c r="I56" i="2" s="1"/>
  <c r="I65" i="5"/>
  <c r="H51" i="2" s="1"/>
  <c r="I51" i="2" s="1"/>
  <c r="I63" i="5"/>
  <c r="I62" i="5"/>
  <c r="I61" i="5"/>
  <c r="I51" i="5"/>
  <c r="I50" i="5"/>
  <c r="I49" i="5"/>
  <c r="I48" i="5"/>
  <c r="I47" i="5"/>
  <c r="I46" i="5"/>
  <c r="I45" i="5"/>
  <c r="I44" i="5"/>
  <c r="I41" i="5"/>
  <c r="I40" i="5"/>
  <c r="I39" i="5"/>
  <c r="E36" i="5"/>
  <c r="I36" i="5" s="1"/>
  <c r="E35" i="5"/>
  <c r="I35" i="5" s="1"/>
  <c r="E34" i="5"/>
  <c r="I34" i="5" s="1"/>
  <c r="E33" i="5"/>
  <c r="I33" i="5" s="1"/>
  <c r="I30" i="5"/>
  <c r="I29" i="5"/>
  <c r="I26" i="5"/>
  <c r="I25" i="5"/>
  <c r="I24" i="5"/>
  <c r="I21" i="5"/>
  <c r="I20" i="5"/>
  <c r="I19" i="5"/>
  <c r="I18" i="5"/>
  <c r="I17" i="5"/>
  <c r="I7" i="5"/>
  <c r="I6" i="5"/>
  <c r="I5" i="5"/>
  <c r="K111" i="2" l="1"/>
  <c r="K54" i="2"/>
  <c r="L54" i="2" s="1"/>
  <c r="I54" i="2"/>
  <c r="K55" i="2"/>
  <c r="L55" i="2" s="1"/>
  <c r="I55" i="2"/>
  <c r="L233" i="2"/>
  <c r="K9" i="2"/>
  <c r="L9" i="2" s="1"/>
  <c r="I9" i="2"/>
  <c r="L59" i="2"/>
  <c r="K101" i="2"/>
  <c r="L101" i="2" s="1"/>
  <c r="L236" i="2"/>
  <c r="L228" i="2"/>
  <c r="I98" i="2"/>
  <c r="L234" i="2"/>
  <c r="L230" i="2"/>
  <c r="L226" i="2"/>
  <c r="L224" i="2"/>
  <c r="L229" i="2"/>
  <c r="L231" i="2"/>
  <c r="L223" i="2"/>
  <c r="L225" i="2"/>
  <c r="I167" i="5"/>
  <c r="K232" i="2"/>
  <c r="L232" i="2" s="1"/>
  <c r="K147" i="2"/>
  <c r="L147" i="2" s="1"/>
  <c r="I43" i="5"/>
  <c r="H40" i="2" s="1"/>
  <c r="K210" i="2"/>
  <c r="L210" i="2" s="1"/>
  <c r="K246" i="2"/>
  <c r="L246" i="2" s="1"/>
  <c r="K11" i="2"/>
  <c r="L11" i="2" s="1"/>
  <c r="I68" i="2"/>
  <c r="I12" i="5"/>
  <c r="H18" i="2" s="1"/>
  <c r="I80" i="2"/>
  <c r="K10" i="2"/>
  <c r="L10" i="2" s="1"/>
  <c r="I32" i="5"/>
  <c r="H33" i="2" s="1"/>
  <c r="I33" i="2" s="1"/>
  <c r="K63" i="2"/>
  <c r="L63" i="2" s="1"/>
  <c r="I182" i="2"/>
  <c r="K213" i="2"/>
  <c r="L213" i="2" s="1"/>
  <c r="I75" i="2"/>
  <c r="K117" i="2"/>
  <c r="K119" i="2"/>
  <c r="L119" i="2" s="1"/>
  <c r="K74" i="2"/>
  <c r="L74" i="2" s="1"/>
  <c r="I129" i="2"/>
  <c r="I4" i="5"/>
  <c r="H7" i="2" s="1"/>
  <c r="I23" i="5"/>
  <c r="H25" i="2" s="1"/>
  <c r="K25" i="2" s="1"/>
  <c r="K199" i="2"/>
  <c r="L199" i="2" s="1"/>
  <c r="I60" i="5"/>
  <c r="H43" i="2" s="1"/>
  <c r="I66" i="2"/>
  <c r="I62" i="2"/>
  <c r="K81" i="2"/>
  <c r="L81" i="2" s="1"/>
  <c r="I134" i="2"/>
  <c r="K135" i="2"/>
  <c r="L135" i="2" s="1"/>
  <c r="I181" i="2"/>
  <c r="I188" i="2"/>
  <c r="I212" i="2"/>
  <c r="K205" i="2"/>
  <c r="L205" i="2" s="1"/>
  <c r="I28" i="5"/>
  <c r="H30" i="2" s="1"/>
  <c r="I30" i="2" s="1"/>
  <c r="I88" i="2"/>
  <c r="K139" i="2"/>
  <c r="L139" i="2" s="1"/>
  <c r="I183" i="2"/>
  <c r="L181" i="2"/>
  <c r="L176" i="2" s="1"/>
  <c r="K176" i="2"/>
  <c r="E11" i="3" s="1"/>
  <c r="K51" i="2"/>
  <c r="L51" i="2" s="1"/>
  <c r="I38" i="5"/>
  <c r="H39" i="2" s="1"/>
  <c r="I162" i="5"/>
  <c r="H242" i="2" s="1"/>
  <c r="K242" i="2" s="1"/>
  <c r="I59" i="2"/>
  <c r="I69" i="2"/>
  <c r="I64" i="2"/>
  <c r="K60" i="2"/>
  <c r="L60" i="2" s="1"/>
  <c r="I149" i="2"/>
  <c r="I142" i="2"/>
  <c r="I187" i="2"/>
  <c r="K208" i="2"/>
  <c r="L208" i="2" s="1"/>
  <c r="I16" i="5"/>
  <c r="H19" i="2" s="1"/>
  <c r="I82" i="2"/>
  <c r="I195" i="2"/>
  <c r="I76" i="2"/>
  <c r="I67" i="2"/>
  <c r="K200" i="2"/>
  <c r="L200" i="2" s="1"/>
  <c r="K203" i="2"/>
  <c r="L203" i="2" s="1"/>
  <c r="I202" i="2"/>
  <c r="K197" i="2"/>
  <c r="L197" i="2" s="1"/>
  <c r="I196" i="2"/>
  <c r="I150" i="2"/>
  <c r="K133" i="2"/>
  <c r="L133" i="2" s="1"/>
  <c r="L129" i="2"/>
  <c r="I120" i="2"/>
  <c r="I107" i="2"/>
  <c r="I99" i="2"/>
  <c r="I96" i="2"/>
  <c r="K56" i="2"/>
  <c r="L56" i="2" s="1"/>
  <c r="K53" i="2"/>
  <c r="L53" i="2" s="1"/>
  <c r="K52" i="2"/>
  <c r="L52" i="2" s="1"/>
  <c r="J112" i="2"/>
  <c r="L112" i="2" s="1"/>
  <c r="J111" i="2"/>
  <c r="L111" i="2" s="1"/>
  <c r="G171" i="2"/>
  <c r="J171" i="2" s="1"/>
  <c r="L171" i="2" s="1"/>
  <c r="G170" i="2"/>
  <c r="J170" i="2" s="1"/>
  <c r="L170" i="2" s="1"/>
  <c r="G117" i="2"/>
  <c r="J117" i="2" s="1"/>
  <c r="G103" i="2"/>
  <c r="G90" i="2"/>
  <c r="G87" i="2"/>
  <c r="G86" i="2"/>
  <c r="J84" i="2"/>
  <c r="L84" i="2" s="1"/>
  <c r="G50" i="2"/>
  <c r="I50" i="2" s="1"/>
  <c r="G49" i="2"/>
  <c r="I49" i="2" s="1"/>
  <c r="G47" i="2"/>
  <c r="I47" i="2" s="1"/>
  <c r="G45" i="2"/>
  <c r="I45" i="2" s="1"/>
  <c r="J28" i="2"/>
  <c r="I353" i="4"/>
  <c r="I175" i="4"/>
  <c r="I119" i="4"/>
  <c r="I118" i="4"/>
  <c r="I117" i="4"/>
  <c r="G48" i="2" s="1"/>
  <c r="I48" i="2" s="1"/>
  <c r="I116" i="4"/>
  <c r="I114" i="4"/>
  <c r="G106" i="4"/>
  <c r="E106" i="4"/>
  <c r="G105" i="4"/>
  <c r="E105" i="4"/>
  <c r="G104" i="4"/>
  <c r="E104" i="4"/>
  <c r="G103" i="4"/>
  <c r="E103" i="4"/>
  <c r="I103" i="4" s="1"/>
  <c r="G102" i="4"/>
  <c r="E102" i="4"/>
  <c r="G101" i="4"/>
  <c r="E101" i="4"/>
  <c r="G100" i="4"/>
  <c r="E100" i="4"/>
  <c r="I97" i="4"/>
  <c r="G36" i="2" s="1"/>
  <c r="I36" i="2" s="1"/>
  <c r="I96" i="4"/>
  <c r="G35" i="2" s="1"/>
  <c r="I35" i="2" s="1"/>
  <c r="G92" i="4"/>
  <c r="E92" i="4"/>
  <c r="G86" i="4"/>
  <c r="E86" i="4"/>
  <c r="I83" i="4"/>
  <c r="I82" i="4" s="1"/>
  <c r="G27" i="2" s="1"/>
  <c r="I27" i="2" s="1"/>
  <c r="I80" i="4"/>
  <c r="I79" i="4"/>
  <c r="G76" i="4"/>
  <c r="E76" i="4"/>
  <c r="G75" i="4"/>
  <c r="E75" i="4"/>
  <c r="G74" i="4"/>
  <c r="E74" i="4"/>
  <c r="G71" i="4"/>
  <c r="E71" i="4"/>
  <c r="G70" i="4"/>
  <c r="E70" i="4"/>
  <c r="G69" i="4"/>
  <c r="E69" i="4"/>
  <c r="G68" i="4"/>
  <c r="E68" i="4"/>
  <c r="G67" i="4"/>
  <c r="E67" i="4"/>
  <c r="G66" i="4"/>
  <c r="E66" i="4"/>
  <c r="I63" i="4"/>
  <c r="I62" i="4"/>
  <c r="F59" i="4"/>
  <c r="E59" i="4"/>
  <c r="F58" i="4"/>
  <c r="E58" i="4"/>
  <c r="G53" i="4"/>
  <c r="E53" i="4"/>
  <c r="F52" i="4"/>
  <c r="E52" i="4"/>
  <c r="F51" i="4"/>
  <c r="E51" i="4"/>
  <c r="F50" i="4"/>
  <c r="E50" i="4"/>
  <c r="F49" i="4"/>
  <c r="E49" i="4"/>
  <c r="G42" i="4"/>
  <c r="E42" i="4"/>
  <c r="G41" i="4"/>
  <c r="E41" i="4"/>
  <c r="G40" i="4"/>
  <c r="E40" i="4"/>
  <c r="G39" i="4"/>
  <c r="E39" i="4"/>
  <c r="G38" i="4"/>
  <c r="E38" i="4"/>
  <c r="G37" i="4"/>
  <c r="E37" i="4"/>
  <c r="G36" i="4"/>
  <c r="E36" i="4"/>
  <c r="G35" i="4"/>
  <c r="E35" i="4"/>
  <c r="G34" i="4"/>
  <c r="E34" i="4"/>
  <c r="G33" i="4"/>
  <c r="E33" i="4"/>
  <c r="G32" i="4"/>
  <c r="E32" i="4"/>
  <c r="G31" i="4"/>
  <c r="E31" i="4"/>
  <c r="G28" i="4"/>
  <c r="E28" i="4"/>
  <c r="E13" i="3" l="1"/>
  <c r="K43" i="2"/>
  <c r="L43" i="2" s="1"/>
  <c r="I43" i="2"/>
  <c r="I40" i="2"/>
  <c r="K40" i="2"/>
  <c r="L40" i="2" s="1"/>
  <c r="I39" i="2"/>
  <c r="K39" i="2"/>
  <c r="L39" i="2" s="1"/>
  <c r="K33" i="2"/>
  <c r="L33" i="2" s="1"/>
  <c r="K18" i="2"/>
  <c r="L117" i="2"/>
  <c r="I117" i="2"/>
  <c r="J45" i="2"/>
  <c r="L45" i="2" s="1"/>
  <c r="J27" i="2"/>
  <c r="L27" i="2" s="1"/>
  <c r="J47" i="2"/>
  <c r="L47" i="2" s="1"/>
  <c r="J36" i="2"/>
  <c r="L36" i="2" s="1"/>
  <c r="J48" i="2"/>
  <c r="L48" i="2" s="1"/>
  <c r="J103" i="2"/>
  <c r="L103" i="2" s="1"/>
  <c r="I103" i="2"/>
  <c r="J50" i="2"/>
  <c r="L50" i="2" s="1"/>
  <c r="J87" i="2"/>
  <c r="L87" i="2" s="1"/>
  <c r="I87" i="2"/>
  <c r="J35" i="2"/>
  <c r="L35" i="2" s="1"/>
  <c r="J90" i="2"/>
  <c r="L90" i="2" s="1"/>
  <c r="I90" i="2"/>
  <c r="J49" i="2"/>
  <c r="L49" i="2" s="1"/>
  <c r="J86" i="2"/>
  <c r="L86" i="2" s="1"/>
  <c r="I86" i="2"/>
  <c r="K30" i="2"/>
  <c r="L30" i="2" s="1"/>
  <c r="K190" i="2"/>
  <c r="E12" i="3" s="1"/>
  <c r="L190" i="2"/>
  <c r="I102" i="4"/>
  <c r="I104" i="4"/>
  <c r="I101" i="4"/>
  <c r="I105" i="4"/>
  <c r="I106" i="4"/>
  <c r="I100" i="4"/>
  <c r="I92" i="4"/>
  <c r="I91" i="4" s="1"/>
  <c r="G32" i="2" s="1"/>
  <c r="I32" i="2" s="1"/>
  <c r="I86" i="4"/>
  <c r="I85" i="4" s="1"/>
  <c r="H28" i="2" s="1"/>
  <c r="I76" i="4"/>
  <c r="I78" i="4"/>
  <c r="G26" i="2" s="1"/>
  <c r="I26" i="2" s="1"/>
  <c r="I75" i="4"/>
  <c r="I74" i="4"/>
  <c r="I70" i="4"/>
  <c r="I68" i="4"/>
  <c r="I66" i="4"/>
  <c r="I67" i="4"/>
  <c r="I71" i="4"/>
  <c r="I69" i="4"/>
  <c r="I61" i="4"/>
  <c r="G23" i="2" s="1"/>
  <c r="I23" i="2" s="1"/>
  <c r="I59" i="4"/>
  <c r="I58" i="4"/>
  <c r="I32" i="4"/>
  <c r="I52" i="4"/>
  <c r="I34" i="4"/>
  <c r="I50" i="4"/>
  <c r="I49" i="4"/>
  <c r="I53" i="4"/>
  <c r="I51" i="4"/>
  <c r="I41" i="4"/>
  <c r="I37" i="4"/>
  <c r="I33" i="4"/>
  <c r="I36" i="4"/>
  <c r="I28" i="4"/>
  <c r="I31" i="4"/>
  <c r="I35" i="4"/>
  <c r="I39" i="4"/>
  <c r="I38" i="4"/>
  <c r="I42" i="4"/>
  <c r="I40" i="4"/>
  <c r="J23" i="2" l="1"/>
  <c r="L23" i="2" s="1"/>
  <c r="J32" i="2"/>
  <c r="L32" i="2" s="1"/>
  <c r="I28" i="2"/>
  <c r="K28" i="2"/>
  <c r="L28" i="2" s="1"/>
  <c r="J26" i="2"/>
  <c r="L26" i="2" s="1"/>
  <c r="I99" i="4"/>
  <c r="G38" i="2" s="1"/>
  <c r="I73" i="4"/>
  <c r="G25" i="2" s="1"/>
  <c r="I57" i="4"/>
  <c r="G22" i="2" s="1"/>
  <c r="I65" i="4"/>
  <c r="G24" i="2" s="1"/>
  <c r="I48" i="4"/>
  <c r="I30" i="4"/>
  <c r="K5" i="2" l="1"/>
  <c r="E6" i="3" s="1"/>
  <c r="I38" i="2"/>
  <c r="J38" i="2"/>
  <c r="L38" i="2" s="1"/>
  <c r="I24" i="2"/>
  <c r="J24" i="2"/>
  <c r="L24" i="2" s="1"/>
  <c r="I22" i="2"/>
  <c r="J22" i="2"/>
  <c r="L22" i="2" s="1"/>
  <c r="J25" i="2"/>
  <c r="L25" i="2" s="1"/>
  <c r="I25" i="2"/>
  <c r="J190" i="2"/>
  <c r="D12" i="3" s="1"/>
  <c r="F12" i="3" s="1"/>
  <c r="D11" i="3"/>
  <c r="F11" i="3" s="1"/>
  <c r="J152" i="2"/>
  <c r="D9" i="3" s="1"/>
  <c r="F9" i="3" s="1"/>
  <c r="J244" i="2"/>
  <c r="J241" i="2"/>
  <c r="J167" i="2"/>
  <c r="L167" i="2" s="1"/>
  <c r="G141" i="2"/>
  <c r="J138" i="2"/>
  <c r="G131" i="2"/>
  <c r="G130" i="2"/>
  <c r="J126" i="2"/>
  <c r="I327" i="4"/>
  <c r="I326" i="4"/>
  <c r="I325" i="4"/>
  <c r="I324" i="4"/>
  <c r="I379" i="4"/>
  <c r="I378" i="4"/>
  <c r="I377" i="4"/>
  <c r="I376" i="4"/>
  <c r="I375" i="4"/>
  <c r="I374" i="4"/>
  <c r="I373" i="4"/>
  <c r="I372" i="4"/>
  <c r="E371" i="4"/>
  <c r="I371" i="4" s="1"/>
  <c r="I370" i="4"/>
  <c r="I369" i="4"/>
  <c r="I368" i="4"/>
  <c r="I367" i="4"/>
  <c r="I363" i="4"/>
  <c r="I362" i="4"/>
  <c r="I361" i="4"/>
  <c r="I360" i="4"/>
  <c r="I359" i="4"/>
  <c r="I358" i="4"/>
  <c r="I357" i="4"/>
  <c r="I356" i="4"/>
  <c r="E352" i="4"/>
  <c r="I352" i="4" s="1"/>
  <c r="I351" i="4"/>
  <c r="I350" i="4"/>
  <c r="I349" i="4"/>
  <c r="I348" i="4"/>
  <c r="I268" i="4"/>
  <c r="G169" i="2" s="1"/>
  <c r="J169" i="2" s="1"/>
  <c r="L169" i="2" s="1"/>
  <c r="I264" i="4"/>
  <c r="H167" i="2" s="1"/>
  <c r="K167" i="2" s="1"/>
  <c r="K164" i="2" s="1"/>
  <c r="E10" i="3" s="1"/>
  <c r="I231" i="4"/>
  <c r="G140" i="2" s="1"/>
  <c r="I227" i="4"/>
  <c r="H138" i="2" s="1"/>
  <c r="I215" i="4"/>
  <c r="I214" i="4" s="1"/>
  <c r="G127" i="2" s="1"/>
  <c r="E212" i="4"/>
  <c r="I212" i="4" s="1"/>
  <c r="E211" i="4"/>
  <c r="I211" i="4" s="1"/>
  <c r="E210" i="4"/>
  <c r="I210" i="4" s="1"/>
  <c r="I174" i="4"/>
  <c r="I173" i="4"/>
  <c r="I172" i="4"/>
  <c r="I171" i="4"/>
  <c r="E166" i="4"/>
  <c r="I166" i="4" s="1"/>
  <c r="E165" i="4"/>
  <c r="I165" i="4" s="1"/>
  <c r="E164" i="4"/>
  <c r="I164" i="4" s="1"/>
  <c r="E163" i="4"/>
  <c r="I163" i="4" s="1"/>
  <c r="E162" i="4"/>
  <c r="I162" i="4" s="1"/>
  <c r="E161" i="4"/>
  <c r="I161" i="4" s="1"/>
  <c r="G46" i="4"/>
  <c r="F46" i="4"/>
  <c r="E46" i="4"/>
  <c r="I20" i="4"/>
  <c r="I21" i="4"/>
  <c r="I22" i="4"/>
  <c r="I23" i="4"/>
  <c r="I24" i="4"/>
  <c r="I25" i="4"/>
  <c r="I26" i="4"/>
  <c r="I27" i="4"/>
  <c r="I19" i="4"/>
  <c r="G16" i="4"/>
  <c r="F16" i="4"/>
  <c r="E16" i="4"/>
  <c r="G15" i="4"/>
  <c r="F15" i="4"/>
  <c r="E15" i="4"/>
  <c r="G8" i="4"/>
  <c r="E8" i="4"/>
  <c r="L164" i="2" l="1"/>
  <c r="I138" i="2"/>
  <c r="K138" i="2"/>
  <c r="L138" i="2" s="1"/>
  <c r="I347" i="4"/>
  <c r="H241" i="2" s="1"/>
  <c r="J140" i="2"/>
  <c r="L140" i="2" s="1"/>
  <c r="I140" i="2"/>
  <c r="J131" i="2"/>
  <c r="L131" i="2" s="1"/>
  <c r="I131" i="2"/>
  <c r="J127" i="2"/>
  <c r="L127" i="2" s="1"/>
  <c r="I127" i="2"/>
  <c r="J141" i="2"/>
  <c r="L141" i="2" s="1"/>
  <c r="I141" i="2"/>
  <c r="J130" i="2"/>
  <c r="L130" i="2" s="1"/>
  <c r="I130" i="2"/>
  <c r="J164" i="2"/>
  <c r="D10" i="3" s="1"/>
  <c r="F10" i="3" s="1"/>
  <c r="I170" i="4"/>
  <c r="I160" i="4"/>
  <c r="I323" i="4"/>
  <c r="G222" i="2" s="1"/>
  <c r="I18" i="4"/>
  <c r="G15" i="2" s="1"/>
  <c r="I15" i="2" s="1"/>
  <c r="I366" i="4"/>
  <c r="H244" i="2" s="1"/>
  <c r="I355" i="4"/>
  <c r="G242" i="2" s="1"/>
  <c r="I209" i="4"/>
  <c r="G91" i="2"/>
  <c r="G19" i="2"/>
  <c r="I19" i="2" s="1"/>
  <c r="I46" i="4"/>
  <c r="I45" i="4" s="1"/>
  <c r="G18" i="2" s="1"/>
  <c r="I18" i="2" s="1"/>
  <c r="I16" i="4"/>
  <c r="I8" i="4"/>
  <c r="I7" i="4" s="1"/>
  <c r="G7" i="2" s="1"/>
  <c r="I7" i="2" s="1"/>
  <c r="I15" i="4"/>
  <c r="G16" i="2"/>
  <c r="I16" i="2" s="1"/>
  <c r="K241" i="2" l="1"/>
  <c r="I241" i="2"/>
  <c r="K126" i="2"/>
  <c r="I126" i="2"/>
  <c r="K244" i="2"/>
  <c r="L244" i="2" s="1"/>
  <c r="I244" i="2"/>
  <c r="J93" i="2"/>
  <c r="H93" i="2"/>
  <c r="J15" i="2"/>
  <c r="L15" i="2" s="1"/>
  <c r="J18" i="2"/>
  <c r="L18" i="2" s="1"/>
  <c r="J222" i="2"/>
  <c r="I222" i="2"/>
  <c r="J19" i="2"/>
  <c r="L19" i="2" s="1"/>
  <c r="J16" i="2"/>
  <c r="L16" i="2" s="1"/>
  <c r="J242" i="2"/>
  <c r="I242" i="2"/>
  <c r="J7" i="2"/>
  <c r="L7" i="2" s="1"/>
  <c r="J91" i="2"/>
  <c r="L91" i="2" s="1"/>
  <c r="I91" i="2"/>
  <c r="J122" i="2"/>
  <c r="D8" i="3" s="1"/>
  <c r="I14" i="4"/>
  <c r="G13" i="2" s="1"/>
  <c r="I13" i="2" s="1"/>
  <c r="I93" i="2" l="1"/>
  <c r="K93" i="2"/>
  <c r="K58" i="2" s="1"/>
  <c r="L93" i="2"/>
  <c r="L58" i="2" s="1"/>
  <c r="K122" i="2"/>
  <c r="E8" i="3" s="1"/>
  <c r="F8" i="3" s="1"/>
  <c r="L126" i="2"/>
  <c r="L122" i="2" s="1"/>
  <c r="K238" i="2"/>
  <c r="E14" i="3" s="1"/>
  <c r="L241" i="2"/>
  <c r="J13" i="2"/>
  <c r="L13" i="2" s="1"/>
  <c r="J238" i="2"/>
  <c r="D14" i="3" s="1"/>
  <c r="L242" i="2"/>
  <c r="J58" i="2"/>
  <c r="D7" i="3" s="1"/>
  <c r="L5" i="2"/>
  <c r="J216" i="2"/>
  <c r="D13" i="3" s="1"/>
  <c r="F13" i="3" s="1"/>
  <c r="L222" i="2"/>
  <c r="L216" i="2" s="1"/>
  <c r="F218" i="2"/>
  <c r="F9" i="2"/>
  <c r="F10" i="2"/>
  <c r="F11" i="2"/>
  <c r="F13" i="2"/>
  <c r="F15" i="2"/>
  <c r="F16" i="2"/>
  <c r="F18" i="2"/>
  <c r="F19" i="2"/>
  <c r="F20" i="2"/>
  <c r="F22" i="2"/>
  <c r="F23" i="2"/>
  <c r="F24" i="2"/>
  <c r="F25" i="2"/>
  <c r="F26" i="2"/>
  <c r="F27" i="2"/>
  <c r="F28" i="2"/>
  <c r="F30" i="2"/>
  <c r="F32" i="2"/>
  <c r="F33" i="2"/>
  <c r="F35" i="2"/>
  <c r="F36" i="2"/>
  <c r="F38" i="2"/>
  <c r="F39" i="2"/>
  <c r="F40" i="2"/>
  <c r="F41" i="2"/>
  <c r="F43" i="2"/>
  <c r="F45" i="2"/>
  <c r="F46" i="2"/>
  <c r="F47" i="2"/>
  <c r="F48" i="2"/>
  <c r="F49" i="2"/>
  <c r="F50" i="2"/>
  <c r="F51" i="2"/>
  <c r="F52" i="2"/>
  <c r="F53" i="2"/>
  <c r="F54" i="2"/>
  <c r="F55" i="2"/>
  <c r="F56" i="2"/>
  <c r="F59" i="2"/>
  <c r="F60" i="2"/>
  <c r="F62" i="2"/>
  <c r="F63" i="2"/>
  <c r="F64" i="2"/>
  <c r="F66" i="2"/>
  <c r="F67" i="2"/>
  <c r="F68" i="2"/>
  <c r="F69" i="2"/>
  <c r="F70" i="2"/>
  <c r="F71" i="2"/>
  <c r="F74" i="2"/>
  <c r="F75" i="2"/>
  <c r="F76" i="2"/>
  <c r="F77" i="2"/>
  <c r="F78" i="2"/>
  <c r="F80" i="2"/>
  <c r="F81" i="2"/>
  <c r="F82" i="2"/>
  <c r="F84" i="2"/>
  <c r="F86" i="2"/>
  <c r="F87" i="2"/>
  <c r="F88" i="2"/>
  <c r="F90" i="2"/>
  <c r="F91" i="2"/>
  <c r="F93" i="2"/>
  <c r="F94" i="2"/>
  <c r="F96" i="2"/>
  <c r="F97" i="2"/>
  <c r="F98" i="2"/>
  <c r="F99" i="2"/>
  <c r="F100" i="2"/>
  <c r="F101" i="2"/>
  <c r="F102" i="2"/>
  <c r="F103" i="2"/>
  <c r="F104" i="2"/>
  <c r="F105" i="2"/>
  <c r="F107" i="2"/>
  <c r="F108" i="2"/>
  <c r="F109" i="2"/>
  <c r="F111" i="2"/>
  <c r="F112" i="2"/>
  <c r="F114" i="2"/>
  <c r="F115" i="2"/>
  <c r="F117" i="2"/>
  <c r="F119" i="2"/>
  <c r="F120" i="2"/>
  <c r="F125" i="2"/>
  <c r="F126" i="2"/>
  <c r="F127" i="2"/>
  <c r="F129" i="2"/>
  <c r="F130" i="2"/>
  <c r="F131" i="2"/>
  <c r="F133" i="2"/>
  <c r="F134" i="2"/>
  <c r="F135" i="2"/>
  <c r="F138" i="2"/>
  <c r="F139" i="2"/>
  <c r="F140" i="2"/>
  <c r="F141" i="2"/>
  <c r="F142" i="2"/>
  <c r="F145" i="2"/>
  <c r="F146" i="2"/>
  <c r="F147" i="2"/>
  <c r="F148" i="2"/>
  <c r="F149" i="2"/>
  <c r="F150" i="2"/>
  <c r="F154" i="2"/>
  <c r="F155" i="2"/>
  <c r="F156" i="2"/>
  <c r="F157" i="2"/>
  <c r="F158" i="2"/>
  <c r="F159" i="2"/>
  <c r="F160" i="2"/>
  <c r="F161" i="2"/>
  <c r="F162" i="2"/>
  <c r="F167" i="2"/>
  <c r="F168" i="2"/>
  <c r="F169" i="2"/>
  <c r="F170" i="2"/>
  <c r="F171" i="2"/>
  <c r="F172" i="2"/>
  <c r="F173" i="2"/>
  <c r="F174" i="2"/>
  <c r="F178" i="2"/>
  <c r="F179" i="2"/>
  <c r="F180" i="2"/>
  <c r="F181" i="2"/>
  <c r="F182" i="2"/>
  <c r="F183" i="2"/>
  <c r="F184" i="2"/>
  <c r="F186" i="2"/>
  <c r="F187" i="2"/>
  <c r="F188" i="2"/>
  <c r="F192" i="2"/>
  <c r="F193" i="2"/>
  <c r="F195" i="2"/>
  <c r="F196" i="2"/>
  <c r="F197" i="2"/>
  <c r="F198" i="2"/>
  <c r="F199" i="2"/>
  <c r="F200" i="2"/>
  <c r="F201" i="2"/>
  <c r="F202" i="2"/>
  <c r="F203" i="2"/>
  <c r="F204" i="2"/>
  <c r="F205" i="2"/>
  <c r="F206" i="2"/>
  <c r="F207" i="2"/>
  <c r="F208" i="2"/>
  <c r="F209" i="2"/>
  <c r="F210" i="2"/>
  <c r="F211" i="2"/>
  <c r="F212" i="2"/>
  <c r="F213" i="2"/>
  <c r="F214" i="2"/>
  <c r="F219" i="2"/>
  <c r="F222" i="2"/>
  <c r="F223" i="2"/>
  <c r="F225" i="2"/>
  <c r="F226" i="2"/>
  <c r="F227" i="2"/>
  <c r="F229" i="2"/>
  <c r="F230" i="2"/>
  <c r="F231" i="2"/>
  <c r="F232" i="2"/>
  <c r="F233" i="2"/>
  <c r="F234" i="2"/>
  <c r="F235" i="2"/>
  <c r="F236" i="2"/>
  <c r="F241" i="2"/>
  <c r="F242" i="2"/>
  <c r="F243" i="2"/>
  <c r="F244" i="2"/>
  <c r="F246" i="2"/>
  <c r="F7" i="2"/>
  <c r="L238" i="2" l="1"/>
  <c r="F14" i="3"/>
  <c r="E7" i="3"/>
  <c r="E15" i="3" s="1"/>
  <c r="E17" i="3" s="1"/>
  <c r="K3" i="2"/>
  <c r="L3" i="2"/>
  <c r="F152" i="2"/>
  <c r="C9" i="3" s="1"/>
  <c r="F58" i="2"/>
  <c r="C7" i="3" s="1"/>
  <c r="F122" i="2"/>
  <c r="C8" i="3" s="1"/>
  <c r="F164" i="2"/>
  <c r="C10" i="3" s="1"/>
  <c r="F190" i="2"/>
  <c r="C12" i="3" s="1"/>
  <c r="F176" i="2"/>
  <c r="C11" i="3" s="1"/>
  <c r="F5" i="2"/>
  <c r="F216" i="2"/>
  <c r="C13" i="3" s="1"/>
  <c r="F238" i="2"/>
  <c r="C14" i="3" s="1"/>
  <c r="F7" i="3" l="1"/>
  <c r="F3" i="2"/>
  <c r="C6" i="3"/>
  <c r="D6" i="3" l="1"/>
  <c r="J3" i="2"/>
  <c r="C15" i="3"/>
  <c r="D15" i="3" l="1"/>
  <c r="D16" i="3" s="1"/>
  <c r="D17" i="3" s="1"/>
  <c r="F6" i="3"/>
  <c r="C17" i="3"/>
  <c r="F15" i="3" l="1"/>
  <c r="F16" i="3" l="1"/>
  <c r="F17" i="3" s="1"/>
</calcChain>
</file>

<file path=xl/sharedStrings.xml><?xml version="1.0" encoding="utf-8"?>
<sst xmlns="http://schemas.openxmlformats.org/spreadsheetml/2006/main" count="1572" uniqueCount="434">
  <si>
    <t>Qty</t>
  </si>
  <si>
    <t>Unit Price</t>
  </si>
  <si>
    <t/>
  </si>
  <si>
    <t>Civil &amp; Interior Work for AHM Dominos Food court</t>
  </si>
  <si>
    <t>no</t>
  </si>
  <si>
    <t>Electrical Work for AHM Dominos Food court</t>
  </si>
  <si>
    <t>Plumbing Work for AHM Dominos Food court</t>
  </si>
  <si>
    <t>Fire Detection and Alarm System for AHM Dominos Food court</t>
  </si>
  <si>
    <t>Fire fighting for AHM Dominos Food court</t>
  </si>
  <si>
    <t>Music System for AHM Dominos Food court</t>
  </si>
  <si>
    <t>Miscellaneous Work for AHM Dominos Food court</t>
  </si>
  <si>
    <t>HVAC High side Work for AHM Dominos Food court</t>
  </si>
  <si>
    <t>HVAC Low side Work for AHM Dominos Food court</t>
  </si>
  <si>
    <t>Sr No.</t>
  </si>
  <si>
    <t>Item Name</t>
  </si>
  <si>
    <t>UOM</t>
  </si>
  <si>
    <t>Amount</t>
  </si>
  <si>
    <t xml:space="preserve">Dismantling
Dismantling the existing flooring, ceiling, walls, partition, fixed   loose furniture, toilets, pantry, etc.Cost to include carting away all debris from site, lead and lifts, material, labours,  transportation and all other incidental charges etc. complete and as directed by Site Engineer  </t>
  </si>
  <si>
    <t>Brick Wall ,Wall tiles, Floor tiles, including base,Partitions,Existing Wall Plaster ,Electrical conduits ,wiring,DB,sockets and Punning removing including old plumbing and sanitary lines</t>
  </si>
  <si>
    <t>Sq.ft</t>
  </si>
  <si>
    <t>Making Core Cut
Making Core cut with Diamond cutter   clearing the debris and carting away the same from site.</t>
  </si>
  <si>
    <t>Making core cutting of 100 dia</t>
  </si>
  <si>
    <t>Nos.</t>
  </si>
  <si>
    <t>Making core cutting of 150 dia</t>
  </si>
  <si>
    <t>Making Cut -out   OpeningMaking cutouts and openings in existing walls for ducts etc. The cost to be inclusive of making good all affected areas with smooth plaster and disposal of debris at an indicated location off site.</t>
  </si>
  <si>
    <t>RCC and PCC</t>
  </si>
  <si>
    <t xml:space="preserve">PCCProviding   Laying Plain cement concrete specified grade (M10) including the cost of centering and shuttering   required curing.  Approved make cement is PPC (ACC, Ultra tech , Birla) </t>
  </si>
  <si>
    <t>cuft</t>
  </si>
  <si>
    <t>Brick Wall and Plaster</t>
  </si>
  <si>
    <t xml:space="preserve">Brick Work - 
150 mm thick Brick MasonryProviding   Constructing 150mm thick wall of class one Brick  with conventional IS type bricks in 1 4 cement mortar inclusive of RCC tie member at every one meter height interval in 1 3 6 Cement Concrete with 2no. of 6mm diameter mild steel reinforcement   2 no. of hoop iron strips 25mm x 1.6mm, painted with anti-corrosive paint, properly bent and bonded at the end ,inclusive of shuttering, scaffolding, Raking of joints and proper curing etc. complete. </t>
  </si>
  <si>
    <t>Sq.Ft</t>
  </si>
  <si>
    <t>Plaster - 12mm to 15mm PlasteringPlastering the Siporex   brick masonry walls with 12mm to 15mm thk. Single coat cement plaster in 1  4 (cement   sand proportion) with chickenmesh jali wherever required, including scaffolding and curing complete as specified and as directed by Site Engineer.</t>
  </si>
  <si>
    <t>Brickbat Coba and Water proofing</t>
  </si>
  <si>
    <t>Raised Brickbat Coba (Toilets) - 
Providing and laying brick-bat coba system, cm 1 3  base coat, brick-bat coba filling as per site requirement   1 4 top-finish coat. the mortar for the brick-bat koba filling shall be cm 1 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satisfied by Site Engineer .</t>
  </si>
  <si>
    <t>Water proofing (Toilet   Kitchen sink area) - 
Providing of water proofing - chemical Treatment – the slab to be cleaned and apply 3 coats of chemical (FOSROC or equivalent) on the floor and on the peripheral walls up to 0.30m. b) Base coat – Applying base coat of 1 6 mortar over chemical treatment on the floor and on the peripheral walls up to 0.60m. Note - Warrantee to be provided up to 5 years</t>
  </si>
  <si>
    <t>Sq. Ft</t>
  </si>
  <si>
    <t>Rolling Shutter , Awning   Mild Steel work - 
HEAVY M.S Work   FrameworkProviding, fabricating   erection of Steel work in built up section  framed work i c cutting, welding, hoisting, fixing in position   applying a priming coat of approved steel  primer using steel etc, as required. In structure slab (ISMB, ISMC etc.) or stringers, treads, landing of stair case i c use of chequered plate wherever required, all complete.  Including primer and 2 coat paints</t>
  </si>
  <si>
    <t>KG</t>
  </si>
  <si>
    <t>Flooring and Cladding</t>
  </si>
  <si>
    <t>Tiles for Flooring - FF02
Kajaria-Dessert grey, cool gris,cairo gris (Matt Finish) (Kitchen    BOH) or equivalent in somany (Details- Refer Material Spec. sheet) - 
Providing and fixing in position Glazed Vitrified Tile flooring as per detail in drawing. It shall be fixed with cement mortar of 1  4, (required mortar bed is 25mm to 50mm thk),with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(Size - 600x600mm)</t>
  </si>
  <si>
    <t xml:space="preserve">Skirting FF02 - Kajaria-Dessert grey, cool gris,cairo gris (Matt Finish) (Kitchen    BOH) or equivalent in somany. (Details- Refer Material Spec. sheet) - 
Providing and fixing in position 100 mm ht. Skirting as per detail in drawing. Over 20 mm thk bed of cement mortar 1 4 (cement   fine sand ) 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</si>
  <si>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Rft</t>
  </si>
  <si>
    <t>Wall Tile Cladding - 2 (Kitchen   BOH area).  (Details- Refer Material Spec. sheet) no.B(3) -
Providing and fixing in position dado tile  of approved make   shade on any surface as per details in drawing and Over 12 mm thk bed of cement mortar 1 3 (cement   fine sand ) with thick grey cement slurry, with hairline joints using cement grout. 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 Ceramic wall tile (Printed) With customize line work</t>
  </si>
  <si>
    <t>Wall Cladding - plain Tile  (BOH   Staff changing room area). (Details- Refer Material Spec. sheet) no.B(4) - 
Providing and fixing in position dado tile  of approved make   shade on any surface as per details in drawing and Over 12 mm thk bed of cement mortar 1 3 (cement   fine sand ) with thick grey cement slurry, with hairline joints using cement grout.The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t>
  </si>
  <si>
    <t>Granite (Jet Black) Frame - 
Providing and Fixing 19mm thick, upto 6  wide granite door frames with 6mm champhered edges machine polished edges externally and internally. Rate to include cutting moulding polishing Transport etc. Complete as specified in the drawing   to the satisfaction of the Architect   Site-in-charge. (required mortar bed is 25mm to 50mm thk)</t>
  </si>
  <si>
    <t>RFt</t>
  </si>
  <si>
    <t>Granite (Jet Black Steel grey) Band - 
Providing   Fixing 6  -8  wide band of granite of approved shade   sample. It shall be fixed along the doors. (it shall be flushed with finished edge of the wall) with 1 3 cement mortar as per detailed design   shall be flushed with adjoining flooring, etc. Minimum 15 mm</t>
  </si>
  <si>
    <t xml:space="preserve">Dado Tile Cladding on Counter-
130 x 800 mm - Sheesham Rosewood (Herringbone pattern).(Details- Refer Material Spec. sheet)Providing and fixing in position Glazed Vitrified Tile Dado on Makeline   POS counter as per detail in drawing. Over 12 mm thk bed of cement mortar 1 4 (cement   fine sand ) with thick grey cement slurry, with hairline joints.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t>
  </si>
  <si>
    <t>Interior Head</t>
  </si>
  <si>
    <t>False Ceiling - 
Metal Grid ceilingMetal Grid Ceiling (BOH   Workroom) - 
Providing and fixing Modular False Ceiling in  Armstrong  make   Metal Grid Tiles with Black Cloth lining with silhouette section with XL 15mm Grid, 600 x 600mm of approved type, 0.5 NRC Value with 15mm grid including all necessary framework and support systems as per manufacturer s specifications. The cost to include provision of cut-outs for lights, diffusers, etc. complete.</t>
  </si>
  <si>
    <t>sqft</t>
  </si>
  <si>
    <t>Wall Claddings   Wall Partitions  Claddings</t>
  </si>
  <si>
    <t xml:space="preserve">Bison Partition - P1 - 
Providing and fixing in position Bison Board Partition made out of 12mm thk. Bison Board both sides with necessary aluminum M.S sections ( 40 mm x 40 mm  x 1.5 mm ) framework at 600mm c 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</si>
  <si>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Wall Corner Guard - 
Providing   fixing 15mmX15mm anodized Aluminium  finish corner guard in approved shade powder coat matching to tile color above skirting level upto 2500 mm.</t>
  </si>
  <si>
    <t>R. Ft</t>
  </si>
  <si>
    <t>Doors   Windows</t>
  </si>
  <si>
    <t xml:space="preserve">Swing Single Leaf Flush Door -D2SV with Vision Panel (Kitchen to BOH) - 
Providing and Fixing Wooden Swing door in position 35 mm Thk. wooden flush door including Vision Panel size of (300 x 500 )  section on Teak Wood Door Frame of specified size, section well notched   screwed with cutting of grooves, edges, mouldings over rough ground wooden frame cutting of grooves, edges, mouldings including necessary hardware including floor spring ,150 mm high s.s kick Plate,Handle,Lock as mentioned in drg, bitumen paint to non exposed surface, melamine polish matching to Laminate on door frames   Horizontal grain Laminate on the panel from both sides of approved make   shade etc. complete as per detail drawing, as specified and as directed by engineer-in-charge.  (Cost will include all the hardwares mentioned above) </t>
  </si>
  <si>
    <t xml:space="preserve">Counter Swing Door - 
19 MM Thk Solid Core Counter Swing Door with double side Piano S.S hinge 2 nos as mention in the detail drawing and as directed by Site Engineer .Door Front finish to be done with as   Approved Tile  with 38 mm corian Profile  in all the sides of tile and top of Swing Door and Door inside finish with Approved Laminate. 19 MM thick patti on all the edges on all three sides  (Cost will include all the hardwares mentioned above) </t>
  </si>
  <si>
    <t>P.O.P Painting</t>
  </si>
  <si>
    <t>POP Punning - Providing   applying wall punning up to 12mm to 15mm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</si>
  <si>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POP Punning - Providing   applying wall punning up to 6 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</si>
  <si>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Painting - Asain coal mine 8301 (Ceiling) - 
Providing and applying Plastic Emulsion Paint on Ceiling of approved make   shade filling the dents with approved Acrylic putty gypsum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t>
  </si>
  <si>
    <t>Duco Paint - Providing and Applying  Duco spray paint (Armada Blue) of approved make on Wooden  Expose metal frame. Surface to be prepared by rubbing wooden surface with coarser sand paper suitable duco paint putty to be applied and finish with priemer .The rate includes scrapping ,Filling with Putty etc completein spec. Approved make - Asain paint</t>
  </si>
  <si>
    <t>sq.ft</t>
  </si>
  <si>
    <t>Exterior Head</t>
  </si>
  <si>
    <t xml:space="preserve">Façade Work - Corrugated Sheet with Aluminium FramingProviding and fixing in position GI sheet made out of 22 gauage GI-V shape round banding sheet    finished with powder coating (Armada Blue) to be fixed on 100x50x60 mm Aluminium MS frameWORK with 2mm thk   50x50 mm aluminium MS angle to be painted with anti- corrosion paint on all side and powder coated aluminium rectangular tube border size 100x25x1.5 to be fixed all round the signage. Complete as per store front details and specified in drawing.  </t>
  </si>
  <si>
    <t>Wood Work</t>
  </si>
  <si>
    <t xml:space="preserve">Furniture  WOOD Work - 
Order CounterProviding and fixing in position Order counter   Counter top finished in 6mm thick Acrylic Solid Surface LG Hausys-HI-MACS G109 Beige Island over 19 mm thick WPC Marine Ply. 150mm height Drawers (2 nos )to be provided below each POS.Internal area to be finish with 1 mm thick approved laminate with necessary hardwares(Lock ,Telescopic channel etc). MS powder coated framework  (40x40x1.5mm) as per detail drawing to be provided with necessay arrangement and Ledge having LED cove strip as per detail drawing Complete in all respect . Cost to include all materials, DMB Framing ,labours and necessary leads   lift etc. -Counter Height-3 6 </t>
  </si>
  <si>
    <t>RFT</t>
  </si>
  <si>
    <t xml:space="preserve">Make line - 
Providing and fixing in position Makeline   Counter top finished in 6mm thick Acrylic Solid Surface LG Hausys-HI-MACS G109 Beige Island over 19 mm thick Marine Ply   WPC and Ledge having LED cove  strip as per detail drawing Complete in all respect. Duco Paint M.S framework  with 10 mm toughened Glass as per detail drawing above counter Cost to include all materials, labours and necessary leads   lift etc. </t>
  </si>
  <si>
    <t>Manager s table - Providing and placing in position Manager s table made out of 18mm thk. Marine ply  finished with appd. Laminate  ( 1mm THK. 14554 RH HOOKED ACACIA LAMINATE, MERINO WITH 2mm THK. REHAU MAKE MATCHING EDGE BAND)  with necessary support framework as approved, Cost to include all hardware, fasteners, and rubber   PVC leveller etc. complete in all respect as per detailed drawing.Cost to inlude drawers .</t>
  </si>
  <si>
    <t>Sqft</t>
  </si>
  <si>
    <t>Overhead Storage - P   F of 450mm depth Overhead storage unit, fabricated from 18mm thk.Marine ply, all external   internal surfaces including internal shelves finished with 1mm THK. 14554 RH HOOKED ACACIA LAMINATE, MERINO) and all hardware from Hettich make, as per detail drawing (elevation area to be measured for rates)</t>
  </si>
  <si>
    <t>SoftBoard - Providing and Fixing in position softboard as specified size. complete in all respect as per detailed drawing. Panel Size   1200 x 900</t>
  </si>
  <si>
    <t>Staff Lunch Table - Providing and placing foldable staff table in position 40mm thk table top made out of 2 nos 19mm thk marine ply finished with 1mm thk laminate LAM01 on both side and edges to be finished with PVC edge bending to be sopported on L bracket  with Table bracket (HAFFLE ) complete in all respect as per detailed drawing. Size- 4 x1 6 , width can be adjusted as per site. Fixing of table to be kept 3  from thr floor.</t>
  </si>
  <si>
    <t>Hood Graphic Pane - lProviding and fixing in place Hood Graphic Panel made out of approved shade powder coated sheet metal Complete as per details in drawing
Reference Drawing No. 960</t>
  </si>
  <si>
    <t>sq ft</t>
  </si>
  <si>
    <t>Computer Holder above Dough Tray   Router - Providing and fixing ceiling mounted ,Metal fabricated Computer Holder for Thin clients above Dough Tray   Router. Complete in all respect as per detailed drawing.</t>
  </si>
  <si>
    <t>Computer Holder Wall Mounted for SDP   Makeline - Providing and fixing Wall mounted ,Metal fabricated Computer Holder for Thin clients above Dough Tray   Router. Complete in all respect as per detailed drawing.</t>
  </si>
  <si>
    <t>Key BoxProviding and fixing key box of approximate size 16   X 18   X 6   all side made out of 19mm commercial board with 6mm commercial back ply and finish in LAM-01 (1mm THK. 14554 RH HOOKED ACACIA LAMINATE MERINO) . Front to have openable Shutter having 5mm clear float glass in duco painted hollock wood frame with brass hinges , all fixing ,hardware including powder coated aluminium handle , multipurpose lock and 18 nos.brass key hooks . All external   internal surfaces to be laminated.</t>
  </si>
  <si>
    <t>First Aid Box - Providing and fixing First Aid Box of approximate size 16   X 18   x 6   all sides and internal shelves made out of 19mm commercial board with 6mm back ply and finish in LAM-01 (1mm THK. 14554 RH HOOKED ACACIA LAMINATE MERINO) . Front to have openable shutter having 5mm clear float glass in Duco painted hollock wood frame with brass hinges , all fixing hardware including powder coated aluminium handle multipurpose lock . All external   internal  surfaces to be laminated.</t>
  </si>
  <si>
    <t>Map BoardProviding   fixing of Map board on 12mm thick (greenlam) plywood   covered with 3mm thick transparent acrylic sheet with wooden moulding or as required on border frame.(3 -0  x3 -0 )</t>
  </si>
  <si>
    <t>VTPN DB
TPN DB 
125A Manual Changeover Switch - 125A 4 Pole Change Over Switch with 125A 4 Pole Isolator input to Main LT Panel in MS enclosureWith all necessary connections
Main LT Panel - To be read in conjunction with the SLD - 14 16 SWG CRCA SHEET STEEL. BASE FRAME SHALL BE MIN. 3.0mm THICK.
Incomer   100A TP+NL, TM based MCB of 25kA with O L, S C   E F Protection - 01 No
Outgoing   With contactors as indicated in the SLD
63A,TP MCB- 5 Nos
32A,TP MCB- 2 Nos
25A,TPN MCB-1 Nos
16A,TP MCB- 4 Nos
10A SP MCB - 14 Nos
16A SP MCB -  6 Nos
20A SP MCB - 6 Nos 
32A TP MCB - 2 Nos
63A FP MCB - 1 Nos.
40A DP MCB - 1 Nos.
32A DP MCB - 9 Nos
25A SP MCB -  12 Nos
32A SP MCB - 2 Nos
Capacitor Bank 3  x 5kVAr +   1  x 3kVAr + 1 x 2kVAr +1 x 1kVAr with all required MCBs, Contactor and accessories With all necessary connections</t>
  </si>
  <si>
    <t>Each</t>
  </si>
  <si>
    <t>TPN DB
SPN DB
8 Way SPN Double door type DB for Power comprising of following -
Incomer   25A DP MCB  - 01 No
Outgoing  
16A SP MCB - 04 Nos
10A SP MCB - 02 Nos
With all necessary connections</t>
  </si>
  <si>
    <t>Isolators  ELCB  RCBO   SWITCH SOCKETS</t>
  </si>
  <si>
    <t xml:space="preserve">Supply , installation, testing comissioning of DP isolator of 25 A </t>
  </si>
  <si>
    <t xml:space="preserve">Supply , installation, testing comissioning of DP MCB of 25 A </t>
  </si>
  <si>
    <t xml:space="preserve">Supply , installation, testing comissioning of FP ELCB of 40 A, 100mA </t>
  </si>
  <si>
    <t>ISOLATOR - (BEFORE SERVO STABILIZER)</t>
  </si>
  <si>
    <t>100A FP, 25kA Thermal magneticr based MCCB with LSIG Protection with Box(As per the instruction of the Engineer Inchrge)</t>
  </si>
  <si>
    <t xml:space="preserve">Supplying and erecting modular type switch socket  6   16 A ISI mark approved make duly erected with  modular box ,cover plate,   all wiring connections complete. (Single phase) </t>
  </si>
  <si>
    <t>Supplying and erecting modular type switch socket  6  A ISI mark approved make duly erected with modular box , cover plate   all wiring connections complete. (Single phase)</t>
  </si>
  <si>
    <t>Providing and fixing TPN DP enclosure box (Wheather Proof) for outdoor purposes</t>
  </si>
  <si>
    <t xml:space="preserve">Providing and Fixing 25 amp single phase Industrial socket </t>
  </si>
  <si>
    <t xml:space="preserve">Providing and Fixing 25 amp three phase Industrial socket </t>
  </si>
  <si>
    <t>Light Point Wiring Specifications 
Point wiring shall include FRLS wire with all necessary  MMS PVC CONDUIT , with all fittings ,  accessories , couplings,collars etc., junction   pull   inspection boxes, wires, supports,bushings lamp holders, ceiling rose, flexible conduit, fan hooks wherever required, modular switch, switch box, Fan electronic regulator   terminations using tinned copper lugs of crimping type with cheisling and scaffolding.  The scope of sub mains wiring from Panel to DB are excluded.All wiring should be terminated with coupler   connectors.All lighting fixture wiring shall be carried out for primary point using 1.5sqmm copper stranded   for secondary wiring 1sqmm copper stranded conductor 660 1100V  grade PVC insulated wire in  PVC  Conduit .  Individual junction inspection boxes shall be provided for each lighting fitting for the purpose of looping from fitting to fitting. 
From switch board DB to first light fitting will be termed as primary point and First fitting to subsequent fitting on the same circuit shall be as termed secondary point. Light point wiring shall excluded submains wiring from Panel to DB. The scope of light point wiring starts after switch board DB where switching control is directly from DB.</t>
  </si>
  <si>
    <t>Lighting points with PVC conduit-
Wiring for the following light points with 2X1.5 sq mm PVC insulated copper conductor 650V grade FRLS wires in concealed or surface mounted 20 25mm dia MMS PVC conduit as required including providing 6 amps flush type PVC moulded switches, cover plate,5 sided 1.2mm thick G.I. Box one module  for housing switches and earthing of the fixtures and outlet box with 1.5 mm PVC insulated copper conductor 650V grade green earth wire.(switches-as approved make)- upto 10 Mt. wire length is inclusive.</t>
  </si>
  <si>
    <t>Primary (First) light point controlled by a 6A switch.</t>
  </si>
  <si>
    <t xml:space="preserve">Nos </t>
  </si>
  <si>
    <t>Primary (First) light point controlled by a MCB in the DB.</t>
  </si>
  <si>
    <t>Secondary (Loop) light point looped to first point and so on.(upto 6 mtr) wire length</t>
  </si>
  <si>
    <t xml:space="preserve">Supply, Installation, Testing   Commissioning of mains with 2 X 2.5 sq.mm and earth wire 2.5 sqmm FRLS PVC copper wire ,in rigid MMS PVC conduit min.20 mm dia,including all required accessories,etc as per specification. </t>
  </si>
  <si>
    <t>RMT</t>
  </si>
  <si>
    <t>Supplying   erecting mains with 2x4 sq.mm and earth wire 2.5 sqmm FRLS PVC copper wire laid with conduit trunking inside pole Bus bars or any other places.</t>
  </si>
  <si>
    <t>Wiring for the following light points with 2X1.5 sq mm PVC insulated copper conductor 650V grade FRLS wires in concealed or surface mounted 20 25mm dia MS conduit as required including providing 6 amps flush type PVC moulded switches, cover plate,5 sided 1.2mm thick G.I. Box one module  for housing switches and earthing of the fixtures and outlet box with 1.5 mm PVC insulated copper conductor 650V grade green earth wire.(switches-as approved make)- upto 10 Mt. wire length is inclusive.</t>
  </si>
  <si>
    <t>Power Point wiring</t>
  </si>
  <si>
    <t>All switch socket wiring shall be carried out for primary point using 3x2.5 sq mm wire in  PVC  Conduit  for connection of 6 16amp socket. Individual junction inspection boxes shall be provided for each Power Point for the purpose of looping with cheisling and scaffolding work if required .Inclusive of all G.I. Boxing and wire termination   MMS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10 Mt. wire length is inclusive.
First Point wiring with 6A,5pin wall socket outlet and controlled by a 6A switch</t>
  </si>
  <si>
    <t>All switch socket wiring shall be carried out for primary point using 3X4 sq mm wire in  PVC  Conduit  for connection of 16 amp socket .  Individual junction inspection boxes shall be provided for each Power Point for the purpose of looping with cheisling and scaffolding work if required .Inclusive of all G.I. Boxing and wire termination   MMS PVC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12 Mt. wire length is inclusive.</t>
  </si>
  <si>
    <t>First Point wiring with 16A, 3Pin combined shuttered wall socket outlet and controlled by a 16A one way switch with indicator.</t>
  </si>
  <si>
    <t>Extra loop point wiring with 16A, 3Pin combined shuttered wall socket outlet and controlled by a 16A one way switch with indicator.upto 6 mtr wiring</t>
  </si>
  <si>
    <t>Supply and Laying of Wiring for light  power plug with 4X4 sq. mm FRLS PVC  insulated copper conductor single core wire in surface recessed medium class MMS PVC conduit alongwith 2 Nos. 4 sq. mm FRLS PVC insulated copper conductor single core cable for loop earthing as required.</t>
  </si>
  <si>
    <t>Rmtr</t>
  </si>
  <si>
    <t>Supplying and fixing of following sizes of medium class PVC conduit along with accessories in surface recess including cutting the wall floor  and making good the same in case of recessed conduit as required.</t>
  </si>
  <si>
    <t>20 mm</t>
  </si>
  <si>
    <t>25 mm</t>
  </si>
  <si>
    <t>Supplying and fixing of following sizes of MS conduit along with accessories in surface recess including painting in case of surface conduit, or cutting the wall and making good the same 
in case of recessed conduit as required.</t>
  </si>
  <si>
    <t xml:space="preserve">Supplying   erecting PVC flexible Conduit 50 mm dia.conforming to I.S. and approved make with required number of couplings, bushes, check nuts etc. </t>
  </si>
  <si>
    <t>LT CABLES   TERMINATIONS -
Supply, Errecting, Termination   Commissioning of following sizes of 1.1 KV grade FRLS Armoured Unarmoured Copper  Aluminum conductor cables laid over MS supports cable racks trays or fixing on walls including clamping the cable to supports cable racks or fixing on walls including   lugs, double compression gland   and joints complete  in an approved manner as required .</t>
  </si>
  <si>
    <t>4Cx25 Sq.mm AL Arm. XLPE</t>
  </si>
  <si>
    <t>3.5Cx50 Sq.mm AL Arm. XLPE</t>
  </si>
  <si>
    <t>4Cx4 Sq.mm Cu. Arm. XLPE</t>
  </si>
  <si>
    <t>4Cx4 Sq.mm Cu.Unarm. XLPE</t>
  </si>
  <si>
    <t>4Cx2.5 Sq.mm Cu. Arm. XLPE</t>
  </si>
  <si>
    <t>3Cx6 Sq.mm Cu. Unarm. XLPE</t>
  </si>
  <si>
    <t>3Cx4 Sq.mm Cu. Arm. XLPE</t>
  </si>
  <si>
    <t>3Cx4 Sq.mm Cu. Unarm. XLPE</t>
  </si>
  <si>
    <t>3Cx2.5 Sq.mm Cu. Unarm. XLPE</t>
  </si>
  <si>
    <t>3Cx2.5 Sq.mm Cu. arm.</t>
  </si>
  <si>
    <t>EARTHING  (In absence of D.G.Vendor)</t>
  </si>
  <si>
    <t>Supply   Laying of 25mmX3mm GI strips with necessary G. I. Clamps fixed on wall cable  conduit with screws in an approved manner.</t>
  </si>
  <si>
    <t>Mtrs</t>
  </si>
  <si>
    <t>8 SWG GI Earth Wire with necessary G. I. Clamps fixed on wall cable  conduit with screws in an approved manner.</t>
  </si>
  <si>
    <t>10 sq.mm. Cu. Flexible cable</t>
  </si>
  <si>
    <t>Cable Trays</t>
  </si>
  <si>
    <t>Providing   erecting Hot deeped Galvanised Perforated type Cable tray manufactured from 18 swg (1.6 mm thick) GI sheet of 300 mm width   50 mm height complete with necessary coupler plates   hardware  in approved manner. Including Paints</t>
  </si>
  <si>
    <t>Providing   erecting Hot deeped Galvanised Perforated type Cable tray manufactured from 18 swg (1.6 mm thick) GI sheet of 200 mm width   50 mm height complete with necessary coupler plates   hardware in approved manner.Including Paint</t>
  </si>
  <si>
    <t xml:space="preserve">Provind and laying of 2MM thick GI factory fabricated raceways in partition of the following sizes including providing removable 3 mm thick GI cover knock our holes and fixing accessories complete required including floor supports, bends, access boxes and tap of boxes as per instruction from site supervision. </t>
  </si>
  <si>
    <t xml:space="preserve">300mm wide x 40mm deep </t>
  </si>
  <si>
    <t xml:space="preserve">150mm wide x 40mm deep </t>
  </si>
  <si>
    <t>Electrical Related Civil work</t>
  </si>
  <si>
    <t xml:space="preserve">Excavation  Cheselling under floor for laying cables  conduits in wall or floor as per requirement, complete with finishing etc </t>
  </si>
  <si>
    <t>Sq.Mtr</t>
  </si>
  <si>
    <t>Geyser</t>
  </si>
  <si>
    <t xml:space="preserve">SITC of Digital instant GEYSER ABOVE SINK 3 ltr (Ao Smith or equivalent)instant with required accessories) </t>
  </si>
  <si>
    <t>No.</t>
  </si>
  <si>
    <t xml:space="preserve">SITC of Storage Geyser (25 ltr) AO smith or equivalent used above 3 way sink with required accessories </t>
  </si>
  <si>
    <t>No</t>
  </si>
  <si>
    <t>INTERNAL WATER SUPPLY SYSTEM</t>
  </si>
  <si>
    <t>Providing   fixing on walls   ceiling   floors, medium grade having embossed ISI Mark  CPVC pipes  of diameter as mentioned below with fittings i.e.connector, clamps, tees, elbows, reducers, male-female etc. necessary fittings.  (Supreme   Prince Astral or as approved. )</t>
  </si>
  <si>
    <t>15mm nominal bore</t>
  </si>
  <si>
    <t>20mm nominal bore for sink+ gyser+ RO+ Basin+papsi machine</t>
  </si>
  <si>
    <t>25mm nominal bore for main water supply</t>
  </si>
  <si>
    <t>Providing   fixing of ISI Mark CPVC ball valves of followig dia pipes as mentioned below (Make - supreme prince astral or as approved)</t>
  </si>
  <si>
    <t>40mm nominal bore</t>
  </si>
  <si>
    <t>Providing, Fixing, testing and commissioning of ISI marked Gun Metal Screwed pattern full way Gate valve with wheel tested to non shock cold working pressure upto 10 kg  sq cm(Stop Valve) conforming to IS 778 class 1   including jointing, supporting etc complete and as directed.(Danfoss Jayhiwa Zoloto or equivalent)</t>
  </si>
  <si>
    <t xml:space="preserve">20mm class 1.0 </t>
  </si>
  <si>
    <t>Nos</t>
  </si>
  <si>
    <t>25mm class 1.0</t>
  </si>
  <si>
    <t>Providing   Fixing 15 mm C.P brass angle valve with C.P copper connecting pipe 375 mm long and nuts washer and C.P brass flange complete ,including cutting and making good the walls where required</t>
  </si>
  <si>
    <t>INTERNAL DRAINAGE SYSTEM</t>
  </si>
  <si>
    <t>Providing and fixing UPVC SOIL   VENT   WASTE SWR pipe of required diameter conforming to I.S.-13592, and I.S.-4985 to withstand continous internal hydroulic pressure of 4 kg cm2 including necessary fixtures and fittings, such as bends, tees,Clean out plugs (for the downtakes near bends).  single junctions, double junctions and joining with rubber rings and lubricants, on wall by means of clips or in ground including necessary excavation, laying refilling, trench testing etc. complete. (Prior approval of sample and brand by Ex.Engineer is necessary before use.) (Supreme   Prince Astral or as approved. )</t>
  </si>
  <si>
    <t>40 mm dia</t>
  </si>
  <si>
    <t>m</t>
  </si>
  <si>
    <t>50 mm dia.</t>
  </si>
  <si>
    <t>75 mm dia.</t>
  </si>
  <si>
    <t xml:space="preserve">Providing ,laying, testing   commissioning of approved Multi floor trap   Nahani trap with Chilly trap  of required sizes, including jointing etc. complete and as directed. (GMGR Chilly or equivalent) 
</t>
  </si>
  <si>
    <t>Providing and fixing of PVC water vertical type storage tanks of the approved quality, including making solid  work complete in all respects with gate valve, float valve and necessary accessiories .(Sintex or equivalent make of Capacity - 200-250 ltrs)</t>
  </si>
  <si>
    <t>Sanitarywares   Fittings</t>
  </si>
  <si>
    <t>Providing   Fixing following fixtures, the rate for the following shall be inclusive of all necessary fixtures, accessories   attachments to make them operational, etc. complete to the satisfaction of the Architect
COST EXCLUDES INTERNAL CONCEALED PLUMBING WITH C.P.V.C.   P.V.C. PIPES ONLY (part of plumbing boq)</t>
  </si>
  <si>
    <t>Hindware-Addons - Bottle Trap 32mm With 125mm   175mm Long Wall Connection Pipe  Wall Flange (ECONOMY MODEL)</t>
  </si>
  <si>
    <t xml:space="preserve">Sink Mixer For 3 way Sink - Providing and fixing C.P brass wall mounted sink mixer with swinging spout including cutting and making good the walls where required. (3 way Sink ) </t>
  </si>
  <si>
    <t xml:space="preserve">40 mm CPVC Dia Pipe for 3 way sink for all inclusive fittings </t>
  </si>
  <si>
    <t>SS Kitchen Paper Holder 9  (Make   Hindware chrome F840008CP or equivalent)</t>
  </si>
  <si>
    <t>Waste Coupling for 3Way sink and Makeline sink</t>
  </si>
  <si>
    <t>Conceal coak for makeline sink (Make- Hindware F310003ACP  OR equivalent)  Regular Body Suitable for 15mm Pipe Line with Spindle Extension   Plastic Protection Cap (without Exposed Parts) OR equivalent</t>
  </si>
  <si>
    <t>NO.</t>
  </si>
  <si>
    <t>Fire Detection and Alarm System</t>
  </si>
  <si>
    <t xml:space="preserve">Supply, Installation, testing   commissioning of addressable type smoke Detector with floating sensitivity  Complete with all accessories like base, base box, etc. to be installed under   above false ceiling, roof and concealed space, etc. complete as required. </t>
  </si>
  <si>
    <t>Supply, Installation, testing   commissioning of addressable type manual call point (break glass type) complete with push button, enclosed in box with provision for cable or conduit coupling. The unit to be painted fire red outside, white inside and written  In case of fire break glass .</t>
  </si>
  <si>
    <t>Supply, Installation, testing   commissioning of hoooters (Specification  - 110 cd light   85 dB with adjustable DB)  at different locations complete with all fixing accessories, etc under false ceiling roof, wall etc.  complete as required.</t>
  </si>
  <si>
    <t>Supply and Installation of ABC powder type fire extinguisher of 3 Kgs. Capacity as per IS  15683, with initial filling in brand new cylinder with powder coated finish, fitted with Gun metal union, discharge hose, wall mounting bracket etc. complete.</t>
  </si>
  <si>
    <t>Supply and Installation of CO2 type fire extinguisher of 4.5 Kgs. Capacity as per IS  15683, with initial filling in brand new cylinder with powder coated finish, fitted with Gun metal union, discharge hose etc. complete.</t>
  </si>
  <si>
    <t xml:space="preserve">Supply and Installation of Fire Exit Signage </t>
  </si>
  <si>
    <t xml:space="preserve">Supplying, erecting, testing and commissioning the addressable type Fire Alarm Control Panel (FACP) with standard accessories complete </t>
  </si>
  <si>
    <t>Set</t>
  </si>
  <si>
    <t xml:space="preserve">Supplying and erecting PVC armoured cable 2 core 1.5 sq. mm FRLS copper conductor complete erected on wall   celling  as per specification </t>
  </si>
  <si>
    <t>Mtr.</t>
  </si>
  <si>
    <t>Supply installation testing and comissioning of Hood supression system(Ceasefire or equivalent).</t>
  </si>
  <si>
    <t>(PIPING AND ACCESSORIES)</t>
  </si>
  <si>
    <t>SLFTC of  MS pipes on surface -
Supplying, laying, fixing, testing and commissioning of following sizes (NB) of ISI marked heavy class M.S. pipes including cutting, threading, welding etc. and providing all fittings e.g. elbows,  reducers, clamps, hangers, flanges, gaskets, nuts, bolts and  washers etc. including painting of pipes and fittings with red paint over a coat of ready mixed primer, both of approved quality and shade including cutting holes and chases in brick or  RCC walls slabs and making good the same etc. complete in all respect as required.</t>
  </si>
  <si>
    <t>50mm dia.</t>
  </si>
  <si>
    <t>Meter</t>
  </si>
  <si>
    <t>32mm dia.</t>
  </si>
  <si>
    <t>25mm dia.</t>
  </si>
  <si>
    <t>SITC of butterfly valves
Supplying, Installation, Testing and Commissioning of butterfly valves of  PN 1.6 rating of following sizes with nitrile seat and stainless steel stem with lever gear operation and cast iron body in powder coated finish  for fire fighting application complete in all respects as required.
65mm dia</t>
  </si>
  <si>
    <t>SITC of  Brass Ball Valves
Supply, installation, testing and commissioning of  forged brass ball valves with brass body nickel coated, brass ball, hard chrome plated, suitable for fire  fighting complete in all respects.
50mm dia.</t>
  </si>
  <si>
    <t>SITC of  Pressure Switches
Supplying, Installation, Testing and Commissioning of pressure switches suitable for operating with fire hydrant   systems  for working pressure  of 14.0 Kg cm²  including electrical control wiring with suitable copper conductor PVC insulated and sheathed control cable upto control panel, connections etc. complete as required.</t>
  </si>
  <si>
    <t>SITC of  Pressure gauge 
Supply, installation,  testing   commissioning of 100 mm dia Bourden type, Stainless Steel dial type pressure gauge  including brass isolation valve and pipe having calibration of  0-16 Kg cm2.</t>
  </si>
  <si>
    <t>SITC of SS orifice plate
Supplying, Installation, Testing and Commissioning of Stainless steel orifice plates having 6 mm nominal thickness, upto 200mm outer dia. and internal dia. suitable to reduce pressure to between 3.2 to 3.5 Kg sq.mm., complete as required.</t>
  </si>
  <si>
    <t>Music System  CONDUITING WIRING FOR TELEPHONE DATA  MUSIC AND COMPUTER SYSTEM</t>
  </si>
  <si>
    <t>SITC of Sony Music System (DAV DZ - 350) or Equivalent Make 5.1</t>
  </si>
  <si>
    <t>Wiring to music speakers with 2 pairs 40 0.076 flexible wire (PVC insulator, annealed or surface mounted 20 25 mm PVC conduit as directed (from speaker outlet to music junction box).</t>
  </si>
  <si>
    <t>Two nos. telephone jack outlet in 2 module GI outlet -{Refer Details- Electrical (C) below}</t>
  </si>
  <si>
    <t>Providing and drawing RG-58 co-axial cable for computer system in existing PVC conduit.</t>
  </si>
  <si>
    <t>Cat-6 Cable for Switch to Camera inlcuding conduit.</t>
  </si>
  <si>
    <t xml:space="preserve">I O Plate including necessary Jack and connections </t>
  </si>
  <si>
    <t xml:space="preserve"> VGA cable Including spliter</t>
  </si>
  <si>
    <t>Data Modular Box</t>
  </si>
  <si>
    <t>150mm x 200 x 40mm (W x H) - (18 SWG - 2 mm) with cover with one partition.</t>
  </si>
  <si>
    <t xml:space="preserve">100 x 100 x 40mm deep with cover plate for makeline  Slap Table Biometric </t>
  </si>
  <si>
    <t>300 x 300 x 100 mm deep boxes with cover plate for Electrical Panel</t>
  </si>
  <si>
    <t>Extra Frequent  Item</t>
  </si>
  <si>
    <t>Supply, installation, testing   commissioning of sensor with 180 deg coverage   1 mtr range used for air curtain complete with all required accessories.  Make  Any make readily available with min warranty of 1 year.</t>
  </si>
  <si>
    <t>Providing and fixing water level sensor fully automatic with high and low indicator with alarm (Make   microtail ,OS or equivalent )</t>
  </si>
  <si>
    <t>Fitting   Fixing of following item with necessary arrangement as directed</t>
  </si>
  <si>
    <t>Safe Furniture  Staff locker IT Rack</t>
  </si>
  <si>
    <t>Money box fixing</t>
  </si>
  <si>
    <t>Suspension   hanging of Exhaust hood from ceiling</t>
  </si>
  <si>
    <t>Pesto flash</t>
  </si>
  <si>
    <t>Computer rack</t>
  </si>
  <si>
    <t>Strip curtain for oven hood</t>
  </si>
  <si>
    <t>Job</t>
  </si>
  <si>
    <t>Strip curtain for cold room</t>
  </si>
  <si>
    <t>Makeline SS sink with fastener</t>
  </si>
  <si>
    <t>Loading Unloading of truck (Domino s material equipment)</t>
  </si>
  <si>
    <t>Loading Unloading   disposable of debris (per truck)</t>
  </si>
  <si>
    <t>Loading   Unloading of Servo</t>
  </si>
  <si>
    <t>Water dispenser connection with fittings</t>
  </si>
  <si>
    <t>P F Door Stopper for Makeline  Slap Table</t>
  </si>
  <si>
    <t>Fixing Wall Shelf above Slap Table  Sink</t>
  </si>
  <si>
    <t>Fixing of Tissue Paper Holder  Helmet Stand</t>
  </si>
  <si>
    <t>L.T Panel commisioning  as per site requirement</t>
  </si>
  <si>
    <t>Servo connections as per site requirement</t>
  </si>
  <si>
    <t>Fixing of Light Fixtures Provided by JFL (Hood lights are in hood vendor scope)</t>
  </si>
  <si>
    <t>Supplying and erecting double pole metal clad switch with fuse
and neutral link 240V, 25A on iron   GI frame switch socket with  ISI mark approved make duly erected with  modular box , cover plate   all wiring connections complete. (Single phase)</t>
  </si>
  <si>
    <t>OGT Installation with all required plumbing fittings (CPVC) pipe of 32mm dia under three sink unit</t>
  </si>
  <si>
    <t>Exhaust Fan for Toilet supply</t>
  </si>
  <si>
    <t>Supplying and erecting fresh air cum Exhaust fan of light
duty 250 V A.C. 50 cycles 300mm 400mm. 1400 RPM rust proof body
  blades, wiremesh, duly erected in an approved manner.(Havells Usha Crompton or Orient.)</t>
  </si>
  <si>
    <t>Heavy Duty 450 mm Dia Exhaust Fan (Make Cromptoon   Equivalent)</t>
  </si>
  <si>
    <t>Additional HVAC Items</t>
  </si>
  <si>
    <t>INSULATED DRAIN PIPING - 
SITC of PVC drain piping with 9mm thick tubular insulation complete with PVC, fitting, accessories etc.</t>
  </si>
  <si>
    <t>25mm dia</t>
  </si>
  <si>
    <t>Rmt.</t>
  </si>
  <si>
    <t>32mm dia</t>
  </si>
  <si>
    <t>Supply, Installation, Testing   Commissioning  of Chilled water Hi-wall   Cassette units complete with cooling coil, centrifugal blower, drive set   motor, cordless remote control etc.</t>
  </si>
  <si>
    <t>2.0TR CHW Hi-wall</t>
  </si>
  <si>
    <t>1.5TR CHW Hi-wall</t>
  </si>
  <si>
    <t>SITC of Hiwall   Cassette unit shall be factory fitted with valve package comprising of 2 way motorized valve with Cooling Thermostat for various chilled water units, ball valve with  Y  strainer at inlet   ball valve at outlet and necessary copper coil p</t>
  </si>
  <si>
    <t>Sets</t>
  </si>
  <si>
    <t>Chilled water piping MS `C  class with 25mm thick Nitrile Rubbe insulation.</t>
  </si>
  <si>
    <t>40 mm dia.</t>
  </si>
  <si>
    <t>Rmt</t>
  </si>
  <si>
    <t>32 mm dia.</t>
  </si>
  <si>
    <t>25 mm dia.</t>
  </si>
  <si>
    <t xml:space="preserve">Butterfly Valve (with insulation). 40 mm dia </t>
  </si>
  <si>
    <t>Power   Control Cabling (Max. 5 Rmt.) between Units and 3-way valve.
(Any extra length shall be payable @Rs. 300 - per Rmt.)</t>
  </si>
  <si>
    <t>EXHAUST AIR FAN (MAKE  KRUGER  NICOTRA EQUIVALENT) - 
SISW Cabinet Type  Fan  For Kitchen Hood  Exhaust   Supply,  installation,  testing     commissioning of - SISW cabinet type fan to be installed on Terrace(location will be confirm) for exhaust air fro</t>
  </si>
  <si>
    <t>FRESH  AIR FAN (MAKE  KRUGER  NICOTRA EQUIVALENT) - 
DIDW Cabinet Type  Fan  For Fresh Air   Supply,  installation,  testing     commissioning of - DIDW cabinet type fresh air fan to be installed for  Kitchen Hood, ceiling suspended  DIDW cabinet type cen</t>
  </si>
  <si>
    <t>STARTER PANEL FOR EXHAUST AIR   FRESH AIR FAN - 
Supply, Fabrication, Installation, Testing   Commissioning of HVAC sarter panel for kitchen exhaust fans (As given above) with IP-55 Enclosure  comprising of main incoming feeder, 1 nos. of DOL 3-phase sta</t>
  </si>
  <si>
    <t>DUCTING    ( MAKE  ZECO TATA JINDAL SAIL ROLASTAR NUTECH)</t>
  </si>
  <si>
    <t>Supply, Installation, Testing and Commissioning of Site Fabricated rectangular GI ducting of approved makes complying with IS  277 and having 120 GSM coating classification. The price shall include the cost of necessary accessories   supports (like flanges, neoprene gaskets, wire ropes, corner saddles, guide vanes, vibration isolators, fire retardant canvas connection in all fan outlet connections, joints, sealing around the duct at wall crossings, labeling, (M.S supports   M.S Frame For Duct travelling Vertical up to Terrace, necessary flange type opening at specific interval for duct cleaning etc. for kitchen exhaust duct )as per specifications. The price shall include the cost of threaded rod support. The item also include providing   applying two coat of approved make anti corrosive paint over a coat of primer as per manufacturers architect s recommendations,also with cheisling and scaffolding if required.</t>
  </si>
  <si>
    <t>22 gauge galvanized sheet - For Exhaust   fresh Air Duct</t>
  </si>
  <si>
    <t>Sq.mtr</t>
  </si>
  <si>
    <t>24 gauge galvanized sheet - For Exhaust   fresh Air Duct</t>
  </si>
  <si>
    <t xml:space="preserve">SITC of Canvas cloth at fan mouth for  Exhaust   Fresh air unit as per detail specification </t>
  </si>
  <si>
    <t xml:space="preserve">THERMAL INSULATION - 
Supply   Installation of closed cell structure Elastomeric foam based on synthetic nitrile rubber. The insulation material  shall have fire performance of Class O acc. to building regulations. Fire propagation shall be tested acc. to BS476 Part 6 1989. It shall be FM approved   UL94 tested. 
09 mm thick for External Insulation of Exhaust duct </t>
  </si>
  <si>
    <t>AIR DISTRIBUTION SYSTEM (MAKE  CARRIYAIR, AIRMASTER,COSMOS, RAVISTAR )</t>
  </si>
  <si>
    <t xml:space="preserve">VCD  - Supply, installation, testing and commissioning of 150mm wide GSS Volume Control Dampers with 18G GI casing   20G GI Blade, complete with chrome plated Spindle lubricating bush and quadrent to suit Manual operation. </t>
  </si>
  <si>
    <t xml:space="preserve">Item </t>
  </si>
  <si>
    <t xml:space="preserve">Civil </t>
  </si>
  <si>
    <t xml:space="preserve">Electrical </t>
  </si>
  <si>
    <t xml:space="preserve">Plumbing </t>
  </si>
  <si>
    <t xml:space="preserve">FAS </t>
  </si>
  <si>
    <t xml:space="preserve">Fire Fighting </t>
  </si>
  <si>
    <t xml:space="preserve">Music System </t>
  </si>
  <si>
    <t xml:space="preserve">Mis . </t>
  </si>
  <si>
    <t xml:space="preserve">HVAC High </t>
  </si>
  <si>
    <t xml:space="preserve">HVAC Low </t>
  </si>
  <si>
    <t xml:space="preserve">S.N </t>
  </si>
  <si>
    <t xml:space="preserve">RA-01 </t>
  </si>
  <si>
    <t xml:space="preserve">QTY </t>
  </si>
  <si>
    <t xml:space="preserve">AMOUNT </t>
  </si>
  <si>
    <t>AHM_Domino's_RA 01(Civil&amp; MEP)</t>
  </si>
  <si>
    <t xml:space="preserve">AHM_Domino's_Billing_Summary </t>
  </si>
  <si>
    <t xml:space="preserve">PO QTY </t>
  </si>
  <si>
    <t xml:space="preserve">UOM </t>
  </si>
  <si>
    <t xml:space="preserve">JMR RA-01 </t>
  </si>
  <si>
    <t xml:space="preserve">Length </t>
  </si>
  <si>
    <t xml:space="preserve">Width </t>
  </si>
  <si>
    <t xml:space="preserve">Height </t>
  </si>
  <si>
    <t xml:space="preserve">Qty </t>
  </si>
  <si>
    <t xml:space="preserve">AHM_Domino's_(Civil&amp; MEP)_Measurement Sheet </t>
  </si>
  <si>
    <t>a</t>
  </si>
  <si>
    <t>i</t>
  </si>
  <si>
    <t>b</t>
  </si>
  <si>
    <t>f</t>
  </si>
  <si>
    <t>c</t>
  </si>
  <si>
    <t>d</t>
  </si>
  <si>
    <t>e</t>
  </si>
  <si>
    <t>g</t>
  </si>
  <si>
    <t>h</t>
  </si>
  <si>
    <t xml:space="preserve">Dismanling of cold room wall </t>
  </si>
  <si>
    <t xml:space="preserve">Main floor area </t>
  </si>
  <si>
    <t>Corner area near kfc wall side</t>
  </si>
  <si>
    <t>LHS Wall</t>
  </si>
  <si>
    <t>Back wall</t>
  </si>
  <si>
    <t>RHS wall</t>
  </si>
  <si>
    <t>KFC Side wall</t>
  </si>
  <si>
    <t>Front FOH wall</t>
  </si>
  <si>
    <t>Less door area</t>
  </si>
  <si>
    <t>Cabin partition</t>
  </si>
  <si>
    <t>Front FOH back side wall</t>
  </si>
  <si>
    <t>Counter partition</t>
  </si>
  <si>
    <t>Cold room old partition</t>
  </si>
  <si>
    <t>Balance shop area</t>
  </si>
  <si>
    <t>Chamber area waterproofing</t>
  </si>
  <si>
    <t xml:space="preserve">Entry lifting station wall </t>
  </si>
  <si>
    <t>Gyser &amp; three sink area</t>
  </si>
  <si>
    <t>Manager table</t>
  </si>
  <si>
    <t>IT room</t>
  </si>
  <si>
    <t>Ovean area</t>
  </si>
  <si>
    <t>KFC side gyser&amp;ac points</t>
  </si>
  <si>
    <t>Counter supply conduit</t>
  </si>
  <si>
    <t>Near lifting station wall</t>
  </si>
  <si>
    <t>Manager room</t>
  </si>
  <si>
    <t>FOH wall</t>
  </si>
  <si>
    <t xml:space="preserve">For RO Line </t>
  </si>
  <si>
    <t xml:space="preserve">Hot line </t>
  </si>
  <si>
    <t>Cold Line</t>
  </si>
  <si>
    <t>Cold line</t>
  </si>
  <si>
    <t>Providing 40mm dia drainage pipe for Drain pump</t>
  </si>
  <si>
    <t>Makeline sink to first chamber</t>
  </si>
  <si>
    <t>Cold room to chamber1</t>
  </si>
  <si>
    <t>chamber 1 to chamber 2</t>
  </si>
  <si>
    <t>Chamber 2 to lifting station</t>
  </si>
  <si>
    <t>Chamber to PMX machine</t>
  </si>
  <si>
    <t>Kitchen area</t>
  </si>
  <si>
    <t>from exisiting main line to manager room</t>
  </si>
  <si>
    <t>Distribution line</t>
  </si>
  <si>
    <t>Duct distribution line</t>
  </si>
  <si>
    <t>KFC Side ac drain</t>
  </si>
  <si>
    <t>Cold room side ac drain</t>
  </si>
  <si>
    <t>Lifting station side drain</t>
  </si>
  <si>
    <t>Manager cabin drain ac</t>
  </si>
  <si>
    <t xml:space="preserve">PO NO </t>
  </si>
  <si>
    <t xml:space="preserve">PO DATE </t>
  </si>
  <si>
    <t>Semolina /PO/23-24/000720</t>
  </si>
  <si>
    <t>26.03.2024</t>
  </si>
  <si>
    <t xml:space="preserve">PO </t>
  </si>
  <si>
    <t xml:space="preserve">Value </t>
  </si>
  <si>
    <t xml:space="preserve">GST @18 </t>
  </si>
  <si>
    <t>Total</t>
  </si>
  <si>
    <t>Total ( with GST)</t>
  </si>
  <si>
    <t>FOH partition</t>
  </si>
  <si>
    <t>j</t>
  </si>
  <si>
    <t>Façade partition plaster</t>
  </si>
  <si>
    <t xml:space="preserve"> </t>
  </si>
  <si>
    <t>right wall cold room</t>
  </si>
  <si>
    <t>k</t>
  </si>
  <si>
    <t>l</t>
  </si>
  <si>
    <t xml:space="preserve">Floor waterproofing </t>
  </si>
  <si>
    <t>near pillar kfc corner</t>
  </si>
  <si>
    <t>manager room Drain pump area</t>
  </si>
  <si>
    <t>Entry corner drain pump area</t>
  </si>
  <si>
    <t xml:space="preserve">Main floor area  </t>
  </si>
  <si>
    <t>Near kfc wall corner</t>
  </si>
  <si>
    <t>counter raised skirting</t>
  </si>
  <si>
    <t>front façade skirting</t>
  </si>
  <si>
    <t>cold room left  wall partition</t>
  </si>
  <si>
    <t xml:space="preserve">RHS wall </t>
  </si>
  <si>
    <t>KFC Corner wall</t>
  </si>
  <si>
    <t>Front wall FOH, takar &amp; one tile inside cold room</t>
  </si>
  <si>
    <t>Less door</t>
  </si>
  <si>
    <t>LHS wall FOH</t>
  </si>
  <si>
    <t>Manager room left &amp; right wall</t>
  </si>
  <si>
    <t>manager room front &amp; rear wall</t>
  </si>
  <si>
    <t>lifting station tile</t>
  </si>
  <si>
    <t>Manager room door vertical granite</t>
  </si>
  <si>
    <t>entry patta near counter</t>
  </si>
  <si>
    <t>Manager room door horizontal granite</t>
  </si>
  <si>
    <t>Pillar cladding</t>
  </si>
  <si>
    <t>cold room left wall</t>
  </si>
  <si>
    <t>manager room</t>
  </si>
  <si>
    <t>inside cold room</t>
  </si>
  <si>
    <t xml:space="preserve">Additional provided </t>
  </si>
  <si>
    <t>Ceiling raceway ms conduit</t>
  </si>
  <si>
    <t>Branches of main line</t>
  </si>
  <si>
    <t xml:space="preserve">AHM_DOMINO'S _Civil&amp;MEP_BOQ </t>
  </si>
  <si>
    <t xml:space="preserve">RA-02 JMS </t>
  </si>
  <si>
    <t xml:space="preserve">LHS Wall </t>
  </si>
  <si>
    <t xml:space="preserve">Back wall </t>
  </si>
  <si>
    <t xml:space="preserve">RHS Wall </t>
  </si>
  <si>
    <t xml:space="preserve">Entry </t>
  </si>
  <si>
    <t xml:space="preserve">Manager </t>
  </si>
  <si>
    <t xml:space="preserve">Chamber </t>
  </si>
  <si>
    <t xml:space="preserve">Counter back wall  near empty try wall </t>
  </si>
  <si>
    <t xml:space="preserve">Less Ply </t>
  </si>
  <si>
    <t xml:space="preserve">Counter back wall  near Lifting station </t>
  </si>
  <si>
    <t xml:space="preserve">Main Floor area </t>
  </si>
  <si>
    <t xml:space="preserve">Near KFC Corner Wall </t>
  </si>
  <si>
    <t xml:space="preserve">Entry pillar near lifting station </t>
  </si>
  <si>
    <t xml:space="preserve">Near KFC Corner wall </t>
  </si>
  <si>
    <t xml:space="preserve">Cold room corner wall </t>
  </si>
  <si>
    <t xml:space="preserve">near counter entry </t>
  </si>
  <si>
    <t xml:space="preserve">Back Wall </t>
  </si>
  <si>
    <t xml:space="preserve">LHS Wall including cove </t>
  </si>
  <si>
    <t xml:space="preserve">Back Wall Including cove </t>
  </si>
  <si>
    <t xml:space="preserve">RHS Wall including cove </t>
  </si>
  <si>
    <t xml:space="preserve">Cold +Oven wall </t>
  </si>
  <si>
    <t xml:space="preserve">Manager Room DBS Right Wall </t>
  </si>
  <si>
    <t xml:space="preserve">Above Front counter </t>
  </si>
  <si>
    <t xml:space="preserve">KFC Side wall </t>
  </si>
  <si>
    <t xml:space="preserve">Ply partiton paint near counter </t>
  </si>
  <si>
    <t xml:space="preserve">M.S Pillar </t>
  </si>
  <si>
    <t xml:space="preserve">Front Pillar 3 MS </t>
  </si>
  <si>
    <t xml:space="preserve">Side Pillar Left Counter </t>
  </si>
  <si>
    <t xml:space="preserve">Counter base &amp; Top frame </t>
  </si>
  <si>
    <t xml:space="preserve">Stand frame paint </t>
  </si>
  <si>
    <t xml:space="preserve">Stand Ply Paint </t>
  </si>
  <si>
    <t xml:space="preserve">Signage Stand </t>
  </si>
  <si>
    <t xml:space="preserve">Glass Side </t>
  </si>
  <si>
    <t xml:space="preserve">KFC Wall Side </t>
  </si>
  <si>
    <t xml:space="preserve">Signage </t>
  </si>
  <si>
    <t xml:space="preserve">Branch Duct </t>
  </si>
  <si>
    <t xml:space="preserve">Dropper </t>
  </si>
  <si>
    <t xml:space="preserve">Total </t>
  </si>
  <si>
    <t xml:space="preserve">Total Billed </t>
  </si>
  <si>
    <t xml:space="preserve">Amount </t>
  </si>
  <si>
    <t xml:space="preserve">Near KFC Wall </t>
  </si>
  <si>
    <t xml:space="preserve">Final </t>
  </si>
  <si>
    <t>QTY AS PER SITE</t>
  </si>
  <si>
    <t>Hood Graphic Panel - lProviding and fixing in place Hood Graphic Panel made out of approved shade powder coated sheet metal Complete as per details in drawing
Reference Drawing No. 960</t>
  </si>
  <si>
    <t>Supplying and erecting double pole metal clad switch with fuse and neutral link 240V, 25A on iron   GI frame switch socket with  ISI mark approved make duly erected with  modular box , cover plate   all wiring connections complete. (Single phase)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</si>
</sst>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 #,##0_ ;_ * \-#,##0_ ;_ * &quot;-&quot;??_ ;_ @_ "/>
    <numFmt numFmtId="165" formatCode="0.000"/>
  </numFmts>
  <fonts count="10">
    <font>
      <sz val="11"/>
      <name val="Calibri"/>
    </font>
    <font>
      <sz val="11"/>
      <name val="Cambria"/>
      <family val="1"/>
    </font>
    <font>
      <b/>
      <sz val="11"/>
      <name val="Cambria"/>
      <family val="1"/>
    </font>
    <font>
      <sz val="11"/>
      <name val="Calibri"/>
    </font>
    <font>
      <sz val="11"/>
      <color theme="1"/>
      <name val="Times New Roman"/>
      <family val="1"/>
    </font>
    <font>
      <u/>
      <sz val="11"/>
      <color theme="10"/>
      <name val="Calibri"/>
    </font>
    <font>
      <b/>
      <sz val="11"/>
      <name val="Calibri"/>
      <family val="2"/>
    </font>
    <font>
      <b/>
      <sz val="11"/>
      <color theme="1"/>
      <name val="Calibri"/>
      <family val="2"/>
    </font>
    <font>
      <sz val="11"/>
      <name val="Calibri"/>
      <family val="2"/>
    </font>
    <font>
      <sz val="8"/>
      <name val="Calibri"/>
    </font>
  </fonts>
  <fills count="9">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rgb="FF92D050"/>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103">
    <xf numFmtId="0" fontId="0" fillId="0" borderId="0" xfId="0"/>
    <xf numFmtId="0" fontId="1" fillId="0" borderId="0" xfId="0" applyFont="1"/>
    <xf numFmtId="0" fontId="1" fillId="0" borderId="0" xfId="0" applyFont="1" applyAlignment="1">
      <alignment wrapText="1"/>
    </xf>
    <xf numFmtId="0" fontId="0" fillId="0" borderId="1" xfId="0" applyBorder="1" applyAlignment="1">
      <alignment horizontal="center" vertical="center"/>
    </xf>
    <xf numFmtId="0" fontId="6" fillId="3" borderId="1" xfId="0" applyFont="1" applyFill="1" applyBorder="1" applyAlignment="1">
      <alignment horizontal="center" vertical="center"/>
    </xf>
    <xf numFmtId="164" fontId="0" fillId="0" borderId="1" xfId="1" applyNumberFormat="1" applyFont="1" applyBorder="1" applyAlignment="1">
      <alignment horizontal="center" vertical="center"/>
    </xf>
    <xf numFmtId="0" fontId="1" fillId="5" borderId="0" xfId="0" applyFont="1" applyFill="1"/>
    <xf numFmtId="43" fontId="4" fillId="5" borderId="1" xfId="1" applyFont="1" applyFill="1" applyBorder="1" applyAlignment="1">
      <alignment horizontal="center" vertical="center" wrapText="1"/>
    </xf>
    <xf numFmtId="43" fontId="1" fillId="5" borderId="1" xfId="1" applyFont="1" applyFill="1" applyBorder="1" applyAlignment="1" applyProtection="1">
      <alignment horizontal="center" vertical="center"/>
    </xf>
    <xf numFmtId="0" fontId="1" fillId="5" borderId="1" xfId="0" applyFont="1" applyFill="1" applyBorder="1" applyAlignment="1">
      <alignment wrapText="1"/>
    </xf>
    <xf numFmtId="0" fontId="1" fillId="5" borderId="1" xfId="0" applyFont="1" applyFill="1" applyBorder="1" applyAlignment="1">
      <alignment horizontal="center" vertical="center"/>
    </xf>
    <xf numFmtId="0" fontId="1" fillId="0" borderId="0" xfId="0" applyFont="1" applyAlignment="1">
      <alignment horizontal="center" vertical="center"/>
    </xf>
    <xf numFmtId="0" fontId="1" fillId="4" borderId="1" xfId="0" applyFont="1" applyFill="1" applyBorder="1" applyAlignment="1">
      <alignment horizontal="center" vertical="center"/>
    </xf>
    <xf numFmtId="0" fontId="1" fillId="4" borderId="1" xfId="0" applyFont="1" applyFill="1" applyBorder="1" applyAlignment="1">
      <alignment wrapText="1"/>
    </xf>
    <xf numFmtId="0" fontId="2" fillId="6"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wrapText="1"/>
    </xf>
    <xf numFmtId="0" fontId="1" fillId="2" borderId="1" xfId="0" applyFont="1" applyFill="1" applyBorder="1" applyAlignment="1">
      <alignment horizontal="center" vertical="center"/>
    </xf>
    <xf numFmtId="0" fontId="1" fillId="2" borderId="1" xfId="0" applyFont="1" applyFill="1" applyBorder="1" applyAlignment="1">
      <alignment wrapText="1"/>
    </xf>
    <xf numFmtId="0" fontId="6" fillId="4" borderId="1" xfId="0" applyFont="1" applyFill="1" applyBorder="1" applyAlignment="1">
      <alignment horizontal="center" vertical="center"/>
    </xf>
    <xf numFmtId="0" fontId="7" fillId="4" borderId="1" xfId="2" applyFont="1" applyFill="1" applyBorder="1" applyAlignment="1">
      <alignment horizontal="center" vertical="center"/>
    </xf>
    <xf numFmtId="0" fontId="6" fillId="0" borderId="1" xfId="0" applyFont="1" applyBorder="1" applyAlignment="1">
      <alignment horizontal="center" vertical="center"/>
    </xf>
    <xf numFmtId="0" fontId="1" fillId="0" borderId="1" xfId="0" applyFont="1" applyBorder="1" applyAlignment="1">
      <alignment vertical="center"/>
    </xf>
    <xf numFmtId="0" fontId="1" fillId="0" borderId="6" xfId="0" applyFont="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wrapText="1"/>
    </xf>
    <xf numFmtId="0" fontId="1" fillId="0" borderId="1" xfId="0" applyFont="1" applyBorder="1" applyAlignment="1">
      <alignment wrapText="1"/>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2" fillId="0" borderId="1" xfId="0" applyFont="1" applyBorder="1" applyAlignment="1">
      <alignment horizontal="center" vertical="center"/>
    </xf>
    <xf numFmtId="0" fontId="8" fillId="0" borderId="1" xfId="0" applyFont="1" applyBorder="1" applyAlignment="1">
      <alignment horizontal="center" vertical="center"/>
    </xf>
    <xf numFmtId="0" fontId="0" fillId="0" borderId="0" xfId="0" applyAlignment="1">
      <alignment horizontal="center" vertical="center"/>
    </xf>
    <xf numFmtId="0" fontId="1" fillId="0" borderId="1" xfId="0" applyFont="1" applyBorder="1" applyAlignment="1">
      <alignment vertical="center" wrapText="1"/>
    </xf>
    <xf numFmtId="43" fontId="1" fillId="0" borderId="6" xfId="1" applyFont="1" applyBorder="1" applyAlignment="1">
      <alignment vertical="center"/>
    </xf>
    <xf numFmtId="43" fontId="1" fillId="0" borderId="1" xfId="1" applyFont="1" applyBorder="1" applyAlignment="1">
      <alignment vertical="center"/>
    </xf>
    <xf numFmtId="0" fontId="1" fillId="5" borderId="6" xfId="0" applyFont="1" applyFill="1" applyBorder="1" applyAlignment="1">
      <alignment vertical="center"/>
    </xf>
    <xf numFmtId="0" fontId="1" fillId="0" borderId="1" xfId="0" applyFont="1" applyBorder="1" applyAlignment="1">
      <alignment horizontal="left" vertical="center" wrapText="1"/>
    </xf>
    <xf numFmtId="43" fontId="0" fillId="0" borderId="1" xfId="0" applyNumberFormat="1" applyBorder="1" applyAlignment="1">
      <alignment horizontal="center" vertical="center"/>
    </xf>
    <xf numFmtId="164" fontId="2" fillId="6" borderId="1" xfId="1" applyNumberFormat="1" applyFont="1" applyFill="1" applyBorder="1" applyAlignment="1" applyProtection="1">
      <alignment horizontal="center" vertical="center"/>
    </xf>
    <xf numFmtId="164" fontId="1" fillId="2" borderId="1" xfId="1" applyNumberFormat="1" applyFont="1" applyFill="1" applyBorder="1" applyAlignment="1" applyProtection="1">
      <alignment horizontal="center" vertical="center"/>
    </xf>
    <xf numFmtId="164" fontId="2" fillId="2" borderId="1" xfId="1" applyNumberFormat="1" applyFont="1" applyFill="1" applyBorder="1" applyAlignment="1" applyProtection="1">
      <alignment horizontal="center" vertical="center"/>
    </xf>
    <xf numFmtId="164" fontId="1" fillId="5" borderId="1" xfId="1" applyNumberFormat="1" applyFont="1" applyFill="1" applyBorder="1" applyAlignment="1" applyProtection="1">
      <alignment horizontal="center" vertical="center"/>
    </xf>
    <xf numFmtId="164" fontId="2" fillId="5" borderId="1" xfId="1" applyNumberFormat="1" applyFont="1" applyFill="1" applyBorder="1" applyAlignment="1" applyProtection="1">
      <alignment horizontal="center" vertical="center"/>
    </xf>
    <xf numFmtId="164" fontId="1" fillId="4" borderId="1" xfId="1" applyNumberFormat="1" applyFont="1" applyFill="1" applyBorder="1" applyAlignment="1" applyProtection="1">
      <alignment horizontal="center" vertical="center"/>
    </xf>
    <xf numFmtId="164" fontId="2" fillId="4" borderId="1" xfId="1" applyNumberFormat="1" applyFont="1" applyFill="1" applyBorder="1" applyAlignment="1" applyProtection="1">
      <alignment horizontal="center" vertical="center"/>
    </xf>
    <xf numFmtId="43"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2" fontId="1" fillId="0" borderId="1" xfId="0" applyNumberFormat="1" applyFont="1" applyBorder="1" applyAlignment="1">
      <alignment horizontal="center" vertical="center"/>
    </xf>
    <xf numFmtId="43" fontId="1" fillId="0" borderId="1" xfId="1" applyFont="1" applyBorder="1" applyAlignment="1">
      <alignment horizontal="center" vertical="center"/>
    </xf>
    <xf numFmtId="43" fontId="1" fillId="0" borderId="6" xfId="1" applyFont="1" applyBorder="1" applyAlignment="1">
      <alignment horizontal="center" vertical="center"/>
    </xf>
    <xf numFmtId="43" fontId="1" fillId="0" borderId="2" xfId="1" applyFont="1" applyBorder="1" applyAlignment="1">
      <alignment horizontal="center" vertical="center"/>
    </xf>
    <xf numFmtId="43" fontId="6" fillId="0" borderId="1" xfId="0" applyNumberFormat="1" applyFont="1" applyBorder="1" applyAlignment="1">
      <alignment horizontal="center" vertical="center"/>
    </xf>
    <xf numFmtId="165" fontId="6" fillId="0" borderId="1" xfId="0" applyNumberFormat="1" applyFont="1" applyBorder="1" applyAlignment="1">
      <alignment horizontal="center" vertical="center"/>
    </xf>
    <xf numFmtId="0" fontId="8" fillId="0" borderId="1" xfId="0" applyFont="1" applyBorder="1"/>
    <xf numFmtId="0" fontId="2" fillId="3" borderId="1" xfId="0" applyFont="1" applyFill="1" applyBorder="1" applyAlignment="1">
      <alignment horizontal="center" vertical="center" wrapText="1"/>
    </xf>
    <xf numFmtId="0" fontId="1" fillId="7" borderId="1" xfId="0" applyFont="1" applyFill="1" applyBorder="1" applyAlignment="1">
      <alignment horizontal="center"/>
    </xf>
    <xf numFmtId="0" fontId="1" fillId="7" borderId="1" xfId="0" applyFont="1" applyFill="1" applyBorder="1" applyAlignment="1">
      <alignment wrapText="1"/>
    </xf>
    <xf numFmtId="0" fontId="1" fillId="7" borderId="1" xfId="0" applyFont="1" applyFill="1" applyBorder="1" applyAlignment="1">
      <alignment horizontal="center" vertical="center"/>
    </xf>
    <xf numFmtId="0" fontId="1" fillId="0" borderId="1" xfId="0" applyFont="1" applyBorder="1" applyAlignment="1">
      <alignment horizontal="center"/>
    </xf>
    <xf numFmtId="165" fontId="2" fillId="0" borderId="1" xfId="0" applyNumberFormat="1" applyFont="1" applyBorder="1" applyAlignment="1">
      <alignment horizontal="center" vertical="center"/>
    </xf>
    <xf numFmtId="165" fontId="1" fillId="0" borderId="1" xfId="0" applyNumberFormat="1" applyFont="1" applyBorder="1" applyAlignment="1">
      <alignment horizontal="center" vertical="center"/>
    </xf>
    <xf numFmtId="0" fontId="1" fillId="4" borderId="1" xfId="0" applyFont="1" applyFill="1" applyBorder="1" applyAlignment="1">
      <alignment horizontal="center"/>
    </xf>
    <xf numFmtId="0" fontId="1" fillId="5" borderId="1" xfId="0" applyFont="1" applyFill="1" applyBorder="1" applyAlignment="1">
      <alignment horizontal="center"/>
    </xf>
    <xf numFmtId="0" fontId="1" fillId="5" borderId="0" xfId="0" applyFont="1" applyFill="1" applyAlignment="1">
      <alignment horizontal="center"/>
    </xf>
    <xf numFmtId="0" fontId="1" fillId="0" borderId="0" xfId="0" applyFont="1" applyAlignment="1">
      <alignment horizontal="center"/>
    </xf>
    <xf numFmtId="43" fontId="6" fillId="3" borderId="1" xfId="1" applyFont="1" applyFill="1" applyBorder="1" applyAlignment="1">
      <alignment horizontal="center" vertical="center"/>
    </xf>
    <xf numFmtId="164" fontId="0" fillId="0" borderId="1" xfId="0" applyNumberFormat="1" applyBorder="1" applyAlignment="1">
      <alignment horizontal="center"/>
    </xf>
    <xf numFmtId="164" fontId="0" fillId="0" borderId="1" xfId="0" applyNumberFormat="1" applyBorder="1" applyAlignment="1">
      <alignment horizontal="center" vertical="center"/>
    </xf>
    <xf numFmtId="0" fontId="0" fillId="0" borderId="8" xfId="0" applyBorder="1" applyAlignment="1">
      <alignment horizontal="center" vertical="center"/>
    </xf>
    <xf numFmtId="0" fontId="6" fillId="3" borderId="8"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43" fontId="6" fillId="3" borderId="12" xfId="0" applyNumberFormat="1" applyFont="1" applyFill="1" applyBorder="1" applyAlignment="1">
      <alignment horizontal="center" vertical="center"/>
    </xf>
    <xf numFmtId="43" fontId="0" fillId="0" borderId="1" xfId="0" applyNumberFormat="1" applyBorder="1" applyAlignment="1">
      <alignment horizontal="center"/>
    </xf>
    <xf numFmtId="0" fontId="2" fillId="6"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5" borderId="1" xfId="0" applyFont="1" applyFill="1" applyBorder="1" applyAlignment="1">
      <alignment vertical="center" wrapText="1"/>
    </xf>
    <xf numFmtId="0" fontId="1" fillId="4" borderId="1" xfId="0" applyFont="1" applyFill="1" applyBorder="1" applyAlignment="1">
      <alignment vertical="center" wrapText="1"/>
    </xf>
    <xf numFmtId="0" fontId="2" fillId="4" borderId="1" xfId="0" applyFont="1" applyFill="1" applyBorder="1" applyAlignment="1">
      <alignment vertical="center" wrapText="1"/>
    </xf>
    <xf numFmtId="0" fontId="2" fillId="4" borderId="1" xfId="0" applyFont="1" applyFill="1" applyBorder="1" applyAlignment="1">
      <alignment horizontal="left" vertical="center" wrapText="1"/>
    </xf>
    <xf numFmtId="0" fontId="1" fillId="0" borderId="0" xfId="0" applyFont="1" applyAlignment="1">
      <alignment vertical="center" wrapText="1"/>
    </xf>
    <xf numFmtId="43" fontId="0" fillId="0" borderId="0" xfId="0" applyNumberFormat="1"/>
    <xf numFmtId="0" fontId="6" fillId="8" borderId="1" xfId="0" applyFont="1" applyFill="1" applyBorder="1" applyAlignment="1">
      <alignment horizontal="center" vertical="center"/>
    </xf>
    <xf numFmtId="164" fontId="0" fillId="8" borderId="1" xfId="1" applyNumberFormat="1" applyFont="1" applyFill="1" applyBorder="1" applyAlignment="1">
      <alignment horizontal="center" vertical="center"/>
    </xf>
    <xf numFmtId="164" fontId="1" fillId="0" borderId="0" xfId="0" applyNumberFormat="1" applyFont="1"/>
    <xf numFmtId="0" fontId="6" fillId="5" borderId="2"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3"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5" xfId="0" applyFont="1" applyFill="1" applyBorder="1" applyAlignment="1">
      <alignment horizontal="center" vertical="center"/>
    </xf>
    <xf numFmtId="0" fontId="6" fillId="5" borderId="8" xfId="0" applyFont="1" applyFill="1" applyBorder="1" applyAlignment="1">
      <alignment horizontal="left" vertical="center"/>
    </xf>
    <xf numFmtId="0" fontId="6" fillId="5" borderId="1" xfId="0" applyFont="1" applyFill="1" applyBorder="1" applyAlignment="1">
      <alignment horizontal="left" vertical="center"/>
    </xf>
    <xf numFmtId="0" fontId="2" fillId="6" borderId="2"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3" xfId="0" applyFont="1" applyFill="1" applyBorder="1" applyAlignment="1">
      <alignment horizontal="center" vertical="center"/>
    </xf>
    <xf numFmtId="0" fontId="6" fillId="4" borderId="1" xfId="0" applyFont="1" applyFill="1" applyBorder="1" applyAlignment="1">
      <alignment horizontal="center" vertical="center"/>
    </xf>
    <xf numFmtId="0" fontId="6"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workbookViewId="0">
      <selection activeCell="H11" sqref="H11"/>
    </sheetView>
  </sheetViews>
  <sheetFormatPr defaultRowHeight="14.5"/>
  <cols>
    <col min="1" max="1" width="5.36328125" customWidth="1"/>
    <col min="2" max="2" width="15.36328125" customWidth="1"/>
    <col min="3" max="3" width="12.90625" customWidth="1"/>
    <col min="4" max="5" width="15" customWidth="1"/>
    <col min="6" max="6" width="12.90625" customWidth="1"/>
    <col min="7" max="7" width="15.54296875" customWidth="1"/>
  </cols>
  <sheetData>
    <row r="1" spans="1:7">
      <c r="A1" s="88" t="s">
        <v>284</v>
      </c>
      <c r="B1" s="89"/>
      <c r="C1" s="89"/>
      <c r="D1" s="89"/>
      <c r="E1" s="89"/>
      <c r="F1" s="89"/>
    </row>
    <row r="2" spans="1:7">
      <c r="A2" s="94" t="s">
        <v>345</v>
      </c>
      <c r="B2" s="95"/>
      <c r="C2" s="85" t="s">
        <v>347</v>
      </c>
      <c r="D2" s="86"/>
      <c r="E2" s="86"/>
      <c r="F2" s="87"/>
    </row>
    <row r="3" spans="1:7">
      <c r="A3" s="94" t="s">
        <v>346</v>
      </c>
      <c r="B3" s="95"/>
      <c r="C3" s="85" t="s">
        <v>348</v>
      </c>
      <c r="D3" s="86"/>
      <c r="E3" s="86"/>
      <c r="F3" s="86"/>
    </row>
    <row r="4" spans="1:7">
      <c r="A4" s="90" t="s">
        <v>279</v>
      </c>
      <c r="B4" s="92" t="s">
        <v>269</v>
      </c>
      <c r="C4" s="20" t="s">
        <v>349</v>
      </c>
      <c r="D4" s="19" t="s">
        <v>280</v>
      </c>
      <c r="E4" s="19" t="s">
        <v>430</v>
      </c>
      <c r="F4" s="20" t="s">
        <v>427</v>
      </c>
    </row>
    <row r="5" spans="1:7" ht="24" customHeight="1">
      <c r="A5" s="91"/>
      <c r="B5" s="93"/>
      <c r="C5" s="20" t="s">
        <v>350</v>
      </c>
      <c r="D5" s="19" t="s">
        <v>350</v>
      </c>
      <c r="E5" s="19" t="s">
        <v>350</v>
      </c>
      <c r="F5" s="20" t="s">
        <v>428</v>
      </c>
    </row>
    <row r="6" spans="1:7">
      <c r="A6" s="68">
        <v>1</v>
      </c>
      <c r="B6" s="21" t="s">
        <v>270</v>
      </c>
      <c r="C6" s="5">
        <f>'Abtract '!F5</f>
        <v>2428409</v>
      </c>
      <c r="D6" s="66">
        <f>'Abtract '!J5</f>
        <v>1509589.8389862399</v>
      </c>
      <c r="E6" s="37">
        <f>'Abtract '!K5</f>
        <v>428015.33684</v>
      </c>
      <c r="F6" s="5">
        <f>D6+E6</f>
        <v>1937605.1758262399</v>
      </c>
    </row>
    <row r="7" spans="1:7">
      <c r="A7" s="68">
        <v>2</v>
      </c>
      <c r="B7" s="21" t="s">
        <v>271</v>
      </c>
      <c r="C7" s="5">
        <f>'Abtract '!F58</f>
        <v>815860</v>
      </c>
      <c r="D7" s="66">
        <f>'Abtract '!J58</f>
        <v>108021</v>
      </c>
      <c r="E7" s="37">
        <f>'Abtract '!K58</f>
        <v>465165</v>
      </c>
      <c r="F7" s="5">
        <f t="shared" ref="F7:F14" si="0">D7+E7</f>
        <v>573186</v>
      </c>
    </row>
    <row r="8" spans="1:7">
      <c r="A8" s="68">
        <v>3</v>
      </c>
      <c r="B8" s="21" t="s">
        <v>272</v>
      </c>
      <c r="C8" s="5">
        <f>'Abtract '!F122</f>
        <v>161495</v>
      </c>
      <c r="D8" s="66">
        <f>'Abtract '!J122</f>
        <v>51234.8</v>
      </c>
      <c r="E8" s="37">
        <f>'Abtract '!K122</f>
        <v>94180</v>
      </c>
      <c r="F8" s="5">
        <f t="shared" si="0"/>
        <v>145414.79999999999</v>
      </c>
    </row>
    <row r="9" spans="1:7">
      <c r="A9" s="68">
        <v>4</v>
      </c>
      <c r="B9" s="21" t="s">
        <v>273</v>
      </c>
      <c r="C9" s="5">
        <f>'Abtract '!F152</f>
        <v>294800</v>
      </c>
      <c r="D9" s="66">
        <f>'Abtract '!J152</f>
        <v>0</v>
      </c>
      <c r="E9" s="67"/>
      <c r="F9" s="5">
        <f t="shared" si="0"/>
        <v>0</v>
      </c>
    </row>
    <row r="10" spans="1:7">
      <c r="A10" s="68">
        <v>5</v>
      </c>
      <c r="B10" s="82" t="s">
        <v>274</v>
      </c>
      <c r="C10" s="83">
        <f>'Abtract '!F164</f>
        <v>64889</v>
      </c>
      <c r="D10" s="66">
        <f>'Abtract '!J164</f>
        <v>40435.97</v>
      </c>
      <c r="E10" s="67">
        <f>'Abtract '!K164</f>
        <v>1215.3799999999999</v>
      </c>
      <c r="F10" s="5">
        <f t="shared" si="0"/>
        <v>41651.35</v>
      </c>
    </row>
    <row r="11" spans="1:7">
      <c r="A11" s="68">
        <v>6</v>
      </c>
      <c r="B11" s="21" t="s">
        <v>275</v>
      </c>
      <c r="C11" s="5">
        <f>'Abtract '!F176</f>
        <v>132500</v>
      </c>
      <c r="D11" s="66">
        <f>'Abtract '!J176</f>
        <v>0</v>
      </c>
      <c r="E11" s="37">
        <f>'Abtract '!K176</f>
        <v>33000</v>
      </c>
      <c r="F11" s="5">
        <f t="shared" si="0"/>
        <v>33000</v>
      </c>
    </row>
    <row r="12" spans="1:7">
      <c r="A12" s="68">
        <v>7</v>
      </c>
      <c r="B12" s="21" t="s">
        <v>276</v>
      </c>
      <c r="C12" s="5">
        <f>'Abtract '!F190</f>
        <v>457000</v>
      </c>
      <c r="D12" s="66">
        <f>'Abtract '!J190</f>
        <v>0</v>
      </c>
      <c r="E12" s="37">
        <f>'Abtract '!K190</f>
        <v>255500</v>
      </c>
      <c r="F12" s="5">
        <f t="shared" si="0"/>
        <v>255500</v>
      </c>
    </row>
    <row r="13" spans="1:7">
      <c r="A13" s="68">
        <v>8</v>
      </c>
      <c r="B13" s="21" t="s">
        <v>277</v>
      </c>
      <c r="C13" s="5">
        <f>'Abtract '!F216</f>
        <v>758523</v>
      </c>
      <c r="D13" s="73">
        <f>'Abtract '!J216</f>
        <v>6352.4500000000007</v>
      </c>
      <c r="E13" s="67">
        <f>'Abtract '!K216</f>
        <v>13001</v>
      </c>
      <c r="F13" s="5">
        <f t="shared" si="0"/>
        <v>19353.45</v>
      </c>
      <c r="G13" s="81"/>
    </row>
    <row r="14" spans="1:7">
      <c r="A14" s="68">
        <v>9</v>
      </c>
      <c r="B14" s="21" t="s">
        <v>278</v>
      </c>
      <c r="C14" s="5">
        <f>'Abtract '!F238</f>
        <v>86400</v>
      </c>
      <c r="D14" s="73">
        <f>'Abtract '!J238</f>
        <v>62553</v>
      </c>
      <c r="E14" s="37">
        <f>'Abtract '!K238</f>
        <v>103518.75</v>
      </c>
      <c r="F14" s="5">
        <f t="shared" si="0"/>
        <v>166071.75</v>
      </c>
    </row>
    <row r="15" spans="1:7">
      <c r="A15" s="69">
        <v>10</v>
      </c>
      <c r="B15" s="4" t="s">
        <v>352</v>
      </c>
      <c r="C15" s="65">
        <f>SUM(C6:C14)</f>
        <v>5199876</v>
      </c>
      <c r="D15" s="65">
        <f t="shared" ref="D15:E15" si="1">SUM(D6:D14)</f>
        <v>1778187.0589862398</v>
      </c>
      <c r="E15" s="65">
        <f t="shared" si="1"/>
        <v>1393595.4668399999</v>
      </c>
      <c r="F15" s="65">
        <f>SUM(F6:F14)</f>
        <v>3171782.52582624</v>
      </c>
    </row>
    <row r="16" spans="1:7">
      <c r="A16" s="68">
        <v>11</v>
      </c>
      <c r="B16" s="30" t="s">
        <v>351</v>
      </c>
      <c r="C16" s="37">
        <f>(C6+C7+C8+C9+C11+C12+C14+C10)*0.18+(C13*0.28)</f>
        <v>1011829.98</v>
      </c>
      <c r="D16" s="37">
        <f t="shared" ref="D16" si="2">D15*0.18</f>
        <v>320073.67061752314</v>
      </c>
      <c r="E16" s="37">
        <f>(E6+E7+E8+E9+E11+E12+E14+E10)*0.18+(E13*0.28)</f>
        <v>252147.28403119996</v>
      </c>
      <c r="F16" s="37">
        <f>F15*0.18</f>
        <v>570920.85464872315</v>
      </c>
      <c r="G16" s="81"/>
    </row>
    <row r="17" spans="1:6" ht="15" thickBot="1">
      <c r="A17" s="70">
        <v>12</v>
      </c>
      <c r="B17" s="71" t="s">
        <v>353</v>
      </c>
      <c r="C17" s="72">
        <f>C15+C16</f>
        <v>6211705.9800000004</v>
      </c>
      <c r="D17" s="72">
        <f t="shared" ref="D17:E17" si="3">D15+D16</f>
        <v>2098260.7296037627</v>
      </c>
      <c r="E17" s="72">
        <f t="shared" si="3"/>
        <v>1645742.7508711999</v>
      </c>
      <c r="F17" s="72">
        <f>F15+F16</f>
        <v>3742703.3804749632</v>
      </c>
    </row>
  </sheetData>
  <mergeCells count="7">
    <mergeCell ref="C2:F2"/>
    <mergeCell ref="C3:F3"/>
    <mergeCell ref="A1:F1"/>
    <mergeCell ref="A4:A5"/>
    <mergeCell ref="B4:B5"/>
    <mergeCell ref="A2:B2"/>
    <mergeCell ref="A3:B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8"/>
  <sheetViews>
    <sheetView showGridLines="0" zoomScale="71" zoomScaleNormal="80" workbookViewId="0">
      <pane ySplit="3" topLeftCell="A228" activePane="bottomLeft" state="frozen"/>
      <selection pane="bottomLeft" activeCell="K238" sqref="K238"/>
    </sheetView>
  </sheetViews>
  <sheetFormatPr defaultColWidth="9.08984375" defaultRowHeight="14"/>
  <cols>
    <col min="1" max="1" width="9.08984375" style="11" customWidth="1"/>
    <col min="2" max="2" width="58.08984375" style="80" customWidth="1"/>
    <col min="3" max="3" width="7.36328125" style="11" customWidth="1"/>
    <col min="4" max="4" width="8.08984375" style="11" customWidth="1"/>
    <col min="5" max="5" width="15.453125" style="11" customWidth="1"/>
    <col min="6" max="6" width="14.08984375" style="11" customWidth="1"/>
    <col min="7" max="7" width="12.6328125" style="11" customWidth="1"/>
    <col min="8" max="8" width="11" style="11" customWidth="1"/>
    <col min="9" max="9" width="10" style="11" customWidth="1"/>
    <col min="10" max="12" width="13.36328125" style="11" customWidth="1"/>
    <col min="13" max="16384" width="9.08984375" style="1"/>
  </cols>
  <sheetData>
    <row r="1" spans="1:12">
      <c r="A1" s="96" t="s">
        <v>283</v>
      </c>
      <c r="B1" s="97"/>
      <c r="C1" s="97"/>
      <c r="D1" s="97"/>
      <c r="E1" s="97"/>
      <c r="F1" s="98"/>
      <c r="G1" s="96" t="s">
        <v>431</v>
      </c>
      <c r="H1" s="97"/>
      <c r="I1" s="97"/>
      <c r="J1" s="96" t="s">
        <v>282</v>
      </c>
      <c r="K1" s="97"/>
      <c r="L1" s="97"/>
    </row>
    <row r="2" spans="1:12">
      <c r="A2" s="14" t="s">
        <v>13</v>
      </c>
      <c r="B2" s="74" t="s">
        <v>14</v>
      </c>
      <c r="C2" s="14" t="s">
        <v>15</v>
      </c>
      <c r="D2" s="14" t="s">
        <v>0</v>
      </c>
      <c r="E2" s="38" t="s">
        <v>1</v>
      </c>
      <c r="F2" s="38" t="s">
        <v>16</v>
      </c>
      <c r="G2" s="14" t="s">
        <v>280</v>
      </c>
      <c r="H2" s="14" t="s">
        <v>430</v>
      </c>
      <c r="I2" s="14" t="s">
        <v>426</v>
      </c>
      <c r="J2" s="14" t="s">
        <v>280</v>
      </c>
      <c r="K2" s="14" t="s">
        <v>430</v>
      </c>
      <c r="L2" s="14" t="s">
        <v>426</v>
      </c>
    </row>
    <row r="3" spans="1:12">
      <c r="A3" s="17"/>
      <c r="B3" s="75"/>
      <c r="C3" s="17"/>
      <c r="D3" s="17"/>
      <c r="E3" s="39"/>
      <c r="F3" s="40">
        <f>F5+F58+F122+F152+F164+F176+F190+F216+F238</f>
        <v>5199876</v>
      </c>
      <c r="G3" s="17"/>
      <c r="H3" s="17"/>
      <c r="I3" s="17"/>
      <c r="J3" s="40">
        <f>J5+J58+J122+J152+J164+J176+J190+J216+J238</f>
        <v>1778187.0589862398</v>
      </c>
      <c r="K3" s="40">
        <f>K5+K58+K122+K152+K164+K176+K190+K216+K238</f>
        <v>1393595.4668399999</v>
      </c>
      <c r="L3" s="40">
        <f>L5+L58+L122+L152+L164+L176+L190+L216+L238</f>
        <v>3171782.52582624</v>
      </c>
    </row>
    <row r="4" spans="1:12">
      <c r="A4" s="10"/>
      <c r="B4" s="76"/>
      <c r="C4" s="10"/>
      <c r="D4" s="10"/>
      <c r="E4" s="41"/>
      <c r="F4" s="42"/>
      <c r="G4" s="27"/>
      <c r="H4" s="27"/>
      <c r="I4" s="27"/>
      <c r="J4" s="27"/>
      <c r="K4" s="27"/>
      <c r="L4" s="27"/>
    </row>
    <row r="5" spans="1:12">
      <c r="A5" s="12">
        <v>1</v>
      </c>
      <c r="B5" s="77" t="s">
        <v>3</v>
      </c>
      <c r="C5" s="12"/>
      <c r="D5" s="12"/>
      <c r="E5" s="43"/>
      <c r="F5" s="44">
        <f>SUM(F6:F56)</f>
        <v>2428409</v>
      </c>
      <c r="G5" s="43"/>
      <c r="H5" s="43"/>
      <c r="I5" s="43"/>
      <c r="J5" s="44">
        <f>SUM(J6:J56)</f>
        <v>1509589.8389862399</v>
      </c>
      <c r="K5" s="44">
        <f>SUM(K6:K56)</f>
        <v>428015.33684</v>
      </c>
      <c r="L5" s="44">
        <f>SUM(L6:L56)</f>
        <v>1937605.1758262399</v>
      </c>
    </row>
    <row r="6" spans="1:12" ht="84">
      <c r="A6" s="10">
        <v>1</v>
      </c>
      <c r="B6" s="76" t="s">
        <v>17</v>
      </c>
      <c r="C6" s="10" t="s">
        <v>2</v>
      </c>
      <c r="D6" s="10" t="s">
        <v>2</v>
      </c>
      <c r="E6" s="41"/>
      <c r="F6" s="41"/>
      <c r="G6" s="27"/>
      <c r="H6" s="27"/>
      <c r="I6" s="27"/>
      <c r="J6" s="27"/>
      <c r="K6" s="27"/>
      <c r="L6" s="27"/>
    </row>
    <row r="7" spans="1:12" ht="71.25" customHeight="1">
      <c r="A7" s="10">
        <v>2</v>
      </c>
      <c r="B7" s="76" t="s">
        <v>18</v>
      </c>
      <c r="C7" s="10" t="s">
        <v>19</v>
      </c>
      <c r="D7" s="10">
        <v>300</v>
      </c>
      <c r="E7" s="41">
        <v>75</v>
      </c>
      <c r="F7" s="41">
        <f>D7*E7</f>
        <v>22500</v>
      </c>
      <c r="G7" s="47">
        <f>'JMS RA-01 '!I7</f>
        <v>131.682816</v>
      </c>
      <c r="H7" s="47">
        <f>'JMS - Final '!I4</f>
        <v>166.62671999999998</v>
      </c>
      <c r="I7" s="47">
        <f>G7+H7</f>
        <v>298.30953599999998</v>
      </c>
      <c r="J7" s="45">
        <f>E7*G7</f>
        <v>9876.2111999999997</v>
      </c>
      <c r="K7" s="45">
        <f>E7*H7</f>
        <v>12497.003999999999</v>
      </c>
      <c r="L7" s="45">
        <f>J7+K7</f>
        <v>22373.215199999999</v>
      </c>
    </row>
    <row r="8" spans="1:12" ht="42">
      <c r="A8" s="10">
        <v>3</v>
      </c>
      <c r="B8" s="76" t="s">
        <v>20</v>
      </c>
      <c r="C8" s="10" t="s">
        <v>2</v>
      </c>
      <c r="D8" s="10" t="s">
        <v>2</v>
      </c>
      <c r="E8" s="41"/>
      <c r="F8" s="41"/>
      <c r="G8" s="47"/>
      <c r="H8" s="47"/>
      <c r="I8" s="47"/>
      <c r="J8" s="27"/>
      <c r="K8" s="27"/>
      <c r="L8" s="45">
        <f t="shared" ref="L8:L56" si="0">J8+K8</f>
        <v>0</v>
      </c>
    </row>
    <row r="9" spans="1:12">
      <c r="A9" s="10">
        <v>4</v>
      </c>
      <c r="B9" s="76" t="s">
        <v>21</v>
      </c>
      <c r="C9" s="10" t="s">
        <v>22</v>
      </c>
      <c r="D9" s="10">
        <v>1</v>
      </c>
      <c r="E9" s="41">
        <v>2500</v>
      </c>
      <c r="F9" s="41">
        <f>D9*E9</f>
        <v>2500</v>
      </c>
      <c r="G9" s="47"/>
      <c r="H9" s="47">
        <f>'JMS - Final '!I9</f>
        <v>1</v>
      </c>
      <c r="I9" s="47">
        <f>G9+H9</f>
        <v>1</v>
      </c>
      <c r="J9" s="27"/>
      <c r="K9" s="45">
        <f>E9*H9</f>
        <v>2500</v>
      </c>
      <c r="L9" s="45">
        <f t="shared" si="0"/>
        <v>2500</v>
      </c>
    </row>
    <row r="10" spans="1:12">
      <c r="A10" s="10">
        <v>5</v>
      </c>
      <c r="B10" s="76" t="s">
        <v>23</v>
      </c>
      <c r="C10" s="10" t="s">
        <v>22</v>
      </c>
      <c r="D10" s="10">
        <v>1</v>
      </c>
      <c r="E10" s="41">
        <v>3500</v>
      </c>
      <c r="F10" s="41">
        <f>D10*E10</f>
        <v>3500</v>
      </c>
      <c r="G10" s="47"/>
      <c r="H10" s="47">
        <f>'JMS - Final '!I10</f>
        <v>1</v>
      </c>
      <c r="I10" s="47">
        <f>G10+H10</f>
        <v>1</v>
      </c>
      <c r="J10" s="27"/>
      <c r="K10" s="45">
        <f>E10*H10</f>
        <v>3500</v>
      </c>
      <c r="L10" s="45">
        <f t="shared" si="0"/>
        <v>3500</v>
      </c>
    </row>
    <row r="11" spans="1:12" ht="56">
      <c r="A11" s="10">
        <v>6</v>
      </c>
      <c r="B11" s="76" t="s">
        <v>24</v>
      </c>
      <c r="C11" s="10" t="s">
        <v>22</v>
      </c>
      <c r="D11" s="10">
        <v>2</v>
      </c>
      <c r="E11" s="41">
        <v>6000</v>
      </c>
      <c r="F11" s="41">
        <f>D11*E11</f>
        <v>12000</v>
      </c>
      <c r="G11" s="47"/>
      <c r="H11" s="47">
        <f>'JMS - Final '!I11</f>
        <v>2</v>
      </c>
      <c r="I11" s="47">
        <f>G11+H11</f>
        <v>2</v>
      </c>
      <c r="J11" s="27"/>
      <c r="K11" s="45">
        <f>E11*H11</f>
        <v>12000</v>
      </c>
      <c r="L11" s="45">
        <f t="shared" si="0"/>
        <v>12000</v>
      </c>
    </row>
    <row r="12" spans="1:12">
      <c r="A12" s="10">
        <v>7</v>
      </c>
      <c r="B12" s="76" t="s">
        <v>25</v>
      </c>
      <c r="C12" s="10" t="s">
        <v>2</v>
      </c>
      <c r="D12" s="10" t="s">
        <v>2</v>
      </c>
      <c r="E12" s="41"/>
      <c r="F12" s="41"/>
      <c r="G12" s="47"/>
      <c r="H12" s="47"/>
      <c r="I12" s="47"/>
      <c r="J12" s="27"/>
      <c r="K12" s="45"/>
      <c r="L12" s="45">
        <f t="shared" si="0"/>
        <v>0</v>
      </c>
    </row>
    <row r="13" spans="1:12" ht="67.5" customHeight="1">
      <c r="A13" s="10">
        <v>8</v>
      </c>
      <c r="B13" s="76" t="s">
        <v>26</v>
      </c>
      <c r="C13" s="10" t="s">
        <v>27</v>
      </c>
      <c r="D13" s="10">
        <v>335</v>
      </c>
      <c r="E13" s="41">
        <v>350</v>
      </c>
      <c r="F13" s="41">
        <f>D13*E13</f>
        <v>117250</v>
      </c>
      <c r="G13" s="47">
        <f>'JMS RA-01 '!I14</f>
        <v>312.33718026239995</v>
      </c>
      <c r="H13" s="47"/>
      <c r="I13" s="47">
        <f>G13+H13</f>
        <v>312.33718026239995</v>
      </c>
      <c r="J13" s="45">
        <f>E13*G13</f>
        <v>109318.01309183998</v>
      </c>
      <c r="K13" s="45">
        <f>E13*H13</f>
        <v>0</v>
      </c>
      <c r="L13" s="45">
        <f t="shared" si="0"/>
        <v>109318.01309183998</v>
      </c>
    </row>
    <row r="14" spans="1:12" ht="24" customHeight="1">
      <c r="A14" s="10">
        <v>9</v>
      </c>
      <c r="B14" s="76" t="s">
        <v>28</v>
      </c>
      <c r="C14" s="10" t="s">
        <v>2</v>
      </c>
      <c r="D14" s="10" t="s">
        <v>2</v>
      </c>
      <c r="E14" s="41"/>
      <c r="F14" s="41"/>
      <c r="G14" s="47"/>
      <c r="H14" s="47"/>
      <c r="I14" s="47"/>
      <c r="J14" s="27"/>
      <c r="K14" s="45"/>
      <c r="L14" s="45">
        <f t="shared" si="0"/>
        <v>0</v>
      </c>
    </row>
    <row r="15" spans="1:12" ht="126">
      <c r="A15" s="10">
        <v>10</v>
      </c>
      <c r="B15" s="76" t="s">
        <v>29</v>
      </c>
      <c r="C15" s="10" t="s">
        <v>30</v>
      </c>
      <c r="D15" s="10">
        <v>1830</v>
      </c>
      <c r="E15" s="41">
        <v>250</v>
      </c>
      <c r="F15" s="41">
        <f>D15*E15</f>
        <v>457500</v>
      </c>
      <c r="G15" s="47">
        <f>'JMS RA-01 '!I18</f>
        <v>1534.7287935999998</v>
      </c>
      <c r="H15" s="47"/>
      <c r="I15" s="47">
        <f>G15+H15</f>
        <v>1534.7287935999998</v>
      </c>
      <c r="J15" s="45">
        <f>E15*G15</f>
        <v>383682.19839999994</v>
      </c>
      <c r="K15" s="45">
        <f>E15*H15</f>
        <v>0</v>
      </c>
      <c r="L15" s="45">
        <f t="shared" si="0"/>
        <v>383682.19839999994</v>
      </c>
    </row>
    <row r="16" spans="1:12" ht="70">
      <c r="A16" s="10">
        <v>11</v>
      </c>
      <c r="B16" s="76" t="s">
        <v>31</v>
      </c>
      <c r="C16" s="10" t="s">
        <v>30</v>
      </c>
      <c r="D16" s="10">
        <v>2283</v>
      </c>
      <c r="E16" s="41">
        <v>110</v>
      </c>
      <c r="F16" s="41">
        <f>D16*E16</f>
        <v>251130</v>
      </c>
      <c r="G16" s="47">
        <f>'JMS RA-01 '!I30</f>
        <v>1818.5246271999997</v>
      </c>
      <c r="H16" s="47"/>
      <c r="I16" s="47">
        <f>G16+H16</f>
        <v>1818.5246271999997</v>
      </c>
      <c r="J16" s="45">
        <f>E16*G16</f>
        <v>200037.70899199997</v>
      </c>
      <c r="K16" s="45">
        <f>E16*H16</f>
        <v>0</v>
      </c>
      <c r="L16" s="45">
        <f t="shared" si="0"/>
        <v>200037.70899199997</v>
      </c>
    </row>
    <row r="17" spans="1:12">
      <c r="A17" s="10">
        <v>12</v>
      </c>
      <c r="B17" s="76" t="s">
        <v>32</v>
      </c>
      <c r="C17" s="10" t="s">
        <v>2</v>
      </c>
      <c r="D17" s="10" t="s">
        <v>2</v>
      </c>
      <c r="E17" s="41"/>
      <c r="F17" s="41"/>
      <c r="G17" s="47"/>
      <c r="H17" s="47"/>
      <c r="I17" s="47"/>
      <c r="J17" s="27"/>
      <c r="K17" s="45"/>
      <c r="L17" s="45">
        <f t="shared" si="0"/>
        <v>0</v>
      </c>
    </row>
    <row r="18" spans="1:12" ht="182">
      <c r="A18" s="10">
        <v>13</v>
      </c>
      <c r="B18" s="76" t="s">
        <v>33</v>
      </c>
      <c r="C18" s="10" t="s">
        <v>27</v>
      </c>
      <c r="D18" s="10">
        <v>446</v>
      </c>
      <c r="E18" s="41">
        <v>250</v>
      </c>
      <c r="F18" s="41">
        <f>D18*E18</f>
        <v>111500</v>
      </c>
      <c r="G18" s="47">
        <f>'JMS RA-01 '!I45</f>
        <v>218.56403957759994</v>
      </c>
      <c r="H18" s="47">
        <f>'JMS - Final '!I12</f>
        <v>270.19709999999998</v>
      </c>
      <c r="I18" s="47">
        <f>G18+H18</f>
        <v>488.76113957759992</v>
      </c>
      <c r="J18" s="45">
        <f>E18*G18</f>
        <v>54641.009894399984</v>
      </c>
      <c r="K18" s="45">
        <f t="shared" ref="K18:K28" si="1">E18*H18</f>
        <v>67549.274999999994</v>
      </c>
      <c r="L18" s="45">
        <f t="shared" si="0"/>
        <v>122190.28489439999</v>
      </c>
    </row>
    <row r="19" spans="1:12" ht="98">
      <c r="A19" s="10">
        <v>14</v>
      </c>
      <c r="B19" s="76" t="s">
        <v>34</v>
      </c>
      <c r="C19" s="10" t="s">
        <v>35</v>
      </c>
      <c r="D19" s="10">
        <v>1099</v>
      </c>
      <c r="E19" s="41">
        <v>185</v>
      </c>
      <c r="F19" s="41">
        <f>D19*E19</f>
        <v>203315</v>
      </c>
      <c r="G19" s="47">
        <f>'JMS RA-01 '!I48</f>
        <v>639.90963199999987</v>
      </c>
      <c r="H19" s="47">
        <f>'JMS - Final '!I16</f>
        <v>23.573159999999998</v>
      </c>
      <c r="I19" s="47">
        <f>G19+H19</f>
        <v>663.4827919999999</v>
      </c>
      <c r="J19" s="45">
        <f>E19*G19</f>
        <v>118383.28191999998</v>
      </c>
      <c r="K19" s="45">
        <f>E19*H19</f>
        <v>4361.0346</v>
      </c>
      <c r="L19" s="45">
        <f t="shared" si="0"/>
        <v>122744.31651999998</v>
      </c>
    </row>
    <row r="20" spans="1:12" ht="112">
      <c r="A20" s="10">
        <v>15</v>
      </c>
      <c r="B20" s="76" t="s">
        <v>36</v>
      </c>
      <c r="C20" s="10" t="s">
        <v>37</v>
      </c>
      <c r="D20" s="10">
        <v>200</v>
      </c>
      <c r="E20" s="41">
        <v>250</v>
      </c>
      <c r="F20" s="41">
        <f>D20*E20</f>
        <v>50000</v>
      </c>
      <c r="G20" s="47"/>
      <c r="H20" s="47"/>
      <c r="I20" s="47">
        <f>G20+H20</f>
        <v>0</v>
      </c>
      <c r="J20" s="27"/>
      <c r="K20" s="45">
        <f t="shared" si="1"/>
        <v>0</v>
      </c>
      <c r="L20" s="45">
        <f t="shared" si="0"/>
        <v>0</v>
      </c>
    </row>
    <row r="21" spans="1:12" ht="20.25" customHeight="1">
      <c r="A21" s="10">
        <v>16</v>
      </c>
      <c r="B21" s="76" t="s">
        <v>38</v>
      </c>
      <c r="C21" s="10" t="s">
        <v>2</v>
      </c>
      <c r="D21" s="10" t="s">
        <v>2</v>
      </c>
      <c r="E21" s="41"/>
      <c r="F21" s="41"/>
      <c r="G21" s="47"/>
      <c r="H21" s="47"/>
      <c r="I21" s="47"/>
      <c r="J21" s="27"/>
      <c r="K21" s="45">
        <f t="shared" si="1"/>
        <v>0</v>
      </c>
      <c r="L21" s="45">
        <f t="shared" si="0"/>
        <v>0</v>
      </c>
    </row>
    <row r="22" spans="1:12" ht="224">
      <c r="A22" s="10">
        <v>17</v>
      </c>
      <c r="B22" s="76" t="s">
        <v>39</v>
      </c>
      <c r="C22" s="10" t="s">
        <v>35</v>
      </c>
      <c r="D22" s="10">
        <v>658</v>
      </c>
      <c r="E22" s="41">
        <v>228</v>
      </c>
      <c r="F22" s="41">
        <f t="shared" ref="F22:F28" si="2">D22*E22</f>
        <v>150024</v>
      </c>
      <c r="G22" s="47">
        <f>'JMS RA-01 '!I57</f>
        <v>539.53375999999992</v>
      </c>
      <c r="H22" s="47"/>
      <c r="I22" s="47">
        <f t="shared" ref="I22:I28" si="3">G22+H22</f>
        <v>539.53375999999992</v>
      </c>
      <c r="J22" s="45">
        <f t="shared" ref="J22:J28" si="4">E22*G22</f>
        <v>123013.69727999998</v>
      </c>
      <c r="K22" s="45">
        <f t="shared" si="1"/>
        <v>0</v>
      </c>
      <c r="L22" s="45">
        <f t="shared" si="0"/>
        <v>123013.69727999998</v>
      </c>
    </row>
    <row r="23" spans="1:12" ht="182">
      <c r="A23" s="10">
        <v>18</v>
      </c>
      <c r="B23" s="76" t="s">
        <v>40</v>
      </c>
      <c r="C23" s="10" t="s">
        <v>41</v>
      </c>
      <c r="D23" s="10">
        <v>138</v>
      </c>
      <c r="E23" s="41">
        <v>120</v>
      </c>
      <c r="F23" s="41">
        <f t="shared" si="2"/>
        <v>16560</v>
      </c>
      <c r="G23" s="47">
        <f>'JMS RA-01 '!I61</f>
        <v>33.455999999999996</v>
      </c>
      <c r="H23" s="47"/>
      <c r="I23" s="47">
        <f t="shared" si="3"/>
        <v>33.455999999999996</v>
      </c>
      <c r="J23" s="45">
        <f t="shared" si="4"/>
        <v>4014.7199999999993</v>
      </c>
      <c r="K23" s="45">
        <f t="shared" si="1"/>
        <v>0</v>
      </c>
      <c r="L23" s="45">
        <f t="shared" si="0"/>
        <v>4014.7199999999993</v>
      </c>
    </row>
    <row r="24" spans="1:12" ht="182">
      <c r="A24" s="10">
        <v>19</v>
      </c>
      <c r="B24" s="76" t="s">
        <v>42</v>
      </c>
      <c r="C24" s="10" t="s">
        <v>35</v>
      </c>
      <c r="D24" s="10">
        <v>678</v>
      </c>
      <c r="E24" s="41">
        <v>215</v>
      </c>
      <c r="F24" s="41">
        <f t="shared" si="2"/>
        <v>145770</v>
      </c>
      <c r="G24" s="47">
        <f>'JMS RA-01 '!I65</f>
        <v>562.42763519999994</v>
      </c>
      <c r="H24" s="47"/>
      <c r="I24" s="47">
        <f t="shared" si="3"/>
        <v>562.42763519999994</v>
      </c>
      <c r="J24" s="45">
        <f t="shared" si="4"/>
        <v>120921.94156799998</v>
      </c>
      <c r="K24" s="45">
        <f t="shared" si="1"/>
        <v>0</v>
      </c>
      <c r="L24" s="45">
        <f t="shared" si="0"/>
        <v>120921.94156799998</v>
      </c>
    </row>
    <row r="25" spans="1:12" ht="168">
      <c r="A25" s="10">
        <v>20</v>
      </c>
      <c r="B25" s="76" t="s">
        <v>43</v>
      </c>
      <c r="C25" s="10" t="s">
        <v>35</v>
      </c>
      <c r="D25" s="10">
        <v>415</v>
      </c>
      <c r="E25" s="41">
        <v>190</v>
      </c>
      <c r="F25" s="41">
        <f t="shared" si="2"/>
        <v>78850</v>
      </c>
      <c r="G25" s="47">
        <f>'JMS RA-01 '!I73</f>
        <v>305.71069439999991</v>
      </c>
      <c r="H25" s="47">
        <f>'JMS - Final '!I23</f>
        <v>41.554421999999988</v>
      </c>
      <c r="I25" s="47">
        <f t="shared" si="3"/>
        <v>347.2651163999999</v>
      </c>
      <c r="J25" s="45">
        <f t="shared" si="4"/>
        <v>58085.031935999985</v>
      </c>
      <c r="K25" s="45">
        <f t="shared" si="1"/>
        <v>7895.3401799999974</v>
      </c>
      <c r="L25" s="45">
        <f t="shared" si="0"/>
        <v>65980.372115999984</v>
      </c>
    </row>
    <row r="26" spans="1:12" ht="98">
      <c r="A26" s="10">
        <v>21</v>
      </c>
      <c r="B26" s="76" t="s">
        <v>44</v>
      </c>
      <c r="C26" s="10" t="s">
        <v>45</v>
      </c>
      <c r="D26" s="10">
        <v>18</v>
      </c>
      <c r="E26" s="41">
        <v>750</v>
      </c>
      <c r="F26" s="41">
        <f t="shared" si="2"/>
        <v>13500</v>
      </c>
      <c r="G26" s="47">
        <f>'JMS RA-01 '!I78</f>
        <v>16.399999999999999</v>
      </c>
      <c r="H26" s="47"/>
      <c r="I26" s="47">
        <f t="shared" si="3"/>
        <v>16.399999999999999</v>
      </c>
      <c r="J26" s="45">
        <f t="shared" si="4"/>
        <v>12299.999999999998</v>
      </c>
      <c r="K26" s="45">
        <f t="shared" si="1"/>
        <v>0</v>
      </c>
      <c r="L26" s="45">
        <f t="shared" si="0"/>
        <v>12299.999999999998</v>
      </c>
    </row>
    <row r="27" spans="1:12" ht="84">
      <c r="A27" s="10">
        <v>22</v>
      </c>
      <c r="B27" s="76" t="s">
        <v>46</v>
      </c>
      <c r="C27" s="10" t="s">
        <v>45</v>
      </c>
      <c r="D27" s="10">
        <v>6</v>
      </c>
      <c r="E27" s="41">
        <v>750</v>
      </c>
      <c r="F27" s="41">
        <f t="shared" si="2"/>
        <v>4500</v>
      </c>
      <c r="G27" s="47">
        <f>'JMS RA-01 '!I82</f>
        <v>5.9039999999999999</v>
      </c>
      <c r="H27" s="47"/>
      <c r="I27" s="47">
        <f t="shared" si="3"/>
        <v>5.9039999999999999</v>
      </c>
      <c r="J27" s="45">
        <f t="shared" si="4"/>
        <v>4428</v>
      </c>
      <c r="K27" s="45">
        <f t="shared" si="1"/>
        <v>0</v>
      </c>
      <c r="L27" s="45">
        <f t="shared" si="0"/>
        <v>4428</v>
      </c>
    </row>
    <row r="28" spans="1:12" ht="182">
      <c r="A28" s="10">
        <v>23</v>
      </c>
      <c r="B28" s="76" t="s">
        <v>47</v>
      </c>
      <c r="C28" s="10" t="s">
        <v>35</v>
      </c>
      <c r="D28" s="10">
        <v>63</v>
      </c>
      <c r="E28" s="41">
        <v>350</v>
      </c>
      <c r="F28" s="41">
        <f t="shared" si="2"/>
        <v>22050</v>
      </c>
      <c r="G28" s="47">
        <v>63</v>
      </c>
      <c r="H28" s="47">
        <f>'JMS RA-01 '!I85-'Abtract '!G28</f>
        <v>2.088319999999996</v>
      </c>
      <c r="I28" s="47">
        <f t="shared" si="3"/>
        <v>65.088319999999996</v>
      </c>
      <c r="J28" s="45">
        <f t="shared" si="4"/>
        <v>22050</v>
      </c>
      <c r="K28" s="45">
        <f t="shared" si="1"/>
        <v>730.91199999999856</v>
      </c>
      <c r="L28" s="45">
        <f t="shared" si="0"/>
        <v>22780.912</v>
      </c>
    </row>
    <row r="29" spans="1:12">
      <c r="A29" s="10">
        <v>24</v>
      </c>
      <c r="B29" s="76" t="s">
        <v>48</v>
      </c>
      <c r="C29" s="10" t="s">
        <v>2</v>
      </c>
      <c r="D29" s="10" t="s">
        <v>2</v>
      </c>
      <c r="E29" s="41"/>
      <c r="F29" s="41"/>
      <c r="G29" s="47"/>
      <c r="H29" s="47"/>
      <c r="I29" s="47"/>
      <c r="J29" s="27"/>
      <c r="K29" s="45"/>
      <c r="L29" s="45"/>
    </row>
    <row r="30" spans="1:12" ht="112">
      <c r="A30" s="10">
        <v>25</v>
      </c>
      <c r="B30" s="76" t="s">
        <v>49</v>
      </c>
      <c r="C30" s="10" t="s">
        <v>50</v>
      </c>
      <c r="D30" s="10">
        <v>633</v>
      </c>
      <c r="E30" s="41">
        <v>300</v>
      </c>
      <c r="F30" s="41">
        <f>D30*E30</f>
        <v>189900</v>
      </c>
      <c r="G30" s="47"/>
      <c r="H30" s="47">
        <f>'JMS - Final '!I28</f>
        <v>540.39419999999996</v>
      </c>
      <c r="I30" s="47">
        <f>G30+H30</f>
        <v>540.39419999999996</v>
      </c>
      <c r="J30" s="27"/>
      <c r="K30" s="45">
        <f>E30*H30</f>
        <v>162118.25999999998</v>
      </c>
      <c r="L30" s="45">
        <f t="shared" si="0"/>
        <v>162118.25999999998</v>
      </c>
    </row>
    <row r="31" spans="1:12">
      <c r="A31" s="10">
        <v>26</v>
      </c>
      <c r="B31" s="76" t="s">
        <v>51</v>
      </c>
      <c r="C31" s="10" t="s">
        <v>2</v>
      </c>
      <c r="D31" s="10" t="s">
        <v>2</v>
      </c>
      <c r="E31" s="41"/>
      <c r="F31" s="41"/>
      <c r="G31" s="47"/>
      <c r="H31" s="47"/>
      <c r="I31" s="47"/>
      <c r="J31" s="27"/>
      <c r="K31" s="45"/>
      <c r="L31" s="45"/>
    </row>
    <row r="32" spans="1:12" ht="126">
      <c r="A32" s="10">
        <v>27</v>
      </c>
      <c r="B32" s="76" t="s">
        <v>52</v>
      </c>
      <c r="C32" s="10" t="s">
        <v>35</v>
      </c>
      <c r="D32" s="10">
        <v>18</v>
      </c>
      <c r="E32" s="41">
        <v>420</v>
      </c>
      <c r="F32" s="41">
        <f>D32*E32</f>
        <v>7560</v>
      </c>
      <c r="G32" s="47">
        <f>'JMS RA-01 '!I91</f>
        <v>13.534067199999999</v>
      </c>
      <c r="H32" s="47"/>
      <c r="I32" s="47">
        <f>G32+H32</f>
        <v>13.534067199999999</v>
      </c>
      <c r="J32" s="45">
        <f>E32*G32</f>
        <v>5684.3082239999994</v>
      </c>
      <c r="K32" s="45">
        <f>E32*H32</f>
        <v>0</v>
      </c>
      <c r="L32" s="45">
        <f t="shared" si="0"/>
        <v>5684.3082239999994</v>
      </c>
    </row>
    <row r="33" spans="1:12" ht="56">
      <c r="A33" s="10">
        <v>28</v>
      </c>
      <c r="B33" s="76" t="s">
        <v>53</v>
      </c>
      <c r="C33" s="10" t="s">
        <v>54</v>
      </c>
      <c r="D33" s="10">
        <v>54</v>
      </c>
      <c r="E33" s="41">
        <v>120</v>
      </c>
      <c r="F33" s="41">
        <f>D33*E33</f>
        <v>6480</v>
      </c>
      <c r="G33" s="47"/>
      <c r="H33" s="47">
        <f>'JMS - Final '!I32</f>
        <v>53.2</v>
      </c>
      <c r="I33" s="47">
        <f>G33+H33</f>
        <v>53.2</v>
      </c>
      <c r="J33" s="27"/>
      <c r="K33" s="45">
        <f>E33*H33</f>
        <v>6384</v>
      </c>
      <c r="L33" s="45">
        <f t="shared" si="0"/>
        <v>6384</v>
      </c>
    </row>
    <row r="34" spans="1:12">
      <c r="A34" s="10">
        <v>29</v>
      </c>
      <c r="B34" s="76" t="s">
        <v>55</v>
      </c>
      <c r="C34" s="10" t="s">
        <v>2</v>
      </c>
      <c r="D34" s="10" t="s">
        <v>2</v>
      </c>
      <c r="E34" s="41"/>
      <c r="F34" s="41"/>
      <c r="G34" s="47"/>
      <c r="H34" s="47"/>
      <c r="I34" s="47"/>
      <c r="J34" s="27"/>
      <c r="K34" s="45"/>
      <c r="L34" s="45">
        <f t="shared" si="0"/>
        <v>0</v>
      </c>
    </row>
    <row r="35" spans="1:12" ht="196">
      <c r="A35" s="10">
        <v>30</v>
      </c>
      <c r="B35" s="76" t="s">
        <v>56</v>
      </c>
      <c r="C35" s="10" t="s">
        <v>19</v>
      </c>
      <c r="D35" s="10">
        <v>22</v>
      </c>
      <c r="E35" s="41">
        <v>1250</v>
      </c>
      <c r="F35" s="41">
        <f>D35*E35</f>
        <v>27500</v>
      </c>
      <c r="G35" s="47">
        <f>'JMS RA-01 '!I96</f>
        <v>21</v>
      </c>
      <c r="H35" s="47"/>
      <c r="I35" s="47">
        <f>G35+H35</f>
        <v>21</v>
      </c>
      <c r="J35" s="45">
        <f>E35*G35</f>
        <v>26250</v>
      </c>
      <c r="K35" s="45">
        <f>E35*H35</f>
        <v>0</v>
      </c>
      <c r="L35" s="45">
        <f t="shared" si="0"/>
        <v>26250</v>
      </c>
    </row>
    <row r="36" spans="1:12" ht="112">
      <c r="A36" s="10">
        <v>31</v>
      </c>
      <c r="B36" s="76" t="s">
        <v>57</v>
      </c>
      <c r="C36" s="10" t="s">
        <v>19</v>
      </c>
      <c r="D36" s="10">
        <v>11</v>
      </c>
      <c r="E36" s="41">
        <v>1850</v>
      </c>
      <c r="F36" s="41">
        <f>D36*E36</f>
        <v>20350</v>
      </c>
      <c r="G36" s="47">
        <f>'JMS RA-01 '!I97</f>
        <v>10.650816000000001</v>
      </c>
      <c r="H36" s="47"/>
      <c r="I36" s="47">
        <f>G36+H36</f>
        <v>10.650816000000001</v>
      </c>
      <c r="J36" s="45">
        <f>E36*G36</f>
        <v>19704.009600000001</v>
      </c>
      <c r="K36" s="45">
        <f>E36*H36</f>
        <v>0</v>
      </c>
      <c r="L36" s="45">
        <f t="shared" si="0"/>
        <v>19704.009600000001</v>
      </c>
    </row>
    <row r="37" spans="1:12">
      <c r="A37" s="10">
        <v>32</v>
      </c>
      <c r="B37" s="76" t="s">
        <v>58</v>
      </c>
      <c r="C37" s="10" t="s">
        <v>2</v>
      </c>
      <c r="D37" s="10" t="s">
        <v>2</v>
      </c>
      <c r="E37" s="41"/>
      <c r="F37" s="41"/>
      <c r="G37" s="47"/>
      <c r="H37" s="47"/>
      <c r="I37" s="47"/>
      <c r="J37" s="27"/>
      <c r="K37" s="45"/>
      <c r="L37" s="45"/>
    </row>
    <row r="38" spans="1:12" ht="168">
      <c r="A38" s="10">
        <v>33</v>
      </c>
      <c r="B38" s="76" t="s">
        <v>59</v>
      </c>
      <c r="C38" s="10" t="s">
        <v>35</v>
      </c>
      <c r="D38" s="10">
        <v>275</v>
      </c>
      <c r="E38" s="41">
        <v>50</v>
      </c>
      <c r="F38" s="41">
        <f>D38*E38</f>
        <v>13750</v>
      </c>
      <c r="G38" s="47">
        <f>'JMS RA-01 '!I99</f>
        <v>231.99413759999996</v>
      </c>
      <c r="H38" s="47"/>
      <c r="I38" s="47">
        <f>G38+H38</f>
        <v>231.99413759999996</v>
      </c>
      <c r="J38" s="45">
        <f>E38*G38</f>
        <v>11599.706879999998</v>
      </c>
      <c r="K38" s="45">
        <f>E38*H38</f>
        <v>0</v>
      </c>
      <c r="L38" s="45">
        <f t="shared" si="0"/>
        <v>11599.706879999998</v>
      </c>
    </row>
    <row r="39" spans="1:12" ht="154">
      <c r="A39" s="10">
        <v>34</v>
      </c>
      <c r="B39" s="76" t="s">
        <v>60</v>
      </c>
      <c r="C39" s="10" t="s">
        <v>35</v>
      </c>
      <c r="D39" s="10">
        <v>47</v>
      </c>
      <c r="E39" s="41">
        <v>55</v>
      </c>
      <c r="F39" s="41">
        <f>D39*E39</f>
        <v>2585</v>
      </c>
      <c r="G39" s="47"/>
      <c r="H39" s="47">
        <f>'JMS - Final '!I38</f>
        <v>167.19182999999998</v>
      </c>
      <c r="I39" s="47">
        <f>G39+H39</f>
        <v>167.19182999999998</v>
      </c>
      <c r="J39" s="27"/>
      <c r="K39" s="45">
        <f>E39*H39</f>
        <v>9195.5506499999992</v>
      </c>
      <c r="L39" s="45">
        <f t="shared" si="0"/>
        <v>9195.5506499999992</v>
      </c>
    </row>
    <row r="40" spans="1:12" ht="140">
      <c r="A40" s="10">
        <v>35</v>
      </c>
      <c r="B40" s="76" t="s">
        <v>61</v>
      </c>
      <c r="C40" s="10" t="s">
        <v>35</v>
      </c>
      <c r="D40" s="10">
        <v>299</v>
      </c>
      <c r="E40" s="41">
        <v>65</v>
      </c>
      <c r="F40" s="41">
        <f>D40*E40</f>
        <v>19435</v>
      </c>
      <c r="G40" s="47"/>
      <c r="H40" s="47">
        <f>'JMS - Final '!I43</f>
        <v>388.44584999999995</v>
      </c>
      <c r="I40" s="47">
        <f>G40+H40</f>
        <v>388.44584999999995</v>
      </c>
      <c r="J40" s="27"/>
      <c r="K40" s="45">
        <f>E40*H40</f>
        <v>25248.980249999997</v>
      </c>
      <c r="L40" s="45">
        <f t="shared" si="0"/>
        <v>25248.980249999997</v>
      </c>
    </row>
    <row r="41" spans="1:12" ht="84">
      <c r="A41" s="10">
        <v>36</v>
      </c>
      <c r="B41" s="76" t="s">
        <v>62</v>
      </c>
      <c r="C41" s="10" t="s">
        <v>63</v>
      </c>
      <c r="D41" s="10">
        <v>50</v>
      </c>
      <c r="E41" s="41">
        <v>600</v>
      </c>
      <c r="F41" s="41">
        <f>D41*E41</f>
        <v>30000</v>
      </c>
      <c r="G41" s="47"/>
      <c r="H41" s="47"/>
      <c r="I41" s="47">
        <f>G41+H41</f>
        <v>0</v>
      </c>
      <c r="J41" s="27"/>
      <c r="K41" s="45">
        <f>E41*H41</f>
        <v>0</v>
      </c>
      <c r="L41" s="45">
        <f t="shared" si="0"/>
        <v>0</v>
      </c>
    </row>
    <row r="42" spans="1:12">
      <c r="A42" s="10">
        <v>37</v>
      </c>
      <c r="B42" s="76" t="s">
        <v>64</v>
      </c>
      <c r="C42" s="10" t="s">
        <v>2</v>
      </c>
      <c r="D42" s="10" t="s">
        <v>2</v>
      </c>
      <c r="E42" s="41"/>
      <c r="F42" s="41"/>
      <c r="G42" s="47"/>
      <c r="H42" s="47"/>
      <c r="I42" s="47"/>
      <c r="J42" s="27"/>
      <c r="K42" s="45"/>
      <c r="L42" s="45">
        <f t="shared" si="0"/>
        <v>0</v>
      </c>
    </row>
    <row r="43" spans="1:12" ht="126">
      <c r="A43" s="10">
        <v>38</v>
      </c>
      <c r="B43" s="76" t="s">
        <v>65</v>
      </c>
      <c r="C43" s="10" t="s">
        <v>35</v>
      </c>
      <c r="D43" s="10">
        <v>49</v>
      </c>
      <c r="E43" s="41">
        <v>1500</v>
      </c>
      <c r="F43" s="41">
        <f>D43*E43</f>
        <v>73500</v>
      </c>
      <c r="G43" s="47"/>
      <c r="H43" s="47">
        <f>'JMS - Final '!I60</f>
        <v>44.821296000000004</v>
      </c>
      <c r="I43" s="47">
        <f>G43+H43</f>
        <v>44.821296000000004</v>
      </c>
      <c r="J43" s="27"/>
      <c r="K43" s="45">
        <f>E43*H43</f>
        <v>67231.944000000003</v>
      </c>
      <c r="L43" s="45">
        <f t="shared" si="0"/>
        <v>67231.944000000003</v>
      </c>
    </row>
    <row r="44" spans="1:12">
      <c r="A44" s="10">
        <v>39</v>
      </c>
      <c r="B44" s="76" t="s">
        <v>66</v>
      </c>
      <c r="C44" s="10" t="s">
        <v>2</v>
      </c>
      <c r="D44" s="10" t="s">
        <v>2</v>
      </c>
      <c r="E44" s="41"/>
      <c r="F44" s="41"/>
      <c r="G44" s="47"/>
      <c r="H44" s="47"/>
      <c r="I44" s="47"/>
      <c r="J44" s="27"/>
      <c r="K44" s="45"/>
      <c r="L44" s="45">
        <f t="shared" si="0"/>
        <v>0</v>
      </c>
    </row>
    <row r="45" spans="1:12" ht="168">
      <c r="A45" s="10">
        <v>40</v>
      </c>
      <c r="B45" s="76" t="s">
        <v>67</v>
      </c>
      <c r="C45" s="10" t="s">
        <v>68</v>
      </c>
      <c r="D45" s="10">
        <v>12</v>
      </c>
      <c r="E45" s="41">
        <v>12800</v>
      </c>
      <c r="F45" s="41">
        <f t="shared" ref="F45:F56" si="5">D45*E45</f>
        <v>153600</v>
      </c>
      <c r="G45" s="47">
        <f>'JMS RA-01 '!I114</f>
        <v>12</v>
      </c>
      <c r="H45" s="47"/>
      <c r="I45" s="47">
        <f t="shared" ref="I45:I56" si="6">G45+H45</f>
        <v>12</v>
      </c>
      <c r="J45" s="46">
        <f>E45*G45</f>
        <v>153600</v>
      </c>
      <c r="K45" s="45">
        <f t="shared" ref="K45:K56" si="7">E45*H45</f>
        <v>0</v>
      </c>
      <c r="L45" s="45">
        <f t="shared" si="0"/>
        <v>153600</v>
      </c>
    </row>
    <row r="46" spans="1:12" ht="131.25" customHeight="1">
      <c r="A46" s="10">
        <v>41</v>
      </c>
      <c r="B46" s="76" t="s">
        <v>69</v>
      </c>
      <c r="C46" s="10" t="s">
        <v>68</v>
      </c>
      <c r="D46" s="10">
        <v>7</v>
      </c>
      <c r="E46" s="41">
        <v>14000</v>
      </c>
      <c r="F46" s="41">
        <f t="shared" si="5"/>
        <v>98000</v>
      </c>
      <c r="G46" s="47"/>
      <c r="H46" s="47"/>
      <c r="I46" s="47">
        <f t="shared" si="6"/>
        <v>0</v>
      </c>
      <c r="J46" s="46"/>
      <c r="K46" s="45">
        <f t="shared" si="7"/>
        <v>0</v>
      </c>
      <c r="L46" s="45">
        <f t="shared" si="0"/>
        <v>0</v>
      </c>
    </row>
    <row r="47" spans="1:12" ht="112">
      <c r="A47" s="10">
        <v>42</v>
      </c>
      <c r="B47" s="76" t="s">
        <v>70</v>
      </c>
      <c r="C47" s="10" t="s">
        <v>71</v>
      </c>
      <c r="D47" s="10">
        <v>4</v>
      </c>
      <c r="E47" s="41">
        <v>3000</v>
      </c>
      <c r="F47" s="41">
        <f t="shared" si="5"/>
        <v>12000</v>
      </c>
      <c r="G47" s="47">
        <f>'JMS RA-01 '!I116</f>
        <v>4</v>
      </c>
      <c r="H47" s="47"/>
      <c r="I47" s="47">
        <f t="shared" si="6"/>
        <v>4</v>
      </c>
      <c r="J47" s="45">
        <f>E47*G47</f>
        <v>12000</v>
      </c>
      <c r="K47" s="45">
        <f t="shared" si="7"/>
        <v>0</v>
      </c>
      <c r="L47" s="45">
        <f t="shared" si="0"/>
        <v>12000</v>
      </c>
    </row>
    <row r="48" spans="1:12" ht="84">
      <c r="A48" s="10">
        <v>43</v>
      </c>
      <c r="B48" s="76" t="s">
        <v>72</v>
      </c>
      <c r="C48" s="10" t="s">
        <v>68</v>
      </c>
      <c r="D48" s="10">
        <v>11</v>
      </c>
      <c r="E48" s="41">
        <v>3000</v>
      </c>
      <c r="F48" s="41">
        <f t="shared" si="5"/>
        <v>33000</v>
      </c>
      <c r="G48" s="47">
        <f>'JMS RA-01 '!I117</f>
        <v>11</v>
      </c>
      <c r="H48" s="47"/>
      <c r="I48" s="47">
        <f t="shared" si="6"/>
        <v>11</v>
      </c>
      <c r="J48" s="45">
        <f>E48*G48</f>
        <v>33000</v>
      </c>
      <c r="K48" s="45">
        <f t="shared" si="7"/>
        <v>0</v>
      </c>
      <c r="L48" s="45">
        <f t="shared" si="0"/>
        <v>33000</v>
      </c>
    </row>
    <row r="49" spans="1:12" ht="42">
      <c r="A49" s="10">
        <v>44</v>
      </c>
      <c r="B49" s="76" t="s">
        <v>73</v>
      </c>
      <c r="C49" s="10" t="s">
        <v>22</v>
      </c>
      <c r="D49" s="10">
        <v>1</v>
      </c>
      <c r="E49" s="41">
        <v>4500</v>
      </c>
      <c r="F49" s="41">
        <f t="shared" si="5"/>
        <v>4500</v>
      </c>
      <c r="G49" s="47">
        <f>'JMS RA-01 '!I118</f>
        <v>1</v>
      </c>
      <c r="H49" s="47"/>
      <c r="I49" s="47">
        <f t="shared" si="6"/>
        <v>1</v>
      </c>
      <c r="J49" s="45">
        <f>E49*G49</f>
        <v>4500</v>
      </c>
      <c r="K49" s="45">
        <f t="shared" si="7"/>
        <v>0</v>
      </c>
      <c r="L49" s="45">
        <f t="shared" si="0"/>
        <v>4500</v>
      </c>
    </row>
    <row r="50" spans="1:12" ht="98">
      <c r="A50" s="10">
        <v>45</v>
      </c>
      <c r="B50" s="76" t="s">
        <v>74</v>
      </c>
      <c r="C50" s="10" t="s">
        <v>19</v>
      </c>
      <c r="D50" s="10">
        <v>5</v>
      </c>
      <c r="E50" s="41">
        <v>4500</v>
      </c>
      <c r="F50" s="41">
        <f t="shared" si="5"/>
        <v>22500</v>
      </c>
      <c r="G50" s="27">
        <f>'JMS RA-01 '!I119</f>
        <v>5</v>
      </c>
      <c r="H50" s="27"/>
      <c r="I50" s="47">
        <f t="shared" si="6"/>
        <v>5</v>
      </c>
      <c r="J50" s="45">
        <f>E50*G50</f>
        <v>22500</v>
      </c>
      <c r="K50" s="45">
        <f t="shared" si="7"/>
        <v>0</v>
      </c>
      <c r="L50" s="45">
        <f t="shared" si="0"/>
        <v>22500</v>
      </c>
    </row>
    <row r="51" spans="1:12" ht="56">
      <c r="A51" s="10">
        <v>46</v>
      </c>
      <c r="B51" s="76" t="s">
        <v>432</v>
      </c>
      <c r="C51" s="10" t="s">
        <v>76</v>
      </c>
      <c r="D51" s="10">
        <v>70</v>
      </c>
      <c r="E51" s="41">
        <v>350</v>
      </c>
      <c r="F51" s="41">
        <f t="shared" si="5"/>
        <v>24500</v>
      </c>
      <c r="G51" s="27"/>
      <c r="H51" s="27">
        <f>'JMS - Final '!I65</f>
        <v>48</v>
      </c>
      <c r="I51" s="47">
        <f t="shared" si="6"/>
        <v>48</v>
      </c>
      <c r="J51" s="27"/>
      <c r="K51" s="45">
        <f t="shared" si="7"/>
        <v>16800</v>
      </c>
      <c r="L51" s="45">
        <f t="shared" si="0"/>
        <v>16800</v>
      </c>
    </row>
    <row r="52" spans="1:12" ht="56">
      <c r="A52" s="10">
        <v>47</v>
      </c>
      <c r="B52" s="76" t="s">
        <v>77</v>
      </c>
      <c r="C52" s="10" t="s">
        <v>22</v>
      </c>
      <c r="D52" s="10">
        <v>1</v>
      </c>
      <c r="E52" s="41">
        <v>6500</v>
      </c>
      <c r="F52" s="41">
        <f t="shared" si="5"/>
        <v>6500</v>
      </c>
      <c r="G52" s="27"/>
      <c r="H52" s="27">
        <f>'JMS - Final '!I66</f>
        <v>1</v>
      </c>
      <c r="I52" s="47">
        <f t="shared" si="6"/>
        <v>1</v>
      </c>
      <c r="J52" s="27"/>
      <c r="K52" s="45">
        <f t="shared" si="7"/>
        <v>6500</v>
      </c>
      <c r="L52" s="45">
        <f t="shared" si="0"/>
        <v>6500</v>
      </c>
    </row>
    <row r="53" spans="1:12" ht="56">
      <c r="A53" s="10">
        <v>48</v>
      </c>
      <c r="B53" s="76" t="s">
        <v>78</v>
      </c>
      <c r="C53" s="10" t="s">
        <v>22</v>
      </c>
      <c r="D53" s="10">
        <v>1</v>
      </c>
      <c r="E53" s="41">
        <v>6500</v>
      </c>
      <c r="F53" s="41">
        <f t="shared" si="5"/>
        <v>6500</v>
      </c>
      <c r="G53" s="27"/>
      <c r="H53" s="27">
        <f>'JMS - Final '!I67</f>
        <v>1</v>
      </c>
      <c r="I53" s="47">
        <f t="shared" si="6"/>
        <v>1</v>
      </c>
      <c r="J53" s="27"/>
      <c r="K53" s="45">
        <f t="shared" si="7"/>
        <v>6500</v>
      </c>
      <c r="L53" s="45">
        <f t="shared" si="0"/>
        <v>6500</v>
      </c>
    </row>
    <row r="54" spans="1:12" ht="126">
      <c r="A54" s="10">
        <v>49</v>
      </c>
      <c r="B54" s="76" t="s">
        <v>79</v>
      </c>
      <c r="C54" s="10" t="s">
        <v>22</v>
      </c>
      <c r="D54" s="10">
        <v>1</v>
      </c>
      <c r="E54" s="41">
        <v>4500</v>
      </c>
      <c r="F54" s="41">
        <f t="shared" si="5"/>
        <v>4500</v>
      </c>
      <c r="G54" s="27"/>
      <c r="H54" s="27">
        <f>'JMS - Final '!I68</f>
        <v>2</v>
      </c>
      <c r="I54" s="47">
        <f t="shared" si="6"/>
        <v>2</v>
      </c>
      <c r="J54" s="27"/>
      <c r="K54" s="45">
        <f t="shared" si="7"/>
        <v>9000</v>
      </c>
      <c r="L54" s="45">
        <f t="shared" si="0"/>
        <v>9000</v>
      </c>
    </row>
    <row r="55" spans="1:12" ht="126">
      <c r="A55" s="10">
        <v>50</v>
      </c>
      <c r="B55" s="76" t="s">
        <v>80</v>
      </c>
      <c r="C55" s="10" t="s">
        <v>22</v>
      </c>
      <c r="D55" s="10">
        <v>1</v>
      </c>
      <c r="E55" s="41">
        <v>4500</v>
      </c>
      <c r="F55" s="41">
        <f t="shared" si="5"/>
        <v>4500</v>
      </c>
      <c r="G55" s="27"/>
      <c r="H55" s="27">
        <f>'JMS - Final '!I69</f>
        <v>1</v>
      </c>
      <c r="I55" s="47">
        <f t="shared" si="6"/>
        <v>1</v>
      </c>
      <c r="J55" s="27"/>
      <c r="K55" s="45">
        <f t="shared" si="7"/>
        <v>4500</v>
      </c>
      <c r="L55" s="45">
        <f t="shared" si="0"/>
        <v>4500</v>
      </c>
    </row>
    <row r="56" spans="1:12" ht="56">
      <c r="A56" s="10">
        <v>51</v>
      </c>
      <c r="B56" s="76" t="s">
        <v>81</v>
      </c>
      <c r="C56" s="10" t="s">
        <v>19</v>
      </c>
      <c r="D56" s="10">
        <v>10</v>
      </c>
      <c r="E56" s="41">
        <v>480</v>
      </c>
      <c r="F56" s="41">
        <f t="shared" si="5"/>
        <v>4800</v>
      </c>
      <c r="G56" s="27"/>
      <c r="H56" s="27">
        <f>'JMS - Final '!I70</f>
        <v>7.2979919999999989</v>
      </c>
      <c r="I56" s="47">
        <f t="shared" si="6"/>
        <v>7.2979919999999989</v>
      </c>
      <c r="J56" s="27"/>
      <c r="K56" s="45">
        <f t="shared" si="7"/>
        <v>3503.0361599999997</v>
      </c>
      <c r="L56" s="45">
        <f t="shared" si="0"/>
        <v>3503.0361599999997</v>
      </c>
    </row>
    <row r="57" spans="1:12">
      <c r="A57" s="10"/>
      <c r="B57" s="76"/>
      <c r="C57" s="10"/>
      <c r="D57" s="10"/>
      <c r="E57" s="41"/>
      <c r="F57" s="41"/>
      <c r="G57" s="27"/>
      <c r="H57" s="27"/>
      <c r="I57" s="27"/>
      <c r="J57" s="27"/>
      <c r="K57" s="27"/>
      <c r="L57" s="27"/>
    </row>
    <row r="58" spans="1:12">
      <c r="A58" s="15">
        <v>2</v>
      </c>
      <c r="B58" s="78" t="s">
        <v>5</v>
      </c>
      <c r="C58" s="15"/>
      <c r="D58" s="15"/>
      <c r="E58" s="44"/>
      <c r="F58" s="44">
        <f>SUM(F59:F120)</f>
        <v>815860</v>
      </c>
      <c r="G58" s="15"/>
      <c r="H58" s="15"/>
      <c r="I58" s="15"/>
      <c r="J58" s="44">
        <f>SUM(J59:J120)</f>
        <v>108021</v>
      </c>
      <c r="K58" s="44">
        <f t="shared" ref="K58:L58" si="8">SUM(K59:K120)</f>
        <v>465165</v>
      </c>
      <c r="L58" s="44">
        <f t="shared" si="8"/>
        <v>573186</v>
      </c>
    </row>
    <row r="59" spans="1:12" ht="392">
      <c r="A59" s="10">
        <v>52</v>
      </c>
      <c r="B59" s="76" t="s">
        <v>82</v>
      </c>
      <c r="C59" s="10" t="s">
        <v>83</v>
      </c>
      <c r="D59" s="10">
        <v>1</v>
      </c>
      <c r="E59" s="41">
        <v>185000</v>
      </c>
      <c r="F59" s="41">
        <f>D59*E59</f>
        <v>185000</v>
      </c>
      <c r="G59" s="27">
        <v>0</v>
      </c>
      <c r="H59" s="27"/>
      <c r="I59" s="27">
        <f>G59+H59</f>
        <v>0</v>
      </c>
      <c r="J59" s="46">
        <f>E59*G59</f>
        <v>0</v>
      </c>
      <c r="K59" s="46">
        <f>E59*H59</f>
        <v>0</v>
      </c>
      <c r="L59" s="46">
        <f>J59+K59</f>
        <v>0</v>
      </c>
    </row>
    <row r="60" spans="1:12" ht="126">
      <c r="A60" s="10">
        <v>53</v>
      </c>
      <c r="B60" s="76" t="s">
        <v>84</v>
      </c>
      <c r="C60" s="10" t="s">
        <v>83</v>
      </c>
      <c r="D60" s="10">
        <v>2</v>
      </c>
      <c r="E60" s="41">
        <v>10000</v>
      </c>
      <c r="F60" s="41">
        <f>D60*E60</f>
        <v>20000</v>
      </c>
      <c r="G60" s="27"/>
      <c r="H60" s="27">
        <f>'JMS - Final '!I73</f>
        <v>2</v>
      </c>
      <c r="I60" s="27">
        <f t="shared" ref="I60:I120" si="9">G60+H60</f>
        <v>2</v>
      </c>
      <c r="J60" s="27"/>
      <c r="K60" s="46">
        <f>E60*H60</f>
        <v>20000</v>
      </c>
      <c r="L60" s="46">
        <f t="shared" ref="L60:L120" si="10">J60+K60</f>
        <v>20000</v>
      </c>
    </row>
    <row r="61" spans="1:12">
      <c r="A61" s="10">
        <v>54</v>
      </c>
      <c r="B61" s="76" t="s">
        <v>85</v>
      </c>
      <c r="C61" s="10" t="s">
        <v>2</v>
      </c>
      <c r="D61" s="10" t="s">
        <v>2</v>
      </c>
      <c r="E61" s="41"/>
      <c r="F61" s="41"/>
      <c r="G61" s="27"/>
      <c r="H61" s="27"/>
      <c r="I61" s="27"/>
      <c r="J61" s="27"/>
      <c r="K61" s="46"/>
      <c r="L61" s="46"/>
    </row>
    <row r="62" spans="1:12">
      <c r="A62" s="10">
        <v>55</v>
      </c>
      <c r="B62" s="76" t="s">
        <v>86</v>
      </c>
      <c r="C62" s="10" t="s">
        <v>83</v>
      </c>
      <c r="D62" s="10">
        <v>2</v>
      </c>
      <c r="E62" s="41">
        <v>2500</v>
      </c>
      <c r="F62" s="41">
        <f>D62*E62</f>
        <v>5000</v>
      </c>
      <c r="G62" s="27"/>
      <c r="H62" s="27">
        <f>'JMS - Final '!I75</f>
        <v>2</v>
      </c>
      <c r="I62" s="27">
        <f t="shared" si="9"/>
        <v>2</v>
      </c>
      <c r="J62" s="27"/>
      <c r="K62" s="46">
        <f>E62*H62</f>
        <v>5000</v>
      </c>
      <c r="L62" s="46">
        <f t="shared" si="10"/>
        <v>5000</v>
      </c>
    </row>
    <row r="63" spans="1:12">
      <c r="A63" s="10">
        <v>56</v>
      </c>
      <c r="B63" s="76" t="s">
        <v>87</v>
      </c>
      <c r="C63" s="10" t="s">
        <v>83</v>
      </c>
      <c r="D63" s="10">
        <v>2</v>
      </c>
      <c r="E63" s="41">
        <v>2500</v>
      </c>
      <c r="F63" s="41">
        <f>D63*E63</f>
        <v>5000</v>
      </c>
      <c r="G63" s="27"/>
      <c r="H63" s="27">
        <f>'JMS - Final '!I76</f>
        <v>2</v>
      </c>
      <c r="I63" s="27">
        <f t="shared" si="9"/>
        <v>2</v>
      </c>
      <c r="J63" s="27"/>
      <c r="K63" s="46">
        <f>E63*H63</f>
        <v>5000</v>
      </c>
      <c r="L63" s="46">
        <f t="shared" si="10"/>
        <v>5000</v>
      </c>
    </row>
    <row r="64" spans="1:12" ht="28">
      <c r="A64" s="10">
        <v>57</v>
      </c>
      <c r="B64" s="76" t="s">
        <v>88</v>
      </c>
      <c r="C64" s="10" t="s">
        <v>83</v>
      </c>
      <c r="D64" s="10">
        <v>1</v>
      </c>
      <c r="E64" s="41">
        <v>2500</v>
      </c>
      <c r="F64" s="41">
        <f>D64*E64</f>
        <v>2500</v>
      </c>
      <c r="G64" s="27"/>
      <c r="H64" s="27">
        <f>'JMS - Final '!I77</f>
        <v>1</v>
      </c>
      <c r="I64" s="27">
        <f t="shared" si="9"/>
        <v>1</v>
      </c>
      <c r="J64" s="27"/>
      <c r="K64" s="46">
        <f>E64*H64</f>
        <v>2500</v>
      </c>
      <c r="L64" s="46">
        <f t="shared" si="10"/>
        <v>2500</v>
      </c>
    </row>
    <row r="65" spans="1:12">
      <c r="A65" s="10">
        <v>58</v>
      </c>
      <c r="B65" s="76" t="s">
        <v>89</v>
      </c>
      <c r="C65" s="10" t="s">
        <v>2</v>
      </c>
      <c r="D65" s="10" t="s">
        <v>2</v>
      </c>
      <c r="E65" s="41"/>
      <c r="F65" s="41"/>
      <c r="G65" s="27"/>
      <c r="H65" s="27"/>
      <c r="I65" s="27"/>
      <c r="J65" s="27"/>
      <c r="K65" s="46"/>
      <c r="L65" s="46"/>
    </row>
    <row r="66" spans="1:12" ht="42">
      <c r="A66" s="10">
        <v>59</v>
      </c>
      <c r="B66" s="76" t="s">
        <v>90</v>
      </c>
      <c r="C66" s="10" t="s">
        <v>83</v>
      </c>
      <c r="D66" s="10">
        <v>1</v>
      </c>
      <c r="E66" s="41">
        <v>7000</v>
      </c>
      <c r="F66" s="41">
        <f t="shared" ref="F66:F71" si="11">D66*E66</f>
        <v>7000</v>
      </c>
      <c r="G66" s="27"/>
      <c r="H66" s="27">
        <f>'JMS - Final '!I79</f>
        <v>1</v>
      </c>
      <c r="I66" s="27">
        <f t="shared" si="9"/>
        <v>1</v>
      </c>
      <c r="J66" s="27"/>
      <c r="K66" s="46">
        <f t="shared" ref="K66:K78" si="12">E66*H66</f>
        <v>7000</v>
      </c>
      <c r="L66" s="46">
        <f t="shared" si="10"/>
        <v>7000</v>
      </c>
    </row>
    <row r="67" spans="1:12" ht="42">
      <c r="A67" s="10">
        <v>60</v>
      </c>
      <c r="B67" s="76" t="s">
        <v>91</v>
      </c>
      <c r="C67" s="10" t="s">
        <v>83</v>
      </c>
      <c r="D67" s="10">
        <v>23</v>
      </c>
      <c r="E67" s="41">
        <v>950</v>
      </c>
      <c r="F67" s="41">
        <f t="shared" si="11"/>
        <v>21850</v>
      </c>
      <c r="G67" s="27"/>
      <c r="H67" s="27">
        <f>'JMS - Final '!I80</f>
        <v>23</v>
      </c>
      <c r="I67" s="27">
        <f t="shared" si="9"/>
        <v>23</v>
      </c>
      <c r="J67" s="27"/>
      <c r="K67" s="46">
        <f t="shared" si="12"/>
        <v>21850</v>
      </c>
      <c r="L67" s="46">
        <f t="shared" si="10"/>
        <v>21850</v>
      </c>
    </row>
    <row r="68" spans="1:12" ht="42">
      <c r="A68" s="10">
        <v>61</v>
      </c>
      <c r="B68" s="76" t="s">
        <v>92</v>
      </c>
      <c r="C68" s="10" t="s">
        <v>83</v>
      </c>
      <c r="D68" s="10">
        <v>47</v>
      </c>
      <c r="E68" s="41">
        <v>750</v>
      </c>
      <c r="F68" s="41">
        <f t="shared" si="11"/>
        <v>35250</v>
      </c>
      <c r="G68" s="27"/>
      <c r="H68" s="27">
        <f>'JMS - Final '!I81</f>
        <v>47</v>
      </c>
      <c r="I68" s="27">
        <f t="shared" si="9"/>
        <v>47</v>
      </c>
      <c r="J68" s="27"/>
      <c r="K68" s="46">
        <f t="shared" si="12"/>
        <v>35250</v>
      </c>
      <c r="L68" s="46">
        <f t="shared" si="10"/>
        <v>35250</v>
      </c>
    </row>
    <row r="69" spans="1:12" ht="28">
      <c r="A69" s="10">
        <v>62</v>
      </c>
      <c r="B69" s="76" t="s">
        <v>93</v>
      </c>
      <c r="C69" s="10" t="s">
        <v>83</v>
      </c>
      <c r="D69" s="10">
        <v>2</v>
      </c>
      <c r="E69" s="41">
        <v>3500</v>
      </c>
      <c r="F69" s="41">
        <f t="shared" si="11"/>
        <v>7000</v>
      </c>
      <c r="G69" s="27"/>
      <c r="H69" s="27">
        <f>'JMS - Final '!I82</f>
        <v>2</v>
      </c>
      <c r="I69" s="27">
        <f t="shared" si="9"/>
        <v>2</v>
      </c>
      <c r="J69" s="27"/>
      <c r="K69" s="46">
        <f>E69*H69</f>
        <v>7000</v>
      </c>
      <c r="L69" s="46">
        <f t="shared" si="10"/>
        <v>7000</v>
      </c>
    </row>
    <row r="70" spans="1:12">
      <c r="A70" s="10">
        <v>63</v>
      </c>
      <c r="B70" s="76" t="s">
        <v>94</v>
      </c>
      <c r="C70" s="10" t="s">
        <v>83</v>
      </c>
      <c r="D70" s="10">
        <v>3</v>
      </c>
      <c r="E70" s="41">
        <v>3000</v>
      </c>
      <c r="F70" s="41">
        <f t="shared" si="11"/>
        <v>9000</v>
      </c>
      <c r="G70" s="27"/>
      <c r="H70" s="27"/>
      <c r="I70" s="27">
        <f t="shared" si="9"/>
        <v>0</v>
      </c>
      <c r="J70" s="27"/>
      <c r="K70" s="46">
        <f t="shared" si="12"/>
        <v>0</v>
      </c>
      <c r="L70" s="46">
        <f t="shared" si="10"/>
        <v>0</v>
      </c>
    </row>
    <row r="71" spans="1:12" ht="30" customHeight="1">
      <c r="A71" s="10">
        <v>64</v>
      </c>
      <c r="B71" s="76" t="s">
        <v>95</v>
      </c>
      <c r="C71" s="10" t="s">
        <v>83</v>
      </c>
      <c r="D71" s="10">
        <v>4</v>
      </c>
      <c r="E71" s="41">
        <v>4500</v>
      </c>
      <c r="F71" s="41">
        <f t="shared" si="11"/>
        <v>18000</v>
      </c>
      <c r="G71" s="27"/>
      <c r="H71" s="27">
        <f>'JMS - Final '!I84</f>
        <v>5</v>
      </c>
      <c r="I71" s="27">
        <f t="shared" si="9"/>
        <v>5</v>
      </c>
      <c r="J71" s="27"/>
      <c r="K71" s="46">
        <f t="shared" si="12"/>
        <v>22500</v>
      </c>
      <c r="L71" s="46">
        <f t="shared" si="10"/>
        <v>22500</v>
      </c>
    </row>
    <row r="72" spans="1:12" ht="294">
      <c r="A72" s="10">
        <v>65</v>
      </c>
      <c r="B72" s="76" t="s">
        <v>96</v>
      </c>
      <c r="C72" s="10" t="s">
        <v>2</v>
      </c>
      <c r="D72" s="10" t="s">
        <v>2</v>
      </c>
      <c r="E72" s="41"/>
      <c r="F72" s="41"/>
      <c r="G72" s="27"/>
      <c r="H72" s="27"/>
      <c r="I72" s="27">
        <f t="shared" si="9"/>
        <v>0</v>
      </c>
      <c r="J72" s="27"/>
      <c r="K72" s="46">
        <f t="shared" si="12"/>
        <v>0</v>
      </c>
      <c r="L72" s="46">
        <f t="shared" si="10"/>
        <v>0</v>
      </c>
    </row>
    <row r="73" spans="1:12" ht="140">
      <c r="A73" s="10">
        <v>66</v>
      </c>
      <c r="B73" s="76" t="s">
        <v>97</v>
      </c>
      <c r="C73" s="10" t="s">
        <v>2</v>
      </c>
      <c r="D73" s="10" t="s">
        <v>2</v>
      </c>
      <c r="E73" s="41"/>
      <c r="F73" s="41"/>
      <c r="G73" s="27"/>
      <c r="H73" s="27"/>
      <c r="I73" s="27">
        <f t="shared" si="9"/>
        <v>0</v>
      </c>
      <c r="J73" s="27"/>
      <c r="K73" s="46">
        <f t="shared" si="12"/>
        <v>0</v>
      </c>
      <c r="L73" s="46">
        <f t="shared" si="10"/>
        <v>0</v>
      </c>
    </row>
    <row r="74" spans="1:12">
      <c r="A74" s="10">
        <v>67</v>
      </c>
      <c r="B74" s="76" t="s">
        <v>98</v>
      </c>
      <c r="C74" s="10" t="s">
        <v>99</v>
      </c>
      <c r="D74" s="10">
        <v>4</v>
      </c>
      <c r="E74" s="41">
        <v>950</v>
      </c>
      <c r="F74" s="41">
        <f>D74*E74</f>
        <v>3800</v>
      </c>
      <c r="G74" s="27"/>
      <c r="H74" s="27">
        <f>'JMS - Final '!I85</f>
        <v>4</v>
      </c>
      <c r="I74" s="27">
        <f t="shared" si="9"/>
        <v>4</v>
      </c>
      <c r="J74" s="27"/>
      <c r="K74" s="46">
        <f t="shared" si="12"/>
        <v>3800</v>
      </c>
      <c r="L74" s="46">
        <f t="shared" si="10"/>
        <v>3800</v>
      </c>
    </row>
    <row r="75" spans="1:12">
      <c r="A75" s="10">
        <v>68</v>
      </c>
      <c r="B75" s="76" t="s">
        <v>100</v>
      </c>
      <c r="C75" s="10" t="s">
        <v>99</v>
      </c>
      <c r="D75" s="10">
        <v>19</v>
      </c>
      <c r="E75" s="41">
        <v>650</v>
      </c>
      <c r="F75" s="41">
        <f>D75*E75</f>
        <v>12350</v>
      </c>
      <c r="G75" s="27"/>
      <c r="H75" s="27">
        <f>'JMS - Final '!I86</f>
        <v>13</v>
      </c>
      <c r="I75" s="27">
        <f t="shared" si="9"/>
        <v>13</v>
      </c>
      <c r="J75" s="27"/>
      <c r="K75" s="46">
        <f t="shared" si="12"/>
        <v>8450</v>
      </c>
      <c r="L75" s="46">
        <f t="shared" si="10"/>
        <v>8450</v>
      </c>
    </row>
    <row r="76" spans="1:12" ht="28">
      <c r="A76" s="10">
        <v>69</v>
      </c>
      <c r="B76" s="76" t="s">
        <v>101</v>
      </c>
      <c r="C76" s="10" t="s">
        <v>99</v>
      </c>
      <c r="D76" s="10">
        <v>150</v>
      </c>
      <c r="E76" s="41">
        <v>350</v>
      </c>
      <c r="F76" s="41">
        <f>D76*E76</f>
        <v>52500</v>
      </c>
      <c r="G76" s="27"/>
      <c r="H76" s="27">
        <f>'JMS - Final '!I87</f>
        <v>8</v>
      </c>
      <c r="I76" s="27">
        <f t="shared" si="9"/>
        <v>8</v>
      </c>
      <c r="J76" s="27"/>
      <c r="K76" s="46">
        <f t="shared" si="12"/>
        <v>2800</v>
      </c>
      <c r="L76" s="46">
        <f t="shared" si="10"/>
        <v>2800</v>
      </c>
    </row>
    <row r="77" spans="1:12" ht="56">
      <c r="A77" s="10">
        <v>70</v>
      </c>
      <c r="B77" s="76" t="s">
        <v>102</v>
      </c>
      <c r="C77" s="10" t="s">
        <v>103</v>
      </c>
      <c r="D77" s="10">
        <v>100</v>
      </c>
      <c r="E77" s="41">
        <v>200</v>
      </c>
      <c r="F77" s="41">
        <f>D77*E77</f>
        <v>20000</v>
      </c>
      <c r="G77" s="27"/>
      <c r="H77" s="27">
        <f>'JMS - Final '!I88</f>
        <v>220</v>
      </c>
      <c r="I77" s="27">
        <f t="shared" si="9"/>
        <v>220</v>
      </c>
      <c r="J77" s="27"/>
      <c r="K77" s="46">
        <f t="shared" si="12"/>
        <v>44000</v>
      </c>
      <c r="L77" s="46">
        <f t="shared" si="10"/>
        <v>44000</v>
      </c>
    </row>
    <row r="78" spans="1:12" ht="42">
      <c r="A78" s="10">
        <v>71</v>
      </c>
      <c r="B78" s="76" t="s">
        <v>104</v>
      </c>
      <c r="C78" s="10" t="s">
        <v>103</v>
      </c>
      <c r="D78" s="10">
        <v>200</v>
      </c>
      <c r="E78" s="41">
        <v>200</v>
      </c>
      <c r="F78" s="41">
        <f>D78*E78</f>
        <v>40000</v>
      </c>
      <c r="G78" s="27"/>
      <c r="H78" s="27">
        <f>'JMS - Final '!I89</f>
        <v>290</v>
      </c>
      <c r="I78" s="27">
        <f t="shared" si="9"/>
        <v>290</v>
      </c>
      <c r="J78" s="27"/>
      <c r="K78" s="46">
        <f t="shared" si="12"/>
        <v>58000</v>
      </c>
      <c r="L78" s="46">
        <f t="shared" si="10"/>
        <v>58000</v>
      </c>
    </row>
    <row r="79" spans="1:12" ht="126">
      <c r="A79" s="10">
        <v>72</v>
      </c>
      <c r="B79" s="76" t="s">
        <v>105</v>
      </c>
      <c r="C79" s="10" t="s">
        <v>2</v>
      </c>
      <c r="D79" s="10" t="s">
        <v>2</v>
      </c>
      <c r="E79" s="41"/>
      <c r="F79" s="41"/>
      <c r="G79" s="27"/>
      <c r="H79" s="27"/>
      <c r="I79" s="27"/>
      <c r="J79" s="27"/>
      <c r="K79" s="46"/>
      <c r="L79" s="46"/>
    </row>
    <row r="80" spans="1:12">
      <c r="A80" s="10">
        <v>73</v>
      </c>
      <c r="B80" s="76" t="s">
        <v>98</v>
      </c>
      <c r="C80" s="10" t="s">
        <v>22</v>
      </c>
      <c r="D80" s="10">
        <v>19</v>
      </c>
      <c r="E80" s="41">
        <v>950</v>
      </c>
      <c r="F80" s="41">
        <f>D80*E80</f>
        <v>18050</v>
      </c>
      <c r="G80" s="27"/>
      <c r="H80" s="27">
        <f>'JMS - Final '!I90</f>
        <v>4</v>
      </c>
      <c r="I80" s="27">
        <f t="shared" si="9"/>
        <v>4</v>
      </c>
      <c r="J80" s="27"/>
      <c r="K80" s="46">
        <f>E80*H80</f>
        <v>3800</v>
      </c>
      <c r="L80" s="46">
        <f t="shared" si="10"/>
        <v>3800</v>
      </c>
    </row>
    <row r="81" spans="1:12">
      <c r="A81" s="10">
        <v>74</v>
      </c>
      <c r="B81" s="76" t="s">
        <v>100</v>
      </c>
      <c r="C81" s="10" t="s">
        <v>22</v>
      </c>
      <c r="D81" s="10">
        <v>18</v>
      </c>
      <c r="E81" s="41">
        <v>650</v>
      </c>
      <c r="F81" s="41">
        <f>D81*E81</f>
        <v>11700</v>
      </c>
      <c r="G81" s="27"/>
      <c r="H81" s="27">
        <f>'JMS - Final '!I91</f>
        <v>13</v>
      </c>
      <c r="I81" s="27">
        <f t="shared" si="9"/>
        <v>13</v>
      </c>
      <c r="J81" s="27"/>
      <c r="K81" s="46">
        <f>E81*H81</f>
        <v>8450</v>
      </c>
      <c r="L81" s="46">
        <f t="shared" si="10"/>
        <v>8450</v>
      </c>
    </row>
    <row r="82" spans="1:12" ht="28">
      <c r="A82" s="10">
        <v>75</v>
      </c>
      <c r="B82" s="76" t="s">
        <v>101</v>
      </c>
      <c r="C82" s="10" t="s">
        <v>22</v>
      </c>
      <c r="D82" s="10">
        <v>16</v>
      </c>
      <c r="E82" s="41">
        <v>225</v>
      </c>
      <c r="F82" s="41">
        <f>D82*E82</f>
        <v>3600</v>
      </c>
      <c r="G82" s="27"/>
      <c r="H82" s="27">
        <f>'JMS - Final '!I92</f>
        <v>9</v>
      </c>
      <c r="I82" s="27">
        <f t="shared" si="9"/>
        <v>9</v>
      </c>
      <c r="J82" s="27"/>
      <c r="K82" s="46">
        <f>E82*H82</f>
        <v>2025</v>
      </c>
      <c r="L82" s="46">
        <f t="shared" si="10"/>
        <v>2025</v>
      </c>
    </row>
    <row r="83" spans="1:12">
      <c r="A83" s="10">
        <v>76</v>
      </c>
      <c r="B83" s="76" t="s">
        <v>106</v>
      </c>
      <c r="C83" s="10" t="s">
        <v>2</v>
      </c>
      <c r="D83" s="10" t="s">
        <v>2</v>
      </c>
      <c r="E83" s="41"/>
      <c r="F83" s="41"/>
      <c r="G83" s="27"/>
      <c r="H83" s="27"/>
      <c r="I83" s="27"/>
      <c r="J83" s="27"/>
      <c r="K83" s="46"/>
      <c r="L83" s="46"/>
    </row>
    <row r="84" spans="1:12" ht="210">
      <c r="A84" s="10">
        <v>77</v>
      </c>
      <c r="B84" s="76" t="s">
        <v>107</v>
      </c>
      <c r="C84" s="10" t="s">
        <v>99</v>
      </c>
      <c r="D84" s="10">
        <v>3</v>
      </c>
      <c r="E84" s="41">
        <v>520</v>
      </c>
      <c r="F84" s="41">
        <f>D84*E84</f>
        <v>1560</v>
      </c>
      <c r="G84" s="27">
        <v>3</v>
      </c>
      <c r="H84" s="27">
        <f>'JMS RA-01 '!I153-'Abtract '!G84</f>
        <v>9</v>
      </c>
      <c r="I84" s="27">
        <f t="shared" si="9"/>
        <v>12</v>
      </c>
      <c r="J84" s="46">
        <f>E84*G84</f>
        <v>1560</v>
      </c>
      <c r="K84" s="46">
        <f>E84*H84</f>
        <v>4680</v>
      </c>
      <c r="L84" s="46">
        <f t="shared" si="10"/>
        <v>6240</v>
      </c>
    </row>
    <row r="85" spans="1:12" ht="168">
      <c r="A85" s="10">
        <v>78</v>
      </c>
      <c r="B85" s="76" t="s">
        <v>108</v>
      </c>
      <c r="C85" s="10" t="s">
        <v>2</v>
      </c>
      <c r="D85" s="10" t="s">
        <v>2</v>
      </c>
      <c r="E85" s="41"/>
      <c r="F85" s="41"/>
      <c r="G85" s="27"/>
      <c r="H85" s="27"/>
      <c r="I85" s="27"/>
      <c r="J85" s="27"/>
      <c r="K85" s="46"/>
      <c r="L85" s="46"/>
    </row>
    <row r="86" spans="1:12" ht="28">
      <c r="A86" s="10">
        <v>79</v>
      </c>
      <c r="B86" s="76" t="s">
        <v>109</v>
      </c>
      <c r="C86" s="10" t="s">
        <v>99</v>
      </c>
      <c r="D86" s="10">
        <v>27</v>
      </c>
      <c r="E86" s="41">
        <v>750</v>
      </c>
      <c r="F86" s="41">
        <f>D86*E86</f>
        <v>20250</v>
      </c>
      <c r="G86" s="27">
        <f>'JMS RA-01 '!I155</f>
        <v>27</v>
      </c>
      <c r="H86" s="27"/>
      <c r="I86" s="27">
        <f t="shared" si="9"/>
        <v>27</v>
      </c>
      <c r="J86" s="46">
        <f>E86*G86</f>
        <v>20250</v>
      </c>
      <c r="K86" s="46">
        <f>E86*H86</f>
        <v>0</v>
      </c>
      <c r="L86" s="46">
        <f t="shared" si="10"/>
        <v>20250</v>
      </c>
    </row>
    <row r="87" spans="1:12" ht="42">
      <c r="A87" s="10">
        <v>80</v>
      </c>
      <c r="B87" s="76" t="s">
        <v>110</v>
      </c>
      <c r="C87" s="10" t="s">
        <v>99</v>
      </c>
      <c r="D87" s="10">
        <v>2</v>
      </c>
      <c r="E87" s="41">
        <v>950</v>
      </c>
      <c r="F87" s="41">
        <f>D87*E87</f>
        <v>1900</v>
      </c>
      <c r="G87" s="27">
        <f>'JMS RA-01 '!I156</f>
        <v>2</v>
      </c>
      <c r="H87" s="27"/>
      <c r="I87" s="27">
        <f t="shared" si="9"/>
        <v>2</v>
      </c>
      <c r="J87" s="46">
        <f>E87*G87</f>
        <v>1900</v>
      </c>
      <c r="K87" s="46">
        <f>E87*H87</f>
        <v>0</v>
      </c>
      <c r="L87" s="46">
        <f t="shared" si="10"/>
        <v>1900</v>
      </c>
    </row>
    <row r="88" spans="1:12" ht="70">
      <c r="A88" s="10">
        <v>81</v>
      </c>
      <c r="B88" s="76" t="s">
        <v>111</v>
      </c>
      <c r="C88" s="10" t="s">
        <v>112</v>
      </c>
      <c r="D88" s="10">
        <v>200</v>
      </c>
      <c r="E88" s="41">
        <v>350</v>
      </c>
      <c r="F88" s="41">
        <f>D88*E88</f>
        <v>70000</v>
      </c>
      <c r="G88" s="27"/>
      <c r="H88" s="27">
        <f>'JMS - Final '!I93</f>
        <v>200</v>
      </c>
      <c r="I88" s="27">
        <f t="shared" si="9"/>
        <v>200</v>
      </c>
      <c r="J88" s="27"/>
      <c r="K88" s="46">
        <f>E88*H88</f>
        <v>70000</v>
      </c>
      <c r="L88" s="46">
        <f t="shared" si="10"/>
        <v>70000</v>
      </c>
    </row>
    <row r="89" spans="1:12" ht="56">
      <c r="A89" s="10">
        <v>82</v>
      </c>
      <c r="B89" s="76" t="s">
        <v>113</v>
      </c>
      <c r="C89" s="10" t="s">
        <v>2</v>
      </c>
      <c r="D89" s="10" t="s">
        <v>2</v>
      </c>
      <c r="E89" s="41"/>
      <c r="F89" s="41"/>
      <c r="G89" s="27"/>
      <c r="H89" s="27"/>
      <c r="I89" s="27"/>
      <c r="J89" s="27"/>
      <c r="K89" s="46"/>
      <c r="L89" s="46"/>
    </row>
    <row r="90" spans="1:12">
      <c r="A90" s="10">
        <v>83</v>
      </c>
      <c r="B90" s="76" t="s">
        <v>114</v>
      </c>
      <c r="C90" s="10" t="s">
        <v>112</v>
      </c>
      <c r="D90" s="10">
        <v>50</v>
      </c>
      <c r="E90" s="41">
        <v>45</v>
      </c>
      <c r="F90" s="41">
        <f>D90*E90</f>
        <v>2250</v>
      </c>
      <c r="G90" s="27">
        <f>'JMS RA-01 '!I159</f>
        <v>38.6</v>
      </c>
      <c r="H90" s="27"/>
      <c r="I90" s="27">
        <f t="shared" si="9"/>
        <v>38.6</v>
      </c>
      <c r="J90" s="45">
        <f>E90*G90</f>
        <v>1737</v>
      </c>
      <c r="K90" s="46">
        <f>E90*H90</f>
        <v>0</v>
      </c>
      <c r="L90" s="46">
        <f t="shared" si="10"/>
        <v>1737</v>
      </c>
    </row>
    <row r="91" spans="1:12">
      <c r="A91" s="10">
        <v>84</v>
      </c>
      <c r="B91" s="76" t="s">
        <v>115</v>
      </c>
      <c r="C91" s="10" t="s">
        <v>112</v>
      </c>
      <c r="D91" s="10">
        <v>50</v>
      </c>
      <c r="E91" s="41">
        <v>65</v>
      </c>
      <c r="F91" s="41">
        <f>D91*E91</f>
        <v>3250</v>
      </c>
      <c r="G91" s="27">
        <f>'JMS RA-01 '!I160</f>
        <v>49.1</v>
      </c>
      <c r="H91" s="27"/>
      <c r="I91" s="27">
        <f t="shared" si="9"/>
        <v>49.1</v>
      </c>
      <c r="J91" s="45">
        <f>E91*G91</f>
        <v>3191.5</v>
      </c>
      <c r="K91" s="46">
        <f>E91*H91</f>
        <v>0</v>
      </c>
      <c r="L91" s="46">
        <f t="shared" si="10"/>
        <v>3191.5</v>
      </c>
    </row>
    <row r="92" spans="1:12" ht="56">
      <c r="A92" s="10">
        <v>85</v>
      </c>
      <c r="B92" s="76" t="s">
        <v>116</v>
      </c>
      <c r="C92" s="10" t="s">
        <v>2</v>
      </c>
      <c r="D92" s="10" t="s">
        <v>2</v>
      </c>
      <c r="E92" s="41"/>
      <c r="F92" s="41"/>
      <c r="G92" s="27"/>
      <c r="H92" s="27"/>
      <c r="I92" s="27">
        <f t="shared" si="9"/>
        <v>0</v>
      </c>
      <c r="J92" s="27"/>
      <c r="K92" s="46">
        <f>E92*H92</f>
        <v>0</v>
      </c>
      <c r="L92" s="46">
        <f t="shared" si="10"/>
        <v>0</v>
      </c>
    </row>
    <row r="93" spans="1:12">
      <c r="A93" s="10">
        <v>86</v>
      </c>
      <c r="B93" s="76" t="s">
        <v>115</v>
      </c>
      <c r="C93" s="10" t="s">
        <v>112</v>
      </c>
      <c r="D93" s="10">
        <v>60</v>
      </c>
      <c r="E93" s="41">
        <v>80</v>
      </c>
      <c r="F93" s="41">
        <f>D93*E93</f>
        <v>4800</v>
      </c>
      <c r="G93" s="27">
        <v>60</v>
      </c>
      <c r="H93" s="27">
        <f>'JMS RA-01 '!I170-'Abtract '!G93</f>
        <v>127</v>
      </c>
      <c r="I93" s="27">
        <f t="shared" si="9"/>
        <v>187</v>
      </c>
      <c r="J93" s="45">
        <f>E93*G93</f>
        <v>4800</v>
      </c>
      <c r="K93" s="46">
        <f>E93*H93</f>
        <v>10160</v>
      </c>
      <c r="L93" s="46">
        <f t="shared" si="10"/>
        <v>14960</v>
      </c>
    </row>
    <row r="94" spans="1:12" ht="42">
      <c r="A94" s="10">
        <v>87</v>
      </c>
      <c r="B94" s="76" t="s">
        <v>117</v>
      </c>
      <c r="C94" s="10" t="s">
        <v>112</v>
      </c>
      <c r="D94" s="10">
        <v>10</v>
      </c>
      <c r="E94" s="41">
        <v>200</v>
      </c>
      <c r="F94" s="41">
        <f>D94*E94</f>
        <v>2000</v>
      </c>
      <c r="G94" s="27"/>
      <c r="H94" s="27">
        <f>'JMS - Final '!I94</f>
        <v>46</v>
      </c>
      <c r="I94" s="27">
        <f t="shared" si="9"/>
        <v>46</v>
      </c>
      <c r="J94" s="27"/>
      <c r="K94" s="46">
        <f>E94*H94</f>
        <v>9200</v>
      </c>
      <c r="L94" s="46">
        <f t="shared" si="10"/>
        <v>9200</v>
      </c>
    </row>
    <row r="95" spans="1:12" ht="112">
      <c r="A95" s="10">
        <v>88</v>
      </c>
      <c r="B95" s="76" t="s">
        <v>118</v>
      </c>
      <c r="C95" s="10"/>
      <c r="D95" s="10"/>
      <c r="E95" s="41"/>
      <c r="F95" s="41"/>
      <c r="G95" s="27"/>
      <c r="H95" s="27"/>
      <c r="I95" s="27"/>
      <c r="J95" s="27"/>
      <c r="K95" s="46"/>
      <c r="L95" s="46"/>
    </row>
    <row r="96" spans="1:12">
      <c r="A96" s="10">
        <v>89</v>
      </c>
      <c r="B96" s="76" t="s">
        <v>119</v>
      </c>
      <c r="C96" s="10" t="s">
        <v>112</v>
      </c>
      <c r="D96" s="10">
        <v>30</v>
      </c>
      <c r="E96" s="41">
        <v>350</v>
      </c>
      <c r="F96" s="41">
        <f t="shared" ref="F96:F105" si="13">D96*E96</f>
        <v>10500</v>
      </c>
      <c r="G96" s="27"/>
      <c r="H96" s="27">
        <f>'JMS - Final '!I95</f>
        <v>30</v>
      </c>
      <c r="I96" s="27">
        <f t="shared" si="9"/>
        <v>30</v>
      </c>
      <c r="J96" s="27"/>
      <c r="K96" s="46">
        <f t="shared" ref="K96:K112" si="14">E96*H96</f>
        <v>10500</v>
      </c>
      <c r="L96" s="46">
        <f t="shared" si="10"/>
        <v>10500</v>
      </c>
    </row>
    <row r="97" spans="1:12">
      <c r="A97" s="10">
        <v>90</v>
      </c>
      <c r="B97" s="76" t="s">
        <v>120</v>
      </c>
      <c r="C97" s="10" t="s">
        <v>112</v>
      </c>
      <c r="D97" s="10">
        <v>30</v>
      </c>
      <c r="E97" s="41">
        <v>390</v>
      </c>
      <c r="F97" s="41">
        <f t="shared" si="13"/>
        <v>11700</v>
      </c>
      <c r="G97" s="27"/>
      <c r="H97" s="27"/>
      <c r="I97" s="27">
        <f t="shared" si="9"/>
        <v>0</v>
      </c>
      <c r="J97" s="27"/>
      <c r="K97" s="46">
        <f t="shared" si="14"/>
        <v>0</v>
      </c>
      <c r="L97" s="46">
        <f t="shared" si="10"/>
        <v>0</v>
      </c>
    </row>
    <row r="98" spans="1:12">
      <c r="A98" s="10">
        <v>91</v>
      </c>
      <c r="B98" s="76" t="s">
        <v>121</v>
      </c>
      <c r="C98" s="10" t="s">
        <v>112</v>
      </c>
      <c r="D98" s="10">
        <v>75</v>
      </c>
      <c r="E98" s="41">
        <v>450</v>
      </c>
      <c r="F98" s="41">
        <f t="shared" si="13"/>
        <v>33750</v>
      </c>
      <c r="G98" s="27"/>
      <c r="H98" s="27">
        <f>'JMS - Final '!I96</f>
        <v>50</v>
      </c>
      <c r="I98" s="27">
        <f t="shared" si="9"/>
        <v>50</v>
      </c>
      <c r="J98" s="27"/>
      <c r="K98" s="46">
        <f t="shared" si="14"/>
        <v>22500</v>
      </c>
      <c r="L98" s="46">
        <f t="shared" si="10"/>
        <v>22500</v>
      </c>
    </row>
    <row r="99" spans="1:12">
      <c r="A99" s="10">
        <v>92</v>
      </c>
      <c r="B99" s="76" t="s">
        <v>122</v>
      </c>
      <c r="C99" s="10" t="s">
        <v>112</v>
      </c>
      <c r="D99" s="10">
        <v>15</v>
      </c>
      <c r="E99" s="41">
        <v>400</v>
      </c>
      <c r="F99" s="41">
        <f t="shared" si="13"/>
        <v>6000</v>
      </c>
      <c r="G99" s="27"/>
      <c r="H99" s="27">
        <f>'JMS - Final '!I97</f>
        <v>14</v>
      </c>
      <c r="I99" s="27">
        <f t="shared" si="9"/>
        <v>14</v>
      </c>
      <c r="J99" s="27"/>
      <c r="K99" s="46">
        <f t="shared" si="14"/>
        <v>5600</v>
      </c>
      <c r="L99" s="46">
        <f t="shared" si="10"/>
        <v>5600</v>
      </c>
    </row>
    <row r="100" spans="1:12">
      <c r="A100" s="10">
        <v>93</v>
      </c>
      <c r="B100" s="76" t="s">
        <v>123</v>
      </c>
      <c r="C100" s="10" t="s">
        <v>112</v>
      </c>
      <c r="D100" s="10">
        <v>10</v>
      </c>
      <c r="E100" s="41">
        <v>350</v>
      </c>
      <c r="F100" s="41">
        <f t="shared" si="13"/>
        <v>3500</v>
      </c>
      <c r="G100" s="27"/>
      <c r="H100" s="27"/>
      <c r="I100" s="27">
        <f t="shared" si="9"/>
        <v>0</v>
      </c>
      <c r="J100" s="27"/>
      <c r="K100" s="46">
        <f t="shared" si="14"/>
        <v>0</v>
      </c>
      <c r="L100" s="46">
        <f t="shared" si="10"/>
        <v>0</v>
      </c>
    </row>
    <row r="101" spans="1:12">
      <c r="A101" s="10">
        <v>94</v>
      </c>
      <c r="B101" s="76" t="s">
        <v>124</v>
      </c>
      <c r="C101" s="10" t="s">
        <v>112</v>
      </c>
      <c r="D101" s="10">
        <v>30</v>
      </c>
      <c r="E101" s="41">
        <v>450</v>
      </c>
      <c r="F101" s="41">
        <f t="shared" si="13"/>
        <v>13500</v>
      </c>
      <c r="G101" s="27"/>
      <c r="H101" s="27">
        <f>'JMS - Final '!I98</f>
        <v>25</v>
      </c>
      <c r="I101" s="27">
        <f t="shared" si="9"/>
        <v>25</v>
      </c>
      <c r="J101" s="27"/>
      <c r="K101" s="46">
        <f t="shared" si="14"/>
        <v>11250</v>
      </c>
      <c r="L101" s="46">
        <f t="shared" si="10"/>
        <v>11250</v>
      </c>
    </row>
    <row r="102" spans="1:12">
      <c r="A102" s="10">
        <v>95</v>
      </c>
      <c r="B102" s="76" t="s">
        <v>125</v>
      </c>
      <c r="C102" s="10" t="s">
        <v>112</v>
      </c>
      <c r="D102" s="10">
        <v>30</v>
      </c>
      <c r="E102" s="41">
        <v>400</v>
      </c>
      <c r="F102" s="41">
        <f t="shared" si="13"/>
        <v>12000</v>
      </c>
      <c r="G102" s="27"/>
      <c r="H102" s="27"/>
      <c r="I102" s="27">
        <f t="shared" si="9"/>
        <v>0</v>
      </c>
      <c r="J102" s="27"/>
      <c r="K102" s="46">
        <f t="shared" si="14"/>
        <v>0</v>
      </c>
      <c r="L102" s="46">
        <f t="shared" si="10"/>
        <v>0</v>
      </c>
    </row>
    <row r="103" spans="1:12">
      <c r="A103" s="10">
        <v>96</v>
      </c>
      <c r="B103" s="76" t="s">
        <v>126</v>
      </c>
      <c r="C103" s="10" t="s">
        <v>112</v>
      </c>
      <c r="D103" s="10">
        <v>150</v>
      </c>
      <c r="E103" s="41">
        <v>300</v>
      </c>
      <c r="F103" s="41">
        <f t="shared" si="13"/>
        <v>45000</v>
      </c>
      <c r="G103" s="27">
        <f>'JMS RA-01 '!I186</f>
        <v>146</v>
      </c>
      <c r="H103" s="27"/>
      <c r="I103" s="27">
        <f t="shared" si="9"/>
        <v>146</v>
      </c>
      <c r="J103" s="46">
        <f>E103*G103</f>
        <v>43800</v>
      </c>
      <c r="K103" s="46">
        <f t="shared" si="14"/>
        <v>0</v>
      </c>
      <c r="L103" s="46">
        <f t="shared" si="10"/>
        <v>43800</v>
      </c>
    </row>
    <row r="104" spans="1:12">
      <c r="A104" s="10">
        <v>97</v>
      </c>
      <c r="B104" s="76" t="s">
        <v>127</v>
      </c>
      <c r="C104" s="10" t="s">
        <v>112</v>
      </c>
      <c r="D104" s="10">
        <v>15</v>
      </c>
      <c r="E104" s="41">
        <v>250</v>
      </c>
      <c r="F104" s="41">
        <f t="shared" si="13"/>
        <v>3750</v>
      </c>
      <c r="G104" s="27"/>
      <c r="H104" s="27"/>
      <c r="I104" s="27">
        <f t="shared" si="9"/>
        <v>0</v>
      </c>
      <c r="J104" s="27"/>
      <c r="K104" s="46">
        <f t="shared" si="14"/>
        <v>0</v>
      </c>
      <c r="L104" s="46">
        <f t="shared" si="10"/>
        <v>0</v>
      </c>
    </row>
    <row r="105" spans="1:12">
      <c r="A105" s="10">
        <v>98</v>
      </c>
      <c r="B105" s="76" t="s">
        <v>128</v>
      </c>
      <c r="C105" s="10" t="s">
        <v>112</v>
      </c>
      <c r="D105" s="10">
        <v>15</v>
      </c>
      <c r="E105" s="41">
        <v>280</v>
      </c>
      <c r="F105" s="41">
        <f t="shared" si="13"/>
        <v>4200</v>
      </c>
      <c r="G105" s="27"/>
      <c r="H105" s="27"/>
      <c r="I105" s="27">
        <f t="shared" si="9"/>
        <v>0</v>
      </c>
      <c r="J105" s="27"/>
      <c r="K105" s="46">
        <f t="shared" si="14"/>
        <v>0</v>
      </c>
      <c r="L105" s="46">
        <f t="shared" si="10"/>
        <v>0</v>
      </c>
    </row>
    <row r="106" spans="1:12">
      <c r="A106" s="10">
        <v>99</v>
      </c>
      <c r="B106" s="76" t="s">
        <v>129</v>
      </c>
      <c r="C106" s="10" t="s">
        <v>2</v>
      </c>
      <c r="D106" s="10" t="s">
        <v>2</v>
      </c>
      <c r="E106" s="41"/>
      <c r="F106" s="41"/>
      <c r="G106" s="27"/>
      <c r="H106" s="27"/>
      <c r="I106" s="27">
        <f t="shared" si="9"/>
        <v>0</v>
      </c>
      <c r="J106" s="27"/>
      <c r="K106" s="46">
        <f t="shared" si="14"/>
        <v>0</v>
      </c>
      <c r="L106" s="46">
        <f t="shared" si="10"/>
        <v>0</v>
      </c>
    </row>
    <row r="107" spans="1:12" ht="42">
      <c r="A107" s="10">
        <v>100</v>
      </c>
      <c r="B107" s="76" t="s">
        <v>130</v>
      </c>
      <c r="C107" s="10" t="s">
        <v>131</v>
      </c>
      <c r="D107" s="10">
        <v>100</v>
      </c>
      <c r="E107" s="41">
        <v>125</v>
      </c>
      <c r="F107" s="41">
        <f>D107*E107</f>
        <v>12500</v>
      </c>
      <c r="G107" s="27"/>
      <c r="H107" s="27">
        <f>'JMS - Final '!I99</f>
        <v>54</v>
      </c>
      <c r="I107" s="27">
        <f t="shared" si="9"/>
        <v>54</v>
      </c>
      <c r="J107" s="27"/>
      <c r="K107" s="46">
        <f t="shared" si="14"/>
        <v>6750</v>
      </c>
      <c r="L107" s="46">
        <f t="shared" si="10"/>
        <v>6750</v>
      </c>
    </row>
    <row r="108" spans="1:12" ht="28">
      <c r="A108" s="10">
        <v>101</v>
      </c>
      <c r="B108" s="76" t="s">
        <v>132</v>
      </c>
      <c r="C108" s="10" t="s">
        <v>131</v>
      </c>
      <c r="D108" s="10">
        <v>30</v>
      </c>
      <c r="E108" s="41">
        <v>90</v>
      </c>
      <c r="F108" s="41">
        <f>D108*E108</f>
        <v>2700</v>
      </c>
      <c r="G108" s="27"/>
      <c r="H108" s="27"/>
      <c r="I108" s="27">
        <f t="shared" si="9"/>
        <v>0</v>
      </c>
      <c r="J108" s="27"/>
      <c r="K108" s="46">
        <f t="shared" si="14"/>
        <v>0</v>
      </c>
      <c r="L108" s="46">
        <f t="shared" si="10"/>
        <v>0</v>
      </c>
    </row>
    <row r="109" spans="1:12">
      <c r="A109" s="10">
        <v>102</v>
      </c>
      <c r="B109" s="76" t="s">
        <v>133</v>
      </c>
      <c r="C109" s="10" t="s">
        <v>112</v>
      </c>
      <c r="D109" s="10">
        <v>10</v>
      </c>
      <c r="E109" s="41">
        <v>200</v>
      </c>
      <c r="F109" s="41">
        <f>D109*E109</f>
        <v>2000</v>
      </c>
      <c r="G109" s="27"/>
      <c r="H109" s="27"/>
      <c r="I109" s="27">
        <f t="shared" si="9"/>
        <v>0</v>
      </c>
      <c r="J109" s="27"/>
      <c r="K109" s="46">
        <f t="shared" si="14"/>
        <v>0</v>
      </c>
      <c r="L109" s="46">
        <f t="shared" si="10"/>
        <v>0</v>
      </c>
    </row>
    <row r="110" spans="1:12">
      <c r="A110" s="10">
        <v>103</v>
      </c>
      <c r="B110" s="76" t="s">
        <v>134</v>
      </c>
      <c r="C110" s="10" t="s">
        <v>2</v>
      </c>
      <c r="D110" s="10" t="s">
        <v>2</v>
      </c>
      <c r="E110" s="41"/>
      <c r="F110" s="41"/>
      <c r="G110" s="27"/>
      <c r="H110" s="27"/>
      <c r="I110" s="27">
        <f t="shared" si="9"/>
        <v>0</v>
      </c>
      <c r="J110" s="27"/>
      <c r="K110" s="46">
        <f t="shared" si="14"/>
        <v>0</v>
      </c>
      <c r="L110" s="46">
        <f t="shared" si="10"/>
        <v>0</v>
      </c>
    </row>
    <row r="111" spans="1:12" ht="56">
      <c r="A111" s="10">
        <v>104</v>
      </c>
      <c r="B111" s="76" t="s">
        <v>135</v>
      </c>
      <c r="C111" s="10" t="s">
        <v>112</v>
      </c>
      <c r="D111" s="10">
        <v>15</v>
      </c>
      <c r="E111" s="41">
        <v>750</v>
      </c>
      <c r="F111" s="41">
        <f>D111*E111</f>
        <v>11250</v>
      </c>
      <c r="G111" s="27">
        <v>15</v>
      </c>
      <c r="H111" s="27">
        <f>'JMS RA-01 '!I194-'Abtract '!G111+'JMS - Final '!I100</f>
        <v>29</v>
      </c>
      <c r="I111" s="27">
        <f t="shared" si="9"/>
        <v>44</v>
      </c>
      <c r="J111" s="46">
        <f>E111*G111</f>
        <v>11250</v>
      </c>
      <c r="K111" s="46">
        <f t="shared" si="14"/>
        <v>21750</v>
      </c>
      <c r="L111" s="46">
        <f t="shared" si="10"/>
        <v>33000</v>
      </c>
    </row>
    <row r="112" spans="1:12" ht="85.5" customHeight="1">
      <c r="A112" s="10">
        <v>105</v>
      </c>
      <c r="B112" s="76" t="s">
        <v>136</v>
      </c>
      <c r="C112" s="10" t="s">
        <v>112</v>
      </c>
      <c r="D112" s="10">
        <v>20</v>
      </c>
      <c r="E112" s="41">
        <v>650</v>
      </c>
      <c r="F112" s="41">
        <f>D112*E112</f>
        <v>13000</v>
      </c>
      <c r="G112" s="27">
        <v>20</v>
      </c>
      <c r="H112" s="27">
        <f>'JMS RA-01 '!I195-'Abtract '!G112</f>
        <v>7</v>
      </c>
      <c r="I112" s="27">
        <f t="shared" si="9"/>
        <v>27</v>
      </c>
      <c r="J112" s="46">
        <f>E112*G112</f>
        <v>13000</v>
      </c>
      <c r="K112" s="46">
        <f t="shared" si="14"/>
        <v>4550</v>
      </c>
      <c r="L112" s="46">
        <f t="shared" si="10"/>
        <v>17550</v>
      </c>
    </row>
    <row r="113" spans="1:14" ht="70">
      <c r="A113" s="10">
        <v>106</v>
      </c>
      <c r="B113" s="76" t="s">
        <v>137</v>
      </c>
      <c r="C113" s="10" t="s">
        <v>2</v>
      </c>
      <c r="D113" s="10" t="s">
        <v>2</v>
      </c>
      <c r="E113" s="41"/>
      <c r="F113" s="41"/>
      <c r="G113" s="27"/>
      <c r="H113" s="27"/>
      <c r="I113" s="27"/>
      <c r="J113" s="27"/>
      <c r="K113" s="46"/>
      <c r="L113" s="46"/>
    </row>
    <row r="114" spans="1:14">
      <c r="A114" s="10">
        <v>107</v>
      </c>
      <c r="B114" s="76" t="s">
        <v>138</v>
      </c>
      <c r="C114" s="10" t="s">
        <v>112</v>
      </c>
      <c r="D114" s="10">
        <v>10</v>
      </c>
      <c r="E114" s="41">
        <v>450</v>
      </c>
      <c r="F114" s="41">
        <f>D114*E114</f>
        <v>4500</v>
      </c>
      <c r="G114" s="27"/>
      <c r="H114" s="27"/>
      <c r="I114" s="27">
        <f t="shared" si="9"/>
        <v>0</v>
      </c>
      <c r="J114" s="27"/>
      <c r="K114" s="46">
        <f>E114*H114</f>
        <v>0</v>
      </c>
      <c r="L114" s="46">
        <f t="shared" si="10"/>
        <v>0</v>
      </c>
    </row>
    <row r="115" spans="1:14">
      <c r="A115" s="10">
        <v>108</v>
      </c>
      <c r="B115" s="76" t="s">
        <v>139</v>
      </c>
      <c r="C115" s="10" t="s">
        <v>112</v>
      </c>
      <c r="D115" s="10">
        <v>10</v>
      </c>
      <c r="E115" s="41">
        <v>380</v>
      </c>
      <c r="F115" s="41">
        <f>D115*E115</f>
        <v>3800</v>
      </c>
      <c r="G115" s="27"/>
      <c r="H115" s="27"/>
      <c r="I115" s="27">
        <f t="shared" si="9"/>
        <v>0</v>
      </c>
      <c r="J115" s="27"/>
      <c r="K115" s="46">
        <f>E115*H115</f>
        <v>0</v>
      </c>
      <c r="L115" s="46">
        <f t="shared" si="10"/>
        <v>0</v>
      </c>
    </row>
    <row r="116" spans="1:14">
      <c r="A116" s="10">
        <v>109</v>
      </c>
      <c r="B116" s="76" t="s">
        <v>140</v>
      </c>
      <c r="C116" s="10" t="s">
        <v>2</v>
      </c>
      <c r="D116" s="10" t="s">
        <v>2</v>
      </c>
      <c r="E116" s="41"/>
      <c r="F116" s="41"/>
      <c r="G116" s="27"/>
      <c r="H116" s="27"/>
      <c r="I116" s="27">
        <f t="shared" si="9"/>
        <v>0</v>
      </c>
      <c r="J116" s="27"/>
      <c r="K116" s="46">
        <f>E116*H116</f>
        <v>0</v>
      </c>
      <c r="L116" s="46">
        <f t="shared" si="10"/>
        <v>0</v>
      </c>
    </row>
    <row r="117" spans="1:14" ht="28">
      <c r="A117" s="10">
        <v>110</v>
      </c>
      <c r="B117" s="76" t="s">
        <v>141</v>
      </c>
      <c r="C117" s="10" t="s">
        <v>142</v>
      </c>
      <c r="D117" s="10">
        <v>20</v>
      </c>
      <c r="E117" s="41">
        <v>650</v>
      </c>
      <c r="F117" s="41">
        <f>D117*E117</f>
        <v>13000</v>
      </c>
      <c r="G117" s="27">
        <f>'JMS RA-01 '!I200</f>
        <v>10.050000000000001</v>
      </c>
      <c r="H117" s="27">
        <f>'JMS - Final '!I101</f>
        <v>8</v>
      </c>
      <c r="I117" s="27">
        <f t="shared" si="9"/>
        <v>18.05</v>
      </c>
      <c r="J117" s="46">
        <f>E117*G117</f>
        <v>6532.5000000000009</v>
      </c>
      <c r="K117" s="46">
        <f>E117*H117</f>
        <v>5200</v>
      </c>
      <c r="L117" s="46">
        <f t="shared" si="10"/>
        <v>11732.5</v>
      </c>
    </row>
    <row r="118" spans="1:14">
      <c r="A118" s="10">
        <v>111</v>
      </c>
      <c r="B118" s="76" t="s">
        <v>143</v>
      </c>
      <c r="C118" s="10" t="s">
        <v>2</v>
      </c>
      <c r="D118" s="10" t="s">
        <v>2</v>
      </c>
      <c r="E118" s="41"/>
      <c r="F118" s="41"/>
      <c r="G118" s="27"/>
      <c r="H118" s="27"/>
      <c r="I118" s="27"/>
      <c r="J118" s="27"/>
      <c r="K118" s="46"/>
      <c r="L118" s="46"/>
    </row>
    <row r="119" spans="1:14" ht="42" customHeight="1">
      <c r="A119" s="10">
        <v>112</v>
      </c>
      <c r="B119" s="76" t="s">
        <v>144</v>
      </c>
      <c r="C119" s="10" t="s">
        <v>145</v>
      </c>
      <c r="D119" s="10">
        <v>2</v>
      </c>
      <c r="E119" s="41">
        <v>5500</v>
      </c>
      <c r="F119" s="41">
        <f>D119*E119</f>
        <v>11000</v>
      </c>
      <c r="G119" s="27"/>
      <c r="H119" s="27">
        <f>'JMS - Final '!I102</f>
        <v>2</v>
      </c>
      <c r="I119" s="27">
        <f t="shared" si="9"/>
        <v>2</v>
      </c>
      <c r="J119" s="27"/>
      <c r="K119" s="46">
        <f>E119*H119</f>
        <v>11000</v>
      </c>
      <c r="L119" s="46">
        <f t="shared" si="10"/>
        <v>11000</v>
      </c>
    </row>
    <row r="120" spans="1:14" ht="28">
      <c r="A120" s="10">
        <v>113</v>
      </c>
      <c r="B120" s="76" t="s">
        <v>146</v>
      </c>
      <c r="C120" s="10" t="s">
        <v>147</v>
      </c>
      <c r="D120" s="10">
        <v>1</v>
      </c>
      <c r="E120" s="41">
        <v>14600</v>
      </c>
      <c r="F120" s="41">
        <f>D120*E120</f>
        <v>14600</v>
      </c>
      <c r="G120" s="27"/>
      <c r="H120" s="27">
        <f>'JMS - Final '!I103</f>
        <v>1</v>
      </c>
      <c r="I120" s="27">
        <f t="shared" si="9"/>
        <v>1</v>
      </c>
      <c r="J120" s="27"/>
      <c r="K120" s="46">
        <f>E120*H120</f>
        <v>14600</v>
      </c>
      <c r="L120" s="46">
        <f t="shared" si="10"/>
        <v>14600</v>
      </c>
    </row>
    <row r="121" spans="1:14">
      <c r="A121" s="10"/>
      <c r="B121" s="76"/>
      <c r="C121" s="10"/>
      <c r="D121" s="10"/>
      <c r="E121" s="41"/>
      <c r="F121" s="41"/>
      <c r="G121" s="27"/>
      <c r="H121" s="27"/>
      <c r="I121" s="27"/>
      <c r="J121" s="27"/>
      <c r="K121" s="27"/>
      <c r="L121" s="27"/>
    </row>
    <row r="122" spans="1:14">
      <c r="A122" s="15">
        <v>3</v>
      </c>
      <c r="B122" s="78" t="s">
        <v>6</v>
      </c>
      <c r="C122" s="15"/>
      <c r="D122" s="15"/>
      <c r="E122" s="44"/>
      <c r="F122" s="44">
        <f>SUM(F123:F150)</f>
        <v>161495</v>
      </c>
      <c r="G122" s="15"/>
      <c r="H122" s="15"/>
      <c r="I122" s="15"/>
      <c r="J122" s="44">
        <f>SUM(J123:J150)</f>
        <v>51234.8</v>
      </c>
      <c r="K122" s="44">
        <f>SUM(K123:K150)</f>
        <v>94180</v>
      </c>
      <c r="L122" s="44">
        <f>SUM(L123:L150)</f>
        <v>145414.79999999999</v>
      </c>
    </row>
    <row r="123" spans="1:14">
      <c r="A123" s="10">
        <v>114</v>
      </c>
      <c r="B123" s="76" t="s">
        <v>148</v>
      </c>
      <c r="C123" s="10" t="s">
        <v>2</v>
      </c>
      <c r="D123" s="10" t="s">
        <v>2</v>
      </c>
      <c r="E123" s="41"/>
      <c r="F123" s="41"/>
      <c r="G123" s="27"/>
      <c r="H123" s="27"/>
      <c r="I123" s="27"/>
      <c r="J123" s="27"/>
      <c r="K123" s="27"/>
      <c r="L123" s="27"/>
    </row>
    <row r="124" spans="1:14" ht="70">
      <c r="A124" s="10">
        <v>115</v>
      </c>
      <c r="B124" s="76" t="s">
        <v>149</v>
      </c>
      <c r="C124" s="10" t="s">
        <v>2</v>
      </c>
      <c r="D124" s="10" t="s">
        <v>2</v>
      </c>
      <c r="E124" s="41"/>
      <c r="F124" s="41"/>
      <c r="G124" s="27"/>
      <c r="H124" s="27"/>
      <c r="I124" s="27"/>
      <c r="J124" s="27"/>
      <c r="K124" s="27"/>
      <c r="L124" s="27"/>
    </row>
    <row r="125" spans="1:14">
      <c r="A125" s="10">
        <v>116</v>
      </c>
      <c r="B125" s="76" t="s">
        <v>150</v>
      </c>
      <c r="C125" s="10" t="s">
        <v>103</v>
      </c>
      <c r="D125" s="10">
        <v>24</v>
      </c>
      <c r="E125" s="41">
        <v>190</v>
      </c>
      <c r="F125" s="41">
        <f>D125*E125</f>
        <v>4560</v>
      </c>
      <c r="G125" s="27"/>
      <c r="H125" s="27"/>
      <c r="I125" s="27"/>
      <c r="J125" s="27"/>
      <c r="K125" s="27"/>
      <c r="L125" s="27"/>
    </row>
    <row r="126" spans="1:14">
      <c r="A126" s="10">
        <v>117</v>
      </c>
      <c r="B126" s="76" t="s">
        <v>151</v>
      </c>
      <c r="C126" s="10" t="s">
        <v>103</v>
      </c>
      <c r="D126" s="10">
        <v>32</v>
      </c>
      <c r="E126" s="41">
        <v>225</v>
      </c>
      <c r="F126" s="41">
        <f>D126*E126</f>
        <v>7200</v>
      </c>
      <c r="G126" s="27">
        <v>32</v>
      </c>
      <c r="H126" s="27">
        <f>'JMS RA-01 '!I209-'Abtract '!G126+'JMS - Final '!I106</f>
        <v>10.400000000000002</v>
      </c>
      <c r="I126" s="27">
        <f>G126+H126</f>
        <v>42.400000000000006</v>
      </c>
      <c r="J126" s="46">
        <f>E126*G126</f>
        <v>7200</v>
      </c>
      <c r="K126" s="46">
        <f>E126*H126</f>
        <v>2340.0000000000005</v>
      </c>
      <c r="L126" s="46">
        <f>J126+K126</f>
        <v>9540</v>
      </c>
      <c r="N126" s="84"/>
    </row>
    <row r="127" spans="1:14">
      <c r="A127" s="10">
        <v>118</v>
      </c>
      <c r="B127" s="76" t="s">
        <v>152</v>
      </c>
      <c r="C127" s="10" t="s">
        <v>103</v>
      </c>
      <c r="D127" s="10">
        <v>4</v>
      </c>
      <c r="E127" s="41">
        <v>280</v>
      </c>
      <c r="F127" s="41">
        <f>D127*E127</f>
        <v>1120</v>
      </c>
      <c r="G127" s="27">
        <f>'JMS RA-01 '!I214</f>
        <v>3.26</v>
      </c>
      <c r="H127" s="27"/>
      <c r="I127" s="27">
        <f t="shared" ref="I127:I150" si="15">G127+H127</f>
        <v>3.26</v>
      </c>
      <c r="J127" s="46">
        <f>E127*G127</f>
        <v>912.8</v>
      </c>
      <c r="K127" s="46">
        <f>E127*H127</f>
        <v>0</v>
      </c>
      <c r="L127" s="46">
        <f t="shared" ref="L127:L150" si="16">J127+K127</f>
        <v>912.8</v>
      </c>
    </row>
    <row r="128" spans="1:14" ht="42">
      <c r="A128" s="10">
        <v>119</v>
      </c>
      <c r="B128" s="76" t="s">
        <v>153</v>
      </c>
      <c r="C128" s="10" t="s">
        <v>2</v>
      </c>
      <c r="D128" s="10" t="s">
        <v>2</v>
      </c>
      <c r="E128" s="41"/>
      <c r="F128" s="41"/>
      <c r="G128" s="27"/>
      <c r="H128" s="27"/>
      <c r="I128" s="27"/>
      <c r="J128" s="27"/>
      <c r="K128" s="46"/>
      <c r="L128" s="46"/>
    </row>
    <row r="129" spans="1:12">
      <c r="A129" s="10">
        <v>120</v>
      </c>
      <c r="B129" s="76" t="s">
        <v>151</v>
      </c>
      <c r="C129" s="10" t="s">
        <v>22</v>
      </c>
      <c r="D129" s="10">
        <v>19</v>
      </c>
      <c r="E129" s="41">
        <v>1935</v>
      </c>
      <c r="F129" s="41">
        <f>D129*E129</f>
        <v>36765</v>
      </c>
      <c r="G129" s="27"/>
      <c r="H129" s="27">
        <f>'JMS - Final '!I108</f>
        <v>12</v>
      </c>
      <c r="I129" s="27">
        <f t="shared" si="15"/>
        <v>12</v>
      </c>
      <c r="J129" s="27"/>
      <c r="K129" s="46">
        <f>E129*H129</f>
        <v>23220</v>
      </c>
      <c r="L129" s="46">
        <f t="shared" si="16"/>
        <v>23220</v>
      </c>
    </row>
    <row r="130" spans="1:12">
      <c r="A130" s="10">
        <v>121</v>
      </c>
      <c r="B130" s="76" t="s">
        <v>152</v>
      </c>
      <c r="C130" s="10" t="s">
        <v>22</v>
      </c>
      <c r="D130" s="10">
        <v>1</v>
      </c>
      <c r="E130" s="41">
        <v>2500</v>
      </c>
      <c r="F130" s="41">
        <f>D130*E130</f>
        <v>2500</v>
      </c>
      <c r="G130" s="27">
        <f>'JMS RA-01 '!I219</f>
        <v>1</v>
      </c>
      <c r="H130" s="27">
        <f>'JMS - Final '!I109</f>
        <v>1</v>
      </c>
      <c r="I130" s="27">
        <f t="shared" si="15"/>
        <v>2</v>
      </c>
      <c r="J130" s="46">
        <f>E130*G130</f>
        <v>2500</v>
      </c>
      <c r="K130" s="46">
        <f>E130*H130</f>
        <v>2500</v>
      </c>
      <c r="L130" s="46">
        <f t="shared" si="16"/>
        <v>5000</v>
      </c>
    </row>
    <row r="131" spans="1:12">
      <c r="A131" s="10">
        <v>122</v>
      </c>
      <c r="B131" s="76" t="s">
        <v>154</v>
      </c>
      <c r="C131" s="10" t="s">
        <v>22</v>
      </c>
      <c r="D131" s="10">
        <v>1</v>
      </c>
      <c r="E131" s="41">
        <v>4500</v>
      </c>
      <c r="F131" s="41">
        <f>D131*E131</f>
        <v>4500</v>
      </c>
      <c r="G131" s="27">
        <f>'JMS RA-01 '!I220</f>
        <v>1</v>
      </c>
      <c r="H131" s="27"/>
      <c r="I131" s="27">
        <f t="shared" si="15"/>
        <v>1</v>
      </c>
      <c r="J131" s="46">
        <f>E131*G131</f>
        <v>4500</v>
      </c>
      <c r="K131" s="46">
        <f>E131*H131</f>
        <v>0</v>
      </c>
      <c r="L131" s="46">
        <f t="shared" si="16"/>
        <v>4500</v>
      </c>
    </row>
    <row r="132" spans="1:12" ht="70">
      <c r="A132" s="10">
        <v>123</v>
      </c>
      <c r="B132" s="76" t="s">
        <v>155</v>
      </c>
      <c r="C132" s="10" t="s">
        <v>2</v>
      </c>
      <c r="D132" s="10" t="s">
        <v>2</v>
      </c>
      <c r="E132" s="41"/>
      <c r="F132" s="41"/>
      <c r="G132" s="27"/>
      <c r="H132" s="27"/>
      <c r="I132" s="27"/>
      <c r="J132" s="27"/>
      <c r="K132" s="46"/>
      <c r="L132" s="46"/>
    </row>
    <row r="133" spans="1:12">
      <c r="A133" s="10">
        <v>124</v>
      </c>
      <c r="B133" s="76" t="s">
        <v>156</v>
      </c>
      <c r="C133" s="10" t="s">
        <v>157</v>
      </c>
      <c r="D133" s="10">
        <v>1</v>
      </c>
      <c r="E133" s="41">
        <v>4200</v>
      </c>
      <c r="F133" s="41">
        <f>D133*E133</f>
        <v>4200</v>
      </c>
      <c r="G133" s="27"/>
      <c r="H133" s="27">
        <f>'JMS - Final '!I111</f>
        <v>1</v>
      </c>
      <c r="I133" s="27">
        <f t="shared" si="15"/>
        <v>1</v>
      </c>
      <c r="J133" s="27"/>
      <c r="K133" s="46">
        <f>E133*H133</f>
        <v>4200</v>
      </c>
      <c r="L133" s="46">
        <f t="shared" si="16"/>
        <v>4200</v>
      </c>
    </row>
    <row r="134" spans="1:12">
      <c r="A134" s="10">
        <v>125</v>
      </c>
      <c r="B134" s="76" t="s">
        <v>158</v>
      </c>
      <c r="C134" s="10" t="s">
        <v>157</v>
      </c>
      <c r="D134" s="10">
        <v>1</v>
      </c>
      <c r="E134" s="41">
        <v>5000</v>
      </c>
      <c r="F134" s="41">
        <f>D134*E134</f>
        <v>5000</v>
      </c>
      <c r="G134" s="27"/>
      <c r="H134" s="27">
        <f>'JMS - Final '!I112</f>
        <v>1</v>
      </c>
      <c r="I134" s="27">
        <f t="shared" si="15"/>
        <v>1</v>
      </c>
      <c r="J134" s="27"/>
      <c r="K134" s="46">
        <f>E134*H134</f>
        <v>5000</v>
      </c>
      <c r="L134" s="46">
        <f t="shared" si="16"/>
        <v>5000</v>
      </c>
    </row>
    <row r="135" spans="1:12" ht="56">
      <c r="A135" s="10">
        <v>126</v>
      </c>
      <c r="B135" s="76" t="s">
        <v>159</v>
      </c>
      <c r="C135" s="10" t="s">
        <v>157</v>
      </c>
      <c r="D135" s="10">
        <v>12</v>
      </c>
      <c r="E135" s="41">
        <v>500</v>
      </c>
      <c r="F135" s="41">
        <f>D135*E135</f>
        <v>6000</v>
      </c>
      <c r="G135" s="27"/>
      <c r="H135" s="27">
        <f>'JMS - Final '!I113</f>
        <v>12</v>
      </c>
      <c r="I135" s="27">
        <f t="shared" si="15"/>
        <v>12</v>
      </c>
      <c r="J135" s="27"/>
      <c r="K135" s="46">
        <f>E135*H135</f>
        <v>6000</v>
      </c>
      <c r="L135" s="46">
        <f t="shared" si="16"/>
        <v>6000</v>
      </c>
    </row>
    <row r="136" spans="1:12">
      <c r="A136" s="10">
        <v>127</v>
      </c>
      <c r="B136" s="76" t="s">
        <v>160</v>
      </c>
      <c r="C136" s="10" t="s">
        <v>2</v>
      </c>
      <c r="D136" s="10" t="s">
        <v>2</v>
      </c>
      <c r="E136" s="41"/>
      <c r="F136" s="41"/>
      <c r="G136" s="27"/>
      <c r="H136" s="27"/>
      <c r="I136" s="27"/>
      <c r="J136" s="27"/>
      <c r="K136" s="46"/>
      <c r="L136" s="46"/>
    </row>
    <row r="137" spans="1:12" ht="140">
      <c r="A137" s="10">
        <v>128</v>
      </c>
      <c r="B137" s="76" t="s">
        <v>161</v>
      </c>
      <c r="C137" s="10" t="s">
        <v>2</v>
      </c>
      <c r="D137" s="10" t="s">
        <v>2</v>
      </c>
      <c r="E137" s="41"/>
      <c r="F137" s="41"/>
      <c r="G137" s="27"/>
      <c r="H137" s="27"/>
      <c r="I137" s="27"/>
      <c r="J137" s="27"/>
      <c r="K137" s="46"/>
      <c r="L137" s="46"/>
    </row>
    <row r="138" spans="1:12">
      <c r="A138" s="10">
        <v>129</v>
      </c>
      <c r="B138" s="76" t="s">
        <v>162</v>
      </c>
      <c r="C138" s="10" t="s">
        <v>163</v>
      </c>
      <c r="D138" s="10">
        <v>7</v>
      </c>
      <c r="E138" s="41">
        <v>200</v>
      </c>
      <c r="F138" s="41">
        <f>D138*E138</f>
        <v>1400</v>
      </c>
      <c r="G138" s="27">
        <v>7</v>
      </c>
      <c r="H138" s="27">
        <f>'JMS RA-01 '!I227-'Abtract '!G138</f>
        <v>1.0999999999999996</v>
      </c>
      <c r="I138" s="27">
        <f t="shared" si="15"/>
        <v>8.1</v>
      </c>
      <c r="J138" s="46">
        <f>E138*G138</f>
        <v>1400</v>
      </c>
      <c r="K138" s="46">
        <f>E138*H138</f>
        <v>219.99999999999994</v>
      </c>
      <c r="L138" s="46">
        <f t="shared" si="16"/>
        <v>1620</v>
      </c>
    </row>
    <row r="139" spans="1:12">
      <c r="A139" s="10">
        <v>130</v>
      </c>
      <c r="B139" s="76" t="s">
        <v>164</v>
      </c>
      <c r="C139" s="10" t="s">
        <v>163</v>
      </c>
      <c r="D139" s="10">
        <v>15</v>
      </c>
      <c r="E139" s="41">
        <v>250</v>
      </c>
      <c r="F139" s="41">
        <f>D139*E139</f>
        <v>3750</v>
      </c>
      <c r="G139" s="27"/>
      <c r="H139" s="27">
        <f>'JMS - Final '!I116</f>
        <v>13</v>
      </c>
      <c r="I139" s="27">
        <f t="shared" si="15"/>
        <v>13</v>
      </c>
      <c r="J139" s="27"/>
      <c r="K139" s="46">
        <f>E139*H139</f>
        <v>3250</v>
      </c>
      <c r="L139" s="46">
        <f t="shared" si="16"/>
        <v>3250</v>
      </c>
    </row>
    <row r="140" spans="1:12">
      <c r="A140" s="10">
        <v>131</v>
      </c>
      <c r="B140" s="76" t="s">
        <v>165</v>
      </c>
      <c r="C140" s="10" t="s">
        <v>163</v>
      </c>
      <c r="D140" s="10">
        <v>19</v>
      </c>
      <c r="E140" s="41">
        <v>450</v>
      </c>
      <c r="F140" s="41">
        <f>D140*E140</f>
        <v>8550</v>
      </c>
      <c r="G140" s="27">
        <f>'JMS RA-01 '!I231</f>
        <v>17.16</v>
      </c>
      <c r="H140" s="27"/>
      <c r="I140" s="27">
        <f t="shared" si="15"/>
        <v>17.16</v>
      </c>
      <c r="J140" s="46">
        <f>E140*G140</f>
        <v>7722</v>
      </c>
      <c r="K140" s="46">
        <f>E140*H140</f>
        <v>0</v>
      </c>
      <c r="L140" s="46">
        <f t="shared" si="16"/>
        <v>7722</v>
      </c>
    </row>
    <row r="141" spans="1:12" ht="70">
      <c r="A141" s="10">
        <v>132</v>
      </c>
      <c r="B141" s="76" t="s">
        <v>166</v>
      </c>
      <c r="C141" s="10" t="s">
        <v>22</v>
      </c>
      <c r="D141" s="10">
        <v>4</v>
      </c>
      <c r="E141" s="41">
        <v>6750</v>
      </c>
      <c r="F141" s="41">
        <f>D141*E141</f>
        <v>27000</v>
      </c>
      <c r="G141" s="27">
        <f>'JMS RA-01 '!I238</f>
        <v>4</v>
      </c>
      <c r="H141" s="27"/>
      <c r="I141" s="27">
        <f t="shared" si="15"/>
        <v>4</v>
      </c>
      <c r="J141" s="46">
        <f>E141*G141</f>
        <v>27000</v>
      </c>
      <c r="K141" s="46">
        <f>E141*H141</f>
        <v>0</v>
      </c>
      <c r="L141" s="46">
        <f t="shared" si="16"/>
        <v>27000</v>
      </c>
    </row>
    <row r="142" spans="1:12" ht="70">
      <c r="A142" s="10">
        <v>133</v>
      </c>
      <c r="B142" s="76" t="s">
        <v>167</v>
      </c>
      <c r="C142" s="10" t="s">
        <v>157</v>
      </c>
      <c r="D142" s="10">
        <v>1</v>
      </c>
      <c r="E142" s="41">
        <v>20000</v>
      </c>
      <c r="F142" s="41">
        <f>D142*E142</f>
        <v>20000</v>
      </c>
      <c r="G142" s="27"/>
      <c r="H142" s="27">
        <f>'JMS - Final '!I117</f>
        <v>1</v>
      </c>
      <c r="I142" s="27">
        <f t="shared" si="15"/>
        <v>1</v>
      </c>
      <c r="J142" s="27"/>
      <c r="K142" s="46">
        <f>E142*H142</f>
        <v>20000</v>
      </c>
      <c r="L142" s="46">
        <f t="shared" si="16"/>
        <v>20000</v>
      </c>
    </row>
    <row r="143" spans="1:12">
      <c r="A143" s="10">
        <v>134</v>
      </c>
      <c r="B143" s="76" t="s">
        <v>168</v>
      </c>
      <c r="C143" s="10" t="s">
        <v>2</v>
      </c>
      <c r="D143" s="10" t="s">
        <v>2</v>
      </c>
      <c r="E143" s="41"/>
      <c r="F143" s="41"/>
      <c r="G143" s="27"/>
      <c r="H143" s="27"/>
      <c r="I143" s="27"/>
      <c r="J143" s="27"/>
      <c r="K143" s="46"/>
      <c r="L143" s="46"/>
    </row>
    <row r="144" spans="1:12" ht="98">
      <c r="A144" s="10">
        <v>135</v>
      </c>
      <c r="B144" s="76" t="s">
        <v>169</v>
      </c>
      <c r="C144" s="10" t="s">
        <v>2</v>
      </c>
      <c r="D144" s="10" t="s">
        <v>2</v>
      </c>
      <c r="E144" s="41"/>
      <c r="F144" s="41"/>
      <c r="G144" s="27"/>
      <c r="H144" s="27"/>
      <c r="I144" s="27"/>
      <c r="J144" s="27"/>
      <c r="K144" s="46"/>
      <c r="L144" s="46"/>
    </row>
    <row r="145" spans="1:12" ht="28">
      <c r="A145" s="10">
        <v>136</v>
      </c>
      <c r="B145" s="76" t="s">
        <v>170</v>
      </c>
      <c r="C145" s="10" t="s">
        <v>145</v>
      </c>
      <c r="D145" s="10">
        <v>5</v>
      </c>
      <c r="E145" s="41">
        <v>2000</v>
      </c>
      <c r="F145" s="41">
        <f t="shared" ref="F145:F150" si="17">D145*E145</f>
        <v>10000</v>
      </c>
      <c r="G145" s="27"/>
      <c r="H145" s="27"/>
      <c r="I145" s="27">
        <f t="shared" si="15"/>
        <v>0</v>
      </c>
      <c r="J145" s="27"/>
      <c r="K145" s="46">
        <f t="shared" ref="K145:K150" si="18">E145*H145</f>
        <v>0</v>
      </c>
      <c r="L145" s="46">
        <f t="shared" si="16"/>
        <v>0</v>
      </c>
    </row>
    <row r="146" spans="1:12" ht="42">
      <c r="A146" s="10">
        <v>137</v>
      </c>
      <c r="B146" s="76" t="s">
        <v>171</v>
      </c>
      <c r="C146" s="10" t="s">
        <v>83</v>
      </c>
      <c r="D146" s="10">
        <v>1</v>
      </c>
      <c r="E146" s="41">
        <v>5000</v>
      </c>
      <c r="F146" s="41">
        <f t="shared" si="17"/>
        <v>5000</v>
      </c>
      <c r="G146" s="27"/>
      <c r="H146" s="27">
        <f>'JMS - Final '!I118</f>
        <v>3</v>
      </c>
      <c r="I146" s="27">
        <f t="shared" si="15"/>
        <v>3</v>
      </c>
      <c r="J146" s="27"/>
      <c r="K146" s="46">
        <f t="shared" si="18"/>
        <v>15000</v>
      </c>
      <c r="L146" s="46">
        <f t="shared" si="16"/>
        <v>15000</v>
      </c>
    </row>
    <row r="147" spans="1:12" ht="32.25" customHeight="1">
      <c r="A147" s="10">
        <v>138</v>
      </c>
      <c r="B147" s="76" t="s">
        <v>172</v>
      </c>
      <c r="C147" s="10" t="s">
        <v>83</v>
      </c>
      <c r="D147" s="10">
        <v>1</v>
      </c>
      <c r="E147" s="41">
        <v>3000</v>
      </c>
      <c r="F147" s="41">
        <f t="shared" si="17"/>
        <v>3000</v>
      </c>
      <c r="G147" s="27"/>
      <c r="H147" s="27">
        <f>'JMS - Final '!I119</f>
        <v>1</v>
      </c>
      <c r="I147" s="27">
        <f t="shared" si="15"/>
        <v>1</v>
      </c>
      <c r="J147" s="27"/>
      <c r="K147" s="46">
        <f t="shared" si="18"/>
        <v>3000</v>
      </c>
      <c r="L147" s="46">
        <f t="shared" si="16"/>
        <v>3000</v>
      </c>
    </row>
    <row r="148" spans="1:12" ht="28">
      <c r="A148" s="10">
        <v>139</v>
      </c>
      <c r="B148" s="76" t="s">
        <v>173</v>
      </c>
      <c r="C148" s="10" t="s">
        <v>83</v>
      </c>
      <c r="D148" s="10">
        <v>1</v>
      </c>
      <c r="E148" s="41">
        <v>1500</v>
      </c>
      <c r="F148" s="41">
        <f t="shared" si="17"/>
        <v>1500</v>
      </c>
      <c r="G148" s="27"/>
      <c r="H148" s="27"/>
      <c r="I148" s="27">
        <f t="shared" si="15"/>
        <v>0</v>
      </c>
      <c r="J148" s="27"/>
      <c r="K148" s="46">
        <f t="shared" si="18"/>
        <v>0</v>
      </c>
      <c r="L148" s="46">
        <f t="shared" si="16"/>
        <v>0</v>
      </c>
    </row>
    <row r="149" spans="1:12" ht="33.75" customHeight="1">
      <c r="A149" s="10">
        <v>140</v>
      </c>
      <c r="B149" s="76" t="s">
        <v>174</v>
      </c>
      <c r="C149" s="10" t="s">
        <v>145</v>
      </c>
      <c r="D149" s="10">
        <v>3</v>
      </c>
      <c r="E149" s="41">
        <v>750</v>
      </c>
      <c r="F149" s="41">
        <f t="shared" si="17"/>
        <v>2250</v>
      </c>
      <c r="G149" s="27"/>
      <c r="H149" s="27">
        <f>'JMS - Final '!I120</f>
        <v>3</v>
      </c>
      <c r="I149" s="27">
        <f t="shared" si="15"/>
        <v>3</v>
      </c>
      <c r="J149" s="27"/>
      <c r="K149" s="46">
        <f t="shared" si="18"/>
        <v>2250</v>
      </c>
      <c r="L149" s="46">
        <f t="shared" si="16"/>
        <v>2250</v>
      </c>
    </row>
    <row r="150" spans="1:12" ht="56">
      <c r="A150" s="10">
        <v>141</v>
      </c>
      <c r="B150" s="76" t="s">
        <v>175</v>
      </c>
      <c r="C150" s="10" t="s">
        <v>176</v>
      </c>
      <c r="D150" s="10">
        <v>6</v>
      </c>
      <c r="E150" s="41">
        <v>1200</v>
      </c>
      <c r="F150" s="41">
        <f t="shared" si="17"/>
        <v>7200</v>
      </c>
      <c r="G150" s="27"/>
      <c r="H150" s="27">
        <f>'JMS - Final '!I121</f>
        <v>6</v>
      </c>
      <c r="I150" s="27">
        <f t="shared" si="15"/>
        <v>6</v>
      </c>
      <c r="J150" s="27"/>
      <c r="K150" s="46">
        <f t="shared" si="18"/>
        <v>7200</v>
      </c>
      <c r="L150" s="46">
        <f t="shared" si="16"/>
        <v>7200</v>
      </c>
    </row>
    <row r="151" spans="1:12">
      <c r="A151" s="10"/>
      <c r="B151" s="76"/>
      <c r="C151" s="10"/>
      <c r="D151" s="10"/>
      <c r="E151" s="41"/>
      <c r="F151" s="41"/>
      <c r="G151" s="27"/>
      <c r="H151" s="27"/>
      <c r="I151" s="27"/>
      <c r="J151" s="27"/>
      <c r="K151" s="27"/>
      <c r="L151" s="27"/>
    </row>
    <row r="152" spans="1:12" ht="17.399999999999999" customHeight="1">
      <c r="A152" s="15">
        <v>4</v>
      </c>
      <c r="B152" s="79" t="s">
        <v>177</v>
      </c>
      <c r="C152" s="15"/>
      <c r="D152" s="15"/>
      <c r="E152" s="44"/>
      <c r="F152" s="44">
        <f>SUM(F153:F162)</f>
        <v>294800</v>
      </c>
      <c r="G152" s="15"/>
      <c r="H152" s="15"/>
      <c r="I152" s="15"/>
      <c r="J152" s="44">
        <f>SUM(J153:J162)</f>
        <v>0</v>
      </c>
      <c r="K152" s="44">
        <f>SUM(K153:K162)</f>
        <v>0</v>
      </c>
      <c r="L152" s="44">
        <f>SUM(L153:L162)</f>
        <v>0</v>
      </c>
    </row>
    <row r="153" spans="1:12">
      <c r="A153" s="10">
        <v>142</v>
      </c>
      <c r="B153" s="76" t="s">
        <v>177</v>
      </c>
      <c r="C153" s="10" t="s">
        <v>2</v>
      </c>
      <c r="D153" s="10" t="s">
        <v>2</v>
      </c>
      <c r="E153" s="41"/>
      <c r="F153" s="41"/>
      <c r="G153" s="27"/>
      <c r="H153" s="27"/>
      <c r="I153" s="27"/>
      <c r="J153" s="27"/>
      <c r="K153" s="27"/>
      <c r="L153" s="27"/>
    </row>
    <row r="154" spans="1:12" ht="56">
      <c r="A154" s="10">
        <v>143</v>
      </c>
      <c r="B154" s="76" t="s">
        <v>178</v>
      </c>
      <c r="C154" s="10" t="s">
        <v>145</v>
      </c>
      <c r="D154" s="10">
        <v>4</v>
      </c>
      <c r="E154" s="41">
        <v>4500</v>
      </c>
      <c r="F154" s="41">
        <f t="shared" ref="F154:F162" si="19">D154*E154</f>
        <v>18000</v>
      </c>
      <c r="G154" s="27"/>
      <c r="H154" s="27"/>
      <c r="I154" s="27"/>
      <c r="J154" s="27"/>
      <c r="K154" s="27"/>
      <c r="L154" s="27"/>
    </row>
    <row r="155" spans="1:12" ht="70">
      <c r="A155" s="10">
        <v>144</v>
      </c>
      <c r="B155" s="76" t="s">
        <v>179</v>
      </c>
      <c r="C155" s="10" t="s">
        <v>145</v>
      </c>
      <c r="D155" s="10">
        <v>1</v>
      </c>
      <c r="E155" s="41">
        <v>6500</v>
      </c>
      <c r="F155" s="41">
        <f t="shared" si="19"/>
        <v>6500</v>
      </c>
      <c r="G155" s="27"/>
      <c r="H155" s="27"/>
      <c r="I155" s="27"/>
      <c r="J155" s="27"/>
      <c r="K155" s="27"/>
      <c r="L155" s="27"/>
    </row>
    <row r="156" spans="1:12" ht="56">
      <c r="A156" s="10">
        <v>145</v>
      </c>
      <c r="B156" s="76" t="s">
        <v>180</v>
      </c>
      <c r="C156" s="10" t="s">
        <v>145</v>
      </c>
      <c r="D156" s="10">
        <v>1</v>
      </c>
      <c r="E156" s="41">
        <v>6500</v>
      </c>
      <c r="F156" s="41">
        <f t="shared" si="19"/>
        <v>6500</v>
      </c>
      <c r="G156" s="27"/>
      <c r="H156" s="27"/>
      <c r="I156" s="27"/>
      <c r="J156" s="27"/>
      <c r="K156" s="27"/>
      <c r="L156" s="27"/>
    </row>
    <row r="157" spans="1:12" ht="56">
      <c r="A157" s="10">
        <v>146</v>
      </c>
      <c r="B157" s="76" t="s">
        <v>181</v>
      </c>
      <c r="C157" s="10" t="s">
        <v>145</v>
      </c>
      <c r="D157" s="10">
        <v>4</v>
      </c>
      <c r="E157" s="41">
        <v>7500</v>
      </c>
      <c r="F157" s="41">
        <f t="shared" si="19"/>
        <v>30000</v>
      </c>
      <c r="G157" s="27"/>
      <c r="H157" s="27"/>
      <c r="I157" s="27"/>
      <c r="J157" s="27"/>
      <c r="K157" s="27"/>
      <c r="L157" s="27"/>
    </row>
    <row r="158" spans="1:12" ht="56">
      <c r="A158" s="10">
        <v>147</v>
      </c>
      <c r="B158" s="76" t="s">
        <v>182</v>
      </c>
      <c r="C158" s="10" t="s">
        <v>145</v>
      </c>
      <c r="D158" s="10">
        <v>1</v>
      </c>
      <c r="E158" s="41">
        <v>7600</v>
      </c>
      <c r="F158" s="41">
        <f t="shared" si="19"/>
        <v>7600</v>
      </c>
      <c r="G158" s="27"/>
      <c r="H158" s="27"/>
      <c r="I158" s="27"/>
      <c r="J158" s="27"/>
      <c r="K158" s="27"/>
      <c r="L158" s="27"/>
    </row>
    <row r="159" spans="1:12">
      <c r="A159" s="10">
        <v>148</v>
      </c>
      <c r="B159" s="76" t="s">
        <v>183</v>
      </c>
      <c r="C159" s="10" t="s">
        <v>145</v>
      </c>
      <c r="D159" s="10">
        <v>2</v>
      </c>
      <c r="E159" s="41">
        <v>3500</v>
      </c>
      <c r="F159" s="41">
        <f t="shared" si="19"/>
        <v>7000</v>
      </c>
      <c r="G159" s="27"/>
      <c r="H159" s="27"/>
      <c r="I159" s="27"/>
      <c r="J159" s="27"/>
      <c r="K159" s="27"/>
      <c r="L159" s="27"/>
    </row>
    <row r="160" spans="1:12" ht="42">
      <c r="A160" s="10">
        <v>149</v>
      </c>
      <c r="B160" s="76" t="s">
        <v>184</v>
      </c>
      <c r="C160" s="10" t="s">
        <v>185</v>
      </c>
      <c r="D160" s="10">
        <v>1</v>
      </c>
      <c r="E160" s="41">
        <v>135000</v>
      </c>
      <c r="F160" s="41">
        <f t="shared" si="19"/>
        <v>135000</v>
      </c>
      <c r="G160" s="27"/>
      <c r="H160" s="27"/>
      <c r="I160" s="27"/>
      <c r="J160" s="27"/>
      <c r="K160" s="27"/>
      <c r="L160" s="27"/>
    </row>
    <row r="161" spans="1:12" ht="42">
      <c r="A161" s="10">
        <v>150</v>
      </c>
      <c r="B161" s="76" t="s">
        <v>186</v>
      </c>
      <c r="C161" s="10" t="s">
        <v>187</v>
      </c>
      <c r="D161" s="10">
        <v>80</v>
      </c>
      <c r="E161" s="41">
        <v>180</v>
      </c>
      <c r="F161" s="41">
        <f t="shared" si="19"/>
        <v>14400</v>
      </c>
      <c r="G161" s="27"/>
      <c r="H161" s="27"/>
      <c r="I161" s="27"/>
      <c r="J161" s="27"/>
      <c r="K161" s="27"/>
      <c r="L161" s="27"/>
    </row>
    <row r="162" spans="1:12" ht="28">
      <c r="A162" s="10">
        <v>151</v>
      </c>
      <c r="B162" s="76" t="s">
        <v>188</v>
      </c>
      <c r="C162" s="10" t="s">
        <v>145</v>
      </c>
      <c r="D162" s="10">
        <v>1</v>
      </c>
      <c r="E162" s="41">
        <v>69800</v>
      </c>
      <c r="F162" s="41">
        <f t="shared" si="19"/>
        <v>69800</v>
      </c>
      <c r="G162" s="27"/>
      <c r="H162" s="27"/>
      <c r="I162" s="27"/>
      <c r="J162" s="27"/>
      <c r="K162" s="27"/>
      <c r="L162" s="27"/>
    </row>
    <row r="163" spans="1:12">
      <c r="A163" s="10"/>
      <c r="B163" s="76"/>
      <c r="C163" s="10"/>
      <c r="D163" s="10"/>
      <c r="E163" s="41"/>
      <c r="F163" s="41"/>
      <c r="G163" s="27"/>
      <c r="H163" s="27"/>
      <c r="I163" s="27"/>
      <c r="J163" s="27"/>
      <c r="K163" s="27"/>
      <c r="L163" s="27"/>
    </row>
    <row r="164" spans="1:12">
      <c r="A164" s="15">
        <v>5</v>
      </c>
      <c r="B164" s="78" t="s">
        <v>8</v>
      </c>
      <c r="C164" s="15"/>
      <c r="D164" s="15"/>
      <c r="E164" s="44"/>
      <c r="F164" s="44">
        <f>SUM(F165:F174)</f>
        <v>64889</v>
      </c>
      <c r="G164" s="15"/>
      <c r="H164" s="15"/>
      <c r="I164" s="15"/>
      <c r="J164" s="44">
        <f>SUM(J165:J174)</f>
        <v>40435.97</v>
      </c>
      <c r="K164" s="44">
        <f t="shared" ref="K164:L164" si="20">SUM(K165:K174)</f>
        <v>1215.3799999999999</v>
      </c>
      <c r="L164" s="44">
        <f t="shared" si="20"/>
        <v>41651.35</v>
      </c>
    </row>
    <row r="165" spans="1:12">
      <c r="A165" s="10">
        <v>152</v>
      </c>
      <c r="B165" s="76" t="s">
        <v>189</v>
      </c>
      <c r="C165" s="10" t="s">
        <v>2</v>
      </c>
      <c r="D165" s="10" t="s">
        <v>2</v>
      </c>
      <c r="E165" s="41"/>
      <c r="F165" s="41"/>
      <c r="G165" s="27"/>
      <c r="H165" s="27"/>
      <c r="I165" s="27"/>
      <c r="J165" s="27"/>
      <c r="K165" s="27"/>
      <c r="L165" s="27"/>
    </row>
    <row r="166" spans="1:12" ht="140">
      <c r="A166" s="10">
        <v>153</v>
      </c>
      <c r="B166" s="76" t="s">
        <v>190</v>
      </c>
      <c r="C166" s="10" t="s">
        <v>2</v>
      </c>
      <c r="D166" s="10" t="s">
        <v>2</v>
      </c>
      <c r="E166" s="41"/>
      <c r="F166" s="41"/>
      <c r="G166" s="27"/>
      <c r="H166" s="27"/>
      <c r="I166" s="27"/>
      <c r="J166" s="27"/>
      <c r="K166" s="27"/>
      <c r="L166" s="27"/>
    </row>
    <row r="167" spans="1:12">
      <c r="A167" s="10">
        <v>154</v>
      </c>
      <c r="B167" s="76" t="s">
        <v>191</v>
      </c>
      <c r="C167" s="10" t="s">
        <v>192</v>
      </c>
      <c r="D167" s="10">
        <v>4</v>
      </c>
      <c r="E167" s="41">
        <v>1814</v>
      </c>
      <c r="F167" s="41">
        <f t="shared" ref="F167:F174" si="21">D167*E167</f>
        <v>7256</v>
      </c>
      <c r="G167" s="27">
        <v>4</v>
      </c>
      <c r="H167" s="27">
        <f>'JMS RA-01 '!I264-'Abtract '!G167</f>
        <v>0.66999999999999993</v>
      </c>
      <c r="I167" s="27"/>
      <c r="J167" s="46">
        <f>E167*G167</f>
        <v>7256</v>
      </c>
      <c r="K167" s="46">
        <f>E167*H167</f>
        <v>1215.3799999999999</v>
      </c>
      <c r="L167" s="46">
        <f>J167+K167</f>
        <v>8471.3799999999992</v>
      </c>
    </row>
    <row r="168" spans="1:12">
      <c r="A168" s="10">
        <v>155</v>
      </c>
      <c r="B168" s="76" t="s">
        <v>193</v>
      </c>
      <c r="C168" s="10" t="s">
        <v>192</v>
      </c>
      <c r="D168" s="10">
        <v>2</v>
      </c>
      <c r="E168" s="41">
        <v>1471</v>
      </c>
      <c r="F168" s="41">
        <f t="shared" si="21"/>
        <v>2942</v>
      </c>
      <c r="G168" s="27"/>
      <c r="H168" s="27"/>
      <c r="I168" s="27"/>
      <c r="J168" s="27"/>
      <c r="K168" s="27"/>
      <c r="L168" s="27"/>
    </row>
    <row r="169" spans="1:12">
      <c r="A169" s="10">
        <v>156</v>
      </c>
      <c r="B169" s="76" t="s">
        <v>194</v>
      </c>
      <c r="C169" s="10" t="s">
        <v>192</v>
      </c>
      <c r="D169" s="10">
        <v>17</v>
      </c>
      <c r="E169" s="41">
        <v>1323</v>
      </c>
      <c r="F169" s="41">
        <f t="shared" si="21"/>
        <v>22491</v>
      </c>
      <c r="G169" s="27">
        <f>'JMS RA-01 '!I268</f>
        <v>12.39</v>
      </c>
      <c r="H169" s="27"/>
      <c r="I169" s="27"/>
      <c r="J169" s="46">
        <f>E169*G169</f>
        <v>16391.97</v>
      </c>
      <c r="K169" s="46">
        <f>E169*H169</f>
        <v>0</v>
      </c>
      <c r="L169" s="46">
        <f>J169+K169</f>
        <v>16391.97</v>
      </c>
    </row>
    <row r="170" spans="1:12" ht="112">
      <c r="A170" s="10">
        <v>157</v>
      </c>
      <c r="B170" s="76" t="s">
        <v>195</v>
      </c>
      <c r="C170" s="10" t="s">
        <v>83</v>
      </c>
      <c r="D170" s="10">
        <v>1</v>
      </c>
      <c r="E170" s="41">
        <v>10335</v>
      </c>
      <c r="F170" s="41">
        <f t="shared" si="21"/>
        <v>10335</v>
      </c>
      <c r="G170" s="27">
        <f>'JMS RA-01 '!I271</f>
        <v>1</v>
      </c>
      <c r="H170" s="27"/>
      <c r="I170" s="27"/>
      <c r="J170" s="46">
        <f>E170*G170</f>
        <v>10335</v>
      </c>
      <c r="K170" s="46">
        <f>E170*H170</f>
        <v>0</v>
      </c>
      <c r="L170" s="46">
        <f>J170+K170</f>
        <v>10335</v>
      </c>
    </row>
    <row r="171" spans="1:12" ht="84">
      <c r="A171" s="10">
        <v>158</v>
      </c>
      <c r="B171" s="76" t="s">
        <v>196</v>
      </c>
      <c r="C171" s="10" t="s">
        <v>83</v>
      </c>
      <c r="D171" s="10">
        <v>1</v>
      </c>
      <c r="E171" s="41">
        <v>6453</v>
      </c>
      <c r="F171" s="41">
        <f t="shared" si="21"/>
        <v>6453</v>
      </c>
      <c r="G171" s="27">
        <f>'JMS RA-01 '!I272</f>
        <v>1</v>
      </c>
      <c r="H171" s="27"/>
      <c r="I171" s="27"/>
      <c r="J171" s="46">
        <f>E171*G171</f>
        <v>6453</v>
      </c>
      <c r="K171" s="46">
        <f>E171*H171</f>
        <v>0</v>
      </c>
      <c r="L171" s="46">
        <f>J171+K171</f>
        <v>6453</v>
      </c>
    </row>
    <row r="172" spans="1:12" ht="98">
      <c r="A172" s="10">
        <v>159</v>
      </c>
      <c r="B172" s="76" t="s">
        <v>197</v>
      </c>
      <c r="C172" s="10" t="s">
        <v>83</v>
      </c>
      <c r="D172" s="10">
        <v>1</v>
      </c>
      <c r="E172" s="41">
        <v>3500</v>
      </c>
      <c r="F172" s="41">
        <f t="shared" si="21"/>
        <v>3500</v>
      </c>
      <c r="G172" s="27"/>
      <c r="H172" s="27"/>
      <c r="I172" s="27"/>
      <c r="J172" s="27"/>
      <c r="K172" s="27"/>
      <c r="L172" s="27"/>
    </row>
    <row r="173" spans="1:12" ht="56">
      <c r="A173" s="10">
        <v>160</v>
      </c>
      <c r="B173" s="76" t="s">
        <v>198</v>
      </c>
      <c r="C173" s="10" t="s">
        <v>83</v>
      </c>
      <c r="D173" s="10">
        <v>1</v>
      </c>
      <c r="E173" s="41">
        <v>4500</v>
      </c>
      <c r="F173" s="41">
        <f t="shared" si="21"/>
        <v>4500</v>
      </c>
      <c r="G173" s="27"/>
      <c r="H173" s="27"/>
      <c r="I173" s="27"/>
      <c r="J173" s="27"/>
      <c r="K173" s="27"/>
      <c r="L173" s="27"/>
    </row>
    <row r="174" spans="1:12" ht="70">
      <c r="A174" s="10">
        <v>161</v>
      </c>
      <c r="B174" s="76" t="s">
        <v>199</v>
      </c>
      <c r="C174" s="10" t="s">
        <v>83</v>
      </c>
      <c r="D174" s="10">
        <v>1</v>
      </c>
      <c r="E174" s="41">
        <v>7412</v>
      </c>
      <c r="F174" s="41">
        <f t="shared" si="21"/>
        <v>7412</v>
      </c>
      <c r="G174" s="27"/>
      <c r="H174" s="27"/>
      <c r="I174" s="27"/>
      <c r="J174" s="27"/>
      <c r="K174" s="27"/>
      <c r="L174" s="27"/>
    </row>
    <row r="175" spans="1:12">
      <c r="A175" s="10"/>
      <c r="B175" s="76"/>
      <c r="C175" s="10"/>
      <c r="D175" s="10"/>
      <c r="E175" s="41"/>
      <c r="F175" s="41"/>
      <c r="G175" s="27"/>
      <c r="H175" s="27"/>
      <c r="I175" s="27"/>
      <c r="J175" s="27"/>
      <c r="K175" s="27"/>
      <c r="L175" s="27"/>
    </row>
    <row r="176" spans="1:12">
      <c r="A176" s="15">
        <v>6</v>
      </c>
      <c r="B176" s="78" t="s">
        <v>9</v>
      </c>
      <c r="C176" s="15"/>
      <c r="D176" s="15"/>
      <c r="E176" s="44"/>
      <c r="F176" s="44">
        <f>SUM(F177:F188)</f>
        <v>132500</v>
      </c>
      <c r="G176" s="15"/>
      <c r="H176" s="15"/>
      <c r="I176" s="15"/>
      <c r="J176" s="44">
        <f>SUM(J177:J188)</f>
        <v>0</v>
      </c>
      <c r="K176" s="44">
        <f t="shared" ref="K176:L176" si="22">SUM(K177:K188)</f>
        <v>33000</v>
      </c>
      <c r="L176" s="44">
        <f t="shared" si="22"/>
        <v>33000</v>
      </c>
    </row>
    <row r="177" spans="1:12" ht="28">
      <c r="A177" s="10">
        <v>162</v>
      </c>
      <c r="B177" s="76" t="s">
        <v>200</v>
      </c>
      <c r="C177" s="10" t="s">
        <v>2</v>
      </c>
      <c r="D177" s="10" t="s">
        <v>2</v>
      </c>
      <c r="E177" s="41"/>
      <c r="F177" s="41"/>
      <c r="G177" s="27"/>
      <c r="H177" s="27"/>
      <c r="I177" s="27"/>
      <c r="J177" s="27"/>
      <c r="K177" s="27"/>
      <c r="L177" s="27"/>
    </row>
    <row r="178" spans="1:12" ht="28">
      <c r="A178" s="10">
        <v>163</v>
      </c>
      <c r="B178" s="76" t="s">
        <v>201</v>
      </c>
      <c r="C178" s="10" t="s">
        <v>4</v>
      </c>
      <c r="D178" s="10">
        <v>1</v>
      </c>
      <c r="E178" s="41">
        <v>29500</v>
      </c>
      <c r="F178" s="41">
        <f t="shared" ref="F178:F184" si="23">D178*E178</f>
        <v>29500</v>
      </c>
      <c r="G178" s="27"/>
      <c r="H178" s="27"/>
      <c r="I178" s="27"/>
      <c r="J178" s="27"/>
      <c r="K178" s="27"/>
      <c r="L178" s="27"/>
    </row>
    <row r="179" spans="1:12" ht="42">
      <c r="A179" s="10">
        <v>164</v>
      </c>
      <c r="B179" s="76" t="s">
        <v>202</v>
      </c>
      <c r="C179" s="10" t="s">
        <v>112</v>
      </c>
      <c r="D179" s="10">
        <v>50</v>
      </c>
      <c r="E179" s="41">
        <v>175</v>
      </c>
      <c r="F179" s="41">
        <f t="shared" si="23"/>
        <v>8750</v>
      </c>
      <c r="G179" s="27"/>
      <c r="H179" s="27"/>
      <c r="I179" s="27"/>
      <c r="J179" s="27"/>
      <c r="K179" s="27"/>
      <c r="L179" s="27"/>
    </row>
    <row r="180" spans="1:12" ht="28">
      <c r="A180" s="10">
        <v>165</v>
      </c>
      <c r="B180" s="76" t="s">
        <v>203</v>
      </c>
      <c r="C180" s="10" t="s">
        <v>157</v>
      </c>
      <c r="D180" s="10">
        <v>3</v>
      </c>
      <c r="E180" s="41">
        <v>1450</v>
      </c>
      <c r="F180" s="41">
        <f t="shared" si="23"/>
        <v>4350</v>
      </c>
      <c r="G180" s="27"/>
      <c r="H180" s="27"/>
      <c r="I180" s="27"/>
      <c r="J180" s="27"/>
      <c r="K180" s="27"/>
      <c r="L180" s="27"/>
    </row>
    <row r="181" spans="1:12" ht="42" customHeight="1">
      <c r="A181" s="10">
        <v>166</v>
      </c>
      <c r="B181" s="76" t="s">
        <v>204</v>
      </c>
      <c r="C181" s="10" t="s">
        <v>112</v>
      </c>
      <c r="D181" s="10">
        <v>250</v>
      </c>
      <c r="E181" s="41">
        <v>75</v>
      </c>
      <c r="F181" s="41">
        <f t="shared" si="23"/>
        <v>18750</v>
      </c>
      <c r="G181" s="27"/>
      <c r="H181" s="27">
        <f>'JMS - Final '!I123</f>
        <v>0</v>
      </c>
      <c r="I181" s="27">
        <f>G181+H181</f>
        <v>0</v>
      </c>
      <c r="J181" s="27"/>
      <c r="K181" s="46">
        <f>E181*H181</f>
        <v>0</v>
      </c>
      <c r="L181" s="46">
        <f>J181+K181</f>
        <v>0</v>
      </c>
    </row>
    <row r="182" spans="1:12" ht="25.5" customHeight="1">
      <c r="A182" s="10">
        <v>167</v>
      </c>
      <c r="B182" s="76" t="s">
        <v>205</v>
      </c>
      <c r="C182" s="10" t="s">
        <v>112</v>
      </c>
      <c r="D182" s="10">
        <v>250</v>
      </c>
      <c r="E182" s="41">
        <v>75</v>
      </c>
      <c r="F182" s="41">
        <f t="shared" si="23"/>
        <v>18750</v>
      </c>
      <c r="G182" s="27"/>
      <c r="H182" s="27">
        <f>'JMS - Final '!I124</f>
        <v>250</v>
      </c>
      <c r="I182" s="27">
        <f>G182+H182</f>
        <v>250</v>
      </c>
      <c r="J182" s="27"/>
      <c r="K182" s="46">
        <f>E182*H182</f>
        <v>18750</v>
      </c>
      <c r="L182" s="46">
        <f>J182+K182</f>
        <v>18750</v>
      </c>
    </row>
    <row r="183" spans="1:12">
      <c r="A183" s="10">
        <v>168</v>
      </c>
      <c r="B183" s="76" t="s">
        <v>206</v>
      </c>
      <c r="C183" s="10" t="s">
        <v>157</v>
      </c>
      <c r="D183" s="10">
        <v>1</v>
      </c>
      <c r="E183" s="41">
        <v>750</v>
      </c>
      <c r="F183" s="41">
        <f t="shared" si="23"/>
        <v>750</v>
      </c>
      <c r="G183" s="27"/>
      <c r="H183" s="27">
        <f>'JMS - Final '!I125</f>
        <v>1</v>
      </c>
      <c r="I183" s="27">
        <f>G183+H183</f>
        <v>1</v>
      </c>
      <c r="J183" s="27"/>
      <c r="K183" s="46">
        <f>E183*H183</f>
        <v>750</v>
      </c>
      <c r="L183" s="46">
        <f>J183+K183</f>
        <v>750</v>
      </c>
    </row>
    <row r="184" spans="1:12">
      <c r="A184" s="10">
        <v>169</v>
      </c>
      <c r="B184" s="76" t="s">
        <v>207</v>
      </c>
      <c r="C184" s="10" t="s">
        <v>112</v>
      </c>
      <c r="D184" s="10">
        <v>50</v>
      </c>
      <c r="E184" s="41">
        <v>750</v>
      </c>
      <c r="F184" s="41">
        <f t="shared" si="23"/>
        <v>37500</v>
      </c>
      <c r="G184" s="27"/>
      <c r="H184" s="27"/>
      <c r="I184" s="27"/>
      <c r="J184" s="27"/>
      <c r="K184" s="27"/>
      <c r="L184" s="27"/>
    </row>
    <row r="185" spans="1:12">
      <c r="A185" s="10">
        <v>170</v>
      </c>
      <c r="B185" s="76" t="s">
        <v>208</v>
      </c>
      <c r="C185" s="10" t="s">
        <v>2</v>
      </c>
      <c r="D185" s="10" t="s">
        <v>2</v>
      </c>
      <c r="E185" s="41"/>
      <c r="F185" s="41"/>
      <c r="G185" s="27"/>
      <c r="H185" s="27"/>
      <c r="I185" s="27"/>
      <c r="J185" s="27"/>
      <c r="K185" s="27"/>
      <c r="L185" s="27"/>
    </row>
    <row r="186" spans="1:12" ht="28">
      <c r="A186" s="10">
        <v>171</v>
      </c>
      <c r="B186" s="76" t="s">
        <v>209</v>
      </c>
      <c r="C186" s="10" t="s">
        <v>83</v>
      </c>
      <c r="D186" s="10">
        <v>1</v>
      </c>
      <c r="E186" s="41">
        <v>650</v>
      </c>
      <c r="F186" s="41">
        <f>D186*E186</f>
        <v>650</v>
      </c>
      <c r="G186" s="27"/>
      <c r="H186" s="27"/>
      <c r="I186" s="27"/>
      <c r="J186" s="27"/>
      <c r="K186" s="27"/>
      <c r="L186" s="27"/>
    </row>
    <row r="187" spans="1:12" ht="28">
      <c r="A187" s="10">
        <v>172</v>
      </c>
      <c r="B187" s="76" t="s">
        <v>210</v>
      </c>
      <c r="C187" s="10" t="s">
        <v>83</v>
      </c>
      <c r="D187" s="10">
        <v>10</v>
      </c>
      <c r="E187" s="41">
        <v>450</v>
      </c>
      <c r="F187" s="41">
        <f>D187*E187</f>
        <v>4500</v>
      </c>
      <c r="G187" s="27"/>
      <c r="H187" s="27">
        <f>'JMS - Final '!I126</f>
        <v>10</v>
      </c>
      <c r="I187" s="27">
        <f>G187+H187</f>
        <v>10</v>
      </c>
      <c r="J187" s="27"/>
      <c r="K187" s="46">
        <f>E187*H187</f>
        <v>4500</v>
      </c>
      <c r="L187" s="46">
        <f>J187+K187</f>
        <v>4500</v>
      </c>
    </row>
    <row r="188" spans="1:12" ht="28">
      <c r="A188" s="10">
        <v>173</v>
      </c>
      <c r="B188" s="76" t="s">
        <v>211</v>
      </c>
      <c r="C188" s="10" t="s">
        <v>83</v>
      </c>
      <c r="D188" s="10">
        <v>3</v>
      </c>
      <c r="E188" s="41">
        <v>3000</v>
      </c>
      <c r="F188" s="41">
        <f>D188*E188</f>
        <v>9000</v>
      </c>
      <c r="G188" s="27"/>
      <c r="H188" s="27">
        <f>'JMS - Final '!I127</f>
        <v>3</v>
      </c>
      <c r="I188" s="27">
        <f>G188+H188</f>
        <v>3</v>
      </c>
      <c r="J188" s="27"/>
      <c r="K188" s="46">
        <f>E188*H188</f>
        <v>9000</v>
      </c>
      <c r="L188" s="46">
        <f>J188+K188</f>
        <v>9000</v>
      </c>
    </row>
    <row r="189" spans="1:12">
      <c r="A189" s="10"/>
      <c r="B189" s="76"/>
      <c r="C189" s="10"/>
      <c r="D189" s="10"/>
      <c r="E189" s="41"/>
      <c r="F189" s="41"/>
      <c r="G189" s="27"/>
      <c r="H189" s="27"/>
      <c r="I189" s="27"/>
      <c r="J189" s="27"/>
      <c r="K189" s="27"/>
      <c r="L189" s="27"/>
    </row>
    <row r="190" spans="1:12">
      <c r="A190" s="15">
        <v>7</v>
      </c>
      <c r="B190" s="78" t="s">
        <v>10</v>
      </c>
      <c r="C190" s="15"/>
      <c r="D190" s="15"/>
      <c r="E190" s="44"/>
      <c r="F190" s="44">
        <f>SUM(F191:F214)</f>
        <v>457000</v>
      </c>
      <c r="G190" s="15"/>
      <c r="H190" s="15"/>
      <c r="I190" s="15"/>
      <c r="J190" s="44">
        <f>SUM(J191:J214)</f>
        <v>0</v>
      </c>
      <c r="K190" s="44">
        <f>SUM(K191:K214)</f>
        <v>255500</v>
      </c>
      <c r="L190" s="44">
        <f>SUM(L191:L214)</f>
        <v>255500</v>
      </c>
    </row>
    <row r="191" spans="1:12">
      <c r="A191" s="10">
        <v>174</v>
      </c>
      <c r="B191" s="76" t="s">
        <v>212</v>
      </c>
      <c r="C191" s="10" t="s">
        <v>2</v>
      </c>
      <c r="D191" s="10" t="s">
        <v>2</v>
      </c>
      <c r="E191" s="41"/>
      <c r="F191" s="41"/>
      <c r="G191" s="27"/>
      <c r="H191" s="27"/>
      <c r="I191" s="27"/>
      <c r="J191" s="27"/>
      <c r="K191" s="27"/>
      <c r="L191" s="27"/>
    </row>
    <row r="192" spans="1:12" ht="56">
      <c r="A192" s="10">
        <v>175</v>
      </c>
      <c r="B192" s="76" t="s">
        <v>213</v>
      </c>
      <c r="C192" s="10" t="s">
        <v>157</v>
      </c>
      <c r="D192" s="10">
        <v>4</v>
      </c>
      <c r="E192" s="41">
        <v>3000</v>
      </c>
      <c r="F192" s="41">
        <f>D192*E192</f>
        <v>12000</v>
      </c>
      <c r="G192" s="27"/>
      <c r="H192" s="27"/>
      <c r="I192" s="27">
        <f>G192+H192</f>
        <v>0</v>
      </c>
      <c r="J192" s="27"/>
      <c r="K192" s="46">
        <f t="shared" ref="K192:K214" si="24">E192*H192</f>
        <v>0</v>
      </c>
      <c r="L192" s="46">
        <f>J192+K192</f>
        <v>0</v>
      </c>
    </row>
    <row r="193" spans="1:12" ht="42">
      <c r="A193" s="10">
        <v>176</v>
      </c>
      <c r="B193" s="76" t="s">
        <v>214</v>
      </c>
      <c r="C193" s="10" t="s">
        <v>157</v>
      </c>
      <c r="D193" s="10">
        <v>2</v>
      </c>
      <c r="E193" s="41">
        <v>2500</v>
      </c>
      <c r="F193" s="41">
        <f>D193*E193</f>
        <v>5000</v>
      </c>
      <c r="G193" s="27"/>
      <c r="H193" s="27"/>
      <c r="I193" s="27">
        <f t="shared" ref="I193:I214" si="25">G193+H193</f>
        <v>0</v>
      </c>
      <c r="J193" s="27"/>
      <c r="K193" s="46">
        <f t="shared" si="24"/>
        <v>0</v>
      </c>
      <c r="L193" s="46">
        <f t="shared" ref="L193:L214" si="26">J193+K193</f>
        <v>0</v>
      </c>
    </row>
    <row r="194" spans="1:12" ht="39.75" customHeight="1">
      <c r="A194" s="10">
        <v>177</v>
      </c>
      <c r="B194" s="76" t="s">
        <v>215</v>
      </c>
      <c r="C194" s="10" t="s">
        <v>2</v>
      </c>
      <c r="D194" s="10" t="s">
        <v>2</v>
      </c>
      <c r="E194" s="41"/>
      <c r="F194" s="41"/>
      <c r="G194" s="27"/>
      <c r="H194" s="27"/>
      <c r="I194" s="27">
        <f t="shared" si="25"/>
        <v>0</v>
      </c>
      <c r="J194" s="27"/>
      <c r="K194" s="46">
        <f t="shared" si="24"/>
        <v>0</v>
      </c>
      <c r="L194" s="46">
        <f t="shared" si="26"/>
        <v>0</v>
      </c>
    </row>
    <row r="195" spans="1:12">
      <c r="A195" s="10">
        <v>178</v>
      </c>
      <c r="B195" s="76" t="s">
        <v>216</v>
      </c>
      <c r="C195" s="10" t="s">
        <v>83</v>
      </c>
      <c r="D195" s="10">
        <v>2</v>
      </c>
      <c r="E195" s="41">
        <v>16800</v>
      </c>
      <c r="F195" s="41">
        <f t="shared" ref="F195:F214" si="27">D195*E195</f>
        <v>33600</v>
      </c>
      <c r="G195" s="27"/>
      <c r="H195" s="27">
        <f>'JMS - Final '!I129</f>
        <v>2</v>
      </c>
      <c r="I195" s="27">
        <f t="shared" si="25"/>
        <v>2</v>
      </c>
      <c r="J195" s="27"/>
      <c r="K195" s="46">
        <f t="shared" si="24"/>
        <v>33600</v>
      </c>
      <c r="L195" s="46">
        <f t="shared" si="26"/>
        <v>33600</v>
      </c>
    </row>
    <row r="196" spans="1:12">
      <c r="A196" s="10">
        <v>179</v>
      </c>
      <c r="B196" s="76" t="s">
        <v>217</v>
      </c>
      <c r="C196" s="10" t="s">
        <v>83</v>
      </c>
      <c r="D196" s="10">
        <v>1</v>
      </c>
      <c r="E196" s="41">
        <v>4000</v>
      </c>
      <c r="F196" s="41">
        <f t="shared" si="27"/>
        <v>4000</v>
      </c>
      <c r="G196" s="27"/>
      <c r="H196" s="27">
        <f>'JMS - Final '!I130</f>
        <v>1</v>
      </c>
      <c r="I196" s="27">
        <f t="shared" si="25"/>
        <v>1</v>
      </c>
      <c r="J196" s="27"/>
      <c r="K196" s="46">
        <f t="shared" si="24"/>
        <v>4000</v>
      </c>
      <c r="L196" s="46">
        <f t="shared" si="26"/>
        <v>4000</v>
      </c>
    </row>
    <row r="197" spans="1:12">
      <c r="A197" s="10">
        <v>180</v>
      </c>
      <c r="B197" s="76" t="s">
        <v>218</v>
      </c>
      <c r="C197" s="10" t="s">
        <v>83</v>
      </c>
      <c r="D197" s="10">
        <v>1</v>
      </c>
      <c r="E197" s="41">
        <v>3000</v>
      </c>
      <c r="F197" s="41">
        <f t="shared" si="27"/>
        <v>3000</v>
      </c>
      <c r="G197" s="27"/>
      <c r="H197" s="27">
        <f>'JMS - Final '!I131</f>
        <v>1</v>
      </c>
      <c r="I197" s="27">
        <f t="shared" si="25"/>
        <v>1</v>
      </c>
      <c r="J197" s="27"/>
      <c r="K197" s="46">
        <f t="shared" si="24"/>
        <v>3000</v>
      </c>
      <c r="L197" s="46">
        <f t="shared" si="26"/>
        <v>3000</v>
      </c>
    </row>
    <row r="198" spans="1:12">
      <c r="A198" s="10">
        <v>181</v>
      </c>
      <c r="B198" s="76" t="s">
        <v>219</v>
      </c>
      <c r="C198" s="10" t="s">
        <v>83</v>
      </c>
      <c r="D198" s="10">
        <v>3</v>
      </c>
      <c r="E198" s="41">
        <v>9000</v>
      </c>
      <c r="F198" s="41">
        <f t="shared" si="27"/>
        <v>27000</v>
      </c>
      <c r="G198" s="27"/>
      <c r="H198" s="27"/>
      <c r="I198" s="27">
        <f t="shared" si="25"/>
        <v>0</v>
      </c>
      <c r="J198" s="27"/>
      <c r="K198" s="46">
        <f t="shared" si="24"/>
        <v>0</v>
      </c>
      <c r="L198" s="46">
        <f t="shared" si="26"/>
        <v>0</v>
      </c>
    </row>
    <row r="199" spans="1:12">
      <c r="A199" s="10">
        <v>182</v>
      </c>
      <c r="B199" s="76" t="s">
        <v>220</v>
      </c>
      <c r="C199" s="10" t="s">
        <v>83</v>
      </c>
      <c r="D199" s="10">
        <v>3</v>
      </c>
      <c r="E199" s="41">
        <v>14000</v>
      </c>
      <c r="F199" s="41">
        <f t="shared" si="27"/>
        <v>42000</v>
      </c>
      <c r="G199" s="27"/>
      <c r="H199" s="27">
        <f>'JMS - Final '!I133</f>
        <v>1</v>
      </c>
      <c r="I199" s="27">
        <f t="shared" si="25"/>
        <v>1</v>
      </c>
      <c r="J199" s="27"/>
      <c r="K199" s="46">
        <f t="shared" si="24"/>
        <v>14000</v>
      </c>
      <c r="L199" s="46">
        <f t="shared" si="26"/>
        <v>14000</v>
      </c>
    </row>
    <row r="200" spans="1:12">
      <c r="A200" s="10">
        <v>183</v>
      </c>
      <c r="B200" s="76" t="s">
        <v>221</v>
      </c>
      <c r="C200" s="10" t="s">
        <v>222</v>
      </c>
      <c r="D200" s="10">
        <v>1</v>
      </c>
      <c r="E200" s="41">
        <v>3000</v>
      </c>
      <c r="F200" s="41">
        <f t="shared" si="27"/>
        <v>3000</v>
      </c>
      <c r="G200" s="27"/>
      <c r="H200" s="27">
        <f>'JMS - Final '!I134</f>
        <v>1</v>
      </c>
      <c r="I200" s="27">
        <f t="shared" si="25"/>
        <v>1</v>
      </c>
      <c r="J200" s="27"/>
      <c r="K200" s="46">
        <f t="shared" si="24"/>
        <v>3000</v>
      </c>
      <c r="L200" s="46">
        <f t="shared" si="26"/>
        <v>3000</v>
      </c>
    </row>
    <row r="201" spans="1:12">
      <c r="A201" s="10">
        <v>184</v>
      </c>
      <c r="B201" s="76" t="s">
        <v>223</v>
      </c>
      <c r="C201" s="10" t="s">
        <v>222</v>
      </c>
      <c r="D201" s="10">
        <v>1</v>
      </c>
      <c r="E201" s="41">
        <v>3500</v>
      </c>
      <c r="F201" s="41">
        <f t="shared" si="27"/>
        <v>3500</v>
      </c>
      <c r="G201" s="27"/>
      <c r="H201" s="27"/>
      <c r="I201" s="27">
        <f t="shared" si="25"/>
        <v>0</v>
      </c>
      <c r="J201" s="27"/>
      <c r="K201" s="46">
        <f t="shared" si="24"/>
        <v>0</v>
      </c>
      <c r="L201" s="46">
        <f t="shared" si="26"/>
        <v>0</v>
      </c>
    </row>
    <row r="202" spans="1:12">
      <c r="A202" s="10">
        <v>185</v>
      </c>
      <c r="B202" s="76" t="s">
        <v>224</v>
      </c>
      <c r="C202" s="10" t="s">
        <v>83</v>
      </c>
      <c r="D202" s="10">
        <v>1</v>
      </c>
      <c r="E202" s="41">
        <v>2400</v>
      </c>
      <c r="F202" s="41">
        <f t="shared" si="27"/>
        <v>2400</v>
      </c>
      <c r="G202" s="27"/>
      <c r="H202" s="27">
        <f>'JMS - Final '!I136</f>
        <v>1</v>
      </c>
      <c r="I202" s="27">
        <f t="shared" si="25"/>
        <v>1</v>
      </c>
      <c r="J202" s="27"/>
      <c r="K202" s="46">
        <f t="shared" si="24"/>
        <v>2400</v>
      </c>
      <c r="L202" s="46">
        <f t="shared" si="26"/>
        <v>2400</v>
      </c>
    </row>
    <row r="203" spans="1:12">
      <c r="A203" s="10">
        <v>186</v>
      </c>
      <c r="B203" s="76" t="s">
        <v>225</v>
      </c>
      <c r="C203" s="10" t="s">
        <v>157</v>
      </c>
      <c r="D203" s="10">
        <v>2</v>
      </c>
      <c r="E203" s="41">
        <v>22500</v>
      </c>
      <c r="F203" s="41">
        <f t="shared" si="27"/>
        <v>45000</v>
      </c>
      <c r="G203" s="27"/>
      <c r="H203" s="27">
        <f>'JMS - Final '!I137</f>
        <v>2</v>
      </c>
      <c r="I203" s="27">
        <f t="shared" si="25"/>
        <v>2</v>
      </c>
      <c r="J203" s="27"/>
      <c r="K203" s="46">
        <f t="shared" si="24"/>
        <v>45000</v>
      </c>
      <c r="L203" s="46">
        <f t="shared" si="26"/>
        <v>45000</v>
      </c>
    </row>
    <row r="204" spans="1:12">
      <c r="A204" s="10">
        <v>187</v>
      </c>
      <c r="B204" s="76" t="s">
        <v>226</v>
      </c>
      <c r="C204" s="10" t="s">
        <v>157</v>
      </c>
      <c r="D204" s="10">
        <v>2</v>
      </c>
      <c r="E204" s="41">
        <v>8500</v>
      </c>
      <c r="F204" s="41">
        <f t="shared" si="27"/>
        <v>17000</v>
      </c>
      <c r="G204" s="27"/>
      <c r="H204" s="27">
        <f>'JMS - Final '!I138</f>
        <v>5</v>
      </c>
      <c r="I204" s="27">
        <f t="shared" si="25"/>
        <v>5</v>
      </c>
      <c r="J204" s="27"/>
      <c r="K204" s="46">
        <f t="shared" si="24"/>
        <v>42500</v>
      </c>
      <c r="L204" s="46">
        <f t="shared" si="26"/>
        <v>42500</v>
      </c>
    </row>
    <row r="205" spans="1:12">
      <c r="A205" s="10">
        <v>188</v>
      </c>
      <c r="B205" s="76" t="s">
        <v>227</v>
      </c>
      <c r="C205" s="10" t="s">
        <v>157</v>
      </c>
      <c r="D205" s="10">
        <v>1</v>
      </c>
      <c r="E205" s="41">
        <v>8000</v>
      </c>
      <c r="F205" s="41">
        <f t="shared" si="27"/>
        <v>8000</v>
      </c>
      <c r="G205" s="27"/>
      <c r="H205" s="27">
        <f>'JMS - Final '!I139</f>
        <v>1</v>
      </c>
      <c r="I205" s="27">
        <f t="shared" si="25"/>
        <v>1</v>
      </c>
      <c r="J205" s="27"/>
      <c r="K205" s="46">
        <f t="shared" si="24"/>
        <v>8000</v>
      </c>
      <c r="L205" s="46">
        <f t="shared" si="26"/>
        <v>8000</v>
      </c>
    </row>
    <row r="206" spans="1:12">
      <c r="A206" s="10">
        <v>189</v>
      </c>
      <c r="B206" s="76" t="s">
        <v>228</v>
      </c>
      <c r="C206" s="10" t="s">
        <v>83</v>
      </c>
      <c r="D206" s="10">
        <v>1</v>
      </c>
      <c r="E206" s="41">
        <v>3500</v>
      </c>
      <c r="F206" s="41">
        <f t="shared" si="27"/>
        <v>3500</v>
      </c>
      <c r="G206" s="27"/>
      <c r="H206" s="27"/>
      <c r="I206" s="27">
        <f t="shared" si="25"/>
        <v>0</v>
      </c>
      <c r="J206" s="27"/>
      <c r="K206" s="46">
        <f t="shared" si="24"/>
        <v>0</v>
      </c>
      <c r="L206" s="46">
        <f t="shared" si="26"/>
        <v>0</v>
      </c>
    </row>
    <row r="207" spans="1:12">
      <c r="A207" s="10">
        <v>190</v>
      </c>
      <c r="B207" s="76" t="s">
        <v>229</v>
      </c>
      <c r="C207" s="10" t="s">
        <v>83</v>
      </c>
      <c r="D207" s="10">
        <v>6</v>
      </c>
      <c r="E207" s="41">
        <v>1500</v>
      </c>
      <c r="F207" s="41">
        <f t="shared" si="27"/>
        <v>9000</v>
      </c>
      <c r="G207" s="27"/>
      <c r="H207" s="27"/>
      <c r="I207" s="27">
        <f t="shared" si="25"/>
        <v>0</v>
      </c>
      <c r="J207" s="27"/>
      <c r="K207" s="46">
        <f t="shared" si="24"/>
        <v>0</v>
      </c>
      <c r="L207" s="46">
        <f t="shared" si="26"/>
        <v>0</v>
      </c>
    </row>
    <row r="208" spans="1:12">
      <c r="A208" s="10">
        <v>191</v>
      </c>
      <c r="B208" s="76" t="s">
        <v>230</v>
      </c>
      <c r="C208" s="10" t="s">
        <v>83</v>
      </c>
      <c r="D208" s="10">
        <v>2</v>
      </c>
      <c r="E208" s="41">
        <v>1000</v>
      </c>
      <c r="F208" s="41">
        <f t="shared" si="27"/>
        <v>2000</v>
      </c>
      <c r="G208" s="27"/>
      <c r="H208" s="27">
        <f>'JMS - Final '!I142</f>
        <v>1</v>
      </c>
      <c r="I208" s="27">
        <f t="shared" si="25"/>
        <v>1</v>
      </c>
      <c r="J208" s="27"/>
      <c r="K208" s="46">
        <f t="shared" si="24"/>
        <v>1000</v>
      </c>
      <c r="L208" s="46">
        <f t="shared" si="26"/>
        <v>1000</v>
      </c>
    </row>
    <row r="209" spans="1:12">
      <c r="A209" s="10">
        <v>192</v>
      </c>
      <c r="B209" s="76" t="s">
        <v>231</v>
      </c>
      <c r="C209" s="10" t="s">
        <v>83</v>
      </c>
      <c r="D209" s="10">
        <v>4</v>
      </c>
      <c r="E209" s="41">
        <v>1000</v>
      </c>
      <c r="F209" s="41">
        <f t="shared" si="27"/>
        <v>4000</v>
      </c>
      <c r="G209" s="27"/>
      <c r="H209" s="27">
        <f>'JMS - Final '!I143</f>
        <v>4</v>
      </c>
      <c r="I209" s="27">
        <f t="shared" si="25"/>
        <v>4</v>
      </c>
      <c r="J209" s="27"/>
      <c r="K209" s="46">
        <f t="shared" si="24"/>
        <v>4000</v>
      </c>
      <c r="L209" s="46">
        <f t="shared" si="26"/>
        <v>4000</v>
      </c>
    </row>
    <row r="210" spans="1:12">
      <c r="A210" s="10">
        <v>193</v>
      </c>
      <c r="B210" s="76" t="s">
        <v>232</v>
      </c>
      <c r="C210" s="10" t="s">
        <v>83</v>
      </c>
      <c r="D210" s="10">
        <v>1</v>
      </c>
      <c r="E210" s="41">
        <v>9000</v>
      </c>
      <c r="F210" s="41">
        <f t="shared" si="27"/>
        <v>9000</v>
      </c>
      <c r="G210" s="27"/>
      <c r="H210" s="27">
        <f>'JMS - Final '!I144</f>
        <v>1</v>
      </c>
      <c r="I210" s="27">
        <f t="shared" si="25"/>
        <v>1</v>
      </c>
      <c r="J210" s="27"/>
      <c r="K210" s="46">
        <f t="shared" si="24"/>
        <v>9000</v>
      </c>
      <c r="L210" s="46">
        <f t="shared" si="26"/>
        <v>9000</v>
      </c>
    </row>
    <row r="211" spans="1:12">
      <c r="A211" s="10">
        <v>194</v>
      </c>
      <c r="B211" s="76" t="s">
        <v>233</v>
      </c>
      <c r="C211" s="10" t="s">
        <v>83</v>
      </c>
      <c r="D211" s="10">
        <v>1</v>
      </c>
      <c r="E211" s="41">
        <v>10000</v>
      </c>
      <c r="F211" s="41">
        <f t="shared" si="27"/>
        <v>10000</v>
      </c>
      <c r="G211" s="27"/>
      <c r="H211" s="27">
        <f>'JMS - Final '!I145</f>
        <v>2</v>
      </c>
      <c r="I211" s="27">
        <f t="shared" si="25"/>
        <v>2</v>
      </c>
      <c r="J211" s="27"/>
      <c r="K211" s="46">
        <f t="shared" si="24"/>
        <v>20000</v>
      </c>
      <c r="L211" s="46">
        <f t="shared" si="26"/>
        <v>20000</v>
      </c>
    </row>
    <row r="212" spans="1:12" ht="28">
      <c r="A212" s="10">
        <v>195</v>
      </c>
      <c r="B212" s="76" t="s">
        <v>234</v>
      </c>
      <c r="C212" s="10" t="s">
        <v>83</v>
      </c>
      <c r="D212" s="10">
        <v>59</v>
      </c>
      <c r="E212" s="41">
        <v>3000</v>
      </c>
      <c r="F212" s="41">
        <f t="shared" si="27"/>
        <v>177000</v>
      </c>
      <c r="G212" s="27"/>
      <c r="H212" s="27">
        <f>'JMS - Final '!I146</f>
        <v>13</v>
      </c>
      <c r="I212" s="27">
        <f t="shared" si="25"/>
        <v>13</v>
      </c>
      <c r="J212" s="27"/>
      <c r="K212" s="46">
        <f t="shared" si="24"/>
        <v>39000</v>
      </c>
      <c r="L212" s="46">
        <f t="shared" si="26"/>
        <v>39000</v>
      </c>
    </row>
    <row r="213" spans="1:12" ht="85.5" customHeight="1">
      <c r="A213" s="10">
        <v>196</v>
      </c>
      <c r="B213" s="76" t="s">
        <v>433</v>
      </c>
      <c r="C213" s="10" t="s">
        <v>83</v>
      </c>
      <c r="D213" s="10">
        <v>11</v>
      </c>
      <c r="E213" s="41">
        <v>3000</v>
      </c>
      <c r="F213" s="41">
        <f t="shared" si="27"/>
        <v>33000</v>
      </c>
      <c r="G213" s="27"/>
      <c r="H213" s="27">
        <f>'JMS - Final '!I147</f>
        <v>5</v>
      </c>
      <c r="I213" s="27">
        <f t="shared" si="25"/>
        <v>5</v>
      </c>
      <c r="J213" s="27"/>
      <c r="K213" s="46">
        <f t="shared" si="24"/>
        <v>15000</v>
      </c>
      <c r="L213" s="46">
        <f t="shared" si="26"/>
        <v>15000</v>
      </c>
    </row>
    <row r="214" spans="1:12" ht="39" customHeight="1">
      <c r="A214" s="10">
        <v>197</v>
      </c>
      <c r="B214" s="76" t="s">
        <v>236</v>
      </c>
      <c r="C214" s="10" t="s">
        <v>83</v>
      </c>
      <c r="D214" s="10">
        <v>1</v>
      </c>
      <c r="E214" s="41">
        <v>4000</v>
      </c>
      <c r="F214" s="41">
        <f t="shared" si="27"/>
        <v>4000</v>
      </c>
      <c r="G214" s="27"/>
      <c r="H214" s="27">
        <f>'JMS - Final '!I148</f>
        <v>3</v>
      </c>
      <c r="I214" s="27">
        <f t="shared" si="25"/>
        <v>3</v>
      </c>
      <c r="J214" s="27"/>
      <c r="K214" s="46">
        <f t="shared" si="24"/>
        <v>12000</v>
      </c>
      <c r="L214" s="46">
        <f t="shared" si="26"/>
        <v>12000</v>
      </c>
    </row>
    <row r="215" spans="1:12">
      <c r="A215" s="10"/>
      <c r="B215" s="76"/>
      <c r="C215" s="10"/>
      <c r="D215" s="10"/>
      <c r="E215" s="41"/>
      <c r="F215" s="41"/>
      <c r="G215" s="27"/>
      <c r="H215" s="27"/>
      <c r="I215" s="27"/>
      <c r="J215" s="27"/>
      <c r="K215" s="27"/>
      <c r="L215" s="27"/>
    </row>
    <row r="216" spans="1:12">
      <c r="A216" s="15">
        <v>8</v>
      </c>
      <c r="B216" s="78" t="s">
        <v>11</v>
      </c>
      <c r="C216" s="15"/>
      <c r="D216" s="15"/>
      <c r="E216" s="44"/>
      <c r="F216" s="44">
        <f>SUM(F217:F236)</f>
        <v>758523</v>
      </c>
      <c r="G216" s="15"/>
      <c r="H216" s="15"/>
      <c r="I216" s="15"/>
      <c r="J216" s="44">
        <f>SUM(J217:J236)</f>
        <v>6352.4500000000007</v>
      </c>
      <c r="K216" s="44">
        <f t="shared" ref="K216:L216" si="28">SUM(K217:K236)</f>
        <v>13001</v>
      </c>
      <c r="L216" s="44">
        <f t="shared" si="28"/>
        <v>19353.45</v>
      </c>
    </row>
    <row r="217" spans="1:12">
      <c r="A217" s="10">
        <v>198</v>
      </c>
      <c r="B217" s="76" t="s">
        <v>237</v>
      </c>
      <c r="C217" s="10" t="s">
        <v>2</v>
      </c>
      <c r="D217" s="10" t="s">
        <v>2</v>
      </c>
      <c r="E217" s="41"/>
      <c r="F217" s="41"/>
      <c r="G217" s="27"/>
      <c r="H217" s="27"/>
      <c r="I217" s="27"/>
      <c r="J217" s="27"/>
      <c r="K217" s="27"/>
      <c r="L217" s="27"/>
    </row>
    <row r="218" spans="1:12" ht="70">
      <c r="A218" s="10">
        <v>199</v>
      </c>
      <c r="B218" s="76" t="s">
        <v>238</v>
      </c>
      <c r="C218" s="10" t="s">
        <v>83</v>
      </c>
      <c r="D218" s="10">
        <v>1</v>
      </c>
      <c r="E218" s="7">
        <v>16500</v>
      </c>
      <c r="F218" s="8">
        <f>D218*E218</f>
        <v>16500</v>
      </c>
      <c r="G218" s="27"/>
      <c r="H218" s="27"/>
      <c r="I218" s="27"/>
      <c r="J218" s="27"/>
      <c r="K218" s="27"/>
      <c r="L218" s="27"/>
    </row>
    <row r="219" spans="1:12" ht="28">
      <c r="A219" s="10">
        <v>200</v>
      </c>
      <c r="B219" s="76" t="s">
        <v>239</v>
      </c>
      <c r="C219" s="10" t="s">
        <v>83</v>
      </c>
      <c r="D219" s="10">
        <v>1</v>
      </c>
      <c r="E219" s="8">
        <v>21000</v>
      </c>
      <c r="F219" s="8">
        <f>D219*E219</f>
        <v>21000</v>
      </c>
      <c r="G219" s="27"/>
      <c r="H219" s="27"/>
      <c r="I219" s="27"/>
      <c r="J219" s="27"/>
      <c r="K219" s="27"/>
      <c r="L219" s="27"/>
    </row>
    <row r="220" spans="1:12">
      <c r="A220" s="10">
        <v>201</v>
      </c>
      <c r="B220" s="76" t="s">
        <v>240</v>
      </c>
      <c r="C220" s="10" t="s">
        <v>2</v>
      </c>
      <c r="D220" s="10" t="s">
        <v>2</v>
      </c>
      <c r="E220" s="41"/>
      <c r="F220" s="41"/>
      <c r="G220" s="27"/>
      <c r="H220" s="27"/>
      <c r="I220" s="27"/>
      <c r="J220" s="27"/>
      <c r="K220" s="27"/>
      <c r="L220" s="27"/>
    </row>
    <row r="221" spans="1:12" ht="42">
      <c r="A221" s="10">
        <v>202</v>
      </c>
      <c r="B221" s="76" t="s">
        <v>241</v>
      </c>
      <c r="C221" s="10" t="s">
        <v>2</v>
      </c>
      <c r="D221" s="10" t="s">
        <v>2</v>
      </c>
      <c r="E221" s="41"/>
      <c r="F221" s="41"/>
      <c r="G221" s="27"/>
      <c r="H221" s="27"/>
      <c r="I221" s="27"/>
      <c r="J221" s="27"/>
      <c r="K221" s="27"/>
      <c r="L221" s="27"/>
    </row>
    <row r="222" spans="1:12">
      <c r="A222" s="10">
        <v>203</v>
      </c>
      <c r="B222" s="76" t="s">
        <v>242</v>
      </c>
      <c r="C222" s="10" t="s">
        <v>243</v>
      </c>
      <c r="D222" s="10">
        <v>20</v>
      </c>
      <c r="E222" s="41">
        <v>377</v>
      </c>
      <c r="F222" s="41">
        <f>D222*E222</f>
        <v>7540</v>
      </c>
      <c r="G222" s="27">
        <f>'JMS RA-01 '!I323</f>
        <v>16.850000000000001</v>
      </c>
      <c r="H222" s="27">
        <f>'JMS - Final '!I151</f>
        <v>13</v>
      </c>
      <c r="I222" s="27">
        <f>G222+H222</f>
        <v>29.85</v>
      </c>
      <c r="J222" s="45">
        <f t="shared" ref="J222:J236" si="29">E222*G222</f>
        <v>6352.4500000000007</v>
      </c>
      <c r="K222" s="45">
        <f t="shared" ref="K222:K236" si="30">E222*H222</f>
        <v>4901</v>
      </c>
      <c r="L222" s="45">
        <f>J222+K222</f>
        <v>11253.45</v>
      </c>
    </row>
    <row r="223" spans="1:12">
      <c r="A223" s="10">
        <v>204</v>
      </c>
      <c r="B223" s="76" t="s">
        <v>244</v>
      </c>
      <c r="C223" s="10" t="s">
        <v>243</v>
      </c>
      <c r="D223" s="10">
        <v>10</v>
      </c>
      <c r="E223" s="41">
        <v>450</v>
      </c>
      <c r="F223" s="41">
        <f>D223*E223</f>
        <v>4500</v>
      </c>
      <c r="G223" s="27"/>
      <c r="H223" s="27">
        <f>'JMS - Final '!I152</f>
        <v>18</v>
      </c>
      <c r="I223" s="27">
        <f t="shared" ref="I223:I236" si="31">G223+H223</f>
        <v>18</v>
      </c>
      <c r="J223" s="45">
        <f t="shared" si="29"/>
        <v>0</v>
      </c>
      <c r="K223" s="45">
        <f t="shared" si="30"/>
        <v>8100</v>
      </c>
      <c r="L223" s="45">
        <f t="shared" ref="L223:L236" si="32">J223+K223</f>
        <v>8100</v>
      </c>
    </row>
    <row r="224" spans="1:12" ht="42">
      <c r="A224" s="10">
        <v>205</v>
      </c>
      <c r="B224" s="76" t="s">
        <v>245</v>
      </c>
      <c r="C224" s="10" t="s">
        <v>2</v>
      </c>
      <c r="D224" s="10" t="s">
        <v>2</v>
      </c>
      <c r="E224" s="41"/>
      <c r="F224" s="41"/>
      <c r="G224" s="27"/>
      <c r="H224" s="27"/>
      <c r="I224" s="27">
        <f t="shared" si="31"/>
        <v>0</v>
      </c>
      <c r="J224" s="45">
        <f t="shared" si="29"/>
        <v>0</v>
      </c>
      <c r="K224" s="45">
        <f t="shared" si="30"/>
        <v>0</v>
      </c>
      <c r="L224" s="45">
        <f t="shared" si="32"/>
        <v>0</v>
      </c>
    </row>
    <row r="225" spans="1:12">
      <c r="A225" s="10">
        <v>206</v>
      </c>
      <c r="B225" s="76" t="s">
        <v>246</v>
      </c>
      <c r="C225" s="10" t="s">
        <v>22</v>
      </c>
      <c r="D225" s="10">
        <v>3</v>
      </c>
      <c r="E225" s="41">
        <v>45370</v>
      </c>
      <c r="F225" s="41">
        <f>D225*E225</f>
        <v>136110</v>
      </c>
      <c r="G225" s="27"/>
      <c r="H225" s="27"/>
      <c r="I225" s="27">
        <f t="shared" si="31"/>
        <v>0</v>
      </c>
      <c r="J225" s="45">
        <f t="shared" si="29"/>
        <v>0</v>
      </c>
      <c r="K225" s="45">
        <f t="shared" si="30"/>
        <v>0</v>
      </c>
      <c r="L225" s="45">
        <f t="shared" si="32"/>
        <v>0</v>
      </c>
    </row>
    <row r="226" spans="1:12">
      <c r="A226" s="10">
        <v>207</v>
      </c>
      <c r="B226" s="76" t="s">
        <v>247</v>
      </c>
      <c r="C226" s="10" t="s">
        <v>22</v>
      </c>
      <c r="D226" s="10">
        <v>2</v>
      </c>
      <c r="E226" s="41">
        <v>36140</v>
      </c>
      <c r="F226" s="41">
        <f>D226*E226</f>
        <v>72280</v>
      </c>
      <c r="G226" s="27"/>
      <c r="H226" s="27"/>
      <c r="I226" s="27">
        <f t="shared" si="31"/>
        <v>0</v>
      </c>
      <c r="J226" s="45">
        <f t="shared" si="29"/>
        <v>0</v>
      </c>
      <c r="K226" s="45">
        <f t="shared" si="30"/>
        <v>0</v>
      </c>
      <c r="L226" s="45">
        <f t="shared" si="32"/>
        <v>0</v>
      </c>
    </row>
    <row r="227" spans="1:12" ht="56">
      <c r="A227" s="10">
        <v>208</v>
      </c>
      <c r="B227" s="76" t="s">
        <v>248</v>
      </c>
      <c r="C227" s="10" t="s">
        <v>249</v>
      </c>
      <c r="D227" s="10">
        <v>5</v>
      </c>
      <c r="E227" s="41">
        <v>46080</v>
      </c>
      <c r="F227" s="41">
        <f>D227*E227</f>
        <v>230400</v>
      </c>
      <c r="G227" s="27"/>
      <c r="H227" s="27"/>
      <c r="I227" s="27">
        <f t="shared" si="31"/>
        <v>0</v>
      </c>
      <c r="J227" s="45">
        <f t="shared" si="29"/>
        <v>0</v>
      </c>
      <c r="K227" s="45">
        <f t="shared" si="30"/>
        <v>0</v>
      </c>
      <c r="L227" s="45">
        <f t="shared" si="32"/>
        <v>0</v>
      </c>
    </row>
    <row r="228" spans="1:12" ht="28">
      <c r="A228" s="10">
        <v>209</v>
      </c>
      <c r="B228" s="76" t="s">
        <v>250</v>
      </c>
      <c r="C228" s="10" t="s">
        <v>2</v>
      </c>
      <c r="D228" s="10" t="s">
        <v>2</v>
      </c>
      <c r="E228" s="41"/>
      <c r="F228" s="41"/>
      <c r="G228" s="27"/>
      <c r="H228" s="27"/>
      <c r="I228" s="27">
        <f t="shared" si="31"/>
        <v>0</v>
      </c>
      <c r="J228" s="45">
        <f t="shared" si="29"/>
        <v>0</v>
      </c>
      <c r="K228" s="45">
        <f t="shared" si="30"/>
        <v>0</v>
      </c>
      <c r="L228" s="45">
        <f t="shared" si="32"/>
        <v>0</v>
      </c>
    </row>
    <row r="229" spans="1:12">
      <c r="A229" s="10">
        <v>210</v>
      </c>
      <c r="B229" s="76" t="s">
        <v>251</v>
      </c>
      <c r="C229" s="10" t="s">
        <v>252</v>
      </c>
      <c r="D229" s="10">
        <v>5</v>
      </c>
      <c r="E229" s="41">
        <v>1157</v>
      </c>
      <c r="F229" s="41">
        <f t="shared" ref="F229:F236" si="33">D229*E229</f>
        <v>5785</v>
      </c>
      <c r="G229" s="27"/>
      <c r="H229" s="27"/>
      <c r="I229" s="27">
        <f t="shared" si="31"/>
        <v>0</v>
      </c>
      <c r="J229" s="45">
        <f t="shared" si="29"/>
        <v>0</v>
      </c>
      <c r="K229" s="45">
        <f t="shared" si="30"/>
        <v>0</v>
      </c>
      <c r="L229" s="45">
        <f t="shared" si="32"/>
        <v>0</v>
      </c>
    </row>
    <row r="230" spans="1:12">
      <c r="A230" s="10">
        <v>211</v>
      </c>
      <c r="B230" s="76" t="s">
        <v>253</v>
      </c>
      <c r="C230" s="10" t="s">
        <v>252</v>
      </c>
      <c r="D230" s="10">
        <v>5</v>
      </c>
      <c r="E230" s="41">
        <v>1014</v>
      </c>
      <c r="F230" s="41">
        <f t="shared" si="33"/>
        <v>5070</v>
      </c>
      <c r="G230" s="27"/>
      <c r="H230" s="27"/>
      <c r="I230" s="27">
        <f t="shared" si="31"/>
        <v>0</v>
      </c>
      <c r="J230" s="45">
        <f t="shared" si="29"/>
        <v>0</v>
      </c>
      <c r="K230" s="45">
        <f t="shared" si="30"/>
        <v>0</v>
      </c>
      <c r="L230" s="45">
        <f t="shared" si="32"/>
        <v>0</v>
      </c>
    </row>
    <row r="231" spans="1:12">
      <c r="A231" s="10">
        <v>212</v>
      </c>
      <c r="B231" s="76" t="s">
        <v>254</v>
      </c>
      <c r="C231" s="10" t="s">
        <v>252</v>
      </c>
      <c r="D231" s="10">
        <v>40</v>
      </c>
      <c r="E231" s="41">
        <v>832</v>
      </c>
      <c r="F231" s="41">
        <f t="shared" si="33"/>
        <v>33280</v>
      </c>
      <c r="G231" s="27"/>
      <c r="H231" s="27"/>
      <c r="I231" s="27">
        <f t="shared" si="31"/>
        <v>0</v>
      </c>
      <c r="J231" s="45">
        <f t="shared" si="29"/>
        <v>0</v>
      </c>
      <c r="K231" s="45">
        <f t="shared" si="30"/>
        <v>0</v>
      </c>
      <c r="L231" s="45">
        <f t="shared" si="32"/>
        <v>0</v>
      </c>
    </row>
    <row r="232" spans="1:12">
      <c r="A232" s="10">
        <v>213</v>
      </c>
      <c r="B232" s="76" t="s">
        <v>255</v>
      </c>
      <c r="C232" s="10" t="s">
        <v>22</v>
      </c>
      <c r="D232" s="10">
        <v>4</v>
      </c>
      <c r="E232" s="41">
        <v>3848</v>
      </c>
      <c r="F232" s="41">
        <f t="shared" si="33"/>
        <v>15392</v>
      </c>
      <c r="G232" s="27"/>
      <c r="H232" s="27"/>
      <c r="I232" s="27">
        <f t="shared" si="31"/>
        <v>0</v>
      </c>
      <c r="J232" s="45">
        <f t="shared" si="29"/>
        <v>0</v>
      </c>
      <c r="K232" s="45">
        <f t="shared" si="30"/>
        <v>0</v>
      </c>
      <c r="L232" s="45">
        <f t="shared" si="32"/>
        <v>0</v>
      </c>
    </row>
    <row r="233" spans="1:12" ht="42">
      <c r="A233" s="10">
        <v>214</v>
      </c>
      <c r="B233" s="76" t="s">
        <v>256</v>
      </c>
      <c r="C233" s="10" t="s">
        <v>249</v>
      </c>
      <c r="D233" s="10">
        <v>5</v>
      </c>
      <c r="E233" s="41">
        <v>3705</v>
      </c>
      <c r="F233" s="41">
        <f t="shared" si="33"/>
        <v>18525</v>
      </c>
      <c r="G233" s="27"/>
      <c r="H233" s="27"/>
      <c r="I233" s="27">
        <f t="shared" si="31"/>
        <v>0</v>
      </c>
      <c r="J233" s="45">
        <f t="shared" si="29"/>
        <v>0</v>
      </c>
      <c r="K233" s="45">
        <f t="shared" si="30"/>
        <v>0</v>
      </c>
      <c r="L233" s="45">
        <f t="shared" si="32"/>
        <v>0</v>
      </c>
    </row>
    <row r="234" spans="1:12" ht="70">
      <c r="A234" s="10">
        <v>215</v>
      </c>
      <c r="B234" s="76" t="s">
        <v>257</v>
      </c>
      <c r="C234" s="10" t="s">
        <v>22</v>
      </c>
      <c r="D234" s="10">
        <v>1</v>
      </c>
      <c r="E234" s="41">
        <v>87890</v>
      </c>
      <c r="F234" s="41">
        <f t="shared" si="33"/>
        <v>87890</v>
      </c>
      <c r="G234" s="27"/>
      <c r="H234" s="27"/>
      <c r="I234" s="27">
        <f t="shared" si="31"/>
        <v>0</v>
      </c>
      <c r="J234" s="45">
        <f t="shared" si="29"/>
        <v>0</v>
      </c>
      <c r="K234" s="45">
        <f t="shared" si="30"/>
        <v>0</v>
      </c>
      <c r="L234" s="45">
        <f t="shared" si="32"/>
        <v>0</v>
      </c>
    </row>
    <row r="235" spans="1:12" ht="70">
      <c r="A235" s="10">
        <v>216</v>
      </c>
      <c r="B235" s="76" t="s">
        <v>258</v>
      </c>
      <c r="C235" s="10" t="s">
        <v>22</v>
      </c>
      <c r="D235" s="10">
        <v>1</v>
      </c>
      <c r="E235" s="41">
        <v>82251</v>
      </c>
      <c r="F235" s="41">
        <f t="shared" si="33"/>
        <v>82251</v>
      </c>
      <c r="G235" s="27"/>
      <c r="H235" s="27"/>
      <c r="I235" s="27">
        <f t="shared" si="31"/>
        <v>0</v>
      </c>
      <c r="J235" s="45">
        <f t="shared" si="29"/>
        <v>0</v>
      </c>
      <c r="K235" s="45">
        <f t="shared" si="30"/>
        <v>0</v>
      </c>
      <c r="L235" s="45">
        <f t="shared" si="32"/>
        <v>0</v>
      </c>
    </row>
    <row r="236" spans="1:12" ht="84">
      <c r="A236" s="10">
        <v>217</v>
      </c>
      <c r="B236" s="76" t="s">
        <v>259</v>
      </c>
      <c r="C236" s="10" t="s">
        <v>22</v>
      </c>
      <c r="D236" s="10">
        <v>2</v>
      </c>
      <c r="E236" s="41">
        <v>11000</v>
      </c>
      <c r="F236" s="41">
        <f t="shared" si="33"/>
        <v>22000</v>
      </c>
      <c r="G236" s="27"/>
      <c r="H236" s="27"/>
      <c r="I236" s="27">
        <f t="shared" si="31"/>
        <v>0</v>
      </c>
      <c r="J236" s="45">
        <f t="shared" si="29"/>
        <v>0</v>
      </c>
      <c r="K236" s="45">
        <f t="shared" si="30"/>
        <v>0</v>
      </c>
      <c r="L236" s="45">
        <f t="shared" si="32"/>
        <v>0</v>
      </c>
    </row>
    <row r="237" spans="1:12">
      <c r="A237" s="10"/>
      <c r="B237" s="76"/>
      <c r="C237" s="10"/>
      <c r="D237" s="10"/>
      <c r="E237" s="41"/>
      <c r="F237" s="41"/>
      <c r="G237" s="27"/>
      <c r="H237" s="27"/>
      <c r="I237" s="27"/>
      <c r="J237" s="27"/>
      <c r="K237" s="27"/>
      <c r="L237" s="27"/>
    </row>
    <row r="238" spans="1:12">
      <c r="A238" s="15">
        <v>9</v>
      </c>
      <c r="B238" s="78" t="s">
        <v>12</v>
      </c>
      <c r="C238" s="15"/>
      <c r="D238" s="15"/>
      <c r="E238" s="44"/>
      <c r="F238" s="44">
        <f>SUM(F239:F246)</f>
        <v>86400</v>
      </c>
      <c r="G238" s="15"/>
      <c r="H238" s="15"/>
      <c r="I238" s="15"/>
      <c r="J238" s="44">
        <f>SUM(J239:J246)</f>
        <v>62553</v>
      </c>
      <c r="K238" s="44">
        <f t="shared" ref="K238:L238" si="34">SUM(K239:K246)</f>
        <v>103518.75</v>
      </c>
      <c r="L238" s="44">
        <f t="shared" si="34"/>
        <v>166071.75</v>
      </c>
    </row>
    <row r="239" spans="1:12" ht="28">
      <c r="A239" s="10">
        <v>218</v>
      </c>
      <c r="B239" s="76" t="s">
        <v>260</v>
      </c>
      <c r="C239" s="10" t="s">
        <v>2</v>
      </c>
      <c r="D239" s="10" t="s">
        <v>2</v>
      </c>
      <c r="E239" s="41"/>
      <c r="F239" s="41"/>
      <c r="G239" s="27"/>
      <c r="H239" s="27"/>
      <c r="I239" s="27"/>
      <c r="J239" s="27"/>
      <c r="K239" s="27"/>
      <c r="L239" s="27"/>
    </row>
    <row r="240" spans="1:12" ht="210">
      <c r="A240" s="10">
        <v>219</v>
      </c>
      <c r="B240" s="76" t="s">
        <v>261</v>
      </c>
      <c r="C240" s="10" t="s">
        <v>2</v>
      </c>
      <c r="D240" s="10" t="s">
        <v>2</v>
      </c>
      <c r="E240" s="41"/>
      <c r="F240" s="41"/>
      <c r="G240" s="27"/>
      <c r="H240" s="27"/>
      <c r="I240" s="27"/>
      <c r="J240" s="27"/>
      <c r="K240" s="27"/>
      <c r="L240" s="27"/>
    </row>
    <row r="241" spans="1:12">
      <c r="A241" s="10">
        <v>220</v>
      </c>
      <c r="B241" s="76" t="s">
        <v>262</v>
      </c>
      <c r="C241" s="10" t="s">
        <v>263</v>
      </c>
      <c r="D241" s="10">
        <v>15</v>
      </c>
      <c r="E241" s="41">
        <v>1600</v>
      </c>
      <c r="F241" s="41">
        <f>D241*E241</f>
        <v>24000</v>
      </c>
      <c r="G241" s="27">
        <v>15</v>
      </c>
      <c r="H241" s="45">
        <f>'JMS RA-01 '!I347-'Abtract '!G241</f>
        <v>20.025000000000006</v>
      </c>
      <c r="I241" s="27">
        <f>G241+H241</f>
        <v>35.025000000000006</v>
      </c>
      <c r="J241" s="46">
        <f>E241*G241</f>
        <v>24000</v>
      </c>
      <c r="K241" s="46">
        <f>H241*E241</f>
        <v>32040.000000000007</v>
      </c>
      <c r="L241" s="46">
        <f>J241+K241</f>
        <v>56040.000000000007</v>
      </c>
    </row>
    <row r="242" spans="1:12">
      <c r="A242" s="10">
        <v>221</v>
      </c>
      <c r="B242" s="76" t="s">
        <v>264</v>
      </c>
      <c r="C242" s="10" t="s">
        <v>263</v>
      </c>
      <c r="D242" s="10">
        <v>30</v>
      </c>
      <c r="E242" s="41">
        <v>1100</v>
      </c>
      <c r="F242" s="41">
        <f>D242*E242</f>
        <v>33000</v>
      </c>
      <c r="G242" s="27">
        <f>'JMS RA-01 '!I355</f>
        <v>28.229999999999997</v>
      </c>
      <c r="H242" s="27">
        <f>'JMS - Final '!I162</f>
        <v>8.5500000000000007</v>
      </c>
      <c r="I242" s="27">
        <f t="shared" ref="I242:I246" si="35">G242+H242</f>
        <v>36.78</v>
      </c>
      <c r="J242" s="46">
        <f>E242*G242</f>
        <v>31052.999999999996</v>
      </c>
      <c r="K242" s="46">
        <f>E242*H242</f>
        <v>9405</v>
      </c>
      <c r="L242" s="46">
        <f t="shared" ref="L242:L246" si="36">J242+K242</f>
        <v>40458</v>
      </c>
    </row>
    <row r="243" spans="1:12" ht="28">
      <c r="A243" s="10">
        <v>222</v>
      </c>
      <c r="B243" s="76" t="s">
        <v>265</v>
      </c>
      <c r="C243" s="10" t="s">
        <v>157</v>
      </c>
      <c r="D243" s="10">
        <v>2</v>
      </c>
      <c r="E243" s="41">
        <v>1200</v>
      </c>
      <c r="F243" s="41">
        <f>D243*E243</f>
        <v>2400</v>
      </c>
      <c r="G243" s="27"/>
      <c r="H243" s="27"/>
      <c r="I243" s="27">
        <f t="shared" si="35"/>
        <v>0</v>
      </c>
      <c r="J243" s="27"/>
      <c r="K243" s="27"/>
      <c r="L243" s="46">
        <f t="shared" si="36"/>
        <v>0</v>
      </c>
    </row>
    <row r="244" spans="1:12" ht="112">
      <c r="A244" s="10">
        <v>223</v>
      </c>
      <c r="B244" s="76" t="s">
        <v>266</v>
      </c>
      <c r="C244" s="10" t="s">
        <v>263</v>
      </c>
      <c r="D244" s="10">
        <v>10</v>
      </c>
      <c r="E244" s="41">
        <v>750</v>
      </c>
      <c r="F244" s="41">
        <f>D244*E244</f>
        <v>7500</v>
      </c>
      <c r="G244" s="27">
        <v>10</v>
      </c>
      <c r="H244" s="27">
        <f>'JMS RA-01 '!I366-'Abtract '!G244+'JMS - Final '!I167</f>
        <v>56.765000000000001</v>
      </c>
      <c r="I244" s="27">
        <f t="shared" si="35"/>
        <v>66.765000000000001</v>
      </c>
      <c r="J244" s="46">
        <f>E244*G244</f>
        <v>7500</v>
      </c>
      <c r="K244" s="46">
        <f>E244*H244</f>
        <v>42573.75</v>
      </c>
      <c r="L244" s="46">
        <f t="shared" si="36"/>
        <v>50073.75</v>
      </c>
    </row>
    <row r="245" spans="1:12" ht="28">
      <c r="A245" s="10">
        <v>224</v>
      </c>
      <c r="B245" s="76" t="s">
        <v>267</v>
      </c>
      <c r="C245" s="10" t="s">
        <v>2</v>
      </c>
      <c r="D245" s="10" t="s">
        <v>2</v>
      </c>
      <c r="E245" s="41"/>
      <c r="F245" s="41"/>
      <c r="G245" s="27"/>
      <c r="H245" s="27"/>
      <c r="I245" s="27"/>
      <c r="J245" s="46"/>
      <c r="K245" s="27"/>
      <c r="L245" s="46"/>
    </row>
    <row r="246" spans="1:12" ht="56">
      <c r="A246" s="10">
        <v>225</v>
      </c>
      <c r="B246" s="76" t="s">
        <v>268</v>
      </c>
      <c r="C246" s="10" t="s">
        <v>71</v>
      </c>
      <c r="D246" s="10">
        <v>3</v>
      </c>
      <c r="E246" s="41">
        <v>6500</v>
      </c>
      <c r="F246" s="41">
        <f>D246*E246</f>
        <v>19500</v>
      </c>
      <c r="G246" s="27"/>
      <c r="H246" s="27">
        <f>'JMS - Final '!I172</f>
        <v>3</v>
      </c>
      <c r="I246" s="27">
        <f t="shared" si="35"/>
        <v>3</v>
      </c>
      <c r="J246" s="46">
        <f t="shared" ref="J246" si="37">E246*G246</f>
        <v>0</v>
      </c>
      <c r="K246" s="46">
        <f>E246*H246</f>
        <v>19500</v>
      </c>
      <c r="L246" s="46">
        <f t="shared" si="36"/>
        <v>19500</v>
      </c>
    </row>
    <row r="247" spans="1:12">
      <c r="A247" s="10"/>
      <c r="B247" s="76"/>
      <c r="C247" s="10"/>
      <c r="D247" s="10"/>
      <c r="E247" s="41"/>
      <c r="F247" s="41"/>
      <c r="G247" s="27"/>
      <c r="H247" s="27"/>
      <c r="I247" s="27"/>
      <c r="J247" s="27"/>
      <c r="K247" s="27"/>
      <c r="L247" s="27"/>
    </row>
    <row r="248" spans="1:12">
      <c r="A248" s="10"/>
      <c r="B248" s="76"/>
      <c r="C248" s="10"/>
      <c r="D248" s="10"/>
      <c r="E248" s="41"/>
      <c r="F248" s="41"/>
      <c r="G248" s="27"/>
      <c r="H248" s="27"/>
      <c r="I248" s="27"/>
      <c r="J248" s="27"/>
      <c r="K248" s="27"/>
      <c r="L248" s="27"/>
    </row>
  </sheetData>
  <mergeCells count="3">
    <mergeCell ref="G1:I1"/>
    <mergeCell ref="J1:L1"/>
    <mergeCell ref="A1:F1"/>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4"/>
  <sheetViews>
    <sheetView showGridLines="0" topLeftCell="A200" zoomScale="95" zoomScaleNormal="95" workbookViewId="0">
      <selection activeCell="E207" sqref="E207"/>
    </sheetView>
  </sheetViews>
  <sheetFormatPr defaultColWidth="9.08984375" defaultRowHeight="14.5"/>
  <cols>
    <col min="1" max="1" width="9.08984375" style="11" customWidth="1"/>
    <col min="2" max="2" width="58.08984375" style="2" customWidth="1"/>
    <col min="3" max="3" width="7.36328125" style="11" customWidth="1"/>
    <col min="4" max="4" width="9.08984375" style="11" customWidth="1"/>
    <col min="5" max="8" width="8.90625" style="31"/>
    <col min="9" max="9" width="11.36328125" style="31" customWidth="1"/>
    <col min="10" max="16384" width="9.08984375" style="1"/>
  </cols>
  <sheetData>
    <row r="1" spans="1:9">
      <c r="A1" s="101" t="s">
        <v>292</v>
      </c>
      <c r="B1" s="101"/>
      <c r="C1" s="99" t="s">
        <v>285</v>
      </c>
      <c r="D1" s="99"/>
      <c r="E1" s="100" t="s">
        <v>287</v>
      </c>
      <c r="F1" s="100"/>
      <c r="G1" s="100"/>
      <c r="H1" s="100"/>
      <c r="I1" s="100"/>
    </row>
    <row r="2" spans="1:9">
      <c r="A2" s="24" t="s">
        <v>13</v>
      </c>
      <c r="B2" s="25" t="s">
        <v>14</v>
      </c>
      <c r="C2" s="19" t="s">
        <v>286</v>
      </c>
      <c r="D2" s="19" t="s">
        <v>281</v>
      </c>
      <c r="E2" s="4" t="s">
        <v>288</v>
      </c>
      <c r="F2" s="4" t="s">
        <v>289</v>
      </c>
      <c r="G2" s="4" t="s">
        <v>290</v>
      </c>
      <c r="H2" s="4" t="s">
        <v>99</v>
      </c>
      <c r="I2" s="4" t="s">
        <v>291</v>
      </c>
    </row>
    <row r="3" spans="1:9" ht="14">
      <c r="A3" s="17"/>
      <c r="B3" s="18"/>
      <c r="C3" s="17"/>
      <c r="D3" s="17"/>
      <c r="E3" s="17"/>
      <c r="F3" s="17"/>
      <c r="G3" s="17"/>
      <c r="H3" s="17"/>
      <c r="I3" s="17"/>
    </row>
    <row r="4" spans="1:9" ht="14">
      <c r="A4" s="10"/>
      <c r="B4" s="9"/>
      <c r="C4" s="10"/>
      <c r="D4" s="10"/>
      <c r="E4" s="27"/>
      <c r="F4" s="27"/>
      <c r="G4" s="27"/>
      <c r="H4" s="27"/>
      <c r="I4" s="27"/>
    </row>
    <row r="5" spans="1:9" ht="14">
      <c r="A5" s="12">
        <v>1</v>
      </c>
      <c r="B5" s="13" t="s">
        <v>3</v>
      </c>
      <c r="C5" s="12"/>
      <c r="D5" s="12"/>
      <c r="E5" s="12"/>
      <c r="F5" s="12"/>
      <c r="G5" s="12"/>
      <c r="H5" s="12"/>
      <c r="I5" s="12"/>
    </row>
    <row r="6" spans="1:9" ht="84">
      <c r="A6" s="10">
        <v>1</v>
      </c>
      <c r="B6" s="9" t="s">
        <v>17</v>
      </c>
      <c r="C6" s="10" t="s">
        <v>2</v>
      </c>
      <c r="D6" s="10" t="s">
        <v>2</v>
      </c>
      <c r="E6" s="27"/>
      <c r="F6" s="27"/>
      <c r="G6" s="27"/>
      <c r="H6" s="27"/>
      <c r="I6" s="27"/>
    </row>
    <row r="7" spans="1:9" ht="56">
      <c r="A7" s="10">
        <v>2</v>
      </c>
      <c r="B7" s="9" t="s">
        <v>18</v>
      </c>
      <c r="C7" s="10" t="s">
        <v>19</v>
      </c>
      <c r="D7" s="10">
        <v>300</v>
      </c>
      <c r="E7" s="27"/>
      <c r="F7" s="27"/>
      <c r="G7" s="27"/>
      <c r="H7" s="27"/>
      <c r="I7" s="29">
        <f>I8</f>
        <v>131.682816</v>
      </c>
    </row>
    <row r="8" spans="1:9" ht="14">
      <c r="A8" s="10"/>
      <c r="B8" s="26" t="s">
        <v>302</v>
      </c>
      <c r="C8" s="10"/>
      <c r="D8" s="10"/>
      <c r="E8" s="27">
        <f>3.6*3.28</f>
        <v>11.808</v>
      </c>
      <c r="F8" s="27"/>
      <c r="G8" s="27">
        <f>3.4*3.28</f>
        <v>11.151999999999999</v>
      </c>
      <c r="H8" s="27">
        <v>1</v>
      </c>
      <c r="I8" s="27">
        <f>E8*G8*H8</f>
        <v>131.682816</v>
      </c>
    </row>
    <row r="9" spans="1:9" ht="42">
      <c r="A9" s="10">
        <v>3</v>
      </c>
      <c r="B9" s="9" t="s">
        <v>20</v>
      </c>
      <c r="C9" s="10" t="s">
        <v>2</v>
      </c>
      <c r="D9" s="10" t="s">
        <v>2</v>
      </c>
      <c r="E9" s="27"/>
      <c r="F9" s="27"/>
      <c r="G9" s="27"/>
      <c r="H9" s="27"/>
      <c r="I9" s="27"/>
    </row>
    <row r="10" spans="1:9" ht="14">
      <c r="A10" s="10">
        <v>4</v>
      </c>
      <c r="B10" s="9" t="s">
        <v>21</v>
      </c>
      <c r="C10" s="10" t="s">
        <v>22</v>
      </c>
      <c r="D10" s="10">
        <v>1</v>
      </c>
      <c r="E10" s="27"/>
      <c r="F10" s="27"/>
      <c r="G10" s="27"/>
      <c r="H10" s="27"/>
      <c r="I10" s="27"/>
    </row>
    <row r="11" spans="1:9" ht="14">
      <c r="A11" s="10">
        <v>5</v>
      </c>
      <c r="B11" s="9" t="s">
        <v>23</v>
      </c>
      <c r="C11" s="10" t="s">
        <v>22</v>
      </c>
      <c r="D11" s="10">
        <v>1</v>
      </c>
      <c r="E11" s="27"/>
      <c r="F11" s="27"/>
      <c r="G11" s="27"/>
      <c r="H11" s="27"/>
      <c r="I11" s="27"/>
    </row>
    <row r="12" spans="1:9" ht="56">
      <c r="A12" s="10">
        <v>6</v>
      </c>
      <c r="B12" s="9" t="s">
        <v>24</v>
      </c>
      <c r="C12" s="10" t="s">
        <v>22</v>
      </c>
      <c r="D12" s="10">
        <v>2</v>
      </c>
      <c r="E12" s="3"/>
      <c r="F12" s="3"/>
      <c r="G12" s="3"/>
      <c r="H12" s="3"/>
      <c r="I12" s="3"/>
    </row>
    <row r="13" spans="1:9">
      <c r="A13" s="10">
        <v>7</v>
      </c>
      <c r="B13" s="9" t="s">
        <v>25</v>
      </c>
      <c r="C13" s="10" t="s">
        <v>2</v>
      </c>
      <c r="D13" s="10" t="s">
        <v>2</v>
      </c>
      <c r="E13" s="3"/>
      <c r="F13" s="3"/>
      <c r="G13" s="3"/>
      <c r="H13" s="3"/>
      <c r="I13" s="3"/>
    </row>
    <row r="14" spans="1:9" ht="42">
      <c r="A14" s="10">
        <v>8</v>
      </c>
      <c r="B14" s="9" t="s">
        <v>26</v>
      </c>
      <c r="C14" s="10" t="s">
        <v>27</v>
      </c>
      <c r="D14" s="10">
        <v>335</v>
      </c>
      <c r="E14" s="3"/>
      <c r="F14" s="3"/>
      <c r="G14" s="3"/>
      <c r="H14" s="3"/>
      <c r="I14" s="21">
        <f>+I15+I16</f>
        <v>312.33718026239995</v>
      </c>
    </row>
    <row r="15" spans="1:9">
      <c r="A15" s="10"/>
      <c r="B15" s="26" t="s">
        <v>303</v>
      </c>
      <c r="C15" s="10"/>
      <c r="D15" s="10"/>
      <c r="E15" s="3">
        <f>5.2*3.28</f>
        <v>17.056000000000001</v>
      </c>
      <c r="F15" s="3">
        <f>5.55*3.28</f>
        <v>18.203999999999997</v>
      </c>
      <c r="G15" s="3">
        <f>0.3*3.28</f>
        <v>0.98399999999999987</v>
      </c>
      <c r="H15" s="3">
        <v>1</v>
      </c>
      <c r="I15" s="30">
        <f>E15*F15*G15*H15</f>
        <v>305.51962521599995</v>
      </c>
    </row>
    <row r="16" spans="1:9">
      <c r="A16" s="10"/>
      <c r="B16" s="26" t="s">
        <v>304</v>
      </c>
      <c r="C16" s="10"/>
      <c r="D16" s="10"/>
      <c r="E16" s="30">
        <f>0.35*3.28</f>
        <v>1.1479999999999999</v>
      </c>
      <c r="F16" s="3">
        <f>1.84*3.28</f>
        <v>6.0351999999999997</v>
      </c>
      <c r="G16" s="3">
        <f>0.3*3.28</f>
        <v>0.98399999999999987</v>
      </c>
      <c r="H16" s="3">
        <v>1</v>
      </c>
      <c r="I16" s="30">
        <f>E16*F16*G16*H16</f>
        <v>6.8175550463999981</v>
      </c>
    </row>
    <row r="17" spans="1:9">
      <c r="A17" s="10">
        <v>9</v>
      </c>
      <c r="B17" s="9" t="s">
        <v>28</v>
      </c>
      <c r="C17" s="10" t="s">
        <v>2</v>
      </c>
      <c r="D17" s="10" t="s">
        <v>2</v>
      </c>
      <c r="E17" s="3"/>
      <c r="F17" s="3"/>
      <c r="G17" s="3"/>
      <c r="H17" s="3"/>
      <c r="I17" s="3"/>
    </row>
    <row r="18" spans="1:9" ht="126">
      <c r="A18" s="10">
        <v>10</v>
      </c>
      <c r="B18" s="9" t="s">
        <v>29</v>
      </c>
      <c r="C18" s="10" t="s">
        <v>30</v>
      </c>
      <c r="D18" s="10">
        <v>1830</v>
      </c>
      <c r="E18" s="3"/>
      <c r="F18" s="3"/>
      <c r="G18" s="3"/>
      <c r="H18" s="3"/>
      <c r="I18" s="21">
        <f>SUM(I19:I28)</f>
        <v>1534.7287935999998</v>
      </c>
    </row>
    <row r="19" spans="1:9">
      <c r="A19" s="10" t="s">
        <v>293</v>
      </c>
      <c r="B19" s="26" t="s">
        <v>305</v>
      </c>
      <c r="C19" s="10"/>
      <c r="D19" s="10"/>
      <c r="E19" s="3">
        <v>18.203999999999997</v>
      </c>
      <c r="F19" s="3"/>
      <c r="G19" s="3">
        <v>11.151999999999999</v>
      </c>
      <c r="H19" s="3">
        <v>1</v>
      </c>
      <c r="I19" s="27">
        <f>E19*G19*H19</f>
        <v>203.01100799999995</v>
      </c>
    </row>
    <row r="20" spans="1:9">
      <c r="A20" s="10" t="s">
        <v>295</v>
      </c>
      <c r="B20" s="26" t="s">
        <v>306</v>
      </c>
      <c r="C20" s="10"/>
      <c r="D20" s="10"/>
      <c r="E20" s="3">
        <v>29.257599999999996</v>
      </c>
      <c r="F20" s="3"/>
      <c r="G20" s="3">
        <v>11.151999999999999</v>
      </c>
      <c r="H20" s="3">
        <v>1</v>
      </c>
      <c r="I20" s="27">
        <f t="shared" ref="I20:I27" si="0">E20*G20*H20</f>
        <v>326.28075519999993</v>
      </c>
    </row>
    <row r="21" spans="1:9">
      <c r="A21" s="10" t="s">
        <v>297</v>
      </c>
      <c r="B21" s="26" t="s">
        <v>307</v>
      </c>
      <c r="C21" s="10"/>
      <c r="D21" s="10"/>
      <c r="E21" s="3">
        <v>19.023999999999997</v>
      </c>
      <c r="F21" s="3"/>
      <c r="G21" s="3">
        <v>11.151999999999999</v>
      </c>
      <c r="H21" s="3">
        <v>1</v>
      </c>
      <c r="I21" s="27">
        <f t="shared" si="0"/>
        <v>212.15564799999996</v>
      </c>
    </row>
    <row r="22" spans="1:9">
      <c r="A22" s="10" t="s">
        <v>298</v>
      </c>
      <c r="B22" s="26" t="s">
        <v>308</v>
      </c>
      <c r="C22" s="10"/>
      <c r="D22" s="10"/>
      <c r="E22" s="3">
        <v>9.5119999999999987</v>
      </c>
      <c r="F22" s="3"/>
      <c r="G22" s="3">
        <v>11.151999999999999</v>
      </c>
      <c r="H22" s="3">
        <v>1</v>
      </c>
      <c r="I22" s="27">
        <f t="shared" si="0"/>
        <v>106.07782399999998</v>
      </c>
    </row>
    <row r="23" spans="1:9">
      <c r="A23" s="10" t="s">
        <v>299</v>
      </c>
      <c r="B23" s="26" t="s">
        <v>309</v>
      </c>
      <c r="C23" s="10"/>
      <c r="D23" s="10"/>
      <c r="E23" s="3">
        <v>21.647999999999996</v>
      </c>
      <c r="F23" s="3"/>
      <c r="G23" s="3">
        <v>11.151999999999999</v>
      </c>
      <c r="H23" s="3">
        <v>1</v>
      </c>
      <c r="I23" s="27">
        <f t="shared" si="0"/>
        <v>241.41849599999995</v>
      </c>
    </row>
    <row r="24" spans="1:9">
      <c r="A24" s="10" t="s">
        <v>296</v>
      </c>
      <c r="B24" s="26" t="s">
        <v>310</v>
      </c>
      <c r="C24" s="10"/>
      <c r="D24" s="10"/>
      <c r="E24" s="3">
        <v>-3.2471999999999999</v>
      </c>
      <c r="F24" s="3"/>
      <c r="G24" s="3">
        <v>6.8879999999999999</v>
      </c>
      <c r="H24" s="3">
        <v>1</v>
      </c>
      <c r="I24" s="27">
        <f t="shared" si="0"/>
        <v>-22.366713599999997</v>
      </c>
    </row>
    <row r="25" spans="1:9">
      <c r="A25" s="10" t="s">
        <v>300</v>
      </c>
      <c r="B25" s="26" t="s">
        <v>311</v>
      </c>
      <c r="C25" s="10"/>
      <c r="D25" s="10"/>
      <c r="E25" s="3">
        <v>6.6583999999999985</v>
      </c>
      <c r="F25" s="3"/>
      <c r="G25" s="3">
        <v>11.151999999999999</v>
      </c>
      <c r="H25" s="3">
        <v>1</v>
      </c>
      <c r="I25" s="27">
        <f t="shared" si="0"/>
        <v>74.254476799999978</v>
      </c>
    </row>
    <row r="26" spans="1:9">
      <c r="A26" s="10" t="s">
        <v>301</v>
      </c>
      <c r="B26" s="26" t="s">
        <v>354</v>
      </c>
      <c r="C26" s="10"/>
      <c r="D26" s="10"/>
      <c r="E26" s="3">
        <v>17.941599999999998</v>
      </c>
      <c r="F26" s="3"/>
      <c r="G26" s="3">
        <v>11.151999999999999</v>
      </c>
      <c r="H26" s="3">
        <v>1</v>
      </c>
      <c r="I26" s="27">
        <f t="shared" si="0"/>
        <v>200.08472319999996</v>
      </c>
    </row>
    <row r="27" spans="1:9">
      <c r="A27" s="10" t="s">
        <v>294</v>
      </c>
      <c r="B27" s="26" t="s">
        <v>314</v>
      </c>
      <c r="C27" s="10"/>
      <c r="D27" s="10"/>
      <c r="E27" s="3">
        <v>11.808</v>
      </c>
      <c r="F27" s="3"/>
      <c r="G27" s="3">
        <v>11.151999999999999</v>
      </c>
      <c r="H27" s="3">
        <v>1</v>
      </c>
      <c r="I27" s="27">
        <f t="shared" si="0"/>
        <v>131.682816</v>
      </c>
    </row>
    <row r="28" spans="1:9" ht="14">
      <c r="A28" s="10" t="s">
        <v>355</v>
      </c>
      <c r="B28" s="26" t="s">
        <v>313</v>
      </c>
      <c r="C28" s="27"/>
      <c r="D28" s="48"/>
      <c r="E28" s="48">
        <f>5.5*3.28</f>
        <v>18.04</v>
      </c>
      <c r="F28" s="48"/>
      <c r="G28" s="48">
        <f>1.05*3.28</f>
        <v>3.444</v>
      </c>
      <c r="H28" s="48"/>
      <c r="I28" s="49">
        <f>E28*G28</f>
        <v>62.129759999999997</v>
      </c>
    </row>
    <row r="29" spans="1:9" ht="14">
      <c r="A29" s="10"/>
      <c r="B29" s="26"/>
      <c r="C29" s="27"/>
      <c r="D29" s="48"/>
      <c r="E29" s="48"/>
      <c r="F29" s="48"/>
      <c r="G29" s="48"/>
      <c r="H29" s="48"/>
      <c r="I29" s="50"/>
    </row>
    <row r="30" spans="1:9" ht="70">
      <c r="A30" s="10">
        <v>11</v>
      </c>
      <c r="B30" s="9" t="s">
        <v>31</v>
      </c>
      <c r="C30" s="10" t="s">
        <v>30</v>
      </c>
      <c r="D30" s="10">
        <v>2283</v>
      </c>
      <c r="E30" s="3"/>
      <c r="F30" s="3"/>
      <c r="G30" s="3"/>
      <c r="H30" s="3"/>
      <c r="I30" s="51">
        <f>SUM(I31:I42)</f>
        <v>1818.5246271999997</v>
      </c>
    </row>
    <row r="31" spans="1:9" ht="14">
      <c r="A31" s="10" t="s">
        <v>293</v>
      </c>
      <c r="B31" s="26" t="s">
        <v>305</v>
      </c>
      <c r="C31" s="27" t="s">
        <v>30</v>
      </c>
      <c r="D31" s="48"/>
      <c r="E31" s="48">
        <f>5.55*3.28</f>
        <v>18.203999999999997</v>
      </c>
      <c r="F31" s="48"/>
      <c r="G31" s="48">
        <f>3.4*3.28</f>
        <v>11.151999999999999</v>
      </c>
      <c r="H31" s="48"/>
      <c r="I31" s="49">
        <f>G31*E31</f>
        <v>203.01100799999995</v>
      </c>
    </row>
    <row r="32" spans="1:9" ht="14">
      <c r="A32" s="10" t="s">
        <v>295</v>
      </c>
      <c r="B32" s="26" t="s">
        <v>306</v>
      </c>
      <c r="C32" s="27" t="s">
        <v>30</v>
      </c>
      <c r="D32" s="48"/>
      <c r="E32" s="48">
        <f>8.92*3.28</f>
        <v>29.257599999999996</v>
      </c>
      <c r="F32" s="48"/>
      <c r="G32" s="48">
        <f t="shared" ref="G32:G40" si="1">3.4*3.28</f>
        <v>11.151999999999999</v>
      </c>
      <c r="H32" s="48"/>
      <c r="I32" s="49">
        <f t="shared" ref="I32:I39" si="2">G32*E32</f>
        <v>326.28075519999993</v>
      </c>
    </row>
    <row r="33" spans="1:10" ht="14">
      <c r="A33" s="10" t="s">
        <v>297</v>
      </c>
      <c r="B33" s="26" t="s">
        <v>307</v>
      </c>
      <c r="C33" s="27" t="s">
        <v>30</v>
      </c>
      <c r="D33" s="48"/>
      <c r="E33" s="48">
        <f>5.8*3.28</f>
        <v>19.023999999999997</v>
      </c>
      <c r="F33" s="48"/>
      <c r="G33" s="48">
        <f t="shared" si="1"/>
        <v>11.151999999999999</v>
      </c>
      <c r="H33" s="48"/>
      <c r="I33" s="49">
        <f t="shared" si="2"/>
        <v>212.15564799999996</v>
      </c>
    </row>
    <row r="34" spans="1:10" ht="14">
      <c r="A34" s="10" t="s">
        <v>298</v>
      </c>
      <c r="B34" s="26" t="s">
        <v>308</v>
      </c>
      <c r="C34" s="27" t="s">
        <v>30</v>
      </c>
      <c r="D34" s="48"/>
      <c r="E34" s="48">
        <f>2.9*3.28</f>
        <v>9.5119999999999987</v>
      </c>
      <c r="F34" s="48"/>
      <c r="G34" s="48">
        <f t="shared" si="1"/>
        <v>11.151999999999999</v>
      </c>
      <c r="H34" s="48"/>
      <c r="I34" s="49">
        <f t="shared" si="2"/>
        <v>106.07782399999998</v>
      </c>
    </row>
    <row r="35" spans="1:10" ht="14">
      <c r="A35" s="10" t="s">
        <v>299</v>
      </c>
      <c r="B35" s="26" t="s">
        <v>309</v>
      </c>
      <c r="C35" s="27" t="s">
        <v>30</v>
      </c>
      <c r="D35" s="48"/>
      <c r="E35" s="48">
        <f>6.6*3.28</f>
        <v>21.647999999999996</v>
      </c>
      <c r="F35" s="48"/>
      <c r="G35" s="48">
        <f t="shared" si="1"/>
        <v>11.151999999999999</v>
      </c>
      <c r="H35" s="48"/>
      <c r="I35" s="49">
        <f t="shared" si="2"/>
        <v>241.41849599999995</v>
      </c>
    </row>
    <row r="36" spans="1:10" ht="14">
      <c r="A36" s="10" t="s">
        <v>296</v>
      </c>
      <c r="B36" s="26" t="s">
        <v>310</v>
      </c>
      <c r="C36" s="27" t="s">
        <v>30</v>
      </c>
      <c r="D36" s="48"/>
      <c r="E36" s="48">
        <f>-0.99*3.28</f>
        <v>-3.2471999999999999</v>
      </c>
      <c r="F36" s="48"/>
      <c r="G36" s="48">
        <f>2.1*3.28</f>
        <v>6.8879999999999999</v>
      </c>
      <c r="H36" s="48">
        <v>2</v>
      </c>
      <c r="I36" s="49">
        <f>G36*E36*H36</f>
        <v>-44.733427199999994</v>
      </c>
    </row>
    <row r="37" spans="1:10" ht="14">
      <c r="A37" s="10" t="s">
        <v>300</v>
      </c>
      <c r="B37" s="26" t="s">
        <v>311</v>
      </c>
      <c r="C37" s="27" t="s">
        <v>30</v>
      </c>
      <c r="D37" s="48"/>
      <c r="E37" s="48">
        <f>2.03*3.28</f>
        <v>6.6583999999999985</v>
      </c>
      <c r="F37" s="48"/>
      <c r="G37" s="48">
        <f t="shared" si="1"/>
        <v>11.151999999999999</v>
      </c>
      <c r="H37" s="48"/>
      <c r="I37" s="49">
        <f t="shared" si="2"/>
        <v>74.254476799999978</v>
      </c>
    </row>
    <row r="38" spans="1:10" ht="14">
      <c r="A38" s="10" t="s">
        <v>301</v>
      </c>
      <c r="B38" s="26" t="s">
        <v>312</v>
      </c>
      <c r="C38" s="27" t="s">
        <v>30</v>
      </c>
      <c r="D38" s="48"/>
      <c r="E38" s="48">
        <f>2.17*3.28</f>
        <v>7.1175999999999995</v>
      </c>
      <c r="F38" s="48"/>
      <c r="G38" s="48">
        <f>3.4*3.28</f>
        <v>11.151999999999999</v>
      </c>
      <c r="H38" s="48"/>
      <c r="I38" s="49">
        <f t="shared" si="2"/>
        <v>79.375475199999983</v>
      </c>
      <c r="J38" s="6"/>
    </row>
    <row r="39" spans="1:10" ht="14">
      <c r="A39" s="10" t="s">
        <v>294</v>
      </c>
      <c r="B39" s="26" t="s">
        <v>313</v>
      </c>
      <c r="C39" s="27" t="s">
        <v>30</v>
      </c>
      <c r="D39" s="48"/>
      <c r="E39" s="48">
        <f>5.47*3.28</f>
        <v>17.941599999999998</v>
      </c>
      <c r="F39" s="48"/>
      <c r="G39" s="48">
        <f t="shared" si="1"/>
        <v>11.151999999999999</v>
      </c>
      <c r="H39" s="48"/>
      <c r="I39" s="49">
        <f t="shared" si="2"/>
        <v>200.08472319999996</v>
      </c>
    </row>
    <row r="40" spans="1:10" ht="14">
      <c r="A40" s="10" t="s">
        <v>355</v>
      </c>
      <c r="B40" s="26" t="s">
        <v>314</v>
      </c>
      <c r="C40" s="27" t="s">
        <v>30</v>
      </c>
      <c r="D40" s="48"/>
      <c r="E40" s="48">
        <f>3.6*3.28</f>
        <v>11.808</v>
      </c>
      <c r="F40" s="48"/>
      <c r="G40" s="48">
        <f t="shared" si="1"/>
        <v>11.151999999999999</v>
      </c>
      <c r="H40" s="48">
        <v>2</v>
      </c>
      <c r="I40" s="49">
        <f>G40*E40*H40</f>
        <v>263.36563200000001</v>
      </c>
    </row>
    <row r="41" spans="1:10" ht="14">
      <c r="A41" s="10" t="s">
        <v>359</v>
      </c>
      <c r="B41" s="26" t="s">
        <v>356</v>
      </c>
      <c r="C41" s="27" t="s">
        <v>30</v>
      </c>
      <c r="D41" s="48"/>
      <c r="E41" s="48">
        <f>5.5*3.28</f>
        <v>18.04</v>
      </c>
      <c r="F41" s="48"/>
      <c r="G41" s="48">
        <f>1.05*3.28</f>
        <v>3.444</v>
      </c>
      <c r="H41" s="48" t="s">
        <v>357</v>
      </c>
      <c r="I41" s="49">
        <f>G41*E41</f>
        <v>62.129759999999997</v>
      </c>
    </row>
    <row r="42" spans="1:10" ht="14">
      <c r="A42" s="10" t="s">
        <v>360</v>
      </c>
      <c r="B42" s="26" t="s">
        <v>358</v>
      </c>
      <c r="C42" s="27" t="s">
        <v>30</v>
      </c>
      <c r="D42" s="48"/>
      <c r="E42" s="48">
        <f>2.6*3.28</f>
        <v>8.5280000000000005</v>
      </c>
      <c r="F42" s="48"/>
      <c r="G42" s="48">
        <f>3.4*3.28</f>
        <v>11.151999999999999</v>
      </c>
      <c r="H42" s="48"/>
      <c r="I42" s="49">
        <f>G42*E42</f>
        <v>95.104255999999992</v>
      </c>
    </row>
    <row r="43" spans="1:10">
      <c r="A43" s="10"/>
      <c r="B43" s="9"/>
      <c r="C43" s="10"/>
      <c r="D43" s="10"/>
      <c r="E43" s="3"/>
      <c r="F43" s="3"/>
      <c r="G43" s="3"/>
      <c r="H43" s="3"/>
      <c r="I43" s="3"/>
    </row>
    <row r="44" spans="1:10">
      <c r="A44" s="10">
        <v>12</v>
      </c>
      <c r="B44" s="9" t="s">
        <v>32</v>
      </c>
      <c r="C44" s="10" t="s">
        <v>2</v>
      </c>
      <c r="D44" s="10" t="s">
        <v>2</v>
      </c>
      <c r="E44" s="3"/>
      <c r="F44" s="3"/>
      <c r="G44" s="3"/>
      <c r="H44" s="3"/>
      <c r="I44" s="3"/>
    </row>
    <row r="45" spans="1:10" ht="182">
      <c r="A45" s="10">
        <v>13</v>
      </c>
      <c r="B45" s="9" t="s">
        <v>33</v>
      </c>
      <c r="C45" s="10" t="s">
        <v>27</v>
      </c>
      <c r="D45" s="10">
        <v>446</v>
      </c>
      <c r="E45" s="3"/>
      <c r="F45" s="3"/>
      <c r="G45" s="3"/>
      <c r="H45" s="3"/>
      <c r="I45" s="21">
        <f>I46</f>
        <v>218.56403957759994</v>
      </c>
    </row>
    <row r="46" spans="1:10">
      <c r="A46" s="10"/>
      <c r="B46" s="26" t="s">
        <v>315</v>
      </c>
      <c r="C46" s="27" t="s">
        <v>27</v>
      </c>
      <c r="D46" s="27"/>
      <c r="E46" s="27">
        <f>3.72*3.28</f>
        <v>12.201599999999999</v>
      </c>
      <c r="F46" s="27">
        <f>5.55*3.28</f>
        <v>18.203999999999997</v>
      </c>
      <c r="G46" s="27">
        <f>0.3*3.28</f>
        <v>0.98399999999999987</v>
      </c>
      <c r="H46" s="3">
        <v>1</v>
      </c>
      <c r="I46" s="3">
        <f>E46*F46*G46*H46</f>
        <v>218.56403957759994</v>
      </c>
    </row>
    <row r="47" spans="1:10">
      <c r="A47" s="10"/>
      <c r="B47" s="9"/>
      <c r="C47" s="10"/>
      <c r="D47" s="10"/>
      <c r="E47" s="3"/>
      <c r="F47" s="3"/>
      <c r="G47" s="3"/>
      <c r="H47" s="3"/>
      <c r="I47" s="3"/>
    </row>
    <row r="48" spans="1:10" ht="98">
      <c r="A48" s="10">
        <v>14</v>
      </c>
      <c r="B48" s="9" t="s">
        <v>34</v>
      </c>
      <c r="C48" s="10" t="s">
        <v>35</v>
      </c>
      <c r="D48" s="10">
        <v>1099</v>
      </c>
      <c r="E48" s="3"/>
      <c r="F48" s="3"/>
      <c r="G48" s="3"/>
      <c r="H48" s="3"/>
      <c r="I48" s="51">
        <f>SUM(I49:I53)</f>
        <v>639.90963199999987</v>
      </c>
    </row>
    <row r="49" spans="1:9" ht="14">
      <c r="A49" s="10"/>
      <c r="B49" s="26" t="s">
        <v>361</v>
      </c>
      <c r="C49" s="27" t="s">
        <v>35</v>
      </c>
      <c r="D49" s="48"/>
      <c r="E49" s="48">
        <f>8.92*3.28</f>
        <v>29.257599999999996</v>
      </c>
      <c r="F49" s="48">
        <f>5.55*3.28</f>
        <v>18.203999999999997</v>
      </c>
      <c r="G49" s="48"/>
      <c r="H49" s="48"/>
      <c r="I49" s="49">
        <f>F49*E49</f>
        <v>532.60535039999991</v>
      </c>
    </row>
    <row r="50" spans="1:9" ht="14">
      <c r="A50" s="10"/>
      <c r="B50" s="26" t="s">
        <v>362</v>
      </c>
      <c r="C50" s="27" t="s">
        <v>35</v>
      </c>
      <c r="D50" s="48"/>
      <c r="E50" s="48">
        <f>0.35*3.28</f>
        <v>1.1479999999999999</v>
      </c>
      <c r="F50" s="48">
        <f>1.84*3.28</f>
        <v>6.0351999999999997</v>
      </c>
      <c r="G50" s="48"/>
      <c r="H50" s="48"/>
      <c r="I50" s="49">
        <f>F50*E50</f>
        <v>6.9284095999999993</v>
      </c>
    </row>
    <row r="51" spans="1:9" ht="14">
      <c r="A51" s="10"/>
      <c r="B51" s="26" t="s">
        <v>363</v>
      </c>
      <c r="C51" s="27" t="s">
        <v>35</v>
      </c>
      <c r="D51" s="48"/>
      <c r="E51" s="48">
        <f>3.3*3.28</f>
        <v>10.823999999999998</v>
      </c>
      <c r="F51" s="48">
        <f>0.3*3.28</f>
        <v>0.98399999999999987</v>
      </c>
      <c r="G51" s="48"/>
      <c r="H51" s="48"/>
      <c r="I51" s="49">
        <f>F51*E51</f>
        <v>10.650815999999997</v>
      </c>
    </row>
    <row r="52" spans="1:9" ht="14">
      <c r="A52" s="10"/>
      <c r="B52" s="26" t="s">
        <v>364</v>
      </c>
      <c r="C52" s="27" t="s">
        <v>35</v>
      </c>
      <c r="D52" s="48"/>
      <c r="E52" s="48">
        <f>2.8*3.28</f>
        <v>9.1839999999999993</v>
      </c>
      <c r="F52" s="48">
        <f>0.3*3.28</f>
        <v>0.98399999999999987</v>
      </c>
      <c r="G52" s="48"/>
      <c r="H52" s="48"/>
      <c r="I52" s="49">
        <f>F52*E52</f>
        <v>9.037055999999998</v>
      </c>
    </row>
    <row r="53" spans="1:9" ht="14">
      <c r="A53" s="10"/>
      <c r="B53" s="26" t="s">
        <v>316</v>
      </c>
      <c r="C53" s="27" t="s">
        <v>35</v>
      </c>
      <c r="D53" s="48"/>
      <c r="E53" s="48">
        <f>1.5*3.28</f>
        <v>4.92</v>
      </c>
      <c r="F53" s="48"/>
      <c r="G53" s="48">
        <f>2.5*3.28</f>
        <v>8.1999999999999993</v>
      </c>
      <c r="H53" s="48">
        <v>2</v>
      </c>
      <c r="I53" s="49">
        <f>H53*G53*E53</f>
        <v>80.687999999999988</v>
      </c>
    </row>
    <row r="54" spans="1:9">
      <c r="A54" s="10"/>
      <c r="B54" s="9"/>
      <c r="C54" s="10"/>
      <c r="D54" s="10"/>
      <c r="E54" s="3"/>
      <c r="F54" s="3"/>
      <c r="G54" s="3"/>
      <c r="H54" s="3"/>
      <c r="I54" s="21"/>
    </row>
    <row r="55" spans="1:9" ht="112">
      <c r="A55" s="10">
        <v>15</v>
      </c>
      <c r="B55" s="9" t="s">
        <v>36</v>
      </c>
      <c r="C55" s="10" t="s">
        <v>37</v>
      </c>
      <c r="D55" s="10">
        <v>200</v>
      </c>
      <c r="E55" s="3"/>
      <c r="F55" s="3"/>
      <c r="G55" s="3"/>
      <c r="H55" s="3"/>
      <c r="I55" s="3"/>
    </row>
    <row r="56" spans="1:9">
      <c r="A56" s="10">
        <v>16</v>
      </c>
      <c r="B56" s="9" t="s">
        <v>38</v>
      </c>
      <c r="C56" s="10" t="s">
        <v>2</v>
      </c>
      <c r="D56" s="10" t="s">
        <v>2</v>
      </c>
      <c r="E56" s="3"/>
      <c r="F56" s="3"/>
      <c r="G56" s="3"/>
      <c r="H56" s="3"/>
      <c r="I56" s="3"/>
    </row>
    <row r="57" spans="1:9" ht="224">
      <c r="A57" s="10">
        <v>17</v>
      </c>
      <c r="B57" s="9" t="s">
        <v>39</v>
      </c>
      <c r="C57" s="10" t="s">
        <v>35</v>
      </c>
      <c r="D57" s="10">
        <v>658</v>
      </c>
      <c r="E57" s="3"/>
      <c r="F57" s="3"/>
      <c r="G57" s="3"/>
      <c r="H57" s="3"/>
      <c r="I57" s="52">
        <f>SUM(I58:I59)</f>
        <v>539.53375999999992</v>
      </c>
    </row>
    <row r="58" spans="1:9" ht="14">
      <c r="A58" s="10"/>
      <c r="B58" s="26" t="s">
        <v>365</v>
      </c>
      <c r="C58" s="27" t="s">
        <v>35</v>
      </c>
      <c r="D58" s="27"/>
      <c r="E58" s="27">
        <f>8.92*3.28</f>
        <v>29.257599999999996</v>
      </c>
      <c r="F58" s="27">
        <f>5.55*3.28</f>
        <v>18.203999999999997</v>
      </c>
      <c r="G58" s="27"/>
      <c r="H58" s="27"/>
      <c r="I58" s="27">
        <f>F58*E58</f>
        <v>532.60535039999991</v>
      </c>
    </row>
    <row r="59" spans="1:9" ht="14">
      <c r="A59" s="10"/>
      <c r="B59" s="26" t="s">
        <v>366</v>
      </c>
      <c r="C59" s="27" t="s">
        <v>35</v>
      </c>
      <c r="D59" s="27"/>
      <c r="E59" s="27">
        <f>0.35*3.28</f>
        <v>1.1479999999999999</v>
      </c>
      <c r="F59" s="27">
        <f>1.84*3.28</f>
        <v>6.0351999999999997</v>
      </c>
      <c r="G59" s="27"/>
      <c r="H59" s="27"/>
      <c r="I59" s="27">
        <f>F59*E59</f>
        <v>6.9284095999999993</v>
      </c>
    </row>
    <row r="60" spans="1:9">
      <c r="A60" s="10"/>
      <c r="B60" s="9"/>
      <c r="C60" s="10"/>
      <c r="D60" s="10"/>
      <c r="E60" s="3"/>
      <c r="F60" s="3"/>
      <c r="G60" s="3"/>
      <c r="H60" s="3"/>
      <c r="I60" s="3"/>
    </row>
    <row r="61" spans="1:9" ht="182">
      <c r="A61" s="10">
        <v>18</v>
      </c>
      <c r="B61" s="9" t="s">
        <v>40</v>
      </c>
      <c r="C61" s="10" t="s">
        <v>41</v>
      </c>
      <c r="D61" s="10">
        <v>138</v>
      </c>
      <c r="E61" s="3"/>
      <c r="F61" s="3"/>
      <c r="G61" s="3"/>
      <c r="H61" s="3"/>
      <c r="I61" s="21">
        <f>SUM(I62:I63)</f>
        <v>33.455999999999996</v>
      </c>
    </row>
    <row r="62" spans="1:9" ht="14">
      <c r="A62" s="10"/>
      <c r="B62" s="26" t="s">
        <v>367</v>
      </c>
      <c r="C62" s="27" t="s">
        <v>41</v>
      </c>
      <c r="D62" s="27"/>
      <c r="E62" s="27"/>
      <c r="F62" s="27"/>
      <c r="G62" s="27"/>
      <c r="H62" s="27"/>
      <c r="I62" s="27">
        <f>3.9*3.28</f>
        <v>12.792</v>
      </c>
    </row>
    <row r="63" spans="1:9" ht="14">
      <c r="A63" s="10"/>
      <c r="B63" s="26" t="s">
        <v>368</v>
      </c>
      <c r="C63" s="27" t="s">
        <v>41</v>
      </c>
      <c r="D63" s="27"/>
      <c r="E63" s="27"/>
      <c r="F63" s="27"/>
      <c r="G63" s="27"/>
      <c r="H63" s="27"/>
      <c r="I63" s="27">
        <f>6.3*3.28</f>
        <v>20.663999999999998</v>
      </c>
    </row>
    <row r="64" spans="1:9">
      <c r="A64" s="10"/>
      <c r="B64" s="9"/>
      <c r="C64" s="10"/>
      <c r="D64" s="10"/>
      <c r="E64" s="3"/>
      <c r="F64" s="3"/>
      <c r="G64" s="3"/>
      <c r="H64" s="3"/>
      <c r="I64" s="3"/>
    </row>
    <row r="65" spans="1:9" ht="182">
      <c r="A65" s="10">
        <v>19</v>
      </c>
      <c r="B65" s="9" t="s">
        <v>42</v>
      </c>
      <c r="C65" s="10" t="s">
        <v>35</v>
      </c>
      <c r="D65" s="10">
        <v>678</v>
      </c>
      <c r="E65" s="3"/>
      <c r="F65" s="3"/>
      <c r="G65" s="3"/>
      <c r="H65" s="3"/>
      <c r="I65" s="52">
        <f>SUM(I66:I71)</f>
        <v>562.42763519999994</v>
      </c>
    </row>
    <row r="66" spans="1:9" ht="14">
      <c r="A66" s="10"/>
      <c r="B66" s="26" t="s">
        <v>369</v>
      </c>
      <c r="C66" s="27" t="s">
        <v>35</v>
      </c>
      <c r="D66" s="27"/>
      <c r="E66" s="27">
        <f>2.4*3.28</f>
        <v>7.871999999999999</v>
      </c>
      <c r="F66" s="27"/>
      <c r="G66" s="27">
        <f>2.4*3.28</f>
        <v>7.871999999999999</v>
      </c>
      <c r="H66" s="27"/>
      <c r="I66" s="27">
        <f>G66*E66</f>
        <v>61.968383999999986</v>
      </c>
    </row>
    <row r="67" spans="1:9" ht="14">
      <c r="A67" s="10"/>
      <c r="B67" s="26" t="s">
        <v>370</v>
      </c>
      <c r="C67" s="27" t="s">
        <v>35</v>
      </c>
      <c r="D67" s="27"/>
      <c r="E67" s="27">
        <f>5.72*3.28</f>
        <v>18.761599999999998</v>
      </c>
      <c r="F67" s="27"/>
      <c r="G67" s="27">
        <f>2.4*3.28</f>
        <v>7.871999999999999</v>
      </c>
      <c r="H67" s="27"/>
      <c r="I67" s="27">
        <f t="shared" ref="I67:I71" si="3">G67*E67</f>
        <v>147.69131519999996</v>
      </c>
    </row>
    <row r="68" spans="1:9" ht="14">
      <c r="A68" s="10"/>
      <c r="B68" s="26" t="s">
        <v>371</v>
      </c>
      <c r="C68" s="27" t="s">
        <v>35</v>
      </c>
      <c r="D68" s="27"/>
      <c r="E68" s="27">
        <f>3.02*3.28</f>
        <v>9.9055999999999997</v>
      </c>
      <c r="F68" s="27"/>
      <c r="G68" s="27">
        <f>2.4*3.28</f>
        <v>7.871999999999999</v>
      </c>
      <c r="H68" s="27"/>
      <c r="I68" s="27">
        <f t="shared" si="3"/>
        <v>77.976883199999989</v>
      </c>
    </row>
    <row r="69" spans="1:9" ht="14">
      <c r="A69" s="10"/>
      <c r="B69" s="26" t="s">
        <v>372</v>
      </c>
      <c r="C69" s="27" t="s">
        <v>35</v>
      </c>
      <c r="D69" s="27"/>
      <c r="E69" s="27">
        <f>7.97*3.28</f>
        <v>26.141599999999997</v>
      </c>
      <c r="F69" s="27"/>
      <c r="G69" s="27">
        <f>2.4*3.28</f>
        <v>7.871999999999999</v>
      </c>
      <c r="H69" s="27"/>
      <c r="I69" s="27">
        <f t="shared" si="3"/>
        <v>205.78667519999996</v>
      </c>
    </row>
    <row r="70" spans="1:9" ht="14">
      <c r="A70" s="10"/>
      <c r="B70" s="26" t="s">
        <v>373</v>
      </c>
      <c r="C70" s="27" t="s">
        <v>35</v>
      </c>
      <c r="D70" s="27"/>
      <c r="E70" s="27">
        <f>-0.9*3.28</f>
        <v>-2.952</v>
      </c>
      <c r="F70" s="27"/>
      <c r="G70" s="27">
        <f>2.1*3.28</f>
        <v>6.8879999999999999</v>
      </c>
      <c r="H70" s="27"/>
      <c r="I70" s="27">
        <f t="shared" si="3"/>
        <v>-20.333375999999998</v>
      </c>
    </row>
    <row r="71" spans="1:9" ht="14">
      <c r="A71" s="10"/>
      <c r="B71" s="26" t="s">
        <v>374</v>
      </c>
      <c r="C71" s="27" t="s">
        <v>35</v>
      </c>
      <c r="D71" s="27"/>
      <c r="E71" s="27">
        <f>3.46*3.28</f>
        <v>11.348799999999999</v>
      </c>
      <c r="F71" s="27"/>
      <c r="G71" s="27">
        <f>2.4*3.28</f>
        <v>7.871999999999999</v>
      </c>
      <c r="H71" s="27"/>
      <c r="I71" s="27">
        <f t="shared" si="3"/>
        <v>89.337753599999985</v>
      </c>
    </row>
    <row r="72" spans="1:9">
      <c r="A72" s="10"/>
      <c r="B72" s="9"/>
      <c r="C72" s="10"/>
      <c r="D72" s="10"/>
      <c r="E72" s="3"/>
      <c r="F72" s="3"/>
      <c r="G72" s="3"/>
      <c r="H72" s="3"/>
      <c r="I72" s="3"/>
    </row>
    <row r="73" spans="1:9" ht="168">
      <c r="A73" s="10">
        <v>20</v>
      </c>
      <c r="B73" s="9" t="s">
        <v>43</v>
      </c>
      <c r="C73" s="10" t="s">
        <v>35</v>
      </c>
      <c r="D73" s="10">
        <v>415</v>
      </c>
      <c r="E73" s="3"/>
      <c r="F73" s="3"/>
      <c r="G73" s="3"/>
      <c r="H73" s="3"/>
      <c r="I73" s="52">
        <f>SUM(I74:I76)</f>
        <v>305.71069439999991</v>
      </c>
    </row>
    <row r="74" spans="1:9" ht="14">
      <c r="A74" s="10"/>
      <c r="B74" s="26" t="s">
        <v>375</v>
      </c>
      <c r="C74" s="27" t="s">
        <v>35</v>
      </c>
      <c r="D74" s="27"/>
      <c r="E74" s="27">
        <f>1.9*3.28</f>
        <v>6.2319999999999993</v>
      </c>
      <c r="F74" s="27"/>
      <c r="G74" s="27">
        <f>2.4*3.28</f>
        <v>7.871999999999999</v>
      </c>
      <c r="H74" s="27">
        <v>2</v>
      </c>
      <c r="I74" s="27">
        <f>H74*G74*E74</f>
        <v>98.116607999999971</v>
      </c>
    </row>
    <row r="75" spans="1:9" ht="14">
      <c r="A75" s="10"/>
      <c r="B75" s="26" t="s">
        <v>376</v>
      </c>
      <c r="C75" s="27" t="s">
        <v>35</v>
      </c>
      <c r="D75" s="27"/>
      <c r="E75" s="27">
        <f>3.87*3.28</f>
        <v>12.6936</v>
      </c>
      <c r="F75" s="27"/>
      <c r="G75" s="27">
        <f>2.4*3.28</f>
        <v>7.871999999999999</v>
      </c>
      <c r="H75" s="27">
        <v>2</v>
      </c>
      <c r="I75" s="27">
        <f>H75*G75*E75</f>
        <v>199.84803839999998</v>
      </c>
    </row>
    <row r="76" spans="1:9" ht="14">
      <c r="A76" s="10"/>
      <c r="B76" s="26" t="s">
        <v>377</v>
      </c>
      <c r="C76" s="27" t="s">
        <v>35</v>
      </c>
      <c r="D76" s="27"/>
      <c r="E76" s="27">
        <f>2.4*3.28</f>
        <v>7.871999999999999</v>
      </c>
      <c r="F76" s="27"/>
      <c r="G76" s="27">
        <f>0.3*3.28</f>
        <v>0.98399999999999987</v>
      </c>
      <c r="H76" s="27"/>
      <c r="I76" s="27">
        <f>G76*E76</f>
        <v>7.7460479999999983</v>
      </c>
    </row>
    <row r="77" spans="1:9" ht="14">
      <c r="A77" s="10"/>
      <c r="B77" s="26"/>
      <c r="C77" s="27"/>
      <c r="D77" s="27"/>
      <c r="E77" s="27"/>
      <c r="F77" s="27"/>
      <c r="G77" s="27"/>
      <c r="H77" s="27"/>
      <c r="I77" s="27"/>
    </row>
    <row r="78" spans="1:9" ht="98">
      <c r="A78" s="10">
        <v>21</v>
      </c>
      <c r="B78" s="9" t="s">
        <v>44</v>
      </c>
      <c r="C78" s="10" t="s">
        <v>45</v>
      </c>
      <c r="D78" s="10">
        <v>18</v>
      </c>
      <c r="E78" s="3"/>
      <c r="F78" s="3"/>
      <c r="G78" s="3"/>
      <c r="H78" s="3"/>
      <c r="I78" s="21">
        <f>SUM(I79:I80)</f>
        <v>16.399999999999999</v>
      </c>
    </row>
    <row r="79" spans="1:9" ht="14">
      <c r="A79" s="10"/>
      <c r="B79" s="26" t="s">
        <v>378</v>
      </c>
      <c r="C79" s="27" t="s">
        <v>45</v>
      </c>
      <c r="D79" s="27"/>
      <c r="E79" s="27"/>
      <c r="F79" s="27"/>
      <c r="G79" s="27"/>
      <c r="H79" s="27"/>
      <c r="I79" s="27">
        <f>(2.1+2.1)*3.28</f>
        <v>13.776</v>
      </c>
    </row>
    <row r="80" spans="1:9" ht="14">
      <c r="A80" s="10"/>
      <c r="B80" s="26" t="s">
        <v>379</v>
      </c>
      <c r="C80" s="27" t="s">
        <v>45</v>
      </c>
      <c r="D80" s="27"/>
      <c r="E80" s="27"/>
      <c r="F80" s="27"/>
      <c r="G80" s="27"/>
      <c r="H80" s="27"/>
      <c r="I80" s="27">
        <f>0.8*3.28</f>
        <v>2.6240000000000001</v>
      </c>
    </row>
    <row r="81" spans="1:9" ht="14">
      <c r="A81" s="10"/>
      <c r="B81" s="26"/>
      <c r="C81" s="27"/>
      <c r="D81" s="27"/>
      <c r="E81" s="27"/>
      <c r="F81" s="27"/>
      <c r="G81" s="27"/>
      <c r="H81" s="27"/>
      <c r="I81" s="27"/>
    </row>
    <row r="82" spans="1:9" ht="84">
      <c r="A82" s="10">
        <v>22</v>
      </c>
      <c r="B82" s="9" t="s">
        <v>46</v>
      </c>
      <c r="C82" s="10" t="s">
        <v>45</v>
      </c>
      <c r="D82" s="10">
        <v>6</v>
      </c>
      <c r="E82" s="3"/>
      <c r="F82" s="3"/>
      <c r="G82" s="3"/>
      <c r="H82" s="3"/>
      <c r="I82" s="21">
        <f>SUM(I83)</f>
        <v>5.9039999999999999</v>
      </c>
    </row>
    <row r="83" spans="1:9" ht="14">
      <c r="A83" s="10"/>
      <c r="B83" s="26" t="s">
        <v>380</v>
      </c>
      <c r="C83" s="27" t="s">
        <v>45</v>
      </c>
      <c r="D83" s="27"/>
      <c r="E83" s="27"/>
      <c r="F83" s="27"/>
      <c r="G83" s="27"/>
      <c r="H83" s="27"/>
      <c r="I83" s="27">
        <f>(0.9+0.9)*3.28</f>
        <v>5.9039999999999999</v>
      </c>
    </row>
    <row r="84" spans="1:9" ht="14">
      <c r="A84" s="10"/>
      <c r="B84" s="26"/>
      <c r="C84" s="27"/>
      <c r="D84" s="27"/>
      <c r="E84" s="27"/>
      <c r="F84" s="27"/>
      <c r="G84" s="27"/>
      <c r="H84" s="27"/>
      <c r="I84" s="27"/>
    </row>
    <row r="85" spans="1:9" ht="168">
      <c r="A85" s="10">
        <v>23</v>
      </c>
      <c r="B85" s="9" t="s">
        <v>47</v>
      </c>
      <c r="C85" s="10" t="s">
        <v>35</v>
      </c>
      <c r="D85" s="10">
        <v>63</v>
      </c>
      <c r="E85" s="3"/>
      <c r="F85" s="3"/>
      <c r="G85" s="3"/>
      <c r="H85" s="3"/>
      <c r="I85" s="52">
        <f>I86</f>
        <v>65.088319999999996</v>
      </c>
    </row>
    <row r="86" spans="1:9" ht="14">
      <c r="A86" s="10"/>
      <c r="B86" s="26" t="s">
        <v>357</v>
      </c>
      <c r="C86" s="27" t="s">
        <v>35</v>
      </c>
      <c r="D86" s="27"/>
      <c r="E86" s="27">
        <f>5.5*3.28</f>
        <v>18.04</v>
      </c>
      <c r="F86" s="27"/>
      <c r="G86" s="27">
        <f>1.1*3.28</f>
        <v>3.6080000000000001</v>
      </c>
      <c r="H86" s="27"/>
      <c r="I86" s="27">
        <f>G86*E86</f>
        <v>65.088319999999996</v>
      </c>
    </row>
    <row r="87" spans="1:9">
      <c r="A87" s="10"/>
      <c r="B87" s="9"/>
      <c r="C87" s="10"/>
      <c r="D87" s="10"/>
      <c r="E87" s="3"/>
      <c r="F87" s="3"/>
      <c r="G87" s="3"/>
      <c r="H87" s="3"/>
      <c r="I87" s="3"/>
    </row>
    <row r="88" spans="1:9">
      <c r="A88" s="10">
        <v>24</v>
      </c>
      <c r="B88" s="9" t="s">
        <v>48</v>
      </c>
      <c r="C88" s="10" t="s">
        <v>2</v>
      </c>
      <c r="D88" s="10" t="s">
        <v>2</v>
      </c>
      <c r="E88" s="3"/>
      <c r="F88" s="3"/>
      <c r="G88" s="3"/>
      <c r="H88" s="3"/>
      <c r="I88" s="3"/>
    </row>
    <row r="89" spans="1:9" ht="112">
      <c r="A89" s="10">
        <v>25</v>
      </c>
      <c r="B89" s="9" t="s">
        <v>49</v>
      </c>
      <c r="C89" s="10" t="s">
        <v>50</v>
      </c>
      <c r="D89" s="10">
        <v>633</v>
      </c>
      <c r="E89" s="3"/>
      <c r="F89" s="3"/>
      <c r="G89" s="3"/>
      <c r="H89" s="3"/>
      <c r="I89" s="3"/>
    </row>
    <row r="90" spans="1:9">
      <c r="A90" s="10">
        <v>26</v>
      </c>
      <c r="B90" s="9" t="s">
        <v>51</v>
      </c>
      <c r="C90" s="10" t="s">
        <v>2</v>
      </c>
      <c r="D90" s="10" t="s">
        <v>2</v>
      </c>
      <c r="E90" s="3"/>
      <c r="F90" s="3"/>
      <c r="G90" s="3"/>
      <c r="H90" s="3"/>
      <c r="I90" s="3"/>
    </row>
    <row r="91" spans="1:9" ht="126">
      <c r="A91" s="10">
        <v>27</v>
      </c>
      <c r="B91" s="9" t="s">
        <v>52</v>
      </c>
      <c r="C91" s="10" t="s">
        <v>35</v>
      </c>
      <c r="D91" s="10">
        <v>18</v>
      </c>
      <c r="E91" s="3"/>
      <c r="F91" s="3"/>
      <c r="G91" s="3"/>
      <c r="H91" s="3"/>
      <c r="I91" s="52">
        <f>I92</f>
        <v>13.534067199999999</v>
      </c>
    </row>
    <row r="92" spans="1:9" ht="14">
      <c r="A92" s="10"/>
      <c r="B92" s="26" t="s">
        <v>381</v>
      </c>
      <c r="C92" s="27" t="s">
        <v>35</v>
      </c>
      <c r="D92" s="27"/>
      <c r="E92" s="27">
        <f>0.37*3.28</f>
        <v>1.2136</v>
      </c>
      <c r="F92" s="27"/>
      <c r="G92" s="27">
        <f>3.4*3.28</f>
        <v>11.151999999999999</v>
      </c>
      <c r="H92" s="27"/>
      <c r="I92" s="27">
        <f>G92*E92</f>
        <v>13.534067199999999</v>
      </c>
    </row>
    <row r="93" spans="1:9">
      <c r="A93" s="10"/>
      <c r="B93" s="9"/>
      <c r="C93" s="10"/>
      <c r="D93" s="10"/>
      <c r="E93" s="3"/>
      <c r="F93" s="3"/>
      <c r="G93" s="3"/>
      <c r="H93" s="3"/>
      <c r="I93" s="3"/>
    </row>
    <row r="94" spans="1:9" ht="56">
      <c r="A94" s="10">
        <v>28</v>
      </c>
      <c r="B94" s="9" t="s">
        <v>53</v>
      </c>
      <c r="C94" s="10" t="s">
        <v>54</v>
      </c>
      <c r="D94" s="10">
        <v>54</v>
      </c>
      <c r="E94" s="3"/>
      <c r="F94" s="3"/>
      <c r="G94" s="3"/>
      <c r="H94" s="3"/>
      <c r="I94" s="3"/>
    </row>
    <row r="95" spans="1:9">
      <c r="A95" s="10">
        <v>29</v>
      </c>
      <c r="B95" s="9" t="s">
        <v>55</v>
      </c>
      <c r="C95" s="10" t="s">
        <v>2</v>
      </c>
      <c r="D95" s="10" t="s">
        <v>2</v>
      </c>
      <c r="E95" s="3"/>
      <c r="F95" s="3"/>
      <c r="G95" s="3"/>
      <c r="H95" s="3"/>
      <c r="I95" s="3"/>
    </row>
    <row r="96" spans="1:9" ht="196">
      <c r="A96" s="10">
        <v>30</v>
      </c>
      <c r="B96" s="9" t="s">
        <v>56</v>
      </c>
      <c r="C96" s="10" t="s">
        <v>19</v>
      </c>
      <c r="D96" s="10">
        <v>22</v>
      </c>
      <c r="E96" s="3">
        <v>7</v>
      </c>
      <c r="F96" s="3"/>
      <c r="G96" s="3">
        <v>3</v>
      </c>
      <c r="H96" s="3"/>
      <c r="I96" s="21">
        <f>E96*G96</f>
        <v>21</v>
      </c>
    </row>
    <row r="97" spans="1:9" ht="112">
      <c r="A97" s="10">
        <v>31</v>
      </c>
      <c r="B97" s="9" t="s">
        <v>57</v>
      </c>
      <c r="C97" s="10" t="s">
        <v>19</v>
      </c>
      <c r="D97" s="10">
        <v>11</v>
      </c>
      <c r="E97" s="3">
        <v>2.952</v>
      </c>
      <c r="F97" s="3"/>
      <c r="G97" s="3">
        <v>3.6080000000000001</v>
      </c>
      <c r="H97" s="3">
        <v>1</v>
      </c>
      <c r="I97" s="52">
        <f>E97*G97*H97</f>
        <v>10.650816000000001</v>
      </c>
    </row>
    <row r="98" spans="1:9">
      <c r="A98" s="10">
        <v>32</v>
      </c>
      <c r="B98" s="9" t="s">
        <v>58</v>
      </c>
      <c r="C98" s="10" t="s">
        <v>2</v>
      </c>
      <c r="D98" s="10" t="s">
        <v>2</v>
      </c>
      <c r="E98" s="3"/>
      <c r="F98" s="3"/>
      <c r="G98" s="3"/>
      <c r="H98" s="3"/>
      <c r="I98" s="3"/>
    </row>
    <row r="99" spans="1:9" ht="168">
      <c r="A99" s="10">
        <v>33</v>
      </c>
      <c r="B99" s="9" t="s">
        <v>59</v>
      </c>
      <c r="C99" s="10" t="s">
        <v>35</v>
      </c>
      <c r="D99" s="10">
        <v>275</v>
      </c>
      <c r="E99" s="3"/>
      <c r="F99" s="3"/>
      <c r="G99" s="3"/>
      <c r="H99" s="3"/>
      <c r="I99" s="52">
        <f>SUM(I100:I106)</f>
        <v>231.99413759999996</v>
      </c>
    </row>
    <row r="100" spans="1:9" ht="14">
      <c r="A100" s="10"/>
      <c r="B100" s="26" t="s">
        <v>382</v>
      </c>
      <c r="C100" s="27" t="s">
        <v>35</v>
      </c>
      <c r="D100" s="27"/>
      <c r="E100" s="27">
        <f>2.4*3.28</f>
        <v>7.871999999999999</v>
      </c>
      <c r="F100" s="27"/>
      <c r="G100" s="27">
        <f>0.6*3.28</f>
        <v>1.9679999999999997</v>
      </c>
      <c r="H100" s="27"/>
      <c r="I100" s="28">
        <f>G100*E100</f>
        <v>15.492095999999997</v>
      </c>
    </row>
    <row r="101" spans="1:9" ht="14">
      <c r="A101" s="10"/>
      <c r="B101" s="26" t="s">
        <v>370</v>
      </c>
      <c r="C101" s="27" t="s">
        <v>35</v>
      </c>
      <c r="D101" s="27"/>
      <c r="E101" s="27">
        <f>5.72*3.28</f>
        <v>18.761599999999998</v>
      </c>
      <c r="F101" s="27"/>
      <c r="G101" s="27">
        <f t="shared" ref="G101:G106" si="4">0.6*3.28</f>
        <v>1.9679999999999997</v>
      </c>
      <c r="H101" s="27"/>
      <c r="I101" s="28">
        <f t="shared" ref="I101:I106" si="5">G101*E101</f>
        <v>36.922828799999991</v>
      </c>
    </row>
    <row r="102" spans="1:9" ht="14">
      <c r="A102" s="10"/>
      <c r="B102" s="26" t="s">
        <v>371</v>
      </c>
      <c r="C102" s="27" t="s">
        <v>35</v>
      </c>
      <c r="D102" s="27"/>
      <c r="E102" s="27">
        <f>3.02*3.28</f>
        <v>9.9055999999999997</v>
      </c>
      <c r="F102" s="27"/>
      <c r="G102" s="27">
        <f t="shared" si="4"/>
        <v>1.9679999999999997</v>
      </c>
      <c r="H102" s="27"/>
      <c r="I102" s="28">
        <f t="shared" si="5"/>
        <v>19.494220799999997</v>
      </c>
    </row>
    <row r="103" spans="1:9" ht="14">
      <c r="A103" s="10"/>
      <c r="B103" s="26" t="s">
        <v>309</v>
      </c>
      <c r="C103" s="27" t="s">
        <v>35</v>
      </c>
      <c r="D103" s="27"/>
      <c r="E103" s="27">
        <f>7.37*3.28</f>
        <v>24.1736</v>
      </c>
      <c r="F103" s="27"/>
      <c r="G103" s="27">
        <f t="shared" si="4"/>
        <v>1.9679999999999997</v>
      </c>
      <c r="H103" s="27"/>
      <c r="I103" s="28">
        <f t="shared" si="5"/>
        <v>47.573644799999997</v>
      </c>
    </row>
    <row r="104" spans="1:9" ht="14">
      <c r="A104" s="10"/>
      <c r="B104" s="26" t="s">
        <v>305</v>
      </c>
      <c r="C104" s="27" t="s">
        <v>35</v>
      </c>
      <c r="D104" s="27"/>
      <c r="E104" s="27">
        <f>3.46*3.28</f>
        <v>11.348799999999999</v>
      </c>
      <c r="F104" s="27"/>
      <c r="G104" s="27">
        <f t="shared" si="4"/>
        <v>1.9679999999999997</v>
      </c>
      <c r="H104" s="27"/>
      <c r="I104" s="28">
        <f t="shared" si="5"/>
        <v>22.334438399999996</v>
      </c>
    </row>
    <row r="105" spans="1:9" ht="14">
      <c r="A105" s="10"/>
      <c r="B105" s="26" t="s">
        <v>383</v>
      </c>
      <c r="C105" s="27" t="s">
        <v>35</v>
      </c>
      <c r="D105" s="27"/>
      <c r="E105" s="27">
        <f>(3.8+7.74)*3.28</f>
        <v>37.851199999999992</v>
      </c>
      <c r="F105" s="27"/>
      <c r="G105" s="27">
        <f t="shared" si="4"/>
        <v>1.9679999999999997</v>
      </c>
      <c r="H105" s="27"/>
      <c r="I105" s="28">
        <f t="shared" si="5"/>
        <v>74.49116159999997</v>
      </c>
    </row>
    <row r="106" spans="1:9" ht="14">
      <c r="A106" s="10"/>
      <c r="B106" s="26" t="s">
        <v>384</v>
      </c>
      <c r="C106" s="27" t="s">
        <v>35</v>
      </c>
      <c r="D106" s="27"/>
      <c r="E106" s="27">
        <f>2.43*3.28</f>
        <v>7.9703999999999997</v>
      </c>
      <c r="F106" s="27"/>
      <c r="G106" s="27">
        <f t="shared" si="4"/>
        <v>1.9679999999999997</v>
      </c>
      <c r="H106" s="27"/>
      <c r="I106" s="28">
        <f t="shared" si="5"/>
        <v>15.685747199999998</v>
      </c>
    </row>
    <row r="107" spans="1:9">
      <c r="A107" s="10"/>
      <c r="B107" s="9"/>
      <c r="C107" s="10"/>
      <c r="D107" s="10"/>
      <c r="E107" s="3"/>
      <c r="F107" s="3"/>
      <c r="G107" s="3"/>
      <c r="H107" s="3"/>
      <c r="I107" s="3"/>
    </row>
    <row r="108" spans="1:9" ht="154">
      <c r="A108" s="10">
        <v>34</v>
      </c>
      <c r="B108" s="9" t="s">
        <v>60</v>
      </c>
      <c r="C108" s="10" t="s">
        <v>35</v>
      </c>
      <c r="D108" s="10">
        <v>47</v>
      </c>
      <c r="E108" s="3"/>
      <c r="F108" s="3"/>
      <c r="G108" s="3"/>
      <c r="H108" s="3"/>
      <c r="I108" s="3"/>
    </row>
    <row r="109" spans="1:9" ht="140">
      <c r="A109" s="10">
        <v>35</v>
      </c>
      <c r="B109" s="9" t="s">
        <v>61</v>
      </c>
      <c r="C109" s="10" t="s">
        <v>35</v>
      </c>
      <c r="D109" s="10">
        <v>299</v>
      </c>
      <c r="E109" s="3"/>
      <c r="F109" s="3"/>
      <c r="G109" s="3"/>
      <c r="H109" s="3"/>
      <c r="I109" s="3"/>
    </row>
    <row r="110" spans="1:9" ht="84">
      <c r="A110" s="10">
        <v>36</v>
      </c>
      <c r="B110" s="9" t="s">
        <v>62</v>
      </c>
      <c r="C110" s="10" t="s">
        <v>63</v>
      </c>
      <c r="D110" s="10">
        <v>50</v>
      </c>
      <c r="E110" s="3"/>
      <c r="F110" s="3"/>
      <c r="G110" s="3"/>
      <c r="H110" s="3"/>
      <c r="I110" s="3"/>
    </row>
    <row r="111" spans="1:9">
      <c r="A111" s="10">
        <v>37</v>
      </c>
      <c r="B111" s="9" t="s">
        <v>64</v>
      </c>
      <c r="C111" s="10" t="s">
        <v>2</v>
      </c>
      <c r="D111" s="10" t="s">
        <v>2</v>
      </c>
      <c r="E111" s="3"/>
      <c r="F111" s="3"/>
      <c r="G111" s="3"/>
      <c r="H111" s="3"/>
      <c r="I111" s="3"/>
    </row>
    <row r="112" spans="1:9" ht="126">
      <c r="A112" s="10">
        <v>38</v>
      </c>
      <c r="B112" s="9" t="s">
        <v>65</v>
      </c>
      <c r="C112" s="10" t="s">
        <v>35</v>
      </c>
      <c r="D112" s="10">
        <v>49</v>
      </c>
      <c r="E112" s="3"/>
      <c r="F112" s="3"/>
      <c r="G112" s="3"/>
      <c r="H112" s="3"/>
      <c r="I112" s="3"/>
    </row>
    <row r="113" spans="1:9">
      <c r="A113" s="10">
        <v>39</v>
      </c>
      <c r="B113" s="9" t="s">
        <v>66</v>
      </c>
      <c r="C113" s="10" t="s">
        <v>2</v>
      </c>
      <c r="D113" s="10" t="s">
        <v>2</v>
      </c>
      <c r="E113" s="3"/>
      <c r="F113" s="3"/>
      <c r="G113" s="3"/>
      <c r="H113" s="3"/>
      <c r="I113" s="3"/>
    </row>
    <row r="114" spans="1:9" ht="168">
      <c r="A114" s="10">
        <v>40</v>
      </c>
      <c r="B114" s="9" t="s">
        <v>67</v>
      </c>
      <c r="C114" s="10" t="s">
        <v>68</v>
      </c>
      <c r="D114" s="10">
        <v>12</v>
      </c>
      <c r="E114" s="3">
        <v>12</v>
      </c>
      <c r="F114" s="3"/>
      <c r="G114" s="3"/>
      <c r="H114" s="3"/>
      <c r="I114" s="21">
        <f>E114</f>
        <v>12</v>
      </c>
    </row>
    <row r="115" spans="1:9" ht="112">
      <c r="A115" s="10">
        <v>41</v>
      </c>
      <c r="B115" s="9" t="s">
        <v>69</v>
      </c>
      <c r="C115" s="10" t="s">
        <v>68</v>
      </c>
      <c r="D115" s="10">
        <v>7</v>
      </c>
      <c r="E115" s="3"/>
      <c r="F115" s="3"/>
      <c r="G115" s="3"/>
      <c r="H115" s="3"/>
      <c r="I115" s="3"/>
    </row>
    <row r="116" spans="1:9" ht="112">
      <c r="A116" s="10">
        <v>42</v>
      </c>
      <c r="B116" s="9" t="s">
        <v>70</v>
      </c>
      <c r="C116" s="10" t="s">
        <v>71</v>
      </c>
      <c r="D116" s="10">
        <v>4</v>
      </c>
      <c r="E116" s="3">
        <v>4</v>
      </c>
      <c r="F116" s="3"/>
      <c r="G116" s="3"/>
      <c r="H116" s="3"/>
      <c r="I116" s="21">
        <f>E116</f>
        <v>4</v>
      </c>
    </row>
    <row r="117" spans="1:9" ht="84">
      <c r="A117" s="10">
        <v>43</v>
      </c>
      <c r="B117" s="9" t="s">
        <v>72</v>
      </c>
      <c r="C117" s="10" t="s">
        <v>68</v>
      </c>
      <c r="D117" s="10">
        <v>11</v>
      </c>
      <c r="E117" s="3">
        <v>11</v>
      </c>
      <c r="F117" s="3"/>
      <c r="G117" s="3"/>
      <c r="H117" s="3"/>
      <c r="I117" s="21">
        <f>E117</f>
        <v>11</v>
      </c>
    </row>
    <row r="118" spans="1:9" ht="42">
      <c r="A118" s="10">
        <v>44</v>
      </c>
      <c r="B118" s="9" t="s">
        <v>73</v>
      </c>
      <c r="C118" s="10" t="s">
        <v>22</v>
      </c>
      <c r="D118" s="10">
        <v>1</v>
      </c>
      <c r="E118" s="3">
        <v>1</v>
      </c>
      <c r="F118" s="3"/>
      <c r="G118" s="3"/>
      <c r="H118" s="3"/>
      <c r="I118" s="21">
        <f>E118</f>
        <v>1</v>
      </c>
    </row>
    <row r="119" spans="1:9" ht="98">
      <c r="A119" s="10">
        <v>45</v>
      </c>
      <c r="B119" s="9" t="s">
        <v>74</v>
      </c>
      <c r="C119" s="10" t="s">
        <v>19</v>
      </c>
      <c r="D119" s="10">
        <v>5</v>
      </c>
      <c r="E119" s="3">
        <v>5</v>
      </c>
      <c r="F119" s="3"/>
      <c r="G119" s="3"/>
      <c r="H119" s="3"/>
      <c r="I119" s="21">
        <f>E119</f>
        <v>5</v>
      </c>
    </row>
    <row r="120" spans="1:9" ht="56">
      <c r="A120" s="10">
        <v>46</v>
      </c>
      <c r="B120" s="9" t="s">
        <v>75</v>
      </c>
      <c r="C120" s="10" t="s">
        <v>76</v>
      </c>
      <c r="D120" s="10">
        <v>70</v>
      </c>
      <c r="E120" s="3"/>
      <c r="F120" s="3"/>
      <c r="G120" s="3"/>
      <c r="H120" s="3"/>
      <c r="I120" s="3"/>
    </row>
    <row r="121" spans="1:9" ht="56">
      <c r="A121" s="10">
        <v>47</v>
      </c>
      <c r="B121" s="9" t="s">
        <v>77</v>
      </c>
      <c r="C121" s="10" t="s">
        <v>22</v>
      </c>
      <c r="D121" s="10">
        <v>1</v>
      </c>
      <c r="E121" s="3"/>
      <c r="F121" s="3"/>
      <c r="G121" s="3"/>
      <c r="H121" s="3"/>
      <c r="I121" s="3"/>
    </row>
    <row r="122" spans="1:9" ht="56">
      <c r="A122" s="10">
        <v>48</v>
      </c>
      <c r="B122" s="9" t="s">
        <v>78</v>
      </c>
      <c r="C122" s="10" t="s">
        <v>22</v>
      </c>
      <c r="D122" s="10">
        <v>1</v>
      </c>
      <c r="E122" s="3"/>
      <c r="F122" s="3"/>
      <c r="G122" s="3"/>
      <c r="H122" s="3"/>
      <c r="I122" s="3"/>
    </row>
    <row r="123" spans="1:9" ht="126">
      <c r="A123" s="10">
        <v>49</v>
      </c>
      <c r="B123" s="9" t="s">
        <v>79</v>
      </c>
      <c r="C123" s="10" t="s">
        <v>22</v>
      </c>
      <c r="D123" s="10">
        <v>1</v>
      </c>
      <c r="E123" s="3"/>
      <c r="F123" s="3"/>
      <c r="G123" s="3"/>
      <c r="H123" s="3"/>
      <c r="I123" s="3"/>
    </row>
    <row r="124" spans="1:9" ht="126">
      <c r="A124" s="10">
        <v>50</v>
      </c>
      <c r="B124" s="9" t="s">
        <v>80</v>
      </c>
      <c r="C124" s="10" t="s">
        <v>22</v>
      </c>
      <c r="D124" s="10">
        <v>1</v>
      </c>
      <c r="E124" s="3"/>
      <c r="F124" s="3"/>
      <c r="G124" s="3"/>
      <c r="H124" s="3"/>
      <c r="I124" s="3"/>
    </row>
    <row r="125" spans="1:9" ht="56">
      <c r="A125" s="10">
        <v>51</v>
      </c>
      <c r="B125" s="9" t="s">
        <v>81</v>
      </c>
      <c r="C125" s="10" t="s">
        <v>19</v>
      </c>
      <c r="D125" s="10">
        <v>10</v>
      </c>
      <c r="E125" s="3"/>
      <c r="F125" s="3"/>
      <c r="G125" s="3"/>
      <c r="H125" s="3"/>
      <c r="I125" s="3"/>
    </row>
    <row r="126" spans="1:9">
      <c r="A126" s="10"/>
      <c r="B126" s="9"/>
      <c r="C126" s="10"/>
      <c r="D126" s="10"/>
      <c r="E126" s="3"/>
      <c r="F126" s="3"/>
      <c r="G126" s="3"/>
      <c r="H126" s="3"/>
      <c r="I126" s="3"/>
    </row>
    <row r="127" spans="1:9" ht="14">
      <c r="A127" s="15">
        <v>2</v>
      </c>
      <c r="B127" s="16" t="s">
        <v>5</v>
      </c>
      <c r="C127" s="15"/>
      <c r="D127" s="15"/>
      <c r="E127" s="15"/>
      <c r="F127" s="15"/>
      <c r="G127" s="15"/>
      <c r="H127" s="15"/>
      <c r="I127" s="15"/>
    </row>
    <row r="128" spans="1:9" ht="392">
      <c r="A128" s="10">
        <v>52</v>
      </c>
      <c r="B128" s="9" t="s">
        <v>82</v>
      </c>
      <c r="C128" s="10" t="s">
        <v>83</v>
      </c>
      <c r="D128" s="10">
        <v>1</v>
      </c>
      <c r="E128" s="3"/>
      <c r="F128" s="3"/>
      <c r="G128" s="3"/>
      <c r="H128" s="3"/>
      <c r="I128" s="3"/>
    </row>
    <row r="129" spans="1:9" ht="126">
      <c r="A129" s="10">
        <v>53</v>
      </c>
      <c r="B129" s="9" t="s">
        <v>84</v>
      </c>
      <c r="C129" s="10" t="s">
        <v>83</v>
      </c>
      <c r="D129" s="10">
        <v>2</v>
      </c>
      <c r="E129" s="3"/>
      <c r="F129" s="3"/>
      <c r="G129" s="3"/>
      <c r="H129" s="3"/>
      <c r="I129" s="3"/>
    </row>
    <row r="130" spans="1:9">
      <c r="A130" s="10">
        <v>54</v>
      </c>
      <c r="B130" s="9" t="s">
        <v>85</v>
      </c>
      <c r="C130" s="10" t="s">
        <v>2</v>
      </c>
      <c r="D130" s="10" t="s">
        <v>2</v>
      </c>
      <c r="E130" s="3"/>
      <c r="F130" s="3"/>
      <c r="G130" s="3"/>
      <c r="H130" s="3"/>
      <c r="I130" s="3"/>
    </row>
    <row r="131" spans="1:9">
      <c r="A131" s="10">
        <v>55</v>
      </c>
      <c r="B131" s="9" t="s">
        <v>86</v>
      </c>
      <c r="C131" s="10" t="s">
        <v>83</v>
      </c>
      <c r="D131" s="10">
        <v>2</v>
      </c>
      <c r="E131" s="3"/>
      <c r="F131" s="3"/>
      <c r="G131" s="3"/>
      <c r="H131" s="3"/>
      <c r="I131" s="3"/>
    </row>
    <row r="132" spans="1:9">
      <c r="A132" s="10">
        <v>56</v>
      </c>
      <c r="B132" s="9" t="s">
        <v>87</v>
      </c>
      <c r="C132" s="10" t="s">
        <v>83</v>
      </c>
      <c r="D132" s="10">
        <v>2</v>
      </c>
      <c r="E132" s="3"/>
      <c r="F132" s="3"/>
      <c r="G132" s="3"/>
      <c r="H132" s="3"/>
      <c r="I132" s="3"/>
    </row>
    <row r="133" spans="1:9" ht="28">
      <c r="A133" s="10">
        <v>57</v>
      </c>
      <c r="B133" s="9" t="s">
        <v>88</v>
      </c>
      <c r="C133" s="10" t="s">
        <v>83</v>
      </c>
      <c r="D133" s="10">
        <v>1</v>
      </c>
      <c r="E133" s="3"/>
      <c r="F133" s="3"/>
      <c r="G133" s="3"/>
      <c r="H133" s="3"/>
      <c r="I133" s="3"/>
    </row>
    <row r="134" spans="1:9">
      <c r="A134" s="10">
        <v>58</v>
      </c>
      <c r="B134" s="9" t="s">
        <v>89</v>
      </c>
      <c r="C134" s="10" t="s">
        <v>2</v>
      </c>
      <c r="D134" s="10" t="s">
        <v>2</v>
      </c>
      <c r="E134" s="3"/>
      <c r="F134" s="3"/>
      <c r="G134" s="3"/>
      <c r="H134" s="3"/>
      <c r="I134" s="3"/>
    </row>
    <row r="135" spans="1:9" ht="42">
      <c r="A135" s="10">
        <v>59</v>
      </c>
      <c r="B135" s="9" t="s">
        <v>90</v>
      </c>
      <c r="C135" s="10" t="s">
        <v>83</v>
      </c>
      <c r="D135" s="10">
        <v>1</v>
      </c>
      <c r="E135" s="3"/>
      <c r="F135" s="3"/>
      <c r="G135" s="3"/>
      <c r="H135" s="3"/>
      <c r="I135" s="3"/>
    </row>
    <row r="136" spans="1:9" ht="42">
      <c r="A136" s="10">
        <v>60</v>
      </c>
      <c r="B136" s="9" t="s">
        <v>91</v>
      </c>
      <c r="C136" s="10" t="s">
        <v>83</v>
      </c>
      <c r="D136" s="10">
        <v>23</v>
      </c>
      <c r="E136" s="3"/>
      <c r="F136" s="3"/>
      <c r="G136" s="3"/>
      <c r="H136" s="3"/>
      <c r="I136" s="3"/>
    </row>
    <row r="137" spans="1:9" ht="42">
      <c r="A137" s="10">
        <v>61</v>
      </c>
      <c r="B137" s="9" t="s">
        <v>92</v>
      </c>
      <c r="C137" s="10" t="s">
        <v>83</v>
      </c>
      <c r="D137" s="10">
        <v>47</v>
      </c>
      <c r="E137" s="3"/>
      <c r="F137" s="3"/>
      <c r="G137" s="3"/>
      <c r="H137" s="3"/>
      <c r="I137" s="3"/>
    </row>
    <row r="138" spans="1:9" ht="28">
      <c r="A138" s="10">
        <v>62</v>
      </c>
      <c r="B138" s="9" t="s">
        <v>93</v>
      </c>
      <c r="C138" s="10" t="s">
        <v>83</v>
      </c>
      <c r="D138" s="10">
        <v>2</v>
      </c>
      <c r="E138" s="3"/>
      <c r="F138" s="3"/>
      <c r="G138" s="3"/>
      <c r="H138" s="3"/>
      <c r="I138" s="3"/>
    </row>
    <row r="139" spans="1:9">
      <c r="A139" s="10">
        <v>63</v>
      </c>
      <c r="B139" s="9" t="s">
        <v>94</v>
      </c>
      <c r="C139" s="10" t="s">
        <v>83</v>
      </c>
      <c r="D139" s="10">
        <v>3</v>
      </c>
      <c r="E139" s="3"/>
      <c r="F139" s="3"/>
      <c r="G139" s="3"/>
      <c r="H139" s="3"/>
      <c r="I139" s="3"/>
    </row>
    <row r="140" spans="1:9">
      <c r="A140" s="10">
        <v>64</v>
      </c>
      <c r="B140" s="9" t="s">
        <v>95</v>
      </c>
      <c r="C140" s="10" t="s">
        <v>83</v>
      </c>
      <c r="D140" s="10">
        <v>4</v>
      </c>
      <c r="E140" s="3"/>
      <c r="F140" s="3"/>
      <c r="G140" s="3"/>
      <c r="H140" s="3"/>
      <c r="I140" s="3"/>
    </row>
    <row r="141" spans="1:9" ht="294">
      <c r="A141" s="10">
        <v>65</v>
      </c>
      <c r="B141" s="9" t="s">
        <v>96</v>
      </c>
      <c r="C141" s="10" t="s">
        <v>2</v>
      </c>
      <c r="D141" s="10" t="s">
        <v>2</v>
      </c>
      <c r="E141" s="3"/>
      <c r="F141" s="3"/>
      <c r="G141" s="3"/>
      <c r="H141" s="3"/>
      <c r="I141" s="3"/>
    </row>
    <row r="142" spans="1:9" ht="140">
      <c r="A142" s="10">
        <v>66</v>
      </c>
      <c r="B142" s="9" t="s">
        <v>97</v>
      </c>
      <c r="C142" s="10" t="s">
        <v>2</v>
      </c>
      <c r="D142" s="10" t="s">
        <v>2</v>
      </c>
      <c r="E142" s="3"/>
      <c r="F142" s="3"/>
      <c r="G142" s="3"/>
      <c r="H142" s="3"/>
      <c r="I142" s="3"/>
    </row>
    <row r="143" spans="1:9">
      <c r="A143" s="10">
        <v>67</v>
      </c>
      <c r="B143" s="9" t="s">
        <v>98</v>
      </c>
      <c r="C143" s="10" t="s">
        <v>99</v>
      </c>
      <c r="D143" s="10">
        <v>4</v>
      </c>
      <c r="E143" s="3"/>
      <c r="F143" s="3"/>
      <c r="G143" s="3"/>
      <c r="H143" s="3"/>
      <c r="I143" s="3"/>
    </row>
    <row r="144" spans="1:9">
      <c r="A144" s="10">
        <v>68</v>
      </c>
      <c r="B144" s="9" t="s">
        <v>100</v>
      </c>
      <c r="C144" s="10" t="s">
        <v>99</v>
      </c>
      <c r="D144" s="10">
        <v>19</v>
      </c>
      <c r="E144" s="3"/>
      <c r="F144" s="3"/>
      <c r="G144" s="3"/>
      <c r="H144" s="3"/>
      <c r="I144" s="3"/>
    </row>
    <row r="145" spans="1:9" ht="28">
      <c r="A145" s="10">
        <v>69</v>
      </c>
      <c r="B145" s="9" t="s">
        <v>101</v>
      </c>
      <c r="C145" s="10" t="s">
        <v>99</v>
      </c>
      <c r="D145" s="10">
        <v>150</v>
      </c>
      <c r="E145" s="3"/>
      <c r="F145" s="3"/>
      <c r="G145" s="3"/>
      <c r="H145" s="3"/>
      <c r="I145" s="3"/>
    </row>
    <row r="146" spans="1:9" ht="56">
      <c r="A146" s="10">
        <v>70</v>
      </c>
      <c r="B146" s="9" t="s">
        <v>102</v>
      </c>
      <c r="C146" s="10" t="s">
        <v>103</v>
      </c>
      <c r="D146" s="10">
        <v>100</v>
      </c>
      <c r="E146" s="3"/>
      <c r="F146" s="3"/>
      <c r="G146" s="3"/>
      <c r="H146" s="3"/>
      <c r="I146" s="3"/>
    </row>
    <row r="147" spans="1:9" ht="42">
      <c r="A147" s="10">
        <v>71</v>
      </c>
      <c r="B147" s="9" t="s">
        <v>104</v>
      </c>
      <c r="C147" s="10" t="s">
        <v>103</v>
      </c>
      <c r="D147" s="10">
        <v>200</v>
      </c>
      <c r="E147" s="3"/>
      <c r="F147" s="3"/>
      <c r="G147" s="3"/>
      <c r="H147" s="3"/>
      <c r="I147" s="3"/>
    </row>
    <row r="148" spans="1:9" ht="126">
      <c r="A148" s="10">
        <v>72</v>
      </c>
      <c r="B148" s="9" t="s">
        <v>105</v>
      </c>
      <c r="C148" s="10" t="s">
        <v>2</v>
      </c>
      <c r="D148" s="10" t="s">
        <v>2</v>
      </c>
      <c r="E148" s="3"/>
      <c r="F148" s="3"/>
      <c r="G148" s="3"/>
      <c r="H148" s="3"/>
      <c r="I148" s="3"/>
    </row>
    <row r="149" spans="1:9">
      <c r="A149" s="10">
        <v>73</v>
      </c>
      <c r="B149" s="9" t="s">
        <v>98</v>
      </c>
      <c r="C149" s="10" t="s">
        <v>22</v>
      </c>
      <c r="D149" s="10">
        <v>19</v>
      </c>
      <c r="E149" s="3"/>
      <c r="F149" s="3"/>
      <c r="G149" s="3"/>
      <c r="H149" s="3"/>
      <c r="I149" s="3"/>
    </row>
    <row r="150" spans="1:9">
      <c r="A150" s="10">
        <v>74</v>
      </c>
      <c r="B150" s="9" t="s">
        <v>100</v>
      </c>
      <c r="C150" s="10" t="s">
        <v>22</v>
      </c>
      <c r="D150" s="10">
        <v>18</v>
      </c>
      <c r="E150" s="3"/>
      <c r="F150" s="3"/>
      <c r="G150" s="3"/>
      <c r="H150" s="3"/>
      <c r="I150" s="3"/>
    </row>
    <row r="151" spans="1:9" ht="28">
      <c r="A151" s="10">
        <v>75</v>
      </c>
      <c r="B151" s="9" t="s">
        <v>101</v>
      </c>
      <c r="C151" s="10" t="s">
        <v>22</v>
      </c>
      <c r="D151" s="10">
        <v>16</v>
      </c>
      <c r="E151" s="3"/>
      <c r="F151" s="3"/>
      <c r="G151" s="3"/>
      <c r="H151" s="3"/>
      <c r="I151" s="3"/>
    </row>
    <row r="152" spans="1:9">
      <c r="A152" s="10">
        <v>76</v>
      </c>
      <c r="B152" s="9" t="s">
        <v>106</v>
      </c>
      <c r="C152" s="10" t="s">
        <v>2</v>
      </c>
      <c r="D152" s="10" t="s">
        <v>2</v>
      </c>
      <c r="E152" s="3"/>
      <c r="F152" s="3"/>
      <c r="G152" s="3"/>
      <c r="H152" s="3"/>
      <c r="I152" s="3"/>
    </row>
    <row r="153" spans="1:9" ht="210">
      <c r="A153" s="10">
        <v>77</v>
      </c>
      <c r="B153" s="9" t="s">
        <v>107</v>
      </c>
      <c r="C153" s="10" t="s">
        <v>99</v>
      </c>
      <c r="D153" s="10">
        <v>3</v>
      </c>
      <c r="E153" s="3"/>
      <c r="F153" s="3"/>
      <c r="G153" s="3"/>
      <c r="H153" s="3"/>
      <c r="I153" s="21">
        <v>12</v>
      </c>
    </row>
    <row r="154" spans="1:9" ht="168">
      <c r="A154" s="10">
        <v>78</v>
      </c>
      <c r="B154" s="9" t="s">
        <v>108</v>
      </c>
      <c r="C154" s="10" t="s">
        <v>2</v>
      </c>
      <c r="D154" s="10" t="s">
        <v>2</v>
      </c>
      <c r="E154" s="3"/>
      <c r="F154" s="3"/>
      <c r="G154" s="3"/>
      <c r="H154" s="3"/>
      <c r="I154" s="3"/>
    </row>
    <row r="155" spans="1:9" ht="28">
      <c r="A155" s="10">
        <v>79</v>
      </c>
      <c r="B155" s="9" t="s">
        <v>109</v>
      </c>
      <c r="C155" s="10" t="s">
        <v>99</v>
      </c>
      <c r="D155" s="10">
        <v>27</v>
      </c>
      <c r="E155" s="3"/>
      <c r="F155" s="3"/>
      <c r="G155" s="3"/>
      <c r="H155" s="3"/>
      <c r="I155" s="21">
        <v>27</v>
      </c>
    </row>
    <row r="156" spans="1:9" ht="42">
      <c r="A156" s="10">
        <v>80</v>
      </c>
      <c r="B156" s="9" t="s">
        <v>110</v>
      </c>
      <c r="C156" s="10" t="s">
        <v>99</v>
      </c>
      <c r="D156" s="10">
        <v>2</v>
      </c>
      <c r="E156" s="3"/>
      <c r="F156" s="3"/>
      <c r="G156" s="3"/>
      <c r="H156" s="3"/>
      <c r="I156" s="21">
        <v>2</v>
      </c>
    </row>
    <row r="157" spans="1:9" ht="70">
      <c r="A157" s="10">
        <v>81</v>
      </c>
      <c r="B157" s="9" t="s">
        <v>111</v>
      </c>
      <c r="C157" s="10" t="s">
        <v>112</v>
      </c>
      <c r="D157" s="10">
        <v>200</v>
      </c>
      <c r="E157" s="3"/>
      <c r="F157" s="3"/>
      <c r="G157" s="3"/>
      <c r="H157" s="3"/>
      <c r="I157" s="3"/>
    </row>
    <row r="158" spans="1:9" ht="56">
      <c r="A158" s="10">
        <v>82</v>
      </c>
      <c r="B158" s="9" t="s">
        <v>113</v>
      </c>
      <c r="C158" s="10" t="s">
        <v>2</v>
      </c>
      <c r="D158" s="10" t="s">
        <v>2</v>
      </c>
      <c r="E158" s="3"/>
      <c r="F158" s="3"/>
      <c r="G158" s="3"/>
      <c r="H158" s="3"/>
      <c r="I158" s="3"/>
    </row>
    <row r="159" spans="1:9">
      <c r="A159" s="10">
        <v>83</v>
      </c>
      <c r="B159" s="9" t="s">
        <v>114</v>
      </c>
      <c r="C159" s="10" t="s">
        <v>112</v>
      </c>
      <c r="D159" s="10">
        <v>50</v>
      </c>
      <c r="E159" s="3"/>
      <c r="F159" s="3"/>
      <c r="G159" s="3"/>
      <c r="H159" s="3"/>
      <c r="I159" s="21">
        <v>38.6</v>
      </c>
    </row>
    <row r="160" spans="1:9">
      <c r="A160" s="10">
        <v>84</v>
      </c>
      <c r="B160" s="9" t="s">
        <v>115</v>
      </c>
      <c r="C160" s="10" t="s">
        <v>112</v>
      </c>
      <c r="D160" s="10">
        <v>50</v>
      </c>
      <c r="E160" s="3"/>
      <c r="F160" s="3"/>
      <c r="G160" s="3"/>
      <c r="H160" s="3"/>
      <c r="I160" s="21">
        <f>SUM(I161:I167)</f>
        <v>49.1</v>
      </c>
    </row>
    <row r="161" spans="1:9" ht="14">
      <c r="A161" s="10"/>
      <c r="B161" s="26" t="s">
        <v>317</v>
      </c>
      <c r="C161" s="27" t="s">
        <v>112</v>
      </c>
      <c r="D161" s="27"/>
      <c r="E161" s="27">
        <f>3+1.5</f>
        <v>4.5</v>
      </c>
      <c r="F161" s="27"/>
      <c r="G161" s="27"/>
      <c r="H161" s="27"/>
      <c r="I161" s="28">
        <f>E161</f>
        <v>4.5</v>
      </c>
    </row>
    <row r="162" spans="1:9" ht="14">
      <c r="A162" s="10"/>
      <c r="B162" s="26" t="s">
        <v>318</v>
      </c>
      <c r="C162" s="27" t="s">
        <v>112</v>
      </c>
      <c r="D162" s="27"/>
      <c r="E162" s="27">
        <f>0.7*3</f>
        <v>2.0999999999999996</v>
      </c>
      <c r="F162" s="27"/>
      <c r="G162" s="27"/>
      <c r="H162" s="27"/>
      <c r="I162" s="28">
        <f t="shared" ref="I162:I166" si="6">E162</f>
        <v>2.0999999999999996</v>
      </c>
    </row>
    <row r="163" spans="1:9" ht="14">
      <c r="A163" s="10"/>
      <c r="B163" s="26" t="s">
        <v>319</v>
      </c>
      <c r="C163" s="27" t="s">
        <v>112</v>
      </c>
      <c r="D163" s="27"/>
      <c r="E163" s="27">
        <f>6+1.5</f>
        <v>7.5</v>
      </c>
      <c r="F163" s="27"/>
      <c r="G163" s="27"/>
      <c r="H163" s="27"/>
      <c r="I163" s="28">
        <f t="shared" si="6"/>
        <v>7.5</v>
      </c>
    </row>
    <row r="164" spans="1:9" ht="14">
      <c r="A164" s="10"/>
      <c r="B164" s="26" t="s">
        <v>320</v>
      </c>
      <c r="C164" s="27" t="s">
        <v>112</v>
      </c>
      <c r="D164" s="27"/>
      <c r="E164" s="27">
        <f>3+6</f>
        <v>9</v>
      </c>
      <c r="F164" s="27"/>
      <c r="G164" s="27"/>
      <c r="H164" s="27"/>
      <c r="I164" s="28">
        <f t="shared" si="6"/>
        <v>9</v>
      </c>
    </row>
    <row r="165" spans="1:9" ht="14">
      <c r="A165" s="10"/>
      <c r="B165" s="26" t="s">
        <v>321</v>
      </c>
      <c r="C165" s="27" t="s">
        <v>112</v>
      </c>
      <c r="D165" s="27"/>
      <c r="E165" s="27">
        <f>3+4</f>
        <v>7</v>
      </c>
      <c r="F165" s="27"/>
      <c r="G165" s="27"/>
      <c r="H165" s="27"/>
      <c r="I165" s="28">
        <f t="shared" si="6"/>
        <v>7</v>
      </c>
    </row>
    <row r="166" spans="1:9" ht="14">
      <c r="A166" s="10"/>
      <c r="B166" s="26" t="s">
        <v>322</v>
      </c>
      <c r="C166" s="27" t="s">
        <v>112</v>
      </c>
      <c r="D166" s="27"/>
      <c r="E166" s="27">
        <f>4+5+1</f>
        <v>10</v>
      </c>
      <c r="F166" s="27"/>
      <c r="G166" s="27"/>
      <c r="H166" s="27"/>
      <c r="I166" s="28">
        <f t="shared" si="6"/>
        <v>10</v>
      </c>
    </row>
    <row r="167" spans="1:9" ht="14">
      <c r="A167" s="10"/>
      <c r="B167" s="26" t="s">
        <v>385</v>
      </c>
      <c r="C167" s="27" t="s">
        <v>112</v>
      </c>
      <c r="D167" s="27"/>
      <c r="E167" s="27">
        <v>9</v>
      </c>
      <c r="F167" s="27"/>
      <c r="G167" s="27"/>
      <c r="H167" s="27"/>
      <c r="I167" s="28">
        <v>9</v>
      </c>
    </row>
    <row r="168" spans="1:9">
      <c r="A168" s="10"/>
      <c r="B168" s="9"/>
      <c r="C168" s="10"/>
      <c r="D168" s="10"/>
      <c r="E168" s="3"/>
      <c r="F168" s="3"/>
      <c r="G168" s="3"/>
      <c r="H168" s="3"/>
      <c r="I168" s="3"/>
    </row>
    <row r="169" spans="1:9" ht="56">
      <c r="A169" s="10">
        <v>85</v>
      </c>
      <c r="B169" s="9" t="s">
        <v>116</v>
      </c>
      <c r="C169" s="10" t="s">
        <v>2</v>
      </c>
      <c r="D169" s="10" t="s">
        <v>2</v>
      </c>
      <c r="E169" s="3"/>
      <c r="F169" s="3"/>
      <c r="G169" s="3"/>
      <c r="H169" s="3"/>
      <c r="I169" s="3"/>
    </row>
    <row r="170" spans="1:9">
      <c r="A170" s="10">
        <v>86</v>
      </c>
      <c r="B170" s="9" t="s">
        <v>115</v>
      </c>
      <c r="C170" s="10" t="s">
        <v>112</v>
      </c>
      <c r="D170" s="10">
        <v>60</v>
      </c>
      <c r="E170" s="3"/>
      <c r="F170" s="3"/>
      <c r="G170" s="3"/>
      <c r="H170" s="3"/>
      <c r="I170" s="21">
        <f>SUM(I171:I175)</f>
        <v>187</v>
      </c>
    </row>
    <row r="171" spans="1:9" ht="14">
      <c r="A171" s="10"/>
      <c r="B171" s="26" t="s">
        <v>323</v>
      </c>
      <c r="C171" s="27" t="s">
        <v>112</v>
      </c>
      <c r="D171" s="27"/>
      <c r="E171" s="27">
        <v>20</v>
      </c>
      <c r="F171" s="27"/>
      <c r="G171" s="27"/>
      <c r="H171" s="27"/>
      <c r="I171" s="28">
        <f>E171</f>
        <v>20</v>
      </c>
    </row>
    <row r="172" spans="1:9" ht="14">
      <c r="A172" s="10"/>
      <c r="B172" s="26" t="s">
        <v>324</v>
      </c>
      <c r="C172" s="27" t="s">
        <v>112</v>
      </c>
      <c r="D172" s="27"/>
      <c r="E172" s="27">
        <v>3</v>
      </c>
      <c r="F172" s="27"/>
      <c r="G172" s="27"/>
      <c r="H172" s="27"/>
      <c r="I172" s="28">
        <f t="shared" ref="I172:I175" si="7">E172</f>
        <v>3</v>
      </c>
    </row>
    <row r="173" spans="1:9" ht="14">
      <c r="A173" s="10"/>
      <c r="B173" s="26" t="s">
        <v>325</v>
      </c>
      <c r="C173" s="27" t="s">
        <v>112</v>
      </c>
      <c r="D173" s="27"/>
      <c r="E173" s="27">
        <v>9</v>
      </c>
      <c r="F173" s="27"/>
      <c r="G173" s="27"/>
      <c r="H173" s="27"/>
      <c r="I173" s="28">
        <f t="shared" si="7"/>
        <v>9</v>
      </c>
    </row>
    <row r="174" spans="1:9" ht="14">
      <c r="A174" s="10"/>
      <c r="B174" s="26" t="s">
        <v>326</v>
      </c>
      <c r="C174" s="27" t="s">
        <v>112</v>
      </c>
      <c r="D174" s="27"/>
      <c r="E174" s="27">
        <v>6</v>
      </c>
      <c r="F174" s="27"/>
      <c r="G174" s="27"/>
      <c r="H174" s="27"/>
      <c r="I174" s="28">
        <f t="shared" si="7"/>
        <v>6</v>
      </c>
    </row>
    <row r="175" spans="1:9">
      <c r="A175" s="10"/>
      <c r="B175" s="53" t="s">
        <v>386</v>
      </c>
      <c r="C175" s="27" t="s">
        <v>112</v>
      </c>
      <c r="D175" s="3"/>
      <c r="E175" s="3">
        <v>149</v>
      </c>
      <c r="F175" s="3"/>
      <c r="G175" s="3"/>
      <c r="H175" s="3"/>
      <c r="I175" s="3">
        <f t="shared" si="7"/>
        <v>149</v>
      </c>
    </row>
    <row r="176" spans="1:9">
      <c r="A176" s="10"/>
      <c r="B176" s="9"/>
      <c r="C176" s="10"/>
      <c r="D176" s="10"/>
      <c r="E176" s="3"/>
      <c r="F176" s="3"/>
      <c r="G176" s="3"/>
      <c r="H176" s="3"/>
      <c r="I176" s="3"/>
    </row>
    <row r="177" spans="1:9" ht="42">
      <c r="A177" s="10">
        <v>87</v>
      </c>
      <c r="B177" s="9" t="s">
        <v>117</v>
      </c>
      <c r="C177" s="10" t="s">
        <v>112</v>
      </c>
      <c r="D177" s="10">
        <v>10</v>
      </c>
      <c r="E177" s="3"/>
      <c r="F177" s="3"/>
      <c r="G177" s="3"/>
      <c r="H177" s="3"/>
      <c r="I177" s="3"/>
    </row>
    <row r="178" spans="1:9" ht="98">
      <c r="A178" s="10">
        <v>88</v>
      </c>
      <c r="B178" s="9" t="s">
        <v>118</v>
      </c>
      <c r="C178" s="10" t="s">
        <v>2</v>
      </c>
      <c r="D178" s="10" t="s">
        <v>2</v>
      </c>
      <c r="E178" s="3"/>
      <c r="F178" s="3"/>
      <c r="G178" s="3"/>
      <c r="H178" s="3"/>
      <c r="I178" s="3"/>
    </row>
    <row r="179" spans="1:9">
      <c r="A179" s="10">
        <v>89</v>
      </c>
      <c r="B179" s="9" t="s">
        <v>119</v>
      </c>
      <c r="C179" s="10" t="s">
        <v>112</v>
      </c>
      <c r="D179" s="10">
        <v>30</v>
      </c>
      <c r="E179" s="3"/>
      <c r="F179" s="3"/>
      <c r="G179" s="3"/>
      <c r="H179" s="3"/>
      <c r="I179" s="3"/>
    </row>
    <row r="180" spans="1:9">
      <c r="A180" s="10">
        <v>90</v>
      </c>
      <c r="B180" s="9" t="s">
        <v>120</v>
      </c>
      <c r="C180" s="10" t="s">
        <v>112</v>
      </c>
      <c r="D180" s="10">
        <v>30</v>
      </c>
      <c r="E180" s="3"/>
      <c r="F180" s="3"/>
      <c r="G180" s="3"/>
      <c r="H180" s="3"/>
      <c r="I180" s="3"/>
    </row>
    <row r="181" spans="1:9">
      <c r="A181" s="10">
        <v>91</v>
      </c>
      <c r="B181" s="9" t="s">
        <v>121</v>
      </c>
      <c r="C181" s="10" t="s">
        <v>112</v>
      </c>
      <c r="D181" s="10">
        <v>75</v>
      </c>
      <c r="E181" s="3"/>
      <c r="F181" s="3"/>
      <c r="G181" s="3"/>
      <c r="H181" s="3"/>
      <c r="I181" s="3"/>
    </row>
    <row r="182" spans="1:9">
      <c r="A182" s="10">
        <v>92</v>
      </c>
      <c r="B182" s="9" t="s">
        <v>122</v>
      </c>
      <c r="C182" s="10" t="s">
        <v>112</v>
      </c>
      <c r="D182" s="10">
        <v>15</v>
      </c>
      <c r="E182" s="3"/>
      <c r="F182" s="3"/>
      <c r="G182" s="3"/>
      <c r="H182" s="3"/>
      <c r="I182" s="3"/>
    </row>
    <row r="183" spans="1:9">
      <c r="A183" s="10">
        <v>93</v>
      </c>
      <c r="B183" s="9" t="s">
        <v>123</v>
      </c>
      <c r="C183" s="10" t="s">
        <v>112</v>
      </c>
      <c r="D183" s="10">
        <v>10</v>
      </c>
      <c r="E183" s="3"/>
      <c r="F183" s="3"/>
      <c r="G183" s="3"/>
      <c r="H183" s="3"/>
      <c r="I183" s="3"/>
    </row>
    <row r="184" spans="1:9">
      <c r="A184" s="10">
        <v>94</v>
      </c>
      <c r="B184" s="9" t="s">
        <v>124</v>
      </c>
      <c r="C184" s="10" t="s">
        <v>112</v>
      </c>
      <c r="D184" s="10">
        <v>30</v>
      </c>
      <c r="E184" s="3"/>
      <c r="F184" s="3"/>
      <c r="G184" s="3"/>
      <c r="H184" s="3"/>
      <c r="I184" s="3"/>
    </row>
    <row r="185" spans="1:9">
      <c r="A185" s="10">
        <v>95</v>
      </c>
      <c r="B185" s="9" t="s">
        <v>125</v>
      </c>
      <c r="C185" s="10" t="s">
        <v>112</v>
      </c>
      <c r="D185" s="10">
        <v>30</v>
      </c>
      <c r="E185" s="3"/>
      <c r="F185" s="3"/>
      <c r="G185" s="3"/>
      <c r="H185" s="3"/>
      <c r="I185" s="3"/>
    </row>
    <row r="186" spans="1:9">
      <c r="A186" s="10">
        <v>96</v>
      </c>
      <c r="B186" s="9" t="s">
        <v>126</v>
      </c>
      <c r="C186" s="10" t="s">
        <v>112</v>
      </c>
      <c r="D186" s="10">
        <v>150</v>
      </c>
      <c r="E186" s="3"/>
      <c r="F186" s="3"/>
      <c r="G186" s="3"/>
      <c r="H186" s="3"/>
      <c r="I186" s="21">
        <v>146</v>
      </c>
    </row>
    <row r="187" spans="1:9">
      <c r="A187" s="10">
        <v>97</v>
      </c>
      <c r="B187" s="9" t="s">
        <v>127</v>
      </c>
      <c r="C187" s="10" t="s">
        <v>112</v>
      </c>
      <c r="D187" s="10">
        <v>15</v>
      </c>
      <c r="E187" s="3"/>
      <c r="F187" s="3"/>
      <c r="G187" s="3"/>
      <c r="H187" s="3"/>
      <c r="I187" s="3"/>
    </row>
    <row r="188" spans="1:9">
      <c r="A188" s="10">
        <v>98</v>
      </c>
      <c r="B188" s="9" t="s">
        <v>128</v>
      </c>
      <c r="C188" s="10" t="s">
        <v>112</v>
      </c>
      <c r="D188" s="10">
        <v>15</v>
      </c>
      <c r="E188" s="3"/>
      <c r="F188" s="3"/>
      <c r="G188" s="3"/>
      <c r="H188" s="3"/>
      <c r="I188" s="3"/>
    </row>
    <row r="189" spans="1:9">
      <c r="A189" s="10">
        <v>99</v>
      </c>
      <c r="B189" s="9" t="s">
        <v>129</v>
      </c>
      <c r="C189" s="10" t="s">
        <v>2</v>
      </c>
      <c r="D189" s="10" t="s">
        <v>2</v>
      </c>
      <c r="E189" s="3"/>
      <c r="F189" s="3"/>
      <c r="G189" s="3"/>
      <c r="H189" s="3"/>
      <c r="I189" s="3"/>
    </row>
    <row r="190" spans="1:9" ht="42">
      <c r="A190" s="10">
        <v>100</v>
      </c>
      <c r="B190" s="9" t="s">
        <v>130</v>
      </c>
      <c r="C190" s="10" t="s">
        <v>131</v>
      </c>
      <c r="D190" s="10">
        <v>100</v>
      </c>
      <c r="E190" s="3"/>
      <c r="F190" s="3"/>
      <c r="G190" s="3"/>
      <c r="H190" s="3"/>
      <c r="I190" s="3"/>
    </row>
    <row r="191" spans="1:9" ht="28">
      <c r="A191" s="10">
        <v>101</v>
      </c>
      <c r="B191" s="9" t="s">
        <v>132</v>
      </c>
      <c r="C191" s="10" t="s">
        <v>131</v>
      </c>
      <c r="D191" s="10">
        <v>30</v>
      </c>
      <c r="E191" s="3"/>
      <c r="F191" s="3"/>
      <c r="G191" s="3"/>
      <c r="H191" s="3"/>
      <c r="I191" s="3"/>
    </row>
    <row r="192" spans="1:9">
      <c r="A192" s="10">
        <v>102</v>
      </c>
      <c r="B192" s="9" t="s">
        <v>133</v>
      </c>
      <c r="C192" s="10" t="s">
        <v>112</v>
      </c>
      <c r="D192" s="10">
        <v>10</v>
      </c>
      <c r="E192" s="3"/>
      <c r="F192" s="3"/>
      <c r="G192" s="3"/>
      <c r="H192" s="3"/>
      <c r="I192" s="3"/>
    </row>
    <row r="193" spans="1:9">
      <c r="A193" s="10">
        <v>103</v>
      </c>
      <c r="B193" s="9" t="s">
        <v>134</v>
      </c>
      <c r="C193" s="10" t="s">
        <v>2</v>
      </c>
      <c r="D193" s="10" t="s">
        <v>2</v>
      </c>
      <c r="E193" s="3"/>
      <c r="F193" s="3"/>
      <c r="G193" s="3"/>
      <c r="H193" s="3"/>
      <c r="I193" s="3"/>
    </row>
    <row r="194" spans="1:9" ht="56">
      <c r="A194" s="10">
        <v>104</v>
      </c>
      <c r="B194" s="9" t="s">
        <v>135</v>
      </c>
      <c r="C194" s="10" t="s">
        <v>112</v>
      </c>
      <c r="D194" s="10">
        <v>15</v>
      </c>
      <c r="E194" s="3"/>
      <c r="F194" s="3"/>
      <c r="G194" s="3"/>
      <c r="H194" s="3"/>
      <c r="I194" s="21">
        <v>17</v>
      </c>
    </row>
    <row r="195" spans="1:9" ht="56">
      <c r="A195" s="10">
        <v>105</v>
      </c>
      <c r="B195" s="9" t="s">
        <v>136</v>
      </c>
      <c r="C195" s="10" t="s">
        <v>112</v>
      </c>
      <c r="D195" s="10">
        <v>20</v>
      </c>
      <c r="E195" s="3"/>
      <c r="F195" s="3"/>
      <c r="G195" s="3"/>
      <c r="H195" s="3"/>
      <c r="I195" s="21">
        <v>27</v>
      </c>
    </row>
    <row r="196" spans="1:9" ht="70">
      <c r="A196" s="10">
        <v>106</v>
      </c>
      <c r="B196" s="9" t="s">
        <v>137</v>
      </c>
      <c r="C196" s="10" t="s">
        <v>2</v>
      </c>
      <c r="D196" s="10" t="s">
        <v>2</v>
      </c>
      <c r="E196" s="3"/>
      <c r="F196" s="3"/>
      <c r="G196" s="3"/>
      <c r="H196" s="3"/>
      <c r="I196" s="3"/>
    </row>
    <row r="197" spans="1:9">
      <c r="A197" s="10">
        <v>107</v>
      </c>
      <c r="B197" s="9" t="s">
        <v>138</v>
      </c>
      <c r="C197" s="10" t="s">
        <v>112</v>
      </c>
      <c r="D197" s="10">
        <v>10</v>
      </c>
      <c r="E197" s="3"/>
      <c r="F197" s="3"/>
      <c r="G197" s="3"/>
      <c r="H197" s="3"/>
      <c r="I197" s="3"/>
    </row>
    <row r="198" spans="1:9">
      <c r="A198" s="10">
        <v>108</v>
      </c>
      <c r="B198" s="9" t="s">
        <v>139</v>
      </c>
      <c r="C198" s="10" t="s">
        <v>112</v>
      </c>
      <c r="D198" s="10">
        <v>10</v>
      </c>
      <c r="E198" s="3"/>
      <c r="F198" s="3"/>
      <c r="G198" s="3"/>
      <c r="H198" s="3"/>
      <c r="I198" s="3"/>
    </row>
    <row r="199" spans="1:9">
      <c r="A199" s="10">
        <v>109</v>
      </c>
      <c r="B199" s="9" t="s">
        <v>140</v>
      </c>
      <c r="C199" s="10" t="s">
        <v>2</v>
      </c>
      <c r="D199" s="10" t="s">
        <v>2</v>
      </c>
      <c r="E199" s="3"/>
      <c r="F199" s="3"/>
      <c r="G199" s="3"/>
      <c r="H199" s="3"/>
      <c r="I199" s="3"/>
    </row>
    <row r="200" spans="1:9" ht="28">
      <c r="A200" s="10">
        <v>110</v>
      </c>
      <c r="B200" s="9" t="s">
        <v>141</v>
      </c>
      <c r="C200" s="10" t="s">
        <v>142</v>
      </c>
      <c r="D200" s="10">
        <v>20</v>
      </c>
      <c r="E200" s="3"/>
      <c r="F200" s="3"/>
      <c r="G200" s="3"/>
      <c r="H200" s="3"/>
      <c r="I200" s="21">
        <v>10.050000000000001</v>
      </c>
    </row>
    <row r="201" spans="1:9">
      <c r="A201" s="10">
        <v>111</v>
      </c>
      <c r="B201" s="9" t="s">
        <v>143</v>
      </c>
      <c r="C201" s="10" t="s">
        <v>2</v>
      </c>
      <c r="D201" s="10" t="s">
        <v>2</v>
      </c>
      <c r="E201" s="3"/>
      <c r="F201" s="3"/>
      <c r="G201" s="3"/>
      <c r="H201" s="3"/>
      <c r="I201" s="3"/>
    </row>
    <row r="202" spans="1:9" ht="28">
      <c r="A202" s="10">
        <v>112</v>
      </c>
      <c r="B202" s="9" t="s">
        <v>144</v>
      </c>
      <c r="C202" s="10" t="s">
        <v>145</v>
      </c>
      <c r="D202" s="10">
        <v>2</v>
      </c>
      <c r="E202" s="3"/>
      <c r="F202" s="3"/>
      <c r="G202" s="3"/>
      <c r="H202" s="3"/>
      <c r="I202" s="3"/>
    </row>
    <row r="203" spans="1:9" ht="28">
      <c r="A203" s="10">
        <v>113</v>
      </c>
      <c r="B203" s="9" t="s">
        <v>146</v>
      </c>
      <c r="C203" s="10" t="s">
        <v>147</v>
      </c>
      <c r="D203" s="10">
        <v>1</v>
      </c>
      <c r="E203" s="3"/>
      <c r="F203" s="3"/>
      <c r="G203" s="3"/>
      <c r="H203" s="3"/>
      <c r="I203" s="3"/>
    </row>
    <row r="204" spans="1:9">
      <c r="A204" s="10"/>
      <c r="B204" s="9"/>
      <c r="C204" s="10"/>
      <c r="D204" s="10"/>
      <c r="E204" s="3"/>
      <c r="F204" s="3"/>
      <c r="G204" s="3"/>
      <c r="H204" s="3"/>
      <c r="I204" s="3"/>
    </row>
    <row r="205" spans="1:9" ht="14">
      <c r="A205" s="15">
        <v>3</v>
      </c>
      <c r="B205" s="16" t="s">
        <v>6</v>
      </c>
      <c r="C205" s="15"/>
      <c r="D205" s="15"/>
      <c r="E205" s="15"/>
      <c r="F205" s="15"/>
      <c r="G205" s="15"/>
      <c r="H205" s="15"/>
      <c r="I205" s="15"/>
    </row>
    <row r="206" spans="1:9">
      <c r="A206" s="10">
        <v>114</v>
      </c>
      <c r="B206" s="9" t="s">
        <v>148</v>
      </c>
      <c r="C206" s="10" t="s">
        <v>2</v>
      </c>
      <c r="D206" s="10" t="s">
        <v>2</v>
      </c>
      <c r="E206" s="3"/>
      <c r="F206" s="3"/>
      <c r="G206" s="3"/>
      <c r="H206" s="3"/>
      <c r="I206" s="3"/>
    </row>
    <row r="207" spans="1:9" ht="70">
      <c r="A207" s="10">
        <v>115</v>
      </c>
      <c r="B207" s="9" t="s">
        <v>149</v>
      </c>
      <c r="C207" s="10" t="s">
        <v>2</v>
      </c>
      <c r="D207" s="10" t="s">
        <v>2</v>
      </c>
      <c r="E207" s="3"/>
      <c r="F207" s="3"/>
      <c r="G207" s="3"/>
      <c r="H207" s="3"/>
      <c r="I207" s="3"/>
    </row>
    <row r="208" spans="1:9">
      <c r="A208" s="10">
        <v>116</v>
      </c>
      <c r="B208" s="9" t="s">
        <v>150</v>
      </c>
      <c r="C208" s="10" t="s">
        <v>103</v>
      </c>
      <c r="D208" s="10">
        <v>24</v>
      </c>
      <c r="E208" s="3"/>
      <c r="F208" s="3"/>
      <c r="G208" s="3"/>
      <c r="H208" s="3"/>
      <c r="I208" s="3"/>
    </row>
    <row r="209" spans="1:9">
      <c r="A209" s="10">
        <v>117</v>
      </c>
      <c r="B209" s="9" t="s">
        <v>151</v>
      </c>
      <c r="C209" s="10" t="s">
        <v>103</v>
      </c>
      <c r="D209" s="10">
        <v>32</v>
      </c>
      <c r="E209" s="3"/>
      <c r="F209" s="3"/>
      <c r="G209" s="3"/>
      <c r="H209" s="3"/>
      <c r="I209" s="21">
        <f>SUM(I210:I212)</f>
        <v>37.200000000000003</v>
      </c>
    </row>
    <row r="210" spans="1:9" ht="14">
      <c r="A210" s="10"/>
      <c r="B210" s="26" t="s">
        <v>327</v>
      </c>
      <c r="C210" s="10" t="s">
        <v>103</v>
      </c>
      <c r="D210" s="27"/>
      <c r="E210" s="27">
        <f>4.5+0.6+2.8+0.6</f>
        <v>8.5</v>
      </c>
      <c r="F210" s="27"/>
      <c r="G210" s="27"/>
      <c r="H210" s="27"/>
      <c r="I210" s="27">
        <f>E210</f>
        <v>8.5</v>
      </c>
    </row>
    <row r="211" spans="1:9" ht="14">
      <c r="A211" s="10"/>
      <c r="B211" s="26" t="s">
        <v>328</v>
      </c>
      <c r="C211" s="10" t="s">
        <v>103</v>
      </c>
      <c r="D211" s="27"/>
      <c r="E211" s="27">
        <f>0.9+0.76+0.3</f>
        <v>1.9600000000000002</v>
      </c>
      <c r="F211" s="27"/>
      <c r="G211" s="27"/>
      <c r="H211" s="27"/>
      <c r="I211" s="27">
        <f>E211</f>
        <v>1.9600000000000002</v>
      </c>
    </row>
    <row r="212" spans="1:9" ht="14">
      <c r="A212" s="10"/>
      <c r="B212" s="26" t="s">
        <v>329</v>
      </c>
      <c r="C212" s="10" t="s">
        <v>103</v>
      </c>
      <c r="D212" s="27"/>
      <c r="E212" s="27">
        <f>1.6+1.62+0.66+8.8+14.06</f>
        <v>26.740000000000002</v>
      </c>
      <c r="F212" s="27"/>
      <c r="G212" s="27"/>
      <c r="H212" s="27"/>
      <c r="I212" s="27">
        <f>E212</f>
        <v>26.740000000000002</v>
      </c>
    </row>
    <row r="213" spans="1:9">
      <c r="A213" s="10"/>
      <c r="B213" s="9"/>
      <c r="C213" s="10"/>
      <c r="D213" s="10"/>
      <c r="E213" s="3"/>
      <c r="F213" s="3"/>
      <c r="G213" s="3"/>
      <c r="H213" s="3"/>
      <c r="I213" s="3"/>
    </row>
    <row r="214" spans="1:9">
      <c r="A214" s="10">
        <v>118</v>
      </c>
      <c r="B214" s="9" t="s">
        <v>152</v>
      </c>
      <c r="C214" s="10" t="s">
        <v>103</v>
      </c>
      <c r="D214" s="10">
        <v>4</v>
      </c>
      <c r="E214" s="3"/>
      <c r="F214" s="3"/>
      <c r="G214" s="3"/>
      <c r="H214" s="3"/>
      <c r="I214" s="21">
        <f>I215</f>
        <v>3.26</v>
      </c>
    </row>
    <row r="215" spans="1:9" ht="14">
      <c r="A215" s="10"/>
      <c r="B215" s="26" t="s">
        <v>330</v>
      </c>
      <c r="C215" s="10" t="s">
        <v>103</v>
      </c>
      <c r="D215" s="27"/>
      <c r="E215" s="27">
        <v>3.26</v>
      </c>
      <c r="F215" s="27"/>
      <c r="G215" s="27"/>
      <c r="H215" s="27"/>
      <c r="I215" s="27">
        <f>E215</f>
        <v>3.26</v>
      </c>
    </row>
    <row r="216" spans="1:9">
      <c r="A216" s="10"/>
      <c r="B216" s="9"/>
      <c r="C216" s="10"/>
      <c r="D216" s="10"/>
      <c r="E216" s="3"/>
      <c r="F216" s="3"/>
      <c r="G216" s="3"/>
      <c r="H216" s="3"/>
      <c r="I216" s="3"/>
    </row>
    <row r="217" spans="1:9" ht="42">
      <c r="A217" s="10">
        <v>119</v>
      </c>
      <c r="B217" s="9" t="s">
        <v>153</v>
      </c>
      <c r="C217" s="10" t="s">
        <v>2</v>
      </c>
      <c r="D217" s="10" t="s">
        <v>2</v>
      </c>
      <c r="E217" s="3"/>
      <c r="F217" s="3"/>
      <c r="G217" s="3"/>
      <c r="H217" s="3"/>
      <c r="I217" s="3"/>
    </row>
    <row r="218" spans="1:9">
      <c r="A218" s="10">
        <v>120</v>
      </c>
      <c r="B218" s="9" t="s">
        <v>151</v>
      </c>
      <c r="C218" s="10" t="s">
        <v>22</v>
      </c>
      <c r="D218" s="10">
        <v>19</v>
      </c>
      <c r="E218" s="3"/>
      <c r="F218" s="3"/>
      <c r="G218" s="3"/>
      <c r="H218" s="3"/>
      <c r="I218" s="3"/>
    </row>
    <row r="219" spans="1:9">
      <c r="A219" s="10">
        <v>121</v>
      </c>
      <c r="B219" s="9" t="s">
        <v>152</v>
      </c>
      <c r="C219" s="10" t="s">
        <v>22</v>
      </c>
      <c r="D219" s="10">
        <v>1</v>
      </c>
      <c r="E219" s="3"/>
      <c r="F219" s="3"/>
      <c r="G219" s="3"/>
      <c r="H219" s="3"/>
      <c r="I219" s="21">
        <v>1</v>
      </c>
    </row>
    <row r="220" spans="1:9">
      <c r="A220" s="10">
        <v>122</v>
      </c>
      <c r="B220" s="9" t="s">
        <v>154</v>
      </c>
      <c r="C220" s="10" t="s">
        <v>22</v>
      </c>
      <c r="D220" s="10">
        <v>1</v>
      </c>
      <c r="E220" s="3"/>
      <c r="F220" s="3"/>
      <c r="G220" s="3"/>
      <c r="H220" s="3"/>
      <c r="I220" s="21">
        <v>1</v>
      </c>
    </row>
    <row r="221" spans="1:9" ht="70">
      <c r="A221" s="10">
        <v>123</v>
      </c>
      <c r="B221" s="9" t="s">
        <v>155</v>
      </c>
      <c r="C221" s="10" t="s">
        <v>2</v>
      </c>
      <c r="D221" s="10" t="s">
        <v>2</v>
      </c>
      <c r="E221" s="3"/>
      <c r="F221" s="3"/>
      <c r="G221" s="3"/>
      <c r="H221" s="3"/>
      <c r="I221" s="3"/>
    </row>
    <row r="222" spans="1:9">
      <c r="A222" s="10">
        <v>124</v>
      </c>
      <c r="B222" s="9" t="s">
        <v>156</v>
      </c>
      <c r="C222" s="10" t="s">
        <v>157</v>
      </c>
      <c r="D222" s="10">
        <v>1</v>
      </c>
      <c r="E222" s="3"/>
      <c r="F222" s="3"/>
      <c r="G222" s="3"/>
      <c r="H222" s="3"/>
      <c r="I222" s="3"/>
    </row>
    <row r="223" spans="1:9">
      <c r="A223" s="10">
        <v>125</v>
      </c>
      <c r="B223" s="9" t="s">
        <v>158</v>
      </c>
      <c r="C223" s="10" t="s">
        <v>157</v>
      </c>
      <c r="D223" s="10">
        <v>1</v>
      </c>
      <c r="E223" s="3"/>
      <c r="F223" s="3"/>
      <c r="G223" s="3"/>
      <c r="H223" s="3"/>
      <c r="I223" s="3"/>
    </row>
    <row r="224" spans="1:9" ht="56">
      <c r="A224" s="10">
        <v>126</v>
      </c>
      <c r="B224" s="9" t="s">
        <v>159</v>
      </c>
      <c r="C224" s="10" t="s">
        <v>157</v>
      </c>
      <c r="D224" s="10">
        <v>12</v>
      </c>
      <c r="E224" s="3"/>
      <c r="F224" s="3"/>
      <c r="G224" s="3"/>
      <c r="H224" s="3"/>
      <c r="I224" s="3"/>
    </row>
    <row r="225" spans="1:9">
      <c r="A225" s="10">
        <v>127</v>
      </c>
      <c r="B225" s="9" t="s">
        <v>160</v>
      </c>
      <c r="C225" s="10" t="s">
        <v>2</v>
      </c>
      <c r="D225" s="10" t="s">
        <v>2</v>
      </c>
      <c r="E225" s="3"/>
      <c r="F225" s="3"/>
      <c r="G225" s="3"/>
      <c r="H225" s="3"/>
      <c r="I225" s="3"/>
    </row>
    <row r="226" spans="1:9" ht="140">
      <c r="A226" s="10">
        <v>128</v>
      </c>
      <c r="B226" s="9" t="s">
        <v>161</v>
      </c>
      <c r="C226" s="10" t="s">
        <v>2</v>
      </c>
      <c r="D226" s="10" t="s">
        <v>2</v>
      </c>
      <c r="E226" s="3"/>
      <c r="F226" s="3"/>
      <c r="G226" s="3"/>
      <c r="H226" s="3"/>
      <c r="I226" s="3"/>
    </row>
    <row r="227" spans="1:9">
      <c r="A227" s="10">
        <v>129</v>
      </c>
      <c r="B227" s="9" t="s">
        <v>162</v>
      </c>
      <c r="C227" s="10" t="s">
        <v>163</v>
      </c>
      <c r="D227" s="10">
        <v>7</v>
      </c>
      <c r="E227" s="3"/>
      <c r="F227" s="3"/>
      <c r="G227" s="3"/>
      <c r="H227" s="3"/>
      <c r="I227" s="21">
        <f>I228</f>
        <v>8.1</v>
      </c>
    </row>
    <row r="228" spans="1:9" ht="14">
      <c r="A228" s="10"/>
      <c r="B228" s="26" t="s">
        <v>331</v>
      </c>
      <c r="C228" s="27" t="s">
        <v>163</v>
      </c>
      <c r="D228" s="27">
        <v>8.1</v>
      </c>
      <c r="E228" s="27"/>
      <c r="F228" s="27"/>
      <c r="G228" s="27"/>
      <c r="H228" s="27"/>
      <c r="I228" s="27">
        <v>8.1</v>
      </c>
    </row>
    <row r="229" spans="1:9">
      <c r="A229" s="10"/>
      <c r="B229" s="9"/>
      <c r="C229" s="10"/>
      <c r="D229" s="10"/>
      <c r="E229" s="3"/>
      <c r="F229" s="3"/>
      <c r="G229" s="3"/>
      <c r="H229" s="3"/>
      <c r="I229" s="3"/>
    </row>
    <row r="230" spans="1:9">
      <c r="A230" s="10">
        <v>130</v>
      </c>
      <c r="B230" s="9" t="s">
        <v>164</v>
      </c>
      <c r="C230" s="10" t="s">
        <v>163</v>
      </c>
      <c r="D230" s="10">
        <v>15</v>
      </c>
      <c r="E230" s="3"/>
      <c r="F230" s="3"/>
      <c r="G230" s="3"/>
      <c r="H230" s="3"/>
      <c r="I230" s="3"/>
    </row>
    <row r="231" spans="1:9">
      <c r="A231" s="10">
        <v>131</v>
      </c>
      <c r="B231" s="9" t="s">
        <v>165</v>
      </c>
      <c r="C231" s="10" t="s">
        <v>163</v>
      </c>
      <c r="D231" s="10">
        <v>19</v>
      </c>
      <c r="E231" s="3"/>
      <c r="F231" s="3"/>
      <c r="G231" s="3"/>
      <c r="H231" s="3"/>
      <c r="I231" s="21">
        <f>SUM(I232:I237)</f>
        <v>17.16</v>
      </c>
    </row>
    <row r="232" spans="1:9" ht="14">
      <c r="A232" s="10"/>
      <c r="B232" s="26" t="s">
        <v>332</v>
      </c>
      <c r="C232" s="27" t="s">
        <v>163</v>
      </c>
      <c r="D232" s="27"/>
      <c r="E232" s="27">
        <v>3.16</v>
      </c>
      <c r="F232" s="27"/>
      <c r="G232" s="27"/>
      <c r="H232" s="27"/>
      <c r="I232" s="27">
        <v>3.16</v>
      </c>
    </row>
    <row r="233" spans="1:9" ht="14">
      <c r="A233" s="10"/>
      <c r="B233" s="26" t="s">
        <v>333</v>
      </c>
      <c r="C233" s="27" t="s">
        <v>163</v>
      </c>
      <c r="D233" s="27"/>
      <c r="E233" s="27">
        <v>2.4</v>
      </c>
      <c r="F233" s="27"/>
      <c r="G233" s="27"/>
      <c r="H233" s="27"/>
      <c r="I233" s="27">
        <v>2.4</v>
      </c>
    </row>
    <row r="234" spans="1:9" ht="14">
      <c r="A234" s="10"/>
      <c r="B234" s="26" t="s">
        <v>334</v>
      </c>
      <c r="C234" s="27" t="s">
        <v>163</v>
      </c>
      <c r="D234" s="27"/>
      <c r="E234" s="27">
        <v>5</v>
      </c>
      <c r="F234" s="27"/>
      <c r="G234" s="27"/>
      <c r="H234" s="27"/>
      <c r="I234" s="27">
        <v>5</v>
      </c>
    </row>
    <row r="235" spans="1:9" ht="14">
      <c r="A235" s="10"/>
      <c r="B235" s="26" t="s">
        <v>335</v>
      </c>
      <c r="C235" s="27" t="s">
        <v>163</v>
      </c>
      <c r="D235" s="27"/>
      <c r="E235" s="27">
        <v>1.9</v>
      </c>
      <c r="F235" s="27"/>
      <c r="G235" s="27"/>
      <c r="H235" s="27"/>
      <c r="I235" s="27">
        <v>1.9</v>
      </c>
    </row>
    <row r="236" spans="1:9" ht="14">
      <c r="A236" s="10"/>
      <c r="B236" s="26" t="s">
        <v>336</v>
      </c>
      <c r="C236" s="27" t="s">
        <v>163</v>
      </c>
      <c r="D236" s="27"/>
      <c r="E236" s="27">
        <v>1.8</v>
      </c>
      <c r="F236" s="27"/>
      <c r="G236" s="27"/>
      <c r="H236" s="27"/>
      <c r="I236" s="27">
        <v>1.8</v>
      </c>
    </row>
    <row r="237" spans="1:9" ht="14">
      <c r="A237" s="10"/>
      <c r="B237" s="26" t="s">
        <v>337</v>
      </c>
      <c r="C237" s="27" t="s">
        <v>163</v>
      </c>
      <c r="D237" s="27"/>
      <c r="E237" s="27">
        <v>2.9</v>
      </c>
      <c r="F237" s="27"/>
      <c r="G237" s="27"/>
      <c r="H237" s="27"/>
      <c r="I237" s="27">
        <v>2.9</v>
      </c>
    </row>
    <row r="238" spans="1:9" ht="70">
      <c r="A238" s="10">
        <v>132</v>
      </c>
      <c r="B238" s="9" t="s">
        <v>166</v>
      </c>
      <c r="C238" s="10" t="s">
        <v>22</v>
      </c>
      <c r="D238" s="10">
        <v>4</v>
      </c>
      <c r="E238" s="3"/>
      <c r="F238" s="3"/>
      <c r="G238" s="3"/>
      <c r="H238" s="3"/>
      <c r="I238" s="21">
        <v>4</v>
      </c>
    </row>
    <row r="239" spans="1:9" ht="56">
      <c r="A239" s="10">
        <v>133</v>
      </c>
      <c r="B239" s="9" t="s">
        <v>167</v>
      </c>
      <c r="C239" s="10" t="s">
        <v>157</v>
      </c>
      <c r="D239" s="10">
        <v>1</v>
      </c>
      <c r="E239" s="3"/>
      <c r="F239" s="3"/>
      <c r="G239" s="3"/>
      <c r="H239" s="3"/>
      <c r="I239" s="3"/>
    </row>
    <row r="240" spans="1:9">
      <c r="A240" s="10">
        <v>134</v>
      </c>
      <c r="B240" s="9" t="s">
        <v>168</v>
      </c>
      <c r="C240" s="10" t="s">
        <v>2</v>
      </c>
      <c r="D240" s="10" t="s">
        <v>2</v>
      </c>
      <c r="E240" s="3"/>
      <c r="F240" s="3"/>
      <c r="G240" s="3"/>
      <c r="H240" s="3"/>
      <c r="I240" s="3"/>
    </row>
    <row r="241" spans="1:9" ht="98">
      <c r="A241" s="10">
        <v>135</v>
      </c>
      <c r="B241" s="9" t="s">
        <v>169</v>
      </c>
      <c r="C241" s="10" t="s">
        <v>2</v>
      </c>
      <c r="D241" s="10" t="s">
        <v>2</v>
      </c>
      <c r="E241" s="3"/>
      <c r="F241" s="3"/>
      <c r="G241" s="3"/>
      <c r="H241" s="3"/>
      <c r="I241" s="3"/>
    </row>
    <row r="242" spans="1:9" ht="28">
      <c r="A242" s="10">
        <v>136</v>
      </c>
      <c r="B242" s="9" t="s">
        <v>170</v>
      </c>
      <c r="C242" s="10" t="s">
        <v>145</v>
      </c>
      <c r="D242" s="10">
        <v>5</v>
      </c>
      <c r="E242" s="3"/>
      <c r="F242" s="3"/>
      <c r="G242" s="3"/>
      <c r="H242" s="3"/>
      <c r="I242" s="3"/>
    </row>
    <row r="243" spans="1:9" ht="42">
      <c r="A243" s="10">
        <v>137</v>
      </c>
      <c r="B243" s="9" t="s">
        <v>171</v>
      </c>
      <c r="C243" s="10" t="s">
        <v>83</v>
      </c>
      <c r="D243" s="10">
        <v>1</v>
      </c>
      <c r="E243" s="3"/>
      <c r="F243" s="3"/>
      <c r="G243" s="3"/>
      <c r="H243" s="3"/>
      <c r="I243" s="3"/>
    </row>
    <row r="244" spans="1:9">
      <c r="A244" s="10">
        <v>138</v>
      </c>
      <c r="B244" s="9" t="s">
        <v>172</v>
      </c>
      <c r="C244" s="10" t="s">
        <v>83</v>
      </c>
      <c r="D244" s="10">
        <v>1</v>
      </c>
      <c r="E244" s="3"/>
      <c r="F244" s="3"/>
      <c r="G244" s="3"/>
      <c r="H244" s="3"/>
      <c r="I244" s="3"/>
    </row>
    <row r="245" spans="1:9" ht="28">
      <c r="A245" s="10">
        <v>139</v>
      </c>
      <c r="B245" s="9" t="s">
        <v>173</v>
      </c>
      <c r="C245" s="10" t="s">
        <v>83</v>
      </c>
      <c r="D245" s="10">
        <v>1</v>
      </c>
      <c r="E245" s="3"/>
      <c r="F245" s="3"/>
      <c r="G245" s="3"/>
      <c r="H245" s="3"/>
      <c r="I245" s="3"/>
    </row>
    <row r="246" spans="1:9">
      <c r="A246" s="10">
        <v>140</v>
      </c>
      <c r="B246" s="9" t="s">
        <v>174</v>
      </c>
      <c r="C246" s="10" t="s">
        <v>145</v>
      </c>
      <c r="D246" s="10">
        <v>3</v>
      </c>
      <c r="E246" s="3"/>
      <c r="F246" s="3"/>
      <c r="G246" s="3"/>
      <c r="H246" s="3"/>
      <c r="I246" s="3"/>
    </row>
    <row r="247" spans="1:9" ht="56">
      <c r="A247" s="10">
        <v>141</v>
      </c>
      <c r="B247" s="9" t="s">
        <v>175</v>
      </c>
      <c r="C247" s="10" t="s">
        <v>176</v>
      </c>
      <c r="D247" s="10">
        <v>6</v>
      </c>
      <c r="E247" s="3"/>
      <c r="F247" s="3"/>
      <c r="G247" s="3"/>
      <c r="H247" s="3"/>
      <c r="I247" s="3"/>
    </row>
    <row r="248" spans="1:9">
      <c r="A248" s="10"/>
      <c r="B248" s="9"/>
      <c r="C248" s="10"/>
      <c r="D248" s="10"/>
      <c r="E248" s="3"/>
      <c r="F248" s="3"/>
      <c r="G248" s="3"/>
      <c r="H248" s="3"/>
      <c r="I248" s="3"/>
    </row>
    <row r="249" spans="1:9" ht="17.399999999999999" customHeight="1">
      <c r="A249" s="15">
        <v>4</v>
      </c>
      <c r="B249" s="16" t="s">
        <v>7</v>
      </c>
      <c r="C249" s="15"/>
      <c r="D249" s="15"/>
      <c r="E249" s="15"/>
      <c r="F249" s="15"/>
      <c r="G249" s="15"/>
      <c r="H249" s="15"/>
      <c r="I249" s="15"/>
    </row>
    <row r="250" spans="1:9">
      <c r="A250" s="10">
        <v>142</v>
      </c>
      <c r="B250" s="9" t="s">
        <v>177</v>
      </c>
      <c r="C250" s="10" t="s">
        <v>2</v>
      </c>
      <c r="D250" s="10" t="s">
        <v>2</v>
      </c>
      <c r="E250" s="3"/>
      <c r="F250" s="3"/>
      <c r="G250" s="3"/>
      <c r="H250" s="3"/>
      <c r="I250" s="3"/>
    </row>
    <row r="251" spans="1:9" ht="56">
      <c r="A251" s="10">
        <v>143</v>
      </c>
      <c r="B251" s="9" t="s">
        <v>178</v>
      </c>
      <c r="C251" s="10" t="s">
        <v>145</v>
      </c>
      <c r="D251" s="10">
        <v>4</v>
      </c>
      <c r="E251" s="3"/>
      <c r="F251" s="3"/>
      <c r="G251" s="3"/>
      <c r="H251" s="3"/>
      <c r="I251" s="3"/>
    </row>
    <row r="252" spans="1:9" ht="70">
      <c r="A252" s="10">
        <v>144</v>
      </c>
      <c r="B252" s="9" t="s">
        <v>179</v>
      </c>
      <c r="C252" s="10" t="s">
        <v>145</v>
      </c>
      <c r="D252" s="10">
        <v>1</v>
      </c>
      <c r="E252" s="3"/>
      <c r="F252" s="3"/>
      <c r="G252" s="3"/>
      <c r="H252" s="3"/>
      <c r="I252" s="3"/>
    </row>
    <row r="253" spans="1:9" ht="56">
      <c r="A253" s="10">
        <v>145</v>
      </c>
      <c r="B253" s="9" t="s">
        <v>180</v>
      </c>
      <c r="C253" s="10" t="s">
        <v>145</v>
      </c>
      <c r="D253" s="10">
        <v>1</v>
      </c>
      <c r="E253" s="3"/>
      <c r="F253" s="3"/>
      <c r="G253" s="3"/>
      <c r="H253" s="3"/>
      <c r="I253" s="3"/>
    </row>
    <row r="254" spans="1:9" ht="56">
      <c r="A254" s="10">
        <v>146</v>
      </c>
      <c r="B254" s="9" t="s">
        <v>181</v>
      </c>
      <c r="C254" s="10" t="s">
        <v>145</v>
      </c>
      <c r="D254" s="10">
        <v>4</v>
      </c>
      <c r="E254" s="3"/>
      <c r="F254" s="3"/>
      <c r="G254" s="3"/>
      <c r="H254" s="3"/>
      <c r="I254" s="3"/>
    </row>
    <row r="255" spans="1:9" ht="56">
      <c r="A255" s="10">
        <v>147</v>
      </c>
      <c r="B255" s="9" t="s">
        <v>182</v>
      </c>
      <c r="C255" s="10" t="s">
        <v>145</v>
      </c>
      <c r="D255" s="10">
        <v>1</v>
      </c>
      <c r="E255" s="3"/>
      <c r="F255" s="3"/>
      <c r="G255" s="3"/>
      <c r="H255" s="3"/>
      <c r="I255" s="3"/>
    </row>
    <row r="256" spans="1:9">
      <c r="A256" s="10">
        <v>148</v>
      </c>
      <c r="B256" s="9" t="s">
        <v>183</v>
      </c>
      <c r="C256" s="10" t="s">
        <v>145</v>
      </c>
      <c r="D256" s="10">
        <v>2</v>
      </c>
      <c r="E256" s="3"/>
      <c r="F256" s="3"/>
      <c r="G256" s="3"/>
      <c r="H256" s="3"/>
      <c r="I256" s="3"/>
    </row>
    <row r="257" spans="1:9" ht="42">
      <c r="A257" s="10">
        <v>149</v>
      </c>
      <c r="B257" s="9" t="s">
        <v>184</v>
      </c>
      <c r="C257" s="10" t="s">
        <v>185</v>
      </c>
      <c r="D257" s="10">
        <v>1</v>
      </c>
      <c r="E257" s="3"/>
      <c r="F257" s="3"/>
      <c r="G257" s="3"/>
      <c r="H257" s="3"/>
      <c r="I257" s="3"/>
    </row>
    <row r="258" spans="1:9" ht="42">
      <c r="A258" s="10">
        <v>150</v>
      </c>
      <c r="B258" s="9" t="s">
        <v>186</v>
      </c>
      <c r="C258" s="10" t="s">
        <v>187</v>
      </c>
      <c r="D258" s="10">
        <v>80</v>
      </c>
      <c r="E258" s="3"/>
      <c r="F258" s="3"/>
      <c r="G258" s="3"/>
      <c r="H258" s="3"/>
      <c r="I258" s="3"/>
    </row>
    <row r="259" spans="1:9" ht="28">
      <c r="A259" s="10">
        <v>151</v>
      </c>
      <c r="B259" s="9" t="s">
        <v>188</v>
      </c>
      <c r="C259" s="10" t="s">
        <v>145</v>
      </c>
      <c r="D259" s="10">
        <v>1</v>
      </c>
      <c r="E259" s="3"/>
      <c r="F259" s="3"/>
      <c r="G259" s="3"/>
      <c r="H259" s="3"/>
      <c r="I259" s="3"/>
    </row>
    <row r="260" spans="1:9">
      <c r="A260" s="10"/>
      <c r="B260" s="9"/>
      <c r="C260" s="10"/>
      <c r="D260" s="10"/>
      <c r="E260" s="3"/>
      <c r="F260" s="3"/>
      <c r="G260" s="3"/>
      <c r="H260" s="3"/>
      <c r="I260" s="3"/>
    </row>
    <row r="261" spans="1:9" ht="14">
      <c r="A261" s="15">
        <v>5</v>
      </c>
      <c r="B261" s="16" t="s">
        <v>8</v>
      </c>
      <c r="C261" s="15"/>
      <c r="D261" s="15"/>
      <c r="E261" s="15"/>
      <c r="F261" s="15"/>
      <c r="G261" s="15"/>
      <c r="H261" s="15"/>
      <c r="I261" s="15"/>
    </row>
    <row r="262" spans="1:9">
      <c r="A262" s="10">
        <v>152</v>
      </c>
      <c r="B262" s="9" t="s">
        <v>189</v>
      </c>
      <c r="C262" s="10" t="s">
        <v>2</v>
      </c>
      <c r="D262" s="10" t="s">
        <v>2</v>
      </c>
      <c r="E262" s="3"/>
      <c r="F262" s="3"/>
      <c r="G262" s="3"/>
      <c r="H262" s="3"/>
      <c r="I262" s="3"/>
    </row>
    <row r="263" spans="1:9" ht="140">
      <c r="A263" s="10">
        <v>153</v>
      </c>
      <c r="B263" s="9" t="s">
        <v>190</v>
      </c>
      <c r="C263" s="10" t="s">
        <v>2</v>
      </c>
      <c r="D263" s="10" t="s">
        <v>2</v>
      </c>
      <c r="E263" s="3"/>
      <c r="F263" s="3"/>
      <c r="G263" s="3"/>
      <c r="H263" s="3"/>
      <c r="I263" s="3"/>
    </row>
    <row r="264" spans="1:9">
      <c r="A264" s="10">
        <v>154</v>
      </c>
      <c r="B264" s="9" t="s">
        <v>191</v>
      </c>
      <c r="C264" s="10" t="s">
        <v>192</v>
      </c>
      <c r="D264" s="10">
        <v>4</v>
      </c>
      <c r="E264" s="3"/>
      <c r="F264" s="3"/>
      <c r="G264" s="3"/>
      <c r="H264" s="3"/>
      <c r="I264" s="21">
        <f>I265</f>
        <v>4.67</v>
      </c>
    </row>
    <row r="265" spans="1:9" ht="14">
      <c r="A265" s="10"/>
      <c r="B265" s="26" t="s">
        <v>338</v>
      </c>
      <c r="C265" s="27"/>
      <c r="D265" s="27"/>
      <c r="E265" s="27">
        <v>4.67</v>
      </c>
      <c r="F265" s="27"/>
      <c r="G265" s="27"/>
      <c r="H265" s="27"/>
      <c r="I265" s="28">
        <v>4.67</v>
      </c>
    </row>
    <row r="266" spans="1:9">
      <c r="A266" s="10"/>
      <c r="B266" s="9"/>
      <c r="C266" s="10"/>
      <c r="D266" s="10"/>
      <c r="E266" s="3"/>
      <c r="F266" s="3"/>
      <c r="G266" s="3"/>
      <c r="H266" s="3"/>
      <c r="I266" s="3"/>
    </row>
    <row r="267" spans="1:9">
      <c r="A267" s="10">
        <v>155</v>
      </c>
      <c r="B267" s="9" t="s">
        <v>193</v>
      </c>
      <c r="C267" s="10" t="s">
        <v>192</v>
      </c>
      <c r="D267" s="10">
        <v>2</v>
      </c>
      <c r="E267" s="3"/>
      <c r="F267" s="3"/>
      <c r="G267" s="3"/>
      <c r="H267" s="3"/>
      <c r="I267" s="3"/>
    </row>
    <row r="268" spans="1:9">
      <c r="A268" s="10">
        <v>156</v>
      </c>
      <c r="B268" s="9" t="s">
        <v>194</v>
      </c>
      <c r="C268" s="10" t="s">
        <v>192</v>
      </c>
      <c r="D268" s="10">
        <v>17</v>
      </c>
      <c r="E268" s="3"/>
      <c r="F268" s="3"/>
      <c r="G268" s="3"/>
      <c r="H268" s="3"/>
      <c r="I268" s="21">
        <f>I269</f>
        <v>12.39</v>
      </c>
    </row>
    <row r="269" spans="1:9" ht="14">
      <c r="A269" s="10"/>
      <c r="B269" s="26" t="s">
        <v>339</v>
      </c>
      <c r="C269" s="27"/>
      <c r="D269" s="27"/>
      <c r="E269" s="27">
        <v>12.39</v>
      </c>
      <c r="F269" s="27"/>
      <c r="G269" s="27"/>
      <c r="H269" s="27"/>
      <c r="I269" s="28">
        <v>12.39</v>
      </c>
    </row>
    <row r="270" spans="1:9">
      <c r="A270" s="10"/>
      <c r="B270" s="9"/>
      <c r="C270" s="10"/>
      <c r="D270" s="10"/>
      <c r="E270" s="3"/>
      <c r="F270" s="3"/>
      <c r="G270" s="3"/>
      <c r="H270" s="3"/>
      <c r="I270" s="3"/>
    </row>
    <row r="271" spans="1:9" ht="112">
      <c r="A271" s="10">
        <v>157</v>
      </c>
      <c r="B271" s="9" t="s">
        <v>195</v>
      </c>
      <c r="C271" s="10" t="s">
        <v>83</v>
      </c>
      <c r="D271" s="10">
        <v>1</v>
      </c>
      <c r="E271" s="3"/>
      <c r="F271" s="3"/>
      <c r="G271" s="3"/>
      <c r="H271" s="3"/>
      <c r="I271" s="21">
        <v>1</v>
      </c>
    </row>
    <row r="272" spans="1:9" ht="84">
      <c r="A272" s="10">
        <v>158</v>
      </c>
      <c r="B272" s="9" t="s">
        <v>196</v>
      </c>
      <c r="C272" s="10" t="s">
        <v>83</v>
      </c>
      <c r="D272" s="10">
        <v>1</v>
      </c>
      <c r="E272" s="3"/>
      <c r="F272" s="3"/>
      <c r="G272" s="3"/>
      <c r="H272" s="3"/>
      <c r="I272" s="21">
        <v>1</v>
      </c>
    </row>
    <row r="273" spans="1:9" ht="98">
      <c r="A273" s="10">
        <v>159</v>
      </c>
      <c r="B273" s="9" t="s">
        <v>197</v>
      </c>
      <c r="C273" s="10" t="s">
        <v>83</v>
      </c>
      <c r="D273" s="10">
        <v>1</v>
      </c>
      <c r="E273" s="3"/>
      <c r="F273" s="3"/>
      <c r="G273" s="3"/>
      <c r="H273" s="3"/>
      <c r="I273" s="3"/>
    </row>
    <row r="274" spans="1:9" ht="56">
      <c r="A274" s="10">
        <v>160</v>
      </c>
      <c r="B274" s="9" t="s">
        <v>198</v>
      </c>
      <c r="C274" s="10" t="s">
        <v>83</v>
      </c>
      <c r="D274" s="10">
        <v>1</v>
      </c>
      <c r="E274" s="3"/>
      <c r="F274" s="3"/>
      <c r="G274" s="3"/>
      <c r="H274" s="3"/>
      <c r="I274" s="3"/>
    </row>
    <row r="275" spans="1:9" ht="70">
      <c r="A275" s="10">
        <v>161</v>
      </c>
      <c r="B275" s="9" t="s">
        <v>199</v>
      </c>
      <c r="C275" s="10" t="s">
        <v>83</v>
      </c>
      <c r="D275" s="10">
        <v>1</v>
      </c>
      <c r="E275" s="3"/>
      <c r="F275" s="3"/>
      <c r="G275" s="3"/>
      <c r="H275" s="3"/>
      <c r="I275" s="3"/>
    </row>
    <row r="276" spans="1:9">
      <c r="A276" s="10"/>
      <c r="B276" s="9"/>
      <c r="C276" s="10"/>
      <c r="D276" s="10"/>
      <c r="E276" s="3"/>
      <c r="F276" s="3"/>
      <c r="G276" s="3"/>
      <c r="H276" s="3"/>
      <c r="I276" s="3"/>
    </row>
    <row r="277" spans="1:9" ht="14">
      <c r="A277" s="15">
        <v>6</v>
      </c>
      <c r="B277" s="16" t="s">
        <v>9</v>
      </c>
      <c r="C277" s="15"/>
      <c r="D277" s="15"/>
      <c r="E277" s="15"/>
      <c r="F277" s="15"/>
      <c r="G277" s="15"/>
      <c r="H277" s="15"/>
      <c r="I277" s="15"/>
    </row>
    <row r="278" spans="1:9" ht="28">
      <c r="A278" s="10">
        <v>162</v>
      </c>
      <c r="B278" s="9" t="s">
        <v>200</v>
      </c>
      <c r="C278" s="10" t="s">
        <v>2</v>
      </c>
      <c r="D278" s="10" t="s">
        <v>2</v>
      </c>
      <c r="E278" s="3"/>
      <c r="F278" s="3"/>
      <c r="G278" s="3"/>
      <c r="H278" s="3"/>
      <c r="I278" s="3"/>
    </row>
    <row r="279" spans="1:9" ht="28">
      <c r="A279" s="10">
        <v>163</v>
      </c>
      <c r="B279" s="9" t="s">
        <v>201</v>
      </c>
      <c r="C279" s="10" t="s">
        <v>4</v>
      </c>
      <c r="D279" s="10">
        <v>1</v>
      </c>
      <c r="E279" s="3"/>
      <c r="F279" s="3"/>
      <c r="G279" s="3"/>
      <c r="H279" s="3"/>
      <c r="I279" s="3"/>
    </row>
    <row r="280" spans="1:9" ht="42">
      <c r="A280" s="10">
        <v>164</v>
      </c>
      <c r="B280" s="9" t="s">
        <v>202</v>
      </c>
      <c r="C280" s="10" t="s">
        <v>112</v>
      </c>
      <c r="D280" s="10">
        <v>50</v>
      </c>
      <c r="E280" s="3"/>
      <c r="F280" s="3"/>
      <c r="G280" s="3"/>
      <c r="H280" s="3"/>
      <c r="I280" s="3"/>
    </row>
    <row r="281" spans="1:9" ht="28">
      <c r="A281" s="10">
        <v>165</v>
      </c>
      <c r="B281" s="9" t="s">
        <v>203</v>
      </c>
      <c r="C281" s="10" t="s">
        <v>157</v>
      </c>
      <c r="D281" s="10">
        <v>3</v>
      </c>
      <c r="E281" s="3"/>
      <c r="F281" s="3"/>
      <c r="G281" s="3"/>
      <c r="H281" s="3"/>
      <c r="I281" s="3"/>
    </row>
    <row r="282" spans="1:9" ht="28">
      <c r="A282" s="10">
        <v>166</v>
      </c>
      <c r="B282" s="9" t="s">
        <v>204</v>
      </c>
      <c r="C282" s="10" t="s">
        <v>112</v>
      </c>
      <c r="D282" s="10">
        <v>250</v>
      </c>
      <c r="E282" s="3"/>
      <c r="F282" s="3"/>
      <c r="G282" s="3"/>
      <c r="H282" s="3"/>
      <c r="I282" s="3"/>
    </row>
    <row r="283" spans="1:9">
      <c r="A283" s="10">
        <v>167</v>
      </c>
      <c r="B283" s="9" t="s">
        <v>205</v>
      </c>
      <c r="C283" s="10" t="s">
        <v>112</v>
      </c>
      <c r="D283" s="10">
        <v>250</v>
      </c>
      <c r="E283" s="3"/>
      <c r="F283" s="3"/>
      <c r="G283" s="3"/>
      <c r="H283" s="3"/>
      <c r="I283" s="3"/>
    </row>
    <row r="284" spans="1:9">
      <c r="A284" s="10">
        <v>168</v>
      </c>
      <c r="B284" s="9" t="s">
        <v>206</v>
      </c>
      <c r="C284" s="10" t="s">
        <v>157</v>
      </c>
      <c r="D284" s="10">
        <v>1</v>
      </c>
      <c r="E284" s="3"/>
      <c r="F284" s="3"/>
      <c r="G284" s="3"/>
      <c r="H284" s="3"/>
      <c r="I284" s="3"/>
    </row>
    <row r="285" spans="1:9">
      <c r="A285" s="10">
        <v>169</v>
      </c>
      <c r="B285" s="9" t="s">
        <v>207</v>
      </c>
      <c r="C285" s="10" t="s">
        <v>112</v>
      </c>
      <c r="D285" s="10">
        <v>50</v>
      </c>
      <c r="E285" s="3"/>
      <c r="F285" s="3"/>
      <c r="G285" s="3"/>
      <c r="H285" s="3"/>
      <c r="I285" s="3"/>
    </row>
    <row r="286" spans="1:9">
      <c r="A286" s="10">
        <v>170</v>
      </c>
      <c r="B286" s="9" t="s">
        <v>208</v>
      </c>
      <c r="C286" s="10" t="s">
        <v>2</v>
      </c>
      <c r="D286" s="10" t="s">
        <v>2</v>
      </c>
      <c r="E286" s="3"/>
      <c r="F286" s="3"/>
      <c r="G286" s="3"/>
      <c r="H286" s="3"/>
      <c r="I286" s="3"/>
    </row>
    <row r="287" spans="1:9" ht="28">
      <c r="A287" s="10">
        <v>171</v>
      </c>
      <c r="B287" s="9" t="s">
        <v>209</v>
      </c>
      <c r="C287" s="10" t="s">
        <v>83</v>
      </c>
      <c r="D287" s="10">
        <v>1</v>
      </c>
      <c r="E287" s="3"/>
      <c r="F287" s="3"/>
      <c r="G287" s="3"/>
      <c r="H287" s="3"/>
      <c r="I287" s="3"/>
    </row>
    <row r="288" spans="1:9" ht="28">
      <c r="A288" s="10">
        <v>172</v>
      </c>
      <c r="B288" s="9" t="s">
        <v>210</v>
      </c>
      <c r="C288" s="10" t="s">
        <v>83</v>
      </c>
      <c r="D288" s="10">
        <v>10</v>
      </c>
      <c r="E288" s="3"/>
      <c r="F288" s="3"/>
      <c r="G288" s="3"/>
      <c r="H288" s="3"/>
      <c r="I288" s="3"/>
    </row>
    <row r="289" spans="1:9" ht="28">
      <c r="A289" s="10">
        <v>173</v>
      </c>
      <c r="B289" s="9" t="s">
        <v>211</v>
      </c>
      <c r="C289" s="10" t="s">
        <v>83</v>
      </c>
      <c r="D289" s="10">
        <v>3</v>
      </c>
      <c r="E289" s="3"/>
      <c r="F289" s="3"/>
      <c r="G289" s="3"/>
      <c r="H289" s="3"/>
      <c r="I289" s="3"/>
    </row>
    <row r="290" spans="1:9">
      <c r="A290" s="10"/>
      <c r="B290" s="9"/>
      <c r="C290" s="10"/>
      <c r="D290" s="10"/>
      <c r="E290" s="3"/>
      <c r="F290" s="3"/>
      <c r="G290" s="3"/>
      <c r="H290" s="3"/>
      <c r="I290" s="3"/>
    </row>
    <row r="291" spans="1:9" ht="14">
      <c r="A291" s="15">
        <v>7</v>
      </c>
      <c r="B291" s="16" t="s">
        <v>10</v>
      </c>
      <c r="C291" s="15"/>
      <c r="D291" s="15"/>
      <c r="E291" s="15"/>
      <c r="F291" s="15"/>
      <c r="G291" s="15"/>
      <c r="H291" s="15"/>
      <c r="I291" s="15"/>
    </row>
    <row r="292" spans="1:9">
      <c r="A292" s="10">
        <v>174</v>
      </c>
      <c r="B292" s="9" t="s">
        <v>212</v>
      </c>
      <c r="C292" s="10" t="s">
        <v>2</v>
      </c>
      <c r="D292" s="10" t="s">
        <v>2</v>
      </c>
      <c r="E292" s="3"/>
      <c r="F292" s="3"/>
      <c r="G292" s="3"/>
      <c r="H292" s="3"/>
      <c r="I292" s="3"/>
    </row>
    <row r="293" spans="1:9" ht="56">
      <c r="A293" s="10">
        <v>175</v>
      </c>
      <c r="B293" s="9" t="s">
        <v>213</v>
      </c>
      <c r="C293" s="10" t="s">
        <v>157</v>
      </c>
      <c r="D293" s="10">
        <v>4</v>
      </c>
      <c r="E293" s="3"/>
      <c r="F293" s="3"/>
      <c r="G293" s="3"/>
      <c r="H293" s="3"/>
      <c r="I293" s="3"/>
    </row>
    <row r="294" spans="1:9" ht="28">
      <c r="A294" s="10">
        <v>176</v>
      </c>
      <c r="B294" s="9" t="s">
        <v>214</v>
      </c>
      <c r="C294" s="10" t="s">
        <v>157</v>
      </c>
      <c r="D294" s="10">
        <v>2</v>
      </c>
      <c r="E294" s="3"/>
      <c r="F294" s="3"/>
      <c r="G294" s="3"/>
      <c r="H294" s="3"/>
      <c r="I294" s="3"/>
    </row>
    <row r="295" spans="1:9" ht="28">
      <c r="A295" s="10">
        <v>177</v>
      </c>
      <c r="B295" s="9" t="s">
        <v>215</v>
      </c>
      <c r="C295" s="10" t="s">
        <v>2</v>
      </c>
      <c r="D295" s="10" t="s">
        <v>2</v>
      </c>
      <c r="E295" s="3"/>
      <c r="F295" s="3"/>
      <c r="G295" s="3"/>
      <c r="H295" s="3"/>
      <c r="I295" s="3"/>
    </row>
    <row r="296" spans="1:9">
      <c r="A296" s="10">
        <v>178</v>
      </c>
      <c r="B296" s="9" t="s">
        <v>216</v>
      </c>
      <c r="C296" s="10" t="s">
        <v>83</v>
      </c>
      <c r="D296" s="10">
        <v>2</v>
      </c>
      <c r="E296" s="3"/>
      <c r="F296" s="3"/>
      <c r="G296" s="3"/>
      <c r="H296" s="3"/>
      <c r="I296" s="3"/>
    </row>
    <row r="297" spans="1:9">
      <c r="A297" s="10">
        <v>179</v>
      </c>
      <c r="B297" s="9" t="s">
        <v>217</v>
      </c>
      <c r="C297" s="10" t="s">
        <v>83</v>
      </c>
      <c r="D297" s="10">
        <v>1</v>
      </c>
      <c r="E297" s="3"/>
      <c r="F297" s="3"/>
      <c r="G297" s="3"/>
      <c r="H297" s="3"/>
      <c r="I297" s="3"/>
    </row>
    <row r="298" spans="1:9">
      <c r="A298" s="10">
        <v>180</v>
      </c>
      <c r="B298" s="9" t="s">
        <v>218</v>
      </c>
      <c r="C298" s="10" t="s">
        <v>83</v>
      </c>
      <c r="D298" s="10">
        <v>1</v>
      </c>
      <c r="E298" s="3"/>
      <c r="F298" s="3"/>
      <c r="G298" s="3"/>
      <c r="H298" s="3"/>
      <c r="I298" s="3"/>
    </row>
    <row r="299" spans="1:9">
      <c r="A299" s="10">
        <v>181</v>
      </c>
      <c r="B299" s="9" t="s">
        <v>219</v>
      </c>
      <c r="C299" s="10" t="s">
        <v>83</v>
      </c>
      <c r="D299" s="10">
        <v>3</v>
      </c>
      <c r="E299" s="3"/>
      <c r="F299" s="3"/>
      <c r="G299" s="3"/>
      <c r="H299" s="3"/>
      <c r="I299" s="3"/>
    </row>
    <row r="300" spans="1:9">
      <c r="A300" s="10">
        <v>182</v>
      </c>
      <c r="B300" s="9" t="s">
        <v>220</v>
      </c>
      <c r="C300" s="10" t="s">
        <v>83</v>
      </c>
      <c r="D300" s="10">
        <v>3</v>
      </c>
      <c r="E300" s="3"/>
      <c r="F300" s="3"/>
      <c r="G300" s="3"/>
      <c r="H300" s="3"/>
      <c r="I300" s="3"/>
    </row>
    <row r="301" spans="1:9">
      <c r="A301" s="10">
        <v>183</v>
      </c>
      <c r="B301" s="9" t="s">
        <v>221</v>
      </c>
      <c r="C301" s="10" t="s">
        <v>222</v>
      </c>
      <c r="D301" s="10">
        <v>1</v>
      </c>
      <c r="E301" s="3"/>
      <c r="F301" s="3"/>
      <c r="G301" s="3"/>
      <c r="H301" s="3"/>
      <c r="I301" s="3"/>
    </row>
    <row r="302" spans="1:9">
      <c r="A302" s="10">
        <v>184</v>
      </c>
      <c r="B302" s="9" t="s">
        <v>223</v>
      </c>
      <c r="C302" s="10" t="s">
        <v>222</v>
      </c>
      <c r="D302" s="10">
        <v>1</v>
      </c>
      <c r="E302" s="3"/>
      <c r="F302" s="3"/>
      <c r="G302" s="3"/>
      <c r="H302" s="3"/>
      <c r="I302" s="3"/>
    </row>
    <row r="303" spans="1:9">
      <c r="A303" s="10">
        <v>185</v>
      </c>
      <c r="B303" s="9" t="s">
        <v>224</v>
      </c>
      <c r="C303" s="10" t="s">
        <v>83</v>
      </c>
      <c r="D303" s="10">
        <v>1</v>
      </c>
      <c r="E303" s="3"/>
      <c r="F303" s="3"/>
      <c r="G303" s="3"/>
      <c r="H303" s="3"/>
      <c r="I303" s="3"/>
    </row>
    <row r="304" spans="1:9">
      <c r="A304" s="10">
        <v>186</v>
      </c>
      <c r="B304" s="9" t="s">
        <v>225</v>
      </c>
      <c r="C304" s="10" t="s">
        <v>157</v>
      </c>
      <c r="D304" s="10">
        <v>2</v>
      </c>
      <c r="E304" s="3"/>
      <c r="F304" s="3"/>
      <c r="G304" s="3"/>
      <c r="H304" s="3"/>
      <c r="I304" s="3"/>
    </row>
    <row r="305" spans="1:9">
      <c r="A305" s="10">
        <v>187</v>
      </c>
      <c r="B305" s="9" t="s">
        <v>226</v>
      </c>
      <c r="C305" s="10" t="s">
        <v>157</v>
      </c>
      <c r="D305" s="10">
        <v>2</v>
      </c>
      <c r="E305" s="3"/>
      <c r="F305" s="3"/>
      <c r="G305" s="3"/>
      <c r="H305" s="3"/>
      <c r="I305" s="3"/>
    </row>
    <row r="306" spans="1:9">
      <c r="A306" s="10">
        <v>188</v>
      </c>
      <c r="B306" s="9" t="s">
        <v>227</v>
      </c>
      <c r="C306" s="10" t="s">
        <v>157</v>
      </c>
      <c r="D306" s="10">
        <v>1</v>
      </c>
      <c r="E306" s="3"/>
      <c r="F306" s="3"/>
      <c r="G306" s="3"/>
      <c r="H306" s="3"/>
      <c r="I306" s="3"/>
    </row>
    <row r="307" spans="1:9">
      <c r="A307" s="10">
        <v>189</v>
      </c>
      <c r="B307" s="9" t="s">
        <v>228</v>
      </c>
      <c r="C307" s="10" t="s">
        <v>83</v>
      </c>
      <c r="D307" s="10">
        <v>1</v>
      </c>
      <c r="E307" s="3"/>
      <c r="F307" s="3"/>
      <c r="G307" s="3"/>
      <c r="H307" s="3"/>
      <c r="I307" s="3"/>
    </row>
    <row r="308" spans="1:9">
      <c r="A308" s="10">
        <v>190</v>
      </c>
      <c r="B308" s="9" t="s">
        <v>229</v>
      </c>
      <c r="C308" s="10" t="s">
        <v>83</v>
      </c>
      <c r="D308" s="10">
        <v>6</v>
      </c>
      <c r="E308" s="3"/>
      <c r="F308" s="3"/>
      <c r="G308" s="3"/>
      <c r="H308" s="3"/>
      <c r="I308" s="3"/>
    </row>
    <row r="309" spans="1:9">
      <c r="A309" s="10">
        <v>191</v>
      </c>
      <c r="B309" s="9" t="s">
        <v>230</v>
      </c>
      <c r="C309" s="10" t="s">
        <v>83</v>
      </c>
      <c r="D309" s="10">
        <v>2</v>
      </c>
      <c r="E309" s="3"/>
      <c r="F309" s="3"/>
      <c r="G309" s="3"/>
      <c r="H309" s="3"/>
      <c r="I309" s="3"/>
    </row>
    <row r="310" spans="1:9">
      <c r="A310" s="10">
        <v>192</v>
      </c>
      <c r="B310" s="9" t="s">
        <v>231</v>
      </c>
      <c r="C310" s="10" t="s">
        <v>83</v>
      </c>
      <c r="D310" s="10">
        <v>4</v>
      </c>
      <c r="E310" s="3"/>
      <c r="F310" s="3"/>
      <c r="G310" s="3"/>
      <c r="H310" s="3"/>
      <c r="I310" s="3"/>
    </row>
    <row r="311" spans="1:9">
      <c r="A311" s="10">
        <v>193</v>
      </c>
      <c r="B311" s="9" t="s">
        <v>232</v>
      </c>
      <c r="C311" s="10" t="s">
        <v>83</v>
      </c>
      <c r="D311" s="10">
        <v>1</v>
      </c>
      <c r="E311" s="3"/>
      <c r="F311" s="3"/>
      <c r="G311" s="3"/>
      <c r="H311" s="3"/>
      <c r="I311" s="3"/>
    </row>
    <row r="312" spans="1:9">
      <c r="A312" s="10">
        <v>194</v>
      </c>
      <c r="B312" s="9" t="s">
        <v>233</v>
      </c>
      <c r="C312" s="10" t="s">
        <v>83</v>
      </c>
      <c r="D312" s="10">
        <v>1</v>
      </c>
      <c r="E312" s="3"/>
      <c r="F312" s="3"/>
      <c r="G312" s="3"/>
      <c r="H312" s="3"/>
      <c r="I312" s="3"/>
    </row>
    <row r="313" spans="1:9" ht="28">
      <c r="A313" s="10">
        <v>195</v>
      </c>
      <c r="B313" s="9" t="s">
        <v>234</v>
      </c>
      <c r="C313" s="10" t="s">
        <v>83</v>
      </c>
      <c r="D313" s="10">
        <v>59</v>
      </c>
      <c r="E313" s="3"/>
      <c r="F313" s="3"/>
      <c r="G313" s="3"/>
      <c r="H313" s="3"/>
      <c r="I313" s="3"/>
    </row>
    <row r="314" spans="1:9" ht="56">
      <c r="A314" s="10">
        <v>196</v>
      </c>
      <c r="B314" s="9" t="s">
        <v>235</v>
      </c>
      <c r="C314" s="10" t="s">
        <v>83</v>
      </c>
      <c r="D314" s="10">
        <v>11</v>
      </c>
      <c r="E314" s="3"/>
      <c r="F314" s="3"/>
      <c r="G314" s="3"/>
      <c r="H314" s="3"/>
      <c r="I314" s="3"/>
    </row>
    <row r="315" spans="1:9" ht="28">
      <c r="A315" s="10">
        <v>197</v>
      </c>
      <c r="B315" s="9" t="s">
        <v>236</v>
      </c>
      <c r="C315" s="10" t="s">
        <v>83</v>
      </c>
      <c r="D315" s="10">
        <v>1</v>
      </c>
      <c r="E315" s="3"/>
      <c r="F315" s="3"/>
      <c r="G315" s="3"/>
      <c r="H315" s="3"/>
      <c r="I315" s="3"/>
    </row>
    <row r="316" spans="1:9">
      <c r="A316" s="10"/>
      <c r="B316" s="9"/>
      <c r="C316" s="10"/>
      <c r="D316" s="10"/>
      <c r="E316" s="3"/>
      <c r="F316" s="3"/>
      <c r="G316" s="3"/>
      <c r="H316" s="3"/>
      <c r="I316" s="3"/>
    </row>
    <row r="317" spans="1:9" ht="14">
      <c r="A317" s="15">
        <v>8</v>
      </c>
      <c r="B317" s="16" t="s">
        <v>11</v>
      </c>
      <c r="C317" s="15"/>
      <c r="D317" s="15"/>
      <c r="E317" s="15"/>
      <c r="F317" s="15"/>
      <c r="G317" s="15"/>
      <c r="H317" s="15"/>
      <c r="I317" s="15"/>
    </row>
    <row r="318" spans="1:9">
      <c r="A318" s="10">
        <v>198</v>
      </c>
      <c r="B318" s="9" t="s">
        <v>237</v>
      </c>
      <c r="C318" s="10" t="s">
        <v>2</v>
      </c>
      <c r="D318" s="10" t="s">
        <v>2</v>
      </c>
      <c r="E318" s="3"/>
      <c r="F318" s="3"/>
      <c r="G318" s="3"/>
      <c r="H318" s="3"/>
      <c r="I318" s="3"/>
    </row>
    <row r="319" spans="1:9" ht="70">
      <c r="A319" s="10">
        <v>199</v>
      </c>
      <c r="B319" s="9" t="s">
        <v>238</v>
      </c>
      <c r="C319" s="10" t="s">
        <v>83</v>
      </c>
      <c r="D319" s="10">
        <v>1</v>
      </c>
      <c r="E319" s="3"/>
      <c r="F319" s="3"/>
      <c r="G319" s="3"/>
      <c r="H319" s="3"/>
      <c r="I319" s="3"/>
    </row>
    <row r="320" spans="1:9" ht="28">
      <c r="A320" s="10">
        <v>200</v>
      </c>
      <c r="B320" s="9" t="s">
        <v>239</v>
      </c>
      <c r="C320" s="10" t="s">
        <v>83</v>
      </c>
      <c r="D320" s="10">
        <v>1</v>
      </c>
      <c r="E320" s="3"/>
      <c r="F320" s="3"/>
      <c r="G320" s="3"/>
      <c r="H320" s="3"/>
      <c r="I320" s="3"/>
    </row>
    <row r="321" spans="1:9">
      <c r="A321" s="10">
        <v>201</v>
      </c>
      <c r="B321" s="9" t="s">
        <v>240</v>
      </c>
      <c r="C321" s="10" t="s">
        <v>2</v>
      </c>
      <c r="D321" s="10" t="s">
        <v>2</v>
      </c>
      <c r="E321" s="3"/>
      <c r="F321" s="3"/>
      <c r="G321" s="3"/>
      <c r="H321" s="3"/>
      <c r="I321" s="3"/>
    </row>
    <row r="322" spans="1:9" ht="42">
      <c r="A322" s="10">
        <v>202</v>
      </c>
      <c r="B322" s="9" t="s">
        <v>241</v>
      </c>
      <c r="C322" s="10" t="s">
        <v>2</v>
      </c>
      <c r="D322" s="10" t="s">
        <v>2</v>
      </c>
      <c r="E322" s="3"/>
      <c r="F322" s="3"/>
      <c r="G322" s="3"/>
      <c r="H322" s="3"/>
      <c r="I322" s="3"/>
    </row>
    <row r="323" spans="1:9">
      <c r="A323" s="10">
        <v>203</v>
      </c>
      <c r="B323" s="9" t="s">
        <v>242</v>
      </c>
      <c r="C323" s="10" t="s">
        <v>243</v>
      </c>
      <c r="D323" s="10">
        <v>20</v>
      </c>
      <c r="E323" s="3"/>
      <c r="F323" s="3"/>
      <c r="G323" s="3"/>
      <c r="H323" s="3"/>
      <c r="I323" s="21">
        <f>SUM(I324:I327)</f>
        <v>16.850000000000001</v>
      </c>
    </row>
    <row r="324" spans="1:9" ht="14">
      <c r="A324" s="10"/>
      <c r="B324" s="36" t="s">
        <v>341</v>
      </c>
      <c r="C324" s="27"/>
      <c r="D324" s="27"/>
      <c r="E324" s="27">
        <v>4.05</v>
      </c>
      <c r="F324" s="27"/>
      <c r="G324" s="27"/>
      <c r="H324" s="27"/>
      <c r="I324" s="28">
        <f>E324</f>
        <v>4.05</v>
      </c>
    </row>
    <row r="325" spans="1:9" ht="14">
      <c r="A325" s="10"/>
      <c r="B325" s="36" t="s">
        <v>342</v>
      </c>
      <c r="C325" s="27"/>
      <c r="D325" s="27"/>
      <c r="E325" s="27">
        <v>5.5</v>
      </c>
      <c r="F325" s="27"/>
      <c r="G325" s="27"/>
      <c r="H325" s="27"/>
      <c r="I325" s="28">
        <f>E325</f>
        <v>5.5</v>
      </c>
    </row>
    <row r="326" spans="1:9" ht="14">
      <c r="A326" s="10"/>
      <c r="B326" s="36" t="s">
        <v>343</v>
      </c>
      <c r="C326" s="27"/>
      <c r="D326" s="27"/>
      <c r="E326" s="27">
        <v>4.5</v>
      </c>
      <c r="F326" s="27"/>
      <c r="G326" s="27"/>
      <c r="H326" s="27"/>
      <c r="I326" s="28">
        <f>E326</f>
        <v>4.5</v>
      </c>
    </row>
    <row r="327" spans="1:9" ht="14">
      <c r="A327" s="10"/>
      <c r="B327" s="36" t="s">
        <v>344</v>
      </c>
      <c r="C327" s="27"/>
      <c r="D327" s="27"/>
      <c r="E327" s="27">
        <v>2.8</v>
      </c>
      <c r="F327" s="27"/>
      <c r="G327" s="27"/>
      <c r="H327" s="27"/>
      <c r="I327" s="28">
        <f>E327</f>
        <v>2.8</v>
      </c>
    </row>
    <row r="328" spans="1:9">
      <c r="A328" s="10"/>
      <c r="B328" s="9"/>
      <c r="C328" s="10"/>
      <c r="D328" s="10"/>
      <c r="E328" s="3"/>
      <c r="F328" s="3"/>
      <c r="G328" s="3"/>
      <c r="H328" s="3"/>
      <c r="I328" s="21"/>
    </row>
    <row r="329" spans="1:9">
      <c r="A329" s="10">
        <v>204</v>
      </c>
      <c r="B329" s="9" t="s">
        <v>244</v>
      </c>
      <c r="C329" s="10" t="s">
        <v>243</v>
      </c>
      <c r="D329" s="10">
        <v>10</v>
      </c>
      <c r="E329" s="3"/>
      <c r="F329" s="3"/>
      <c r="G329" s="3"/>
      <c r="H329" s="3"/>
      <c r="I329" s="3"/>
    </row>
    <row r="330" spans="1:9" ht="42">
      <c r="A330" s="10">
        <v>205</v>
      </c>
      <c r="B330" s="9" t="s">
        <v>245</v>
      </c>
      <c r="C330" s="10" t="s">
        <v>2</v>
      </c>
      <c r="D330" s="10" t="s">
        <v>2</v>
      </c>
      <c r="E330" s="3"/>
      <c r="F330" s="3"/>
      <c r="G330" s="3"/>
      <c r="H330" s="3"/>
      <c r="I330" s="3"/>
    </row>
    <row r="331" spans="1:9">
      <c r="A331" s="10">
        <v>206</v>
      </c>
      <c r="B331" s="9" t="s">
        <v>246</v>
      </c>
      <c r="C331" s="10" t="s">
        <v>22</v>
      </c>
      <c r="D331" s="10">
        <v>3</v>
      </c>
      <c r="E331" s="3"/>
      <c r="F331" s="3"/>
      <c r="G331" s="3"/>
      <c r="H331" s="3"/>
      <c r="I331" s="3"/>
    </row>
    <row r="332" spans="1:9">
      <c r="A332" s="10">
        <v>207</v>
      </c>
      <c r="B332" s="9" t="s">
        <v>247</v>
      </c>
      <c r="C332" s="10" t="s">
        <v>22</v>
      </c>
      <c r="D332" s="10">
        <v>2</v>
      </c>
      <c r="E332" s="3"/>
      <c r="F332" s="3"/>
      <c r="G332" s="3"/>
      <c r="H332" s="3"/>
      <c r="I332" s="3"/>
    </row>
    <row r="333" spans="1:9" ht="56">
      <c r="A333" s="10">
        <v>208</v>
      </c>
      <c r="B333" s="9" t="s">
        <v>248</v>
      </c>
      <c r="C333" s="10" t="s">
        <v>249</v>
      </c>
      <c r="D333" s="10">
        <v>5</v>
      </c>
      <c r="E333" s="3"/>
      <c r="F333" s="3"/>
      <c r="G333" s="3"/>
      <c r="H333" s="3"/>
      <c r="I333" s="3"/>
    </row>
    <row r="334" spans="1:9" ht="28">
      <c r="A334" s="10">
        <v>209</v>
      </c>
      <c r="B334" s="9" t="s">
        <v>250</v>
      </c>
      <c r="C334" s="10" t="s">
        <v>2</v>
      </c>
      <c r="D334" s="10" t="s">
        <v>2</v>
      </c>
      <c r="E334" s="3"/>
      <c r="F334" s="3"/>
      <c r="G334" s="3"/>
      <c r="H334" s="3"/>
      <c r="I334" s="3"/>
    </row>
    <row r="335" spans="1:9">
      <c r="A335" s="10">
        <v>210</v>
      </c>
      <c r="B335" s="9" t="s">
        <v>251</v>
      </c>
      <c r="C335" s="10" t="s">
        <v>252</v>
      </c>
      <c r="D335" s="10">
        <v>5</v>
      </c>
      <c r="E335" s="3"/>
      <c r="F335" s="3"/>
      <c r="G335" s="3"/>
      <c r="H335" s="3"/>
      <c r="I335" s="3"/>
    </row>
    <row r="336" spans="1:9">
      <c r="A336" s="10">
        <v>211</v>
      </c>
      <c r="B336" s="9" t="s">
        <v>253</v>
      </c>
      <c r="C336" s="10" t="s">
        <v>252</v>
      </c>
      <c r="D336" s="10">
        <v>5</v>
      </c>
      <c r="E336" s="3"/>
      <c r="F336" s="3"/>
      <c r="G336" s="3"/>
      <c r="H336" s="3"/>
      <c r="I336" s="3"/>
    </row>
    <row r="337" spans="1:9">
      <c r="A337" s="10">
        <v>212</v>
      </c>
      <c r="B337" s="9" t="s">
        <v>254</v>
      </c>
      <c r="C337" s="10" t="s">
        <v>252</v>
      </c>
      <c r="D337" s="10">
        <v>40</v>
      </c>
      <c r="E337" s="3"/>
      <c r="F337" s="3"/>
      <c r="G337" s="3"/>
      <c r="H337" s="3"/>
      <c r="I337" s="3"/>
    </row>
    <row r="338" spans="1:9">
      <c r="A338" s="10">
        <v>213</v>
      </c>
      <c r="B338" s="9" t="s">
        <v>255</v>
      </c>
      <c r="C338" s="10" t="s">
        <v>22</v>
      </c>
      <c r="D338" s="10">
        <v>4</v>
      </c>
      <c r="E338" s="3"/>
      <c r="F338" s="3"/>
      <c r="G338" s="3"/>
      <c r="H338" s="3"/>
      <c r="I338" s="3"/>
    </row>
    <row r="339" spans="1:9" ht="42">
      <c r="A339" s="10">
        <v>214</v>
      </c>
      <c r="B339" s="9" t="s">
        <v>256</v>
      </c>
      <c r="C339" s="10" t="s">
        <v>249</v>
      </c>
      <c r="D339" s="10">
        <v>5</v>
      </c>
      <c r="E339" s="3"/>
      <c r="F339" s="3"/>
      <c r="G339" s="3"/>
      <c r="H339" s="3"/>
      <c r="I339" s="3"/>
    </row>
    <row r="340" spans="1:9" ht="70">
      <c r="A340" s="10">
        <v>215</v>
      </c>
      <c r="B340" s="9" t="s">
        <v>257</v>
      </c>
      <c r="C340" s="10" t="s">
        <v>22</v>
      </c>
      <c r="D340" s="10">
        <v>1</v>
      </c>
      <c r="E340" s="3"/>
      <c r="F340" s="3"/>
      <c r="G340" s="3"/>
      <c r="H340" s="3"/>
      <c r="I340" s="3"/>
    </row>
    <row r="341" spans="1:9" ht="70">
      <c r="A341" s="10">
        <v>216</v>
      </c>
      <c r="B341" s="9" t="s">
        <v>258</v>
      </c>
      <c r="C341" s="10" t="s">
        <v>22</v>
      </c>
      <c r="D341" s="10">
        <v>1</v>
      </c>
      <c r="E341" s="3"/>
      <c r="F341" s="3"/>
      <c r="G341" s="3"/>
      <c r="H341" s="3"/>
      <c r="I341" s="3"/>
    </row>
    <row r="342" spans="1:9" ht="84">
      <c r="A342" s="10">
        <v>217</v>
      </c>
      <c r="B342" s="9" t="s">
        <v>259</v>
      </c>
      <c r="C342" s="10" t="s">
        <v>22</v>
      </c>
      <c r="D342" s="10">
        <v>2</v>
      </c>
      <c r="E342" s="3"/>
      <c r="F342" s="3"/>
      <c r="G342" s="3"/>
      <c r="H342" s="3"/>
      <c r="I342" s="3"/>
    </row>
    <row r="343" spans="1:9">
      <c r="A343" s="10"/>
      <c r="B343" s="9"/>
      <c r="C343" s="10"/>
      <c r="D343" s="10"/>
      <c r="E343" s="3"/>
      <c r="F343" s="3"/>
      <c r="G343" s="3"/>
      <c r="H343" s="3"/>
      <c r="I343" s="3"/>
    </row>
    <row r="344" spans="1:9" ht="14">
      <c r="A344" s="15">
        <v>9</v>
      </c>
      <c r="B344" s="16" t="s">
        <v>12</v>
      </c>
      <c r="C344" s="15"/>
      <c r="D344" s="15"/>
      <c r="E344" s="15"/>
      <c r="F344" s="15"/>
      <c r="G344" s="15"/>
      <c r="H344" s="15"/>
      <c r="I344" s="15"/>
    </row>
    <row r="345" spans="1:9" ht="28">
      <c r="A345" s="10">
        <v>218</v>
      </c>
      <c r="B345" s="9" t="s">
        <v>260</v>
      </c>
      <c r="C345" s="10" t="s">
        <v>2</v>
      </c>
      <c r="D345" s="10" t="s">
        <v>2</v>
      </c>
      <c r="E345" s="3"/>
      <c r="F345" s="3"/>
      <c r="G345" s="3"/>
      <c r="H345" s="3"/>
      <c r="I345" s="3"/>
    </row>
    <row r="346" spans="1:9" ht="210">
      <c r="A346" s="10">
        <v>219</v>
      </c>
      <c r="B346" s="9" t="s">
        <v>261</v>
      </c>
      <c r="C346" s="10" t="s">
        <v>2</v>
      </c>
      <c r="D346" s="10" t="s">
        <v>2</v>
      </c>
      <c r="E346" s="3"/>
      <c r="F346" s="3"/>
      <c r="G346" s="3"/>
      <c r="H346" s="3"/>
      <c r="I346" s="3"/>
    </row>
    <row r="347" spans="1:9">
      <c r="A347" s="10">
        <v>220</v>
      </c>
      <c r="B347" s="9" t="s">
        <v>262</v>
      </c>
      <c r="C347" s="10" t="s">
        <v>263</v>
      </c>
      <c r="D347" s="10">
        <v>15</v>
      </c>
      <c r="E347" s="3"/>
      <c r="F347" s="3"/>
      <c r="G347" s="3"/>
      <c r="H347" s="3"/>
      <c r="I347" s="51">
        <f>SUM(I348:I353)</f>
        <v>35.025000000000006</v>
      </c>
    </row>
    <row r="348" spans="1:9" ht="14">
      <c r="A348" s="10"/>
      <c r="B348" s="32" t="s">
        <v>340</v>
      </c>
      <c r="C348" s="22"/>
      <c r="D348" s="22"/>
      <c r="E348" s="22">
        <v>2.1</v>
      </c>
      <c r="F348" s="22">
        <v>1.5</v>
      </c>
      <c r="G348" s="22"/>
      <c r="H348" s="22">
        <v>3</v>
      </c>
      <c r="I348" s="22">
        <f>H348*F348*E348</f>
        <v>9.4500000000000011</v>
      </c>
    </row>
    <row r="349" spans="1:9" ht="14">
      <c r="A349" s="10"/>
      <c r="B349" s="32" t="s">
        <v>340</v>
      </c>
      <c r="C349" s="22"/>
      <c r="D349" s="22"/>
      <c r="E349" s="22">
        <v>2.1</v>
      </c>
      <c r="F349" s="22">
        <v>1.8</v>
      </c>
      <c r="G349" s="22"/>
      <c r="H349" s="22">
        <v>1</v>
      </c>
      <c r="I349" s="22">
        <f t="shared" ref="I349:I352" si="8">H349*F349*E349</f>
        <v>3.7800000000000002</v>
      </c>
    </row>
    <row r="350" spans="1:9" ht="14">
      <c r="A350" s="10"/>
      <c r="B350" s="32" t="s">
        <v>340</v>
      </c>
      <c r="C350" s="22"/>
      <c r="D350" s="22"/>
      <c r="E350" s="22">
        <v>2.1</v>
      </c>
      <c r="F350" s="22">
        <v>2.8</v>
      </c>
      <c r="G350" s="22"/>
      <c r="H350" s="22">
        <v>2</v>
      </c>
      <c r="I350" s="22">
        <f t="shared" si="8"/>
        <v>11.76</v>
      </c>
    </row>
    <row r="351" spans="1:9" ht="14">
      <c r="A351" s="10"/>
      <c r="B351" s="32" t="s">
        <v>340</v>
      </c>
      <c r="C351" s="22"/>
      <c r="D351" s="22"/>
      <c r="E351" s="22">
        <v>2.1</v>
      </c>
      <c r="F351" s="22">
        <v>2.2000000000000002</v>
      </c>
      <c r="G351" s="22"/>
      <c r="H351" s="22">
        <v>1</v>
      </c>
      <c r="I351" s="22">
        <f t="shared" si="8"/>
        <v>4.620000000000001</v>
      </c>
    </row>
    <row r="352" spans="1:9" ht="14">
      <c r="A352" s="10"/>
      <c r="B352" s="32" t="s">
        <v>340</v>
      </c>
      <c r="C352" s="22"/>
      <c r="D352" s="22"/>
      <c r="E352" s="22">
        <f>2.5</f>
        <v>2.5</v>
      </c>
      <c r="F352" s="22">
        <v>0.15</v>
      </c>
      <c r="G352" s="22"/>
      <c r="H352" s="22">
        <v>1</v>
      </c>
      <c r="I352" s="34">
        <f t="shared" si="8"/>
        <v>0.375</v>
      </c>
    </row>
    <row r="353" spans="1:9" ht="14">
      <c r="A353" s="10"/>
      <c r="B353" s="32" t="s">
        <v>387</v>
      </c>
      <c r="C353" s="22" t="s">
        <v>263</v>
      </c>
      <c r="D353" s="22"/>
      <c r="E353" s="22">
        <v>1.2</v>
      </c>
      <c r="F353" s="22">
        <v>1.4</v>
      </c>
      <c r="G353" s="22"/>
      <c r="H353" s="22">
        <v>3</v>
      </c>
      <c r="I353" s="33">
        <f>E353*F353*H353</f>
        <v>5.04</v>
      </c>
    </row>
    <row r="354" spans="1:9">
      <c r="A354" s="10"/>
      <c r="B354" s="9"/>
      <c r="C354" s="10"/>
      <c r="D354" s="10"/>
      <c r="E354" s="3"/>
      <c r="F354" s="3"/>
      <c r="G354" s="3"/>
      <c r="H354" s="3"/>
      <c r="I354" s="3"/>
    </row>
    <row r="355" spans="1:9">
      <c r="A355" s="10">
        <v>221</v>
      </c>
      <c r="B355" s="9" t="s">
        <v>264</v>
      </c>
      <c r="C355" s="10" t="s">
        <v>263</v>
      </c>
      <c r="D355" s="10">
        <v>30</v>
      </c>
      <c r="E355" s="3"/>
      <c r="F355" s="3"/>
      <c r="G355" s="3"/>
      <c r="H355" s="3"/>
      <c r="I355" s="21">
        <f>SUM(I356:I363)</f>
        <v>28.229999999999997</v>
      </c>
    </row>
    <row r="356" spans="1:9" ht="14">
      <c r="A356" s="10"/>
      <c r="B356" s="32" t="s">
        <v>340</v>
      </c>
      <c r="C356" s="22"/>
      <c r="D356" s="22"/>
      <c r="E356" s="22">
        <v>2</v>
      </c>
      <c r="F356" s="22">
        <v>2.8</v>
      </c>
      <c r="G356" s="22"/>
      <c r="H356" s="22">
        <v>2</v>
      </c>
      <c r="I356" s="35">
        <f t="shared" ref="I356:I363" si="9">H356*F356*E356</f>
        <v>11.2</v>
      </c>
    </row>
    <row r="357" spans="1:9" ht="14">
      <c r="A357" s="10"/>
      <c r="B357" s="32" t="s">
        <v>340</v>
      </c>
      <c r="C357" s="22"/>
      <c r="D357" s="22"/>
      <c r="E357" s="22">
        <v>2.25</v>
      </c>
      <c r="F357" s="22">
        <v>0.4</v>
      </c>
      <c r="G357" s="22"/>
      <c r="H357" s="22">
        <v>4</v>
      </c>
      <c r="I357" s="35">
        <f t="shared" si="9"/>
        <v>3.6</v>
      </c>
    </row>
    <row r="358" spans="1:9" ht="14">
      <c r="A358" s="10"/>
      <c r="B358" s="32" t="s">
        <v>340</v>
      </c>
      <c r="C358" s="22"/>
      <c r="D358" s="22"/>
      <c r="E358" s="22">
        <v>1.9</v>
      </c>
      <c r="F358" s="22">
        <v>0.4</v>
      </c>
      <c r="G358" s="22"/>
      <c r="H358" s="22">
        <v>0</v>
      </c>
      <c r="I358" s="35">
        <f t="shared" si="9"/>
        <v>0</v>
      </c>
    </row>
    <row r="359" spans="1:9" ht="14">
      <c r="A359" s="10"/>
      <c r="B359" s="32" t="s">
        <v>340</v>
      </c>
      <c r="C359" s="22"/>
      <c r="D359" s="22"/>
      <c r="E359" s="22">
        <v>1.93</v>
      </c>
      <c r="F359" s="22">
        <v>2.2000000000000002</v>
      </c>
      <c r="G359" s="22"/>
      <c r="H359" s="22">
        <v>1</v>
      </c>
      <c r="I359" s="35">
        <f t="shared" si="9"/>
        <v>4.2460000000000004</v>
      </c>
    </row>
    <row r="360" spans="1:9" ht="14">
      <c r="A360" s="10"/>
      <c r="B360" s="32" t="s">
        <v>340</v>
      </c>
      <c r="C360" s="22"/>
      <c r="D360" s="22"/>
      <c r="E360" s="22">
        <v>2.17</v>
      </c>
      <c r="F360" s="22">
        <v>1.5</v>
      </c>
      <c r="G360" s="22"/>
      <c r="H360" s="22">
        <v>1</v>
      </c>
      <c r="I360" s="35">
        <f t="shared" si="9"/>
        <v>3.2549999999999999</v>
      </c>
    </row>
    <row r="361" spans="1:9" ht="14">
      <c r="A361" s="10"/>
      <c r="B361" s="32" t="s">
        <v>340</v>
      </c>
      <c r="C361" s="22"/>
      <c r="D361" s="22"/>
      <c r="E361" s="22">
        <v>2.17</v>
      </c>
      <c r="F361" s="22">
        <v>0.7</v>
      </c>
      <c r="G361" s="22"/>
      <c r="H361" s="22">
        <v>1</v>
      </c>
      <c r="I361" s="35">
        <f t="shared" si="9"/>
        <v>1.5189999999999999</v>
      </c>
    </row>
    <row r="362" spans="1:9" ht="14">
      <c r="A362" s="10"/>
      <c r="B362" s="32" t="s">
        <v>340</v>
      </c>
      <c r="C362" s="22"/>
      <c r="D362" s="22"/>
      <c r="E362" s="22">
        <v>2.17</v>
      </c>
      <c r="F362" s="22">
        <v>0.7</v>
      </c>
      <c r="G362" s="22"/>
      <c r="H362" s="22">
        <v>0</v>
      </c>
      <c r="I362" s="35">
        <f t="shared" si="9"/>
        <v>0</v>
      </c>
    </row>
    <row r="363" spans="1:9" ht="14">
      <c r="A363" s="10"/>
      <c r="B363" s="32" t="s">
        <v>340</v>
      </c>
      <c r="C363" s="22"/>
      <c r="D363" s="22"/>
      <c r="E363" s="22">
        <v>2.1</v>
      </c>
      <c r="F363" s="22">
        <v>2.1</v>
      </c>
      <c r="G363" s="22"/>
      <c r="H363" s="22">
        <v>1</v>
      </c>
      <c r="I363" s="35">
        <f t="shared" si="9"/>
        <v>4.41</v>
      </c>
    </row>
    <row r="364" spans="1:9">
      <c r="A364" s="10"/>
      <c r="B364" s="9"/>
      <c r="C364" s="10"/>
      <c r="D364" s="10"/>
      <c r="E364" s="3"/>
      <c r="F364" s="3"/>
      <c r="G364" s="3"/>
      <c r="H364" s="3"/>
      <c r="I364" s="3"/>
    </row>
    <row r="365" spans="1:9" ht="28">
      <c r="A365" s="10">
        <v>222</v>
      </c>
      <c r="B365" s="9" t="s">
        <v>265</v>
      </c>
      <c r="C365" s="10" t="s">
        <v>157</v>
      </c>
      <c r="D365" s="10">
        <v>2</v>
      </c>
      <c r="E365" s="3"/>
      <c r="F365" s="3"/>
      <c r="G365" s="3"/>
      <c r="H365" s="3"/>
      <c r="I365" s="3"/>
    </row>
    <row r="366" spans="1:9" ht="112">
      <c r="A366" s="10">
        <v>223</v>
      </c>
      <c r="B366" s="9" t="s">
        <v>266</v>
      </c>
      <c r="C366" s="10" t="s">
        <v>263</v>
      </c>
      <c r="D366" s="10">
        <v>10</v>
      </c>
      <c r="E366" s="3"/>
      <c r="F366" s="3"/>
      <c r="G366" s="3"/>
      <c r="H366" s="3"/>
      <c r="I366" s="21">
        <f>SUM(I367:I379)</f>
        <v>58.215000000000003</v>
      </c>
    </row>
    <row r="367" spans="1:9" ht="14">
      <c r="A367" s="10"/>
      <c r="B367" s="32" t="s">
        <v>340</v>
      </c>
      <c r="C367" s="22" t="s">
        <v>263</v>
      </c>
      <c r="D367" s="22"/>
      <c r="E367" s="22">
        <v>2.1</v>
      </c>
      <c r="F367" s="22">
        <v>1.5</v>
      </c>
      <c r="G367" s="22"/>
      <c r="H367" s="22">
        <v>3</v>
      </c>
      <c r="I367" s="23">
        <f>H367*F367*E367</f>
        <v>9.4500000000000011</v>
      </c>
    </row>
    <row r="368" spans="1:9" ht="14">
      <c r="A368" s="10"/>
      <c r="B368" s="32" t="s">
        <v>340</v>
      </c>
      <c r="C368" s="22" t="s">
        <v>263</v>
      </c>
      <c r="D368" s="22"/>
      <c r="E368" s="22">
        <v>2.1</v>
      </c>
      <c r="F368" s="22">
        <v>1.8</v>
      </c>
      <c r="G368" s="22"/>
      <c r="H368" s="22">
        <v>1</v>
      </c>
      <c r="I368" s="23">
        <f t="shared" ref="I368:I379" si="10">H368*F368*E368</f>
        <v>3.7800000000000002</v>
      </c>
    </row>
    <row r="369" spans="1:9" ht="14">
      <c r="A369" s="10"/>
      <c r="B369" s="32" t="s">
        <v>340</v>
      </c>
      <c r="C369" s="22" t="s">
        <v>263</v>
      </c>
      <c r="D369" s="22"/>
      <c r="E369" s="22">
        <v>2.1</v>
      </c>
      <c r="F369" s="22">
        <v>2.8</v>
      </c>
      <c r="G369" s="22"/>
      <c r="H369" s="22">
        <v>2</v>
      </c>
      <c r="I369" s="23">
        <f t="shared" si="10"/>
        <v>11.76</v>
      </c>
    </row>
    <row r="370" spans="1:9" ht="14">
      <c r="A370" s="10"/>
      <c r="B370" s="32" t="s">
        <v>340</v>
      </c>
      <c r="C370" s="22" t="s">
        <v>263</v>
      </c>
      <c r="D370" s="22"/>
      <c r="E370" s="22">
        <v>2.1</v>
      </c>
      <c r="F370" s="22">
        <v>2.2000000000000002</v>
      </c>
      <c r="G370" s="22"/>
      <c r="H370" s="22">
        <v>1</v>
      </c>
      <c r="I370" s="23">
        <f t="shared" si="10"/>
        <v>4.620000000000001</v>
      </c>
    </row>
    <row r="371" spans="1:9" ht="14">
      <c r="A371" s="10"/>
      <c r="B371" s="32" t="s">
        <v>340</v>
      </c>
      <c r="C371" s="22" t="s">
        <v>263</v>
      </c>
      <c r="D371" s="22"/>
      <c r="E371" s="22">
        <f>2.5</f>
        <v>2.5</v>
      </c>
      <c r="F371" s="22">
        <v>0.15</v>
      </c>
      <c r="G371" s="22"/>
      <c r="H371" s="22">
        <v>1</v>
      </c>
      <c r="I371" s="33">
        <f t="shared" si="10"/>
        <v>0.375</v>
      </c>
    </row>
    <row r="372" spans="1:9" ht="14">
      <c r="A372" s="10"/>
      <c r="B372" s="32" t="s">
        <v>340</v>
      </c>
      <c r="C372" s="22" t="s">
        <v>263</v>
      </c>
      <c r="D372" s="22"/>
      <c r="E372" s="22">
        <v>2</v>
      </c>
      <c r="F372" s="22">
        <v>2.8</v>
      </c>
      <c r="G372" s="22"/>
      <c r="H372" s="22">
        <v>2</v>
      </c>
      <c r="I372" s="23">
        <f t="shared" si="10"/>
        <v>11.2</v>
      </c>
    </row>
    <row r="373" spans="1:9" ht="14">
      <c r="A373" s="10"/>
      <c r="B373" s="32" t="s">
        <v>340</v>
      </c>
      <c r="C373" s="22" t="s">
        <v>263</v>
      </c>
      <c r="D373" s="22"/>
      <c r="E373" s="22">
        <v>2.25</v>
      </c>
      <c r="F373" s="22">
        <v>0.4</v>
      </c>
      <c r="G373" s="22"/>
      <c r="H373" s="22">
        <v>4</v>
      </c>
      <c r="I373" s="23">
        <f t="shared" si="10"/>
        <v>3.6</v>
      </c>
    </row>
    <row r="374" spans="1:9" ht="14">
      <c r="A374" s="10"/>
      <c r="B374" s="32" t="s">
        <v>340</v>
      </c>
      <c r="C374" s="22" t="s">
        <v>263</v>
      </c>
      <c r="D374" s="22"/>
      <c r="E374" s="22">
        <v>1.9</v>
      </c>
      <c r="F374" s="22">
        <v>0.4</v>
      </c>
      <c r="G374" s="22"/>
      <c r="H374" s="22">
        <v>0</v>
      </c>
      <c r="I374" s="23">
        <f t="shared" si="10"/>
        <v>0</v>
      </c>
    </row>
    <row r="375" spans="1:9" ht="14">
      <c r="A375" s="10"/>
      <c r="B375" s="32" t="s">
        <v>340</v>
      </c>
      <c r="C375" s="22" t="s">
        <v>263</v>
      </c>
      <c r="D375" s="22"/>
      <c r="E375" s="22">
        <v>1.93</v>
      </c>
      <c r="F375" s="22">
        <v>2.2000000000000002</v>
      </c>
      <c r="G375" s="22"/>
      <c r="H375" s="22">
        <v>1</v>
      </c>
      <c r="I375" s="23">
        <f t="shared" si="10"/>
        <v>4.2460000000000004</v>
      </c>
    </row>
    <row r="376" spans="1:9" ht="14">
      <c r="A376" s="10"/>
      <c r="B376" s="32" t="s">
        <v>340</v>
      </c>
      <c r="C376" s="22" t="s">
        <v>263</v>
      </c>
      <c r="D376" s="22"/>
      <c r="E376" s="22">
        <v>2.17</v>
      </c>
      <c r="F376" s="22">
        <v>1.5</v>
      </c>
      <c r="G376" s="22"/>
      <c r="H376" s="22">
        <v>1</v>
      </c>
      <c r="I376" s="23">
        <f t="shared" si="10"/>
        <v>3.2549999999999999</v>
      </c>
    </row>
    <row r="377" spans="1:9" ht="14">
      <c r="A377" s="10"/>
      <c r="B377" s="32" t="s">
        <v>340</v>
      </c>
      <c r="C377" s="22" t="s">
        <v>263</v>
      </c>
      <c r="D377" s="22"/>
      <c r="E377" s="22">
        <v>2.17</v>
      </c>
      <c r="F377" s="22">
        <v>0.7</v>
      </c>
      <c r="G377" s="22"/>
      <c r="H377" s="22">
        <v>1</v>
      </c>
      <c r="I377" s="23">
        <f t="shared" si="10"/>
        <v>1.5189999999999999</v>
      </c>
    </row>
    <row r="378" spans="1:9" ht="14">
      <c r="A378" s="10"/>
      <c r="B378" s="32" t="s">
        <v>340</v>
      </c>
      <c r="C378" s="22" t="s">
        <v>263</v>
      </c>
      <c r="D378" s="22"/>
      <c r="E378" s="22">
        <v>2.17</v>
      </c>
      <c r="F378" s="22">
        <v>0.7</v>
      </c>
      <c r="G378" s="22"/>
      <c r="H378" s="22">
        <v>0</v>
      </c>
      <c r="I378" s="23">
        <f t="shared" si="10"/>
        <v>0</v>
      </c>
    </row>
    <row r="379" spans="1:9" ht="14">
      <c r="A379" s="10"/>
      <c r="B379" s="32" t="s">
        <v>340</v>
      </c>
      <c r="C379" s="22" t="s">
        <v>263</v>
      </c>
      <c r="D379" s="22"/>
      <c r="E379" s="22">
        <v>2.1</v>
      </c>
      <c r="F379" s="22">
        <v>2.1</v>
      </c>
      <c r="G379" s="22"/>
      <c r="H379" s="22">
        <v>1</v>
      </c>
      <c r="I379" s="23">
        <f t="shared" si="10"/>
        <v>4.41</v>
      </c>
    </row>
    <row r="380" spans="1:9">
      <c r="A380" s="10"/>
      <c r="B380" s="9"/>
      <c r="C380" s="10"/>
      <c r="D380" s="10"/>
      <c r="E380" s="3"/>
      <c r="F380" s="3"/>
      <c r="G380" s="3"/>
      <c r="H380" s="3"/>
      <c r="I380" s="3"/>
    </row>
    <row r="381" spans="1:9" ht="28">
      <c r="A381" s="10">
        <v>224</v>
      </c>
      <c r="B381" s="9" t="s">
        <v>267</v>
      </c>
      <c r="C381" s="10" t="s">
        <v>2</v>
      </c>
      <c r="D381" s="10" t="s">
        <v>2</v>
      </c>
      <c r="E381" s="3"/>
      <c r="F381" s="3"/>
      <c r="G381" s="3"/>
      <c r="H381" s="3"/>
      <c r="I381" s="3"/>
    </row>
    <row r="382" spans="1:9" ht="56">
      <c r="A382" s="10">
        <v>225</v>
      </c>
      <c r="B382" s="9" t="s">
        <v>268</v>
      </c>
      <c r="C382" s="10" t="s">
        <v>71</v>
      </c>
      <c r="D382" s="10">
        <v>3</v>
      </c>
      <c r="E382" s="3"/>
      <c r="F382" s="3"/>
      <c r="G382" s="3"/>
      <c r="H382" s="3"/>
      <c r="I382" s="3"/>
    </row>
    <row r="383" spans="1:9">
      <c r="A383" s="10"/>
      <c r="B383" s="9"/>
      <c r="C383" s="10"/>
      <c r="D383" s="10"/>
      <c r="E383" s="3"/>
      <c r="F383" s="3"/>
      <c r="G383" s="3"/>
      <c r="H383" s="3"/>
      <c r="I383" s="3"/>
    </row>
    <row r="384" spans="1:9">
      <c r="A384" s="10"/>
      <c r="B384" s="9"/>
      <c r="C384" s="10"/>
      <c r="D384" s="10"/>
      <c r="E384" s="3"/>
      <c r="F384" s="3"/>
      <c r="G384" s="3"/>
      <c r="H384" s="3"/>
      <c r="I384" s="3"/>
    </row>
  </sheetData>
  <mergeCells count="3">
    <mergeCell ref="C1:D1"/>
    <mergeCell ref="E1:I1"/>
    <mergeCell ref="A1:B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4"/>
  <sheetViews>
    <sheetView showGridLines="0" zoomScale="102" zoomScaleNormal="102" workbookViewId="0">
      <selection activeCell="N11" sqref="N11"/>
    </sheetView>
  </sheetViews>
  <sheetFormatPr defaultColWidth="9.08984375" defaultRowHeight="14"/>
  <cols>
    <col min="1" max="1" width="7.54296875" style="64" customWidth="1"/>
    <col min="2" max="2" width="58.08984375" style="2" customWidth="1"/>
    <col min="3" max="3" width="14.08984375" style="11" customWidth="1"/>
    <col min="4" max="4" width="9.08984375" style="11" customWidth="1"/>
    <col min="5" max="6" width="9.08984375" style="11"/>
    <col min="7" max="7" width="9.453125" style="11" bestFit="1" customWidth="1"/>
    <col min="8" max="8" width="9.08984375" style="11"/>
    <col min="9" max="9" width="10" style="11" bestFit="1" customWidth="1"/>
    <col min="10" max="16384" width="9.08984375" style="1"/>
  </cols>
  <sheetData>
    <row r="1" spans="1:9" ht="24" customHeight="1">
      <c r="A1" s="102" t="s">
        <v>388</v>
      </c>
      <c r="B1" s="102"/>
      <c r="C1" s="102"/>
      <c r="D1" s="102"/>
      <c r="E1" s="102" t="s">
        <v>389</v>
      </c>
      <c r="F1" s="102"/>
      <c r="G1" s="102"/>
      <c r="H1" s="102"/>
      <c r="I1" s="102"/>
    </row>
    <row r="2" spans="1:9" ht="17" customHeight="1">
      <c r="A2" s="24" t="s">
        <v>13</v>
      </c>
      <c r="B2" s="54" t="s">
        <v>14</v>
      </c>
      <c r="C2" s="24" t="s">
        <v>15</v>
      </c>
      <c r="D2" s="24" t="s">
        <v>0</v>
      </c>
      <c r="E2" s="24" t="s">
        <v>288</v>
      </c>
      <c r="F2" s="24" t="s">
        <v>289</v>
      </c>
      <c r="G2" s="24" t="s">
        <v>290</v>
      </c>
      <c r="H2" s="24" t="s">
        <v>99</v>
      </c>
      <c r="I2" s="24" t="s">
        <v>291</v>
      </c>
    </row>
    <row r="3" spans="1:9" ht="17" customHeight="1">
      <c r="A3" s="55">
        <v>1</v>
      </c>
      <c r="B3" s="56" t="s">
        <v>3</v>
      </c>
      <c r="C3" s="57"/>
      <c r="D3" s="57"/>
      <c r="E3" s="57"/>
      <c r="F3" s="57"/>
      <c r="G3" s="57"/>
      <c r="H3" s="57"/>
      <c r="I3" s="57"/>
    </row>
    <row r="4" spans="1:9" ht="56">
      <c r="A4" s="58">
        <v>2</v>
      </c>
      <c r="B4" s="26" t="s">
        <v>18</v>
      </c>
      <c r="C4" s="27" t="s">
        <v>19</v>
      </c>
      <c r="D4" s="27">
        <v>300</v>
      </c>
      <c r="E4" s="27"/>
      <c r="F4" s="27"/>
      <c r="G4" s="27"/>
      <c r="H4" s="27"/>
      <c r="I4" s="59">
        <f>SUM(I5:I7)</f>
        <v>166.62671999999998</v>
      </c>
    </row>
    <row r="5" spans="1:9">
      <c r="A5" s="58"/>
      <c r="B5" s="26" t="s">
        <v>390</v>
      </c>
      <c r="C5" s="27"/>
      <c r="D5" s="27"/>
      <c r="E5" s="27">
        <v>0.9</v>
      </c>
      <c r="F5" s="27"/>
      <c r="G5" s="27">
        <v>5.45</v>
      </c>
      <c r="H5" s="27">
        <v>1</v>
      </c>
      <c r="I5" s="60">
        <f>E5*G5*H5*10.764</f>
        <v>52.797420000000002</v>
      </c>
    </row>
    <row r="6" spans="1:9">
      <c r="A6" s="58"/>
      <c r="B6" s="26" t="s">
        <v>391</v>
      </c>
      <c r="C6" s="27"/>
      <c r="D6" s="27"/>
      <c r="E6" s="27">
        <v>0.9</v>
      </c>
      <c r="F6" s="27"/>
      <c r="G6" s="27">
        <v>5.92</v>
      </c>
      <c r="H6" s="27">
        <v>1</v>
      </c>
      <c r="I6" s="60">
        <f>E6*G6*H6*10.764</f>
        <v>57.350591999999999</v>
      </c>
    </row>
    <row r="7" spans="1:9">
      <c r="A7" s="58"/>
      <c r="B7" s="26" t="s">
        <v>392</v>
      </c>
      <c r="C7" s="27"/>
      <c r="D7" s="27"/>
      <c r="E7" s="27">
        <v>0.9</v>
      </c>
      <c r="F7" s="27"/>
      <c r="G7" s="27">
        <v>5.83</v>
      </c>
      <c r="H7" s="27">
        <v>1</v>
      </c>
      <c r="I7" s="60">
        <f>E7*G7*H7*10.764</f>
        <v>56.478707999999997</v>
      </c>
    </row>
    <row r="8" spans="1:9">
      <c r="A8" s="58"/>
      <c r="B8" s="26"/>
      <c r="C8" s="27"/>
      <c r="D8" s="27"/>
      <c r="E8" s="27"/>
      <c r="F8" s="27"/>
      <c r="G8" s="27"/>
      <c r="H8" s="27"/>
      <c r="I8" s="27"/>
    </row>
    <row r="9" spans="1:9">
      <c r="A9" s="58">
        <v>4</v>
      </c>
      <c r="B9" s="26" t="s">
        <v>21</v>
      </c>
      <c r="C9" s="27" t="s">
        <v>22</v>
      </c>
      <c r="D9" s="27">
        <v>1</v>
      </c>
      <c r="E9" s="27"/>
      <c r="F9" s="27"/>
      <c r="G9" s="27"/>
      <c r="H9" s="27"/>
      <c r="I9" s="29">
        <v>1</v>
      </c>
    </row>
    <row r="10" spans="1:9">
      <c r="A10" s="58">
        <v>5</v>
      </c>
      <c r="B10" s="26" t="s">
        <v>23</v>
      </c>
      <c r="C10" s="27" t="s">
        <v>22</v>
      </c>
      <c r="D10" s="27">
        <v>1</v>
      </c>
      <c r="E10" s="27"/>
      <c r="F10" s="27"/>
      <c r="G10" s="27"/>
      <c r="H10" s="27"/>
      <c r="I10" s="29">
        <v>1</v>
      </c>
    </row>
    <row r="11" spans="1:9" ht="56">
      <c r="A11" s="58">
        <v>6</v>
      </c>
      <c r="B11" s="26" t="s">
        <v>24</v>
      </c>
      <c r="C11" s="27" t="s">
        <v>22</v>
      </c>
      <c r="D11" s="27">
        <v>2</v>
      </c>
      <c r="E11" s="27"/>
      <c r="F11" s="27"/>
      <c r="G11" s="27"/>
      <c r="H11" s="27"/>
      <c r="I11" s="29">
        <v>2</v>
      </c>
    </row>
    <row r="12" spans="1:9" ht="182">
      <c r="A12" s="10">
        <v>13</v>
      </c>
      <c r="B12" s="9" t="s">
        <v>33</v>
      </c>
      <c r="C12" s="10" t="s">
        <v>27</v>
      </c>
      <c r="D12" s="10">
        <v>446</v>
      </c>
      <c r="E12" s="27"/>
      <c r="F12" s="27"/>
      <c r="G12" s="27"/>
      <c r="H12" s="27"/>
      <c r="I12" s="29">
        <f>SUM(I13:I14)</f>
        <v>270.19709999999998</v>
      </c>
    </row>
    <row r="13" spans="1:9">
      <c r="A13" s="10"/>
      <c r="B13" s="9" t="s">
        <v>399</v>
      </c>
      <c r="C13" s="10"/>
      <c r="D13" s="10"/>
      <c r="E13" s="27">
        <v>29.25</v>
      </c>
      <c r="F13" s="27">
        <v>18.239999999999998</v>
      </c>
      <c r="G13" s="27">
        <v>0.5</v>
      </c>
      <c r="H13" s="27"/>
      <c r="I13" s="29">
        <f>E13*F13*G13</f>
        <v>266.76</v>
      </c>
    </row>
    <row r="14" spans="1:9">
      <c r="A14" s="58"/>
      <c r="B14" s="26" t="s">
        <v>429</v>
      </c>
      <c r="C14" s="27"/>
      <c r="D14" s="27"/>
      <c r="E14" s="27">
        <v>1.1399999999999999</v>
      </c>
      <c r="F14" s="27">
        <v>6.03</v>
      </c>
      <c r="G14" s="27">
        <v>0.5</v>
      </c>
      <c r="H14" s="27"/>
      <c r="I14" s="29">
        <f>E14*F14*G14</f>
        <v>3.4371</v>
      </c>
    </row>
    <row r="15" spans="1:9">
      <c r="A15" s="58"/>
      <c r="B15" s="26"/>
      <c r="C15" s="27"/>
      <c r="D15" s="27"/>
      <c r="E15" s="27"/>
      <c r="F15" s="27"/>
      <c r="G15" s="27"/>
      <c r="H15" s="27"/>
      <c r="I15" s="29"/>
    </row>
    <row r="16" spans="1:9" ht="98">
      <c r="A16" s="58">
        <v>14</v>
      </c>
      <c r="B16" s="26" t="s">
        <v>34</v>
      </c>
      <c r="C16" s="27" t="s">
        <v>35</v>
      </c>
      <c r="D16" s="27">
        <v>1099</v>
      </c>
      <c r="E16" s="27"/>
      <c r="F16" s="27"/>
      <c r="G16" s="27"/>
      <c r="H16" s="27"/>
      <c r="I16" s="29">
        <f>SUM(I17:I21)</f>
        <v>23.573159999999998</v>
      </c>
    </row>
    <row r="17" spans="1:9">
      <c r="A17" s="58"/>
      <c r="B17" s="26" t="s">
        <v>393</v>
      </c>
      <c r="C17" s="27"/>
      <c r="D17" s="27"/>
      <c r="E17" s="27">
        <v>0.5</v>
      </c>
      <c r="F17" s="27">
        <v>0.3</v>
      </c>
      <c r="G17" s="27"/>
      <c r="H17" s="27">
        <v>2</v>
      </c>
      <c r="I17" s="60">
        <f>H17*F17*E17*10.764</f>
        <v>3.2291999999999996</v>
      </c>
    </row>
    <row r="18" spans="1:9">
      <c r="A18" s="58"/>
      <c r="B18" s="26"/>
      <c r="C18" s="27"/>
      <c r="D18" s="27"/>
      <c r="E18" s="27">
        <v>0.6</v>
      </c>
      <c r="F18" s="27">
        <v>0.3</v>
      </c>
      <c r="G18" s="27"/>
      <c r="H18" s="27">
        <v>2</v>
      </c>
      <c r="I18" s="60">
        <f>H18*F18*E18*10.764</f>
        <v>3.8750399999999998</v>
      </c>
    </row>
    <row r="19" spans="1:9">
      <c r="A19" s="58"/>
      <c r="B19" s="26" t="s">
        <v>394</v>
      </c>
      <c r="C19" s="27"/>
      <c r="D19" s="27"/>
      <c r="E19" s="27">
        <v>0.75</v>
      </c>
      <c r="F19" s="27">
        <v>0.3</v>
      </c>
      <c r="G19" s="27"/>
      <c r="H19" s="27">
        <v>2</v>
      </c>
      <c r="I19" s="60">
        <f t="shared" ref="I19:I21" si="0">H19*F19*E19*10.764</f>
        <v>4.843799999999999</v>
      </c>
    </row>
    <row r="20" spans="1:9">
      <c r="A20" s="58"/>
      <c r="B20" s="26"/>
      <c r="C20" s="27"/>
      <c r="D20" s="27"/>
      <c r="E20" s="27">
        <v>0.6</v>
      </c>
      <c r="F20" s="27">
        <v>0.3</v>
      </c>
      <c r="G20" s="27"/>
      <c r="H20" s="27">
        <v>2</v>
      </c>
      <c r="I20" s="60">
        <f t="shared" si="0"/>
        <v>3.8750399999999998</v>
      </c>
    </row>
    <row r="21" spans="1:9">
      <c r="A21" s="58"/>
      <c r="B21" s="26" t="s">
        <v>395</v>
      </c>
      <c r="C21" s="27"/>
      <c r="D21" s="27"/>
      <c r="E21" s="27">
        <v>0.3</v>
      </c>
      <c r="F21" s="27">
        <v>0.3</v>
      </c>
      <c r="G21" s="27"/>
      <c r="H21" s="27">
        <v>8</v>
      </c>
      <c r="I21" s="60">
        <f t="shared" si="0"/>
        <v>7.7500799999999996</v>
      </c>
    </row>
    <row r="22" spans="1:9">
      <c r="A22" s="58"/>
      <c r="B22" s="26"/>
      <c r="C22" s="27"/>
      <c r="D22" s="27"/>
      <c r="E22" s="27"/>
      <c r="F22" s="27"/>
      <c r="G22" s="27"/>
      <c r="H22" s="27"/>
      <c r="I22" s="27"/>
    </row>
    <row r="23" spans="1:9" ht="168">
      <c r="A23" s="58">
        <v>20</v>
      </c>
      <c r="B23" s="26" t="s">
        <v>43</v>
      </c>
      <c r="C23" s="27" t="s">
        <v>35</v>
      </c>
      <c r="D23" s="27">
        <v>415</v>
      </c>
      <c r="E23" s="27"/>
      <c r="F23" s="27"/>
      <c r="G23" s="27"/>
      <c r="H23" s="27"/>
      <c r="I23" s="59">
        <f>SUM(I24:I26)</f>
        <v>41.554421999999988</v>
      </c>
    </row>
    <row r="24" spans="1:9">
      <c r="A24" s="58"/>
      <c r="B24" s="26" t="s">
        <v>396</v>
      </c>
      <c r="C24" s="27"/>
      <c r="D24" s="27"/>
      <c r="E24" s="27">
        <v>1.53</v>
      </c>
      <c r="F24" s="27"/>
      <c r="G24" s="27">
        <v>2.4</v>
      </c>
      <c r="H24" s="27">
        <v>1</v>
      </c>
      <c r="I24" s="60">
        <f>H24*G24*E24*10.764</f>
        <v>39.525407999999992</v>
      </c>
    </row>
    <row r="25" spans="1:9">
      <c r="A25" s="58"/>
      <c r="B25" s="26" t="s">
        <v>397</v>
      </c>
      <c r="C25" s="27"/>
      <c r="D25" s="27"/>
      <c r="E25" s="27">
        <v>0.8</v>
      </c>
      <c r="F25" s="27"/>
      <c r="G25" s="27">
        <v>1.33</v>
      </c>
      <c r="H25" s="27">
        <v>-1</v>
      </c>
      <c r="I25" s="60">
        <f>H25*G25*E25*10.764</f>
        <v>-11.452895999999999</v>
      </c>
    </row>
    <row r="26" spans="1:9">
      <c r="A26" s="58"/>
      <c r="B26" s="26" t="s">
        <v>398</v>
      </c>
      <c r="C26" s="27"/>
      <c r="D26" s="27"/>
      <c r="E26" s="27">
        <v>1.67</v>
      </c>
      <c r="F26" s="27"/>
      <c r="G26" s="27">
        <v>0.75</v>
      </c>
      <c r="H26" s="27">
        <v>1</v>
      </c>
      <c r="I26" s="60">
        <f>H26*G26*E26*10.764</f>
        <v>13.481909999999999</v>
      </c>
    </row>
    <row r="27" spans="1:9">
      <c r="A27" s="58"/>
      <c r="B27" s="26"/>
      <c r="C27" s="27"/>
      <c r="D27" s="27"/>
      <c r="E27" s="27"/>
      <c r="F27" s="27"/>
      <c r="G27" s="27"/>
      <c r="H27" s="27"/>
      <c r="I27" s="27"/>
    </row>
    <row r="28" spans="1:9" ht="112">
      <c r="A28" s="27">
        <v>25</v>
      </c>
      <c r="B28" s="26" t="s">
        <v>49</v>
      </c>
      <c r="C28" s="27" t="s">
        <v>50</v>
      </c>
      <c r="D28" s="27">
        <v>633</v>
      </c>
      <c r="E28" s="27"/>
      <c r="F28" s="27"/>
      <c r="G28" s="27"/>
      <c r="H28" s="27"/>
      <c r="I28" s="29">
        <f>SUM(I29:I30)</f>
        <v>540.39419999999996</v>
      </c>
    </row>
    <row r="29" spans="1:9">
      <c r="A29" s="27"/>
      <c r="B29" s="26" t="s">
        <v>399</v>
      </c>
      <c r="C29" s="27"/>
      <c r="D29" s="27"/>
      <c r="E29" s="27">
        <v>29.25</v>
      </c>
      <c r="F29" s="27">
        <v>18.239999999999998</v>
      </c>
      <c r="G29" s="27"/>
      <c r="H29" s="27">
        <v>1</v>
      </c>
      <c r="I29" s="60">
        <f>H29*F29*E29</f>
        <v>533.52</v>
      </c>
    </row>
    <row r="30" spans="1:9">
      <c r="A30" s="27"/>
      <c r="B30" s="26" t="s">
        <v>400</v>
      </c>
      <c r="C30" s="27"/>
      <c r="D30" s="27"/>
      <c r="E30" s="27">
        <v>1.1399999999999999</v>
      </c>
      <c r="F30" s="27">
        <v>6.03</v>
      </c>
      <c r="G30" s="27"/>
      <c r="H30" s="27">
        <v>1</v>
      </c>
      <c r="I30" s="60">
        <f>H30*F30*E30</f>
        <v>6.8742000000000001</v>
      </c>
    </row>
    <row r="31" spans="1:9">
      <c r="A31" s="27"/>
      <c r="B31" s="26"/>
      <c r="C31" s="27"/>
      <c r="D31" s="27"/>
      <c r="E31" s="27"/>
      <c r="F31" s="27"/>
      <c r="G31" s="27"/>
      <c r="H31" s="27"/>
      <c r="I31" s="27"/>
    </row>
    <row r="32" spans="1:9" ht="56">
      <c r="A32" s="27">
        <v>28</v>
      </c>
      <c r="B32" s="26" t="s">
        <v>53</v>
      </c>
      <c r="C32" s="27" t="s">
        <v>54</v>
      </c>
      <c r="D32" s="27">
        <v>54</v>
      </c>
      <c r="E32" s="27"/>
      <c r="F32" s="27"/>
      <c r="G32" s="27"/>
      <c r="H32" s="27"/>
      <c r="I32" s="29">
        <f>SUM(I33:I36)</f>
        <v>53.2</v>
      </c>
    </row>
    <row r="33" spans="1:9">
      <c r="A33" s="27" t="s">
        <v>293</v>
      </c>
      <c r="B33" s="26" t="s">
        <v>401</v>
      </c>
      <c r="C33" s="27"/>
      <c r="D33" s="27"/>
      <c r="E33" s="27">
        <f>8+8</f>
        <v>16</v>
      </c>
      <c r="F33" s="27"/>
      <c r="G33" s="27"/>
      <c r="H33" s="27"/>
      <c r="I33" s="27">
        <f>E33</f>
        <v>16</v>
      </c>
    </row>
    <row r="34" spans="1:9">
      <c r="A34" s="27" t="s">
        <v>295</v>
      </c>
      <c r="B34" s="26" t="s">
        <v>402</v>
      </c>
      <c r="C34" s="27"/>
      <c r="D34" s="27"/>
      <c r="E34" s="27">
        <f t="shared" ref="E34:E35" si="1">8+8</f>
        <v>16</v>
      </c>
      <c r="F34" s="27"/>
      <c r="G34" s="27"/>
      <c r="H34" s="27"/>
      <c r="I34" s="27">
        <f t="shared" ref="I34:I36" si="2">E34</f>
        <v>16</v>
      </c>
    </row>
    <row r="35" spans="1:9">
      <c r="A35" s="27" t="s">
        <v>297</v>
      </c>
      <c r="B35" s="26" t="s">
        <v>403</v>
      </c>
      <c r="C35" s="27"/>
      <c r="D35" s="27"/>
      <c r="E35" s="27">
        <f t="shared" si="1"/>
        <v>16</v>
      </c>
      <c r="F35" s="27"/>
      <c r="G35" s="27"/>
      <c r="H35" s="27"/>
      <c r="I35" s="27">
        <f t="shared" si="2"/>
        <v>16</v>
      </c>
    </row>
    <row r="36" spans="1:9">
      <c r="A36" s="27" t="s">
        <v>298</v>
      </c>
      <c r="B36" s="26" t="s">
        <v>404</v>
      </c>
      <c r="C36" s="27"/>
      <c r="D36" s="27"/>
      <c r="E36" s="27">
        <f>2.6+2.6</f>
        <v>5.2</v>
      </c>
      <c r="F36" s="27"/>
      <c r="G36" s="27"/>
      <c r="H36" s="27"/>
      <c r="I36" s="27">
        <f t="shared" si="2"/>
        <v>5.2</v>
      </c>
    </row>
    <row r="37" spans="1:9">
      <c r="A37" s="27"/>
      <c r="B37" s="26"/>
      <c r="C37" s="27"/>
      <c r="D37" s="27"/>
      <c r="E37" s="27"/>
      <c r="F37" s="27"/>
      <c r="G37" s="27"/>
      <c r="H37" s="27"/>
      <c r="I37" s="27"/>
    </row>
    <row r="38" spans="1:9" ht="154">
      <c r="A38" s="27">
        <v>34</v>
      </c>
      <c r="B38" s="26" t="s">
        <v>60</v>
      </c>
      <c r="C38" s="27" t="s">
        <v>35</v>
      </c>
      <c r="D38" s="27">
        <v>47</v>
      </c>
      <c r="E38" s="27"/>
      <c r="F38" s="27"/>
      <c r="G38" s="27"/>
      <c r="H38" s="27"/>
      <c r="I38" s="29">
        <f>SUM(I39:I41)</f>
        <v>167.19182999999998</v>
      </c>
    </row>
    <row r="39" spans="1:9">
      <c r="A39" s="27"/>
      <c r="B39" s="26" t="s">
        <v>390</v>
      </c>
      <c r="C39" s="27"/>
      <c r="D39" s="27"/>
      <c r="E39" s="27">
        <v>0.95</v>
      </c>
      <c r="F39" s="27"/>
      <c r="G39" s="27">
        <v>5.45</v>
      </c>
      <c r="H39" s="27">
        <v>1</v>
      </c>
      <c r="I39" s="60">
        <f>H39*G39*E39*10.764</f>
        <v>55.730609999999999</v>
      </c>
    </row>
    <row r="40" spans="1:9">
      <c r="A40" s="27"/>
      <c r="B40" s="26" t="s">
        <v>405</v>
      </c>
      <c r="C40" s="27"/>
      <c r="D40" s="27"/>
      <c r="E40" s="27">
        <v>0.95</v>
      </c>
      <c r="F40" s="27"/>
      <c r="G40" s="27">
        <v>5.45</v>
      </c>
      <c r="H40" s="27">
        <v>1</v>
      </c>
      <c r="I40" s="60">
        <f>H40*G40*E40*10.764</f>
        <v>55.730609999999999</v>
      </c>
    </row>
    <row r="41" spans="1:9">
      <c r="A41" s="27"/>
      <c r="B41" s="26" t="s">
        <v>392</v>
      </c>
      <c r="C41" s="27"/>
      <c r="D41" s="27"/>
      <c r="E41" s="27">
        <v>0.95</v>
      </c>
      <c r="F41" s="27"/>
      <c r="G41" s="27">
        <v>5.45</v>
      </c>
      <c r="H41" s="27">
        <v>1</v>
      </c>
      <c r="I41" s="60">
        <f>H41*G41*E41*10.764</f>
        <v>55.730609999999999</v>
      </c>
    </row>
    <row r="42" spans="1:9">
      <c r="A42" s="27"/>
      <c r="B42" s="26"/>
      <c r="C42" s="27"/>
      <c r="D42" s="27"/>
      <c r="E42" s="27"/>
      <c r="F42" s="27"/>
      <c r="G42" s="27"/>
      <c r="H42" s="27"/>
      <c r="I42" s="27"/>
    </row>
    <row r="43" spans="1:9" ht="140">
      <c r="A43" s="27">
        <v>35</v>
      </c>
      <c r="B43" s="26" t="s">
        <v>61</v>
      </c>
      <c r="C43" s="27" t="s">
        <v>35</v>
      </c>
      <c r="D43" s="27">
        <v>299</v>
      </c>
      <c r="E43" s="27"/>
      <c r="F43" s="27"/>
      <c r="G43" s="27"/>
      <c r="H43" s="27"/>
      <c r="I43" s="29">
        <f>SUM(I44:I58)</f>
        <v>388.44584999999995</v>
      </c>
    </row>
    <row r="44" spans="1:9">
      <c r="A44" s="27"/>
      <c r="B44" s="26" t="s">
        <v>406</v>
      </c>
      <c r="C44" s="27"/>
      <c r="D44" s="27"/>
      <c r="E44" s="27">
        <v>0.95</v>
      </c>
      <c r="F44" s="27"/>
      <c r="G44" s="27">
        <v>5.45</v>
      </c>
      <c r="H44" s="27">
        <v>1</v>
      </c>
      <c r="I44" s="27">
        <f t="shared" ref="I44:I58" si="3">H44*G44*E44*10.764</f>
        <v>55.730609999999999</v>
      </c>
    </row>
    <row r="45" spans="1:9">
      <c r="A45" s="27"/>
      <c r="B45" s="26" t="s">
        <v>407</v>
      </c>
      <c r="C45" s="27"/>
      <c r="D45" s="27"/>
      <c r="E45" s="27">
        <v>0.95</v>
      </c>
      <c r="F45" s="27"/>
      <c r="G45" s="27">
        <v>5.92</v>
      </c>
      <c r="H45" s="27">
        <v>1</v>
      </c>
      <c r="I45" s="27">
        <f t="shared" si="3"/>
        <v>60.536735999999991</v>
      </c>
    </row>
    <row r="46" spans="1:9">
      <c r="A46" s="27"/>
      <c r="B46" s="26" t="s">
        <v>408</v>
      </c>
      <c r="C46" s="27"/>
      <c r="D46" s="27"/>
      <c r="E46" s="27">
        <v>0.95</v>
      </c>
      <c r="F46" s="27"/>
      <c r="G46" s="27">
        <v>5.83</v>
      </c>
      <c r="H46" s="27">
        <v>1</v>
      </c>
      <c r="I46" s="27">
        <f t="shared" si="3"/>
        <v>59.616413999999999</v>
      </c>
    </row>
    <row r="47" spans="1:9">
      <c r="A47" s="27"/>
      <c r="B47" s="26" t="s">
        <v>409</v>
      </c>
      <c r="C47" s="27"/>
      <c r="D47" s="27"/>
      <c r="E47" s="27">
        <v>0.27</v>
      </c>
      <c r="F47" s="27"/>
      <c r="G47" s="27">
        <v>8.75</v>
      </c>
      <c r="H47" s="27">
        <v>1</v>
      </c>
      <c r="I47" s="27">
        <f t="shared" si="3"/>
        <v>25.429950000000002</v>
      </c>
    </row>
    <row r="48" spans="1:9">
      <c r="A48" s="27"/>
      <c r="B48" s="26" t="s">
        <v>410</v>
      </c>
      <c r="C48" s="27"/>
      <c r="D48" s="27"/>
      <c r="E48" s="27">
        <v>5.85</v>
      </c>
      <c r="F48" s="27"/>
      <c r="G48" s="27">
        <v>0.27</v>
      </c>
      <c r="H48" s="27">
        <v>1</v>
      </c>
      <c r="I48" s="27">
        <f t="shared" si="3"/>
        <v>17.001738</v>
      </c>
    </row>
    <row r="49" spans="1:9">
      <c r="A49" s="27"/>
      <c r="B49" s="26" t="s">
        <v>411</v>
      </c>
      <c r="C49" s="27"/>
      <c r="D49" s="27"/>
      <c r="E49" s="27">
        <v>0.63</v>
      </c>
      <c r="F49" s="27"/>
      <c r="G49" s="27">
        <v>6.35</v>
      </c>
      <c r="H49" s="27">
        <v>1</v>
      </c>
      <c r="I49" s="27">
        <f t="shared" si="3"/>
        <v>43.061381999999995</v>
      </c>
    </row>
    <row r="50" spans="1:9">
      <c r="A50" s="27"/>
      <c r="B50" s="26" t="s">
        <v>412</v>
      </c>
      <c r="C50" s="27"/>
      <c r="D50" s="27"/>
      <c r="E50" s="27">
        <v>2.94</v>
      </c>
      <c r="F50" s="27"/>
      <c r="G50" s="27">
        <v>0.27</v>
      </c>
      <c r="H50" s="27">
        <v>1</v>
      </c>
      <c r="I50" s="27">
        <f t="shared" si="3"/>
        <v>8.5444632000000009</v>
      </c>
    </row>
    <row r="51" spans="1:9">
      <c r="A51" s="27"/>
      <c r="B51" s="26" t="s">
        <v>413</v>
      </c>
      <c r="C51" s="27"/>
      <c r="D51" s="27"/>
      <c r="E51" s="27">
        <v>2.2599999999999998</v>
      </c>
      <c r="F51" s="27"/>
      <c r="G51" s="27">
        <v>1.34</v>
      </c>
      <c r="H51" s="27">
        <v>1</v>
      </c>
      <c r="I51" s="27">
        <f t="shared" si="3"/>
        <v>32.597697599999996</v>
      </c>
    </row>
    <row r="52" spans="1:9">
      <c r="A52" s="27"/>
      <c r="B52" s="26" t="s">
        <v>414</v>
      </c>
      <c r="C52" s="27"/>
      <c r="D52" s="27"/>
      <c r="E52" s="27">
        <v>0.6</v>
      </c>
      <c r="F52" s="27"/>
      <c r="G52" s="27">
        <v>2.68</v>
      </c>
      <c r="H52" s="27">
        <v>1</v>
      </c>
      <c r="I52" s="60">
        <f t="shared" si="3"/>
        <v>17.308512</v>
      </c>
    </row>
    <row r="53" spans="1:9">
      <c r="A53" s="27"/>
      <c r="B53" s="26" t="s">
        <v>415</v>
      </c>
      <c r="C53" s="27"/>
      <c r="D53" s="27"/>
      <c r="E53" s="27">
        <v>0.08</v>
      </c>
      <c r="F53" s="27"/>
      <c r="G53" s="27">
        <v>3.9</v>
      </c>
      <c r="H53" s="27">
        <v>1</v>
      </c>
      <c r="I53" s="60">
        <f t="shared" si="3"/>
        <v>3.3583679999999996</v>
      </c>
    </row>
    <row r="54" spans="1:9">
      <c r="A54" s="27"/>
      <c r="B54" s="26" t="s">
        <v>416</v>
      </c>
      <c r="C54" s="27"/>
      <c r="D54" s="27"/>
      <c r="E54" s="27">
        <v>0.08</v>
      </c>
      <c r="F54" s="27"/>
      <c r="G54" s="27">
        <v>4.88</v>
      </c>
      <c r="H54" s="27">
        <v>1</v>
      </c>
      <c r="I54" s="60">
        <f t="shared" si="3"/>
        <v>4.2022655999999996</v>
      </c>
    </row>
    <row r="55" spans="1:9">
      <c r="A55" s="27"/>
      <c r="B55" s="26" t="s">
        <v>417</v>
      </c>
      <c r="C55" s="27"/>
      <c r="D55" s="27"/>
      <c r="E55" s="27">
        <v>0.08</v>
      </c>
      <c r="F55" s="27"/>
      <c r="G55" s="27">
        <v>9.9499999999999993</v>
      </c>
      <c r="H55" s="27">
        <v>1</v>
      </c>
      <c r="I55" s="60">
        <f t="shared" si="3"/>
        <v>8.5681439999999984</v>
      </c>
    </row>
    <row r="56" spans="1:9">
      <c r="A56" s="27"/>
      <c r="B56" s="26" t="s">
        <v>418</v>
      </c>
      <c r="C56" s="27"/>
      <c r="D56" s="27"/>
      <c r="E56" s="27">
        <v>0.08</v>
      </c>
      <c r="F56" s="27"/>
      <c r="G56" s="27">
        <v>7.48</v>
      </c>
      <c r="H56" s="27">
        <v>1</v>
      </c>
      <c r="I56" s="60">
        <f t="shared" si="3"/>
        <v>6.4411776000000005</v>
      </c>
    </row>
    <row r="57" spans="1:9">
      <c r="A57" s="27"/>
      <c r="B57" s="26" t="s">
        <v>419</v>
      </c>
      <c r="C57" s="27"/>
      <c r="D57" s="27"/>
      <c r="E57" s="27">
        <v>0.34</v>
      </c>
      <c r="F57" s="27"/>
      <c r="G57" s="27">
        <v>2.7</v>
      </c>
      <c r="H57" s="27">
        <v>1</v>
      </c>
      <c r="I57" s="60">
        <f t="shared" si="3"/>
        <v>9.8813520000000015</v>
      </c>
    </row>
    <row r="58" spans="1:9">
      <c r="A58" s="27"/>
      <c r="B58" s="26" t="s">
        <v>420</v>
      </c>
      <c r="C58" s="27"/>
      <c r="D58" s="27"/>
      <c r="E58" s="27">
        <v>0.8</v>
      </c>
      <c r="F58" s="27"/>
      <c r="G58" s="27">
        <v>2.1</v>
      </c>
      <c r="H58" s="27">
        <v>2</v>
      </c>
      <c r="I58" s="60">
        <f t="shared" si="3"/>
        <v>36.16704</v>
      </c>
    </row>
    <row r="59" spans="1:9">
      <c r="A59" s="27"/>
      <c r="B59" s="26"/>
      <c r="C59" s="27"/>
      <c r="D59" s="27"/>
      <c r="E59" s="27"/>
      <c r="F59" s="27"/>
      <c r="G59" s="27"/>
      <c r="H59" s="27"/>
      <c r="I59" s="27"/>
    </row>
    <row r="60" spans="1:9" ht="126">
      <c r="A60" s="27">
        <v>38</v>
      </c>
      <c r="B60" s="26" t="s">
        <v>65</v>
      </c>
      <c r="C60" s="27" t="s">
        <v>35</v>
      </c>
      <c r="D60" s="27">
        <v>49</v>
      </c>
      <c r="E60" s="27"/>
      <c r="F60" s="27"/>
      <c r="G60" s="27"/>
      <c r="H60" s="27"/>
      <c r="I60" s="59">
        <f>SUM(I61:I63)</f>
        <v>44.821296000000004</v>
      </c>
    </row>
    <row r="61" spans="1:9">
      <c r="A61" s="58"/>
      <c r="B61" s="26" t="s">
        <v>421</v>
      </c>
      <c r="C61" s="27"/>
      <c r="D61" s="27"/>
      <c r="E61" s="27">
        <v>1.57</v>
      </c>
      <c r="F61" s="27"/>
      <c r="G61" s="27">
        <v>1.3</v>
      </c>
      <c r="H61" s="27">
        <v>1</v>
      </c>
      <c r="I61" s="60">
        <f>H61*G61*E61*10.764</f>
        <v>21.969324000000004</v>
      </c>
    </row>
    <row r="62" spans="1:9">
      <c r="A62" s="58"/>
      <c r="B62" s="26" t="s">
        <v>422</v>
      </c>
      <c r="C62" s="27"/>
      <c r="D62" s="27"/>
      <c r="E62" s="27">
        <v>1.3</v>
      </c>
      <c r="F62" s="27"/>
      <c r="G62" s="27">
        <v>1.35</v>
      </c>
      <c r="H62" s="27">
        <v>1</v>
      </c>
      <c r="I62" s="60">
        <f>H62*G62*E62*10.764</f>
        <v>18.890820000000001</v>
      </c>
    </row>
    <row r="63" spans="1:9">
      <c r="A63" s="58"/>
      <c r="B63" s="26" t="s">
        <v>423</v>
      </c>
      <c r="C63" s="27"/>
      <c r="D63" s="27"/>
      <c r="E63" s="27">
        <v>0.23</v>
      </c>
      <c r="F63" s="27"/>
      <c r="G63" s="27">
        <v>0.8</v>
      </c>
      <c r="H63" s="27">
        <v>2</v>
      </c>
      <c r="I63" s="60">
        <f>H63*G63*E63*10.764</f>
        <v>3.9611520000000002</v>
      </c>
    </row>
    <row r="64" spans="1:9">
      <c r="A64" s="58"/>
      <c r="B64" s="26"/>
      <c r="C64" s="27"/>
      <c r="D64" s="27"/>
      <c r="E64" s="27"/>
      <c r="F64" s="27"/>
      <c r="G64" s="27"/>
      <c r="H64" s="27"/>
      <c r="I64" s="27"/>
    </row>
    <row r="65" spans="1:9" ht="56">
      <c r="A65" s="58">
        <v>46</v>
      </c>
      <c r="B65" s="26" t="s">
        <v>75</v>
      </c>
      <c r="C65" s="27" t="s">
        <v>76</v>
      </c>
      <c r="D65" s="27">
        <v>70</v>
      </c>
      <c r="E65" s="27">
        <v>8</v>
      </c>
      <c r="F65" s="27">
        <v>6</v>
      </c>
      <c r="G65" s="27"/>
      <c r="H65" s="27">
        <v>1</v>
      </c>
      <c r="I65" s="29">
        <f>H65*F65*E65</f>
        <v>48</v>
      </c>
    </row>
    <row r="66" spans="1:9" ht="56">
      <c r="A66" s="58">
        <v>47</v>
      </c>
      <c r="B66" s="26" t="s">
        <v>77</v>
      </c>
      <c r="C66" s="27" t="s">
        <v>22</v>
      </c>
      <c r="D66" s="27">
        <v>1</v>
      </c>
      <c r="E66" s="27"/>
      <c r="F66" s="27"/>
      <c r="G66" s="27"/>
      <c r="H66" s="27"/>
      <c r="I66" s="29">
        <v>1</v>
      </c>
    </row>
    <row r="67" spans="1:9" ht="56">
      <c r="A67" s="58">
        <v>48</v>
      </c>
      <c r="B67" s="26" t="s">
        <v>78</v>
      </c>
      <c r="C67" s="27" t="s">
        <v>22</v>
      </c>
      <c r="D67" s="27">
        <v>1</v>
      </c>
      <c r="E67" s="27"/>
      <c r="F67" s="27"/>
      <c r="G67" s="27"/>
      <c r="H67" s="27"/>
      <c r="I67" s="29">
        <v>1</v>
      </c>
    </row>
    <row r="68" spans="1:9" ht="126">
      <c r="A68" s="58">
        <v>49</v>
      </c>
      <c r="B68" s="26" t="s">
        <v>79</v>
      </c>
      <c r="C68" s="27" t="s">
        <v>22</v>
      </c>
      <c r="D68" s="27">
        <v>1</v>
      </c>
      <c r="E68" s="27"/>
      <c r="F68" s="27"/>
      <c r="G68" s="27"/>
      <c r="H68" s="27"/>
      <c r="I68" s="29">
        <v>2</v>
      </c>
    </row>
    <row r="69" spans="1:9" ht="126">
      <c r="A69" s="58">
        <v>50</v>
      </c>
      <c r="B69" s="26" t="s">
        <v>80</v>
      </c>
      <c r="C69" s="27" t="s">
        <v>22</v>
      </c>
      <c r="D69" s="27">
        <v>1</v>
      </c>
      <c r="E69" s="27"/>
      <c r="F69" s="27"/>
      <c r="G69" s="27"/>
      <c r="H69" s="27"/>
      <c r="I69" s="29">
        <v>1</v>
      </c>
    </row>
    <row r="70" spans="1:9" ht="56">
      <c r="A70" s="58">
        <v>51</v>
      </c>
      <c r="B70" s="26" t="s">
        <v>81</v>
      </c>
      <c r="C70" s="27" t="s">
        <v>19</v>
      </c>
      <c r="D70" s="27">
        <v>10</v>
      </c>
      <c r="E70" s="27">
        <v>1.1299999999999999</v>
      </c>
      <c r="F70" s="27"/>
      <c r="G70" s="27">
        <v>0.6</v>
      </c>
      <c r="H70" s="27">
        <v>1</v>
      </c>
      <c r="I70" s="59">
        <f>H70*G70*E70*10.764</f>
        <v>7.2979919999999989</v>
      </c>
    </row>
    <row r="71" spans="1:9">
      <c r="A71" s="61">
        <v>2</v>
      </c>
      <c r="B71" s="13" t="s">
        <v>5</v>
      </c>
      <c r="C71" s="12"/>
      <c r="D71" s="12"/>
      <c r="E71" s="12"/>
      <c r="F71" s="12"/>
      <c r="G71" s="12"/>
      <c r="H71" s="12"/>
      <c r="I71" s="12"/>
    </row>
    <row r="72" spans="1:9" ht="392">
      <c r="A72" s="58">
        <v>52</v>
      </c>
      <c r="B72" s="26" t="s">
        <v>82</v>
      </c>
      <c r="C72" s="27" t="s">
        <v>83</v>
      </c>
      <c r="D72" s="27">
        <v>1</v>
      </c>
      <c r="E72" s="27"/>
      <c r="F72" s="27"/>
      <c r="G72" s="27"/>
      <c r="H72" s="27"/>
      <c r="I72" s="29">
        <v>1</v>
      </c>
    </row>
    <row r="73" spans="1:9" ht="126">
      <c r="A73" s="58">
        <v>53</v>
      </c>
      <c r="B73" s="26" t="s">
        <v>84</v>
      </c>
      <c r="C73" s="27" t="s">
        <v>83</v>
      </c>
      <c r="D73" s="27">
        <v>2</v>
      </c>
      <c r="E73" s="27"/>
      <c r="F73" s="27"/>
      <c r="G73" s="27"/>
      <c r="H73" s="27"/>
      <c r="I73" s="29">
        <v>2</v>
      </c>
    </row>
    <row r="74" spans="1:9">
      <c r="A74" s="58">
        <v>54</v>
      </c>
      <c r="B74" s="26" t="s">
        <v>85</v>
      </c>
      <c r="C74" s="27" t="s">
        <v>2</v>
      </c>
      <c r="D74" s="27" t="s">
        <v>2</v>
      </c>
      <c r="E74" s="27"/>
      <c r="F74" s="27"/>
      <c r="G74" s="27"/>
      <c r="H74" s="27"/>
      <c r="I74" s="27"/>
    </row>
    <row r="75" spans="1:9">
      <c r="A75" s="58">
        <v>55</v>
      </c>
      <c r="B75" s="26" t="s">
        <v>86</v>
      </c>
      <c r="C75" s="27" t="s">
        <v>83</v>
      </c>
      <c r="D75" s="27">
        <v>2</v>
      </c>
      <c r="E75" s="27"/>
      <c r="F75" s="27"/>
      <c r="G75" s="27"/>
      <c r="H75" s="27"/>
      <c r="I75" s="29">
        <v>2</v>
      </c>
    </row>
    <row r="76" spans="1:9">
      <c r="A76" s="58">
        <v>56</v>
      </c>
      <c r="B76" s="26" t="s">
        <v>87</v>
      </c>
      <c r="C76" s="27" t="s">
        <v>83</v>
      </c>
      <c r="D76" s="27">
        <v>2</v>
      </c>
      <c r="E76" s="27"/>
      <c r="F76" s="27"/>
      <c r="G76" s="27"/>
      <c r="H76" s="27"/>
      <c r="I76" s="29">
        <v>2</v>
      </c>
    </row>
    <row r="77" spans="1:9" ht="28">
      <c r="A77" s="58">
        <v>57</v>
      </c>
      <c r="B77" s="26" t="s">
        <v>88</v>
      </c>
      <c r="C77" s="27" t="s">
        <v>83</v>
      </c>
      <c r="D77" s="27">
        <v>1</v>
      </c>
      <c r="E77" s="27"/>
      <c r="F77" s="27"/>
      <c r="G77" s="27"/>
      <c r="H77" s="27"/>
      <c r="I77" s="29">
        <v>1</v>
      </c>
    </row>
    <row r="78" spans="1:9">
      <c r="A78" s="58">
        <v>58</v>
      </c>
      <c r="B78" s="26" t="s">
        <v>89</v>
      </c>
      <c r="C78" s="27" t="s">
        <v>2</v>
      </c>
      <c r="D78" s="27" t="s">
        <v>2</v>
      </c>
      <c r="E78" s="27"/>
      <c r="F78" s="27"/>
      <c r="G78" s="27"/>
      <c r="H78" s="27"/>
      <c r="I78" s="27"/>
    </row>
    <row r="79" spans="1:9" ht="42">
      <c r="A79" s="58">
        <v>59</v>
      </c>
      <c r="B79" s="26" t="s">
        <v>90</v>
      </c>
      <c r="C79" s="27" t="s">
        <v>83</v>
      </c>
      <c r="D79" s="27">
        <v>1</v>
      </c>
      <c r="E79" s="27"/>
      <c r="F79" s="27"/>
      <c r="G79" s="27"/>
      <c r="H79" s="27"/>
      <c r="I79" s="29">
        <v>1</v>
      </c>
    </row>
    <row r="80" spans="1:9" ht="42">
      <c r="A80" s="58">
        <v>60</v>
      </c>
      <c r="B80" s="26" t="s">
        <v>91</v>
      </c>
      <c r="C80" s="27" t="s">
        <v>83</v>
      </c>
      <c r="D80" s="27">
        <v>23</v>
      </c>
      <c r="E80" s="27"/>
      <c r="F80" s="27"/>
      <c r="G80" s="27"/>
      <c r="H80" s="27"/>
      <c r="I80" s="29">
        <v>23</v>
      </c>
    </row>
    <row r="81" spans="1:9" ht="42">
      <c r="A81" s="58">
        <v>61</v>
      </c>
      <c r="B81" s="26" t="s">
        <v>92</v>
      </c>
      <c r="C81" s="27" t="s">
        <v>83</v>
      </c>
      <c r="D81" s="27">
        <v>47</v>
      </c>
      <c r="E81" s="27"/>
      <c r="F81" s="27"/>
      <c r="G81" s="27"/>
      <c r="H81" s="27"/>
      <c r="I81" s="29">
        <v>47</v>
      </c>
    </row>
    <row r="82" spans="1:9" ht="28">
      <c r="A82" s="58">
        <v>62</v>
      </c>
      <c r="B82" s="26" t="s">
        <v>93</v>
      </c>
      <c r="C82" s="27" t="s">
        <v>83</v>
      </c>
      <c r="D82" s="27">
        <v>2</v>
      </c>
      <c r="E82" s="27"/>
      <c r="F82" s="27"/>
      <c r="G82" s="27"/>
      <c r="H82" s="27"/>
      <c r="I82" s="29">
        <v>2</v>
      </c>
    </row>
    <row r="83" spans="1:9">
      <c r="A83" s="58">
        <v>63</v>
      </c>
      <c r="B83" s="26" t="s">
        <v>94</v>
      </c>
      <c r="C83" s="27" t="s">
        <v>83</v>
      </c>
      <c r="D83" s="27">
        <v>3</v>
      </c>
      <c r="E83" s="27"/>
      <c r="F83" s="27"/>
      <c r="G83" s="27"/>
      <c r="H83" s="27"/>
      <c r="I83" s="27"/>
    </row>
    <row r="84" spans="1:9">
      <c r="A84" s="58">
        <v>64</v>
      </c>
      <c r="B84" s="26" t="s">
        <v>95</v>
      </c>
      <c r="C84" s="27" t="s">
        <v>83</v>
      </c>
      <c r="D84" s="27">
        <v>4</v>
      </c>
      <c r="E84" s="27"/>
      <c r="F84" s="27"/>
      <c r="G84" s="27"/>
      <c r="H84" s="27"/>
      <c r="I84" s="29">
        <v>5</v>
      </c>
    </row>
    <row r="85" spans="1:9">
      <c r="A85" s="58">
        <v>67</v>
      </c>
      <c r="B85" s="26" t="s">
        <v>98</v>
      </c>
      <c r="C85" s="27" t="s">
        <v>99</v>
      </c>
      <c r="D85" s="27">
        <v>4</v>
      </c>
      <c r="E85" s="27"/>
      <c r="F85" s="27"/>
      <c r="G85" s="27"/>
      <c r="H85" s="27"/>
      <c r="I85" s="29">
        <v>4</v>
      </c>
    </row>
    <row r="86" spans="1:9">
      <c r="A86" s="58">
        <v>68</v>
      </c>
      <c r="B86" s="26" t="s">
        <v>100</v>
      </c>
      <c r="C86" s="27" t="s">
        <v>99</v>
      </c>
      <c r="D86" s="27">
        <v>19</v>
      </c>
      <c r="E86" s="27"/>
      <c r="F86" s="27"/>
      <c r="G86" s="27"/>
      <c r="H86" s="27"/>
      <c r="I86" s="29">
        <v>13</v>
      </c>
    </row>
    <row r="87" spans="1:9" ht="28">
      <c r="A87" s="58">
        <v>69</v>
      </c>
      <c r="B87" s="26" t="s">
        <v>101</v>
      </c>
      <c r="C87" s="27" t="s">
        <v>99</v>
      </c>
      <c r="D87" s="27">
        <v>150</v>
      </c>
      <c r="E87" s="27"/>
      <c r="F87" s="27"/>
      <c r="G87" s="27"/>
      <c r="H87" s="27"/>
      <c r="I87" s="29">
        <v>8</v>
      </c>
    </row>
    <row r="88" spans="1:9" ht="56">
      <c r="A88" s="58">
        <v>70</v>
      </c>
      <c r="B88" s="26" t="s">
        <v>102</v>
      </c>
      <c r="C88" s="27" t="s">
        <v>103</v>
      </c>
      <c r="D88" s="27">
        <v>100</v>
      </c>
      <c r="E88" s="27"/>
      <c r="F88" s="27"/>
      <c r="G88" s="27"/>
      <c r="H88" s="27"/>
      <c r="I88" s="29">
        <v>220</v>
      </c>
    </row>
    <row r="89" spans="1:9" ht="42">
      <c r="A89" s="58">
        <v>71</v>
      </c>
      <c r="B89" s="26" t="s">
        <v>104</v>
      </c>
      <c r="C89" s="27" t="s">
        <v>103</v>
      </c>
      <c r="D89" s="27">
        <v>200</v>
      </c>
      <c r="E89" s="27"/>
      <c r="F89" s="27"/>
      <c r="G89" s="27"/>
      <c r="H89" s="27"/>
      <c r="I89" s="29">
        <v>290</v>
      </c>
    </row>
    <row r="90" spans="1:9">
      <c r="A90" s="58">
        <v>73</v>
      </c>
      <c r="B90" s="26" t="s">
        <v>98</v>
      </c>
      <c r="C90" s="27" t="s">
        <v>22</v>
      </c>
      <c r="D90" s="27">
        <v>19</v>
      </c>
      <c r="E90" s="27"/>
      <c r="F90" s="27"/>
      <c r="G90" s="27"/>
      <c r="H90" s="27"/>
      <c r="I90" s="29">
        <v>4</v>
      </c>
    </row>
    <row r="91" spans="1:9">
      <c r="A91" s="58">
        <v>74</v>
      </c>
      <c r="B91" s="26" t="s">
        <v>100</v>
      </c>
      <c r="C91" s="27" t="s">
        <v>22</v>
      </c>
      <c r="D91" s="27">
        <v>18</v>
      </c>
      <c r="E91" s="27"/>
      <c r="F91" s="27"/>
      <c r="G91" s="27"/>
      <c r="H91" s="27"/>
      <c r="I91" s="29">
        <v>13</v>
      </c>
    </row>
    <row r="92" spans="1:9" ht="28">
      <c r="A92" s="58">
        <v>75</v>
      </c>
      <c r="B92" s="26" t="s">
        <v>101</v>
      </c>
      <c r="C92" s="27" t="s">
        <v>22</v>
      </c>
      <c r="D92" s="27">
        <v>16</v>
      </c>
      <c r="E92" s="27"/>
      <c r="F92" s="27"/>
      <c r="G92" s="27"/>
      <c r="H92" s="27"/>
      <c r="I92" s="29">
        <v>9</v>
      </c>
    </row>
    <row r="93" spans="1:9" ht="70">
      <c r="A93" s="58">
        <v>81</v>
      </c>
      <c r="B93" s="26" t="s">
        <v>111</v>
      </c>
      <c r="C93" s="27" t="s">
        <v>112</v>
      </c>
      <c r="D93" s="27">
        <v>200</v>
      </c>
      <c r="E93" s="27"/>
      <c r="F93" s="27"/>
      <c r="G93" s="27"/>
      <c r="H93" s="27"/>
      <c r="I93" s="29">
        <v>200</v>
      </c>
    </row>
    <row r="94" spans="1:9" ht="42">
      <c r="A94" s="58">
        <v>87</v>
      </c>
      <c r="B94" s="26" t="s">
        <v>117</v>
      </c>
      <c r="C94" s="27" t="s">
        <v>112</v>
      </c>
      <c r="D94" s="27">
        <v>10</v>
      </c>
      <c r="E94" s="27"/>
      <c r="F94" s="27"/>
      <c r="G94" s="27"/>
      <c r="H94" s="27"/>
      <c r="I94" s="29">
        <v>46</v>
      </c>
    </row>
    <row r="95" spans="1:9">
      <c r="A95" s="58">
        <v>89</v>
      </c>
      <c r="B95" s="26" t="s">
        <v>119</v>
      </c>
      <c r="C95" s="27" t="s">
        <v>112</v>
      </c>
      <c r="D95" s="27">
        <v>30</v>
      </c>
      <c r="E95" s="27"/>
      <c r="F95" s="27"/>
      <c r="G95" s="27"/>
      <c r="H95" s="27"/>
      <c r="I95" s="27">
        <v>30</v>
      </c>
    </row>
    <row r="96" spans="1:9">
      <c r="A96" s="58">
        <v>91</v>
      </c>
      <c r="B96" s="26" t="s">
        <v>121</v>
      </c>
      <c r="C96" s="27" t="s">
        <v>112</v>
      </c>
      <c r="D96" s="27">
        <v>75</v>
      </c>
      <c r="E96" s="27"/>
      <c r="F96" s="27"/>
      <c r="G96" s="27"/>
      <c r="H96" s="27"/>
      <c r="I96" s="27">
        <v>50</v>
      </c>
    </row>
    <row r="97" spans="1:9">
      <c r="A97" s="58">
        <v>92</v>
      </c>
      <c r="B97" s="26" t="s">
        <v>122</v>
      </c>
      <c r="C97" s="27" t="s">
        <v>112</v>
      </c>
      <c r="D97" s="27">
        <v>15</v>
      </c>
      <c r="E97" s="27"/>
      <c r="F97" s="27"/>
      <c r="G97" s="27"/>
      <c r="H97" s="27"/>
      <c r="I97" s="27">
        <v>14</v>
      </c>
    </row>
    <row r="98" spans="1:9">
      <c r="A98" s="58">
        <v>94</v>
      </c>
      <c r="B98" s="26" t="s">
        <v>124</v>
      </c>
      <c r="C98" s="27" t="s">
        <v>112</v>
      </c>
      <c r="D98" s="27">
        <v>30</v>
      </c>
      <c r="E98" s="27"/>
      <c r="F98" s="27"/>
      <c r="G98" s="27"/>
      <c r="H98" s="27"/>
      <c r="I98" s="27">
        <v>25</v>
      </c>
    </row>
    <row r="99" spans="1:9" ht="42">
      <c r="A99" s="58">
        <v>100</v>
      </c>
      <c r="B99" s="26" t="s">
        <v>130</v>
      </c>
      <c r="C99" s="27" t="s">
        <v>131</v>
      </c>
      <c r="D99" s="27">
        <v>100</v>
      </c>
      <c r="E99" s="27"/>
      <c r="F99" s="27"/>
      <c r="G99" s="27"/>
      <c r="H99" s="27"/>
      <c r="I99" s="27">
        <v>54</v>
      </c>
    </row>
    <row r="100" spans="1:9" ht="56">
      <c r="A100" s="58">
        <v>104</v>
      </c>
      <c r="B100" s="26" t="s">
        <v>135</v>
      </c>
      <c r="C100" s="27" t="s">
        <v>112</v>
      </c>
      <c r="D100" s="27">
        <v>15</v>
      </c>
      <c r="E100" s="27">
        <v>9</v>
      </c>
      <c r="F100" s="27"/>
      <c r="G100" s="27"/>
      <c r="H100" s="27">
        <v>3</v>
      </c>
      <c r="I100" s="29">
        <f>E100*H100</f>
        <v>27</v>
      </c>
    </row>
    <row r="101" spans="1:9" ht="28">
      <c r="A101" s="58">
        <v>110</v>
      </c>
      <c r="B101" s="26" t="s">
        <v>141</v>
      </c>
      <c r="C101" s="27" t="s">
        <v>142</v>
      </c>
      <c r="D101" s="27">
        <v>20</v>
      </c>
      <c r="E101" s="27"/>
      <c r="F101" s="27"/>
      <c r="G101" s="27"/>
      <c r="H101" s="27"/>
      <c r="I101" s="29">
        <v>8</v>
      </c>
    </row>
    <row r="102" spans="1:9" ht="28">
      <c r="A102" s="58">
        <v>112</v>
      </c>
      <c r="B102" s="26" t="s">
        <v>144</v>
      </c>
      <c r="C102" s="27" t="s">
        <v>145</v>
      </c>
      <c r="D102" s="27">
        <v>2</v>
      </c>
      <c r="E102" s="27"/>
      <c r="F102" s="27"/>
      <c r="G102" s="27"/>
      <c r="H102" s="27"/>
      <c r="I102" s="29">
        <v>2</v>
      </c>
    </row>
    <row r="103" spans="1:9" ht="28">
      <c r="A103" s="58">
        <v>113</v>
      </c>
      <c r="B103" s="26" t="s">
        <v>146</v>
      </c>
      <c r="C103" s="27" t="s">
        <v>147</v>
      </c>
      <c r="D103" s="27">
        <v>1</v>
      </c>
      <c r="E103" s="27"/>
      <c r="F103" s="27"/>
      <c r="G103" s="27"/>
      <c r="H103" s="27"/>
      <c r="I103" s="29">
        <v>1</v>
      </c>
    </row>
    <row r="104" spans="1:9">
      <c r="A104" s="61">
        <v>3</v>
      </c>
      <c r="B104" s="13" t="s">
        <v>6</v>
      </c>
      <c r="C104" s="12"/>
      <c r="D104" s="12"/>
      <c r="E104" s="12"/>
      <c r="F104" s="12"/>
      <c r="G104" s="12"/>
      <c r="H104" s="12"/>
      <c r="I104" s="12"/>
    </row>
    <row r="105" spans="1:9" ht="70">
      <c r="A105" s="58">
        <v>115</v>
      </c>
      <c r="B105" s="26" t="s">
        <v>149</v>
      </c>
      <c r="C105" s="27" t="s">
        <v>2</v>
      </c>
      <c r="D105" s="27" t="s">
        <v>2</v>
      </c>
      <c r="E105" s="27"/>
      <c r="F105" s="27"/>
      <c r="G105" s="27"/>
      <c r="H105" s="27"/>
      <c r="I105" s="27"/>
    </row>
    <row r="106" spans="1:9">
      <c r="A106" s="58">
        <v>117</v>
      </c>
      <c r="B106" s="26" t="s">
        <v>151</v>
      </c>
      <c r="C106" s="27" t="s">
        <v>103</v>
      </c>
      <c r="D106" s="27">
        <v>32</v>
      </c>
      <c r="E106" s="27"/>
      <c r="F106" s="27"/>
      <c r="G106" s="27"/>
      <c r="H106" s="27"/>
      <c r="I106" s="29">
        <v>5.2</v>
      </c>
    </row>
    <row r="107" spans="1:9" ht="42">
      <c r="A107" s="58">
        <v>119</v>
      </c>
      <c r="B107" s="26" t="s">
        <v>153</v>
      </c>
      <c r="C107" s="27" t="s">
        <v>2</v>
      </c>
      <c r="D107" s="27" t="s">
        <v>2</v>
      </c>
      <c r="E107" s="27"/>
      <c r="F107" s="27"/>
      <c r="G107" s="27"/>
      <c r="H107" s="27"/>
      <c r="I107" s="27"/>
    </row>
    <row r="108" spans="1:9">
      <c r="A108" s="58">
        <v>120</v>
      </c>
      <c r="B108" s="26" t="s">
        <v>151</v>
      </c>
      <c r="C108" s="27" t="s">
        <v>22</v>
      </c>
      <c r="D108" s="27">
        <v>19</v>
      </c>
      <c r="E108" s="27"/>
      <c r="F108" s="27"/>
      <c r="G108" s="27"/>
      <c r="H108" s="27"/>
      <c r="I108" s="29">
        <v>12</v>
      </c>
    </row>
    <row r="109" spans="1:9">
      <c r="A109" s="58">
        <v>121</v>
      </c>
      <c r="B109" s="26" t="s">
        <v>152</v>
      </c>
      <c r="C109" s="27" t="s">
        <v>22</v>
      </c>
      <c r="D109" s="27">
        <v>1</v>
      </c>
      <c r="E109" s="27"/>
      <c r="F109" s="27"/>
      <c r="G109" s="27"/>
      <c r="H109" s="27"/>
      <c r="I109" s="29">
        <v>1</v>
      </c>
    </row>
    <row r="110" spans="1:9" ht="70">
      <c r="A110" s="58">
        <v>123</v>
      </c>
      <c r="B110" s="26" t="s">
        <v>155</v>
      </c>
      <c r="C110" s="27" t="s">
        <v>2</v>
      </c>
      <c r="D110" s="27" t="s">
        <v>2</v>
      </c>
      <c r="E110" s="27"/>
      <c r="F110" s="27"/>
      <c r="G110" s="27"/>
      <c r="H110" s="27"/>
      <c r="I110" s="27"/>
    </row>
    <row r="111" spans="1:9">
      <c r="A111" s="58">
        <v>124</v>
      </c>
      <c r="B111" s="26" t="s">
        <v>156</v>
      </c>
      <c r="C111" s="27" t="s">
        <v>157</v>
      </c>
      <c r="D111" s="27">
        <v>1</v>
      </c>
      <c r="E111" s="27"/>
      <c r="F111" s="27"/>
      <c r="G111" s="27"/>
      <c r="H111" s="27"/>
      <c r="I111" s="29">
        <v>1</v>
      </c>
    </row>
    <row r="112" spans="1:9">
      <c r="A112" s="58">
        <v>125</v>
      </c>
      <c r="B112" s="26" t="s">
        <v>158</v>
      </c>
      <c r="C112" s="27" t="s">
        <v>157</v>
      </c>
      <c r="D112" s="27">
        <v>1</v>
      </c>
      <c r="E112" s="27"/>
      <c r="F112" s="27"/>
      <c r="G112" s="27"/>
      <c r="H112" s="27"/>
      <c r="I112" s="29">
        <v>1</v>
      </c>
    </row>
    <row r="113" spans="1:9" ht="56">
      <c r="A113" s="58">
        <v>126</v>
      </c>
      <c r="B113" s="26" t="s">
        <v>159</v>
      </c>
      <c r="C113" s="27" t="s">
        <v>157</v>
      </c>
      <c r="D113" s="27">
        <v>12</v>
      </c>
      <c r="E113" s="27"/>
      <c r="F113" s="27"/>
      <c r="G113" s="27"/>
      <c r="H113" s="27"/>
      <c r="I113" s="29">
        <v>12</v>
      </c>
    </row>
    <row r="114" spans="1:9" ht="140">
      <c r="A114" s="58">
        <v>128</v>
      </c>
      <c r="B114" s="26" t="s">
        <v>161</v>
      </c>
      <c r="C114" s="27" t="s">
        <v>2</v>
      </c>
      <c r="D114" s="27" t="s">
        <v>2</v>
      </c>
      <c r="E114" s="27"/>
      <c r="F114" s="27"/>
      <c r="G114" s="27"/>
      <c r="H114" s="27"/>
      <c r="I114" s="27"/>
    </row>
    <row r="115" spans="1:9">
      <c r="A115" s="58">
        <v>129</v>
      </c>
      <c r="B115" s="26" t="s">
        <v>162</v>
      </c>
      <c r="C115" s="27" t="s">
        <v>163</v>
      </c>
      <c r="D115" s="27">
        <v>7</v>
      </c>
      <c r="E115" s="27"/>
      <c r="F115" s="27"/>
      <c r="G115" s="27"/>
      <c r="H115" s="27"/>
      <c r="I115" s="27"/>
    </row>
    <row r="116" spans="1:9">
      <c r="A116" s="58">
        <v>130</v>
      </c>
      <c r="B116" s="26" t="s">
        <v>164</v>
      </c>
      <c r="C116" s="27" t="s">
        <v>163</v>
      </c>
      <c r="D116" s="27">
        <v>15</v>
      </c>
      <c r="E116" s="27"/>
      <c r="F116" s="27"/>
      <c r="G116" s="27"/>
      <c r="H116" s="27"/>
      <c r="I116" s="29">
        <v>13</v>
      </c>
    </row>
    <row r="117" spans="1:9" ht="56">
      <c r="A117" s="58">
        <v>133</v>
      </c>
      <c r="B117" s="26" t="s">
        <v>167</v>
      </c>
      <c r="C117" s="27" t="s">
        <v>157</v>
      </c>
      <c r="D117" s="27">
        <v>1</v>
      </c>
      <c r="E117" s="27"/>
      <c r="F117" s="27"/>
      <c r="G117" s="27"/>
      <c r="H117" s="27"/>
      <c r="I117" s="29">
        <v>1</v>
      </c>
    </row>
    <row r="118" spans="1:9" ht="42">
      <c r="A118" s="58">
        <v>137</v>
      </c>
      <c r="B118" s="26" t="s">
        <v>171</v>
      </c>
      <c r="C118" s="27" t="s">
        <v>83</v>
      </c>
      <c r="D118" s="27">
        <v>1</v>
      </c>
      <c r="E118" s="27"/>
      <c r="F118" s="27"/>
      <c r="G118" s="27"/>
      <c r="H118" s="27"/>
      <c r="I118" s="29">
        <v>3</v>
      </c>
    </row>
    <row r="119" spans="1:9">
      <c r="A119" s="58">
        <v>138</v>
      </c>
      <c r="B119" s="26" t="s">
        <v>172</v>
      </c>
      <c r="C119" s="27" t="s">
        <v>83</v>
      </c>
      <c r="D119" s="27">
        <v>1</v>
      </c>
      <c r="E119" s="27"/>
      <c r="F119" s="27"/>
      <c r="G119" s="27"/>
      <c r="H119" s="27"/>
      <c r="I119" s="29">
        <v>1</v>
      </c>
    </row>
    <row r="120" spans="1:9">
      <c r="A120" s="58">
        <v>140</v>
      </c>
      <c r="B120" s="26" t="s">
        <v>174</v>
      </c>
      <c r="C120" s="27" t="s">
        <v>145</v>
      </c>
      <c r="D120" s="27">
        <v>3</v>
      </c>
      <c r="E120" s="27"/>
      <c r="F120" s="27"/>
      <c r="G120" s="27"/>
      <c r="H120" s="27"/>
      <c r="I120" s="29">
        <v>3</v>
      </c>
    </row>
    <row r="121" spans="1:9" ht="56">
      <c r="A121" s="58">
        <v>141</v>
      </c>
      <c r="B121" s="26" t="s">
        <v>175</v>
      </c>
      <c r="C121" s="27" t="s">
        <v>176</v>
      </c>
      <c r="D121" s="27">
        <v>6</v>
      </c>
      <c r="E121" s="27"/>
      <c r="F121" s="27"/>
      <c r="G121" s="27"/>
      <c r="H121" s="27"/>
      <c r="I121" s="29">
        <v>6</v>
      </c>
    </row>
    <row r="122" spans="1:9">
      <c r="A122" s="61">
        <v>6</v>
      </c>
      <c r="B122" s="13" t="s">
        <v>9</v>
      </c>
      <c r="C122" s="12"/>
      <c r="D122" s="12"/>
      <c r="E122" s="12"/>
      <c r="F122" s="12"/>
      <c r="G122" s="12"/>
      <c r="H122" s="12"/>
      <c r="I122" s="12"/>
    </row>
    <row r="123" spans="1:9" ht="28">
      <c r="A123" s="62">
        <v>166</v>
      </c>
      <c r="B123" s="26" t="s">
        <v>204</v>
      </c>
      <c r="C123" s="27" t="s">
        <v>112</v>
      </c>
      <c r="D123" s="27">
        <v>250</v>
      </c>
      <c r="E123" s="27"/>
      <c r="F123" s="27"/>
      <c r="G123" s="27"/>
      <c r="H123" s="27"/>
      <c r="I123" s="27"/>
    </row>
    <row r="124" spans="1:9">
      <c r="A124" s="62">
        <v>167</v>
      </c>
      <c r="B124" s="26" t="s">
        <v>205</v>
      </c>
      <c r="C124" s="27" t="s">
        <v>112</v>
      </c>
      <c r="D124" s="27">
        <v>250</v>
      </c>
      <c r="E124" s="27"/>
      <c r="F124" s="27"/>
      <c r="G124" s="27"/>
      <c r="H124" s="27"/>
      <c r="I124" s="27">
        <v>250</v>
      </c>
    </row>
    <row r="125" spans="1:9">
      <c r="A125" s="62">
        <v>168</v>
      </c>
      <c r="B125" s="26" t="s">
        <v>206</v>
      </c>
      <c r="C125" s="27" t="s">
        <v>157</v>
      </c>
      <c r="D125" s="27">
        <v>1</v>
      </c>
      <c r="E125" s="27"/>
      <c r="F125" s="27"/>
      <c r="G125" s="27"/>
      <c r="H125" s="27"/>
      <c r="I125" s="27">
        <v>1</v>
      </c>
    </row>
    <row r="126" spans="1:9" ht="28">
      <c r="A126" s="62">
        <v>172</v>
      </c>
      <c r="B126" s="26" t="s">
        <v>210</v>
      </c>
      <c r="C126" s="27" t="s">
        <v>83</v>
      </c>
      <c r="D126" s="27">
        <v>10</v>
      </c>
      <c r="E126" s="27"/>
      <c r="F126" s="27"/>
      <c r="G126" s="27"/>
      <c r="H126" s="27"/>
      <c r="I126" s="27">
        <v>10</v>
      </c>
    </row>
    <row r="127" spans="1:9" ht="28">
      <c r="A127" s="62">
        <v>173</v>
      </c>
      <c r="B127" s="26" t="s">
        <v>211</v>
      </c>
      <c r="C127" s="27" t="s">
        <v>83</v>
      </c>
      <c r="D127" s="27">
        <v>3</v>
      </c>
      <c r="E127" s="27"/>
      <c r="F127" s="27"/>
      <c r="G127" s="27"/>
      <c r="H127" s="27"/>
      <c r="I127" s="27">
        <v>3</v>
      </c>
    </row>
    <row r="128" spans="1:9">
      <c r="A128" s="61">
        <v>7</v>
      </c>
      <c r="B128" s="13" t="s">
        <v>10</v>
      </c>
      <c r="C128" s="12"/>
      <c r="D128" s="12"/>
      <c r="E128" s="12"/>
      <c r="F128" s="12"/>
      <c r="G128" s="12"/>
      <c r="H128" s="12"/>
      <c r="I128" s="12"/>
    </row>
    <row r="129" spans="1:9">
      <c r="A129" s="62">
        <v>178</v>
      </c>
      <c r="B129" s="26" t="s">
        <v>216</v>
      </c>
      <c r="C129" s="27" t="s">
        <v>83</v>
      </c>
      <c r="D129" s="27">
        <v>2</v>
      </c>
      <c r="E129" s="27"/>
      <c r="F129" s="27"/>
      <c r="G129" s="27"/>
      <c r="H129" s="27"/>
      <c r="I129" s="29">
        <v>2</v>
      </c>
    </row>
    <row r="130" spans="1:9">
      <c r="A130" s="62">
        <v>179</v>
      </c>
      <c r="B130" s="26" t="s">
        <v>217</v>
      </c>
      <c r="C130" s="27" t="s">
        <v>83</v>
      </c>
      <c r="D130" s="27">
        <v>1</v>
      </c>
      <c r="E130" s="27"/>
      <c r="F130" s="27"/>
      <c r="G130" s="27"/>
      <c r="H130" s="27"/>
      <c r="I130" s="29">
        <v>1</v>
      </c>
    </row>
    <row r="131" spans="1:9">
      <c r="A131" s="62">
        <v>180</v>
      </c>
      <c r="B131" s="26" t="s">
        <v>218</v>
      </c>
      <c r="C131" s="27" t="s">
        <v>83</v>
      </c>
      <c r="D131" s="27">
        <v>1</v>
      </c>
      <c r="E131" s="27"/>
      <c r="F131" s="27"/>
      <c r="G131" s="27"/>
      <c r="H131" s="27"/>
      <c r="I131" s="29">
        <v>1</v>
      </c>
    </row>
    <row r="132" spans="1:9">
      <c r="A132" s="62">
        <v>181</v>
      </c>
      <c r="B132" s="26" t="s">
        <v>219</v>
      </c>
      <c r="C132" s="27" t="s">
        <v>83</v>
      </c>
      <c r="D132" s="27">
        <v>3</v>
      </c>
      <c r="E132" s="27"/>
      <c r="F132" s="27"/>
      <c r="G132" s="27"/>
      <c r="H132" s="27"/>
      <c r="I132" s="29"/>
    </row>
    <row r="133" spans="1:9">
      <c r="A133" s="62">
        <v>182</v>
      </c>
      <c r="B133" s="9" t="s">
        <v>220</v>
      </c>
      <c r="C133" s="27" t="s">
        <v>83</v>
      </c>
      <c r="D133" s="27">
        <v>3</v>
      </c>
      <c r="E133" s="27"/>
      <c r="F133" s="27"/>
      <c r="G133" s="27"/>
      <c r="H133" s="27"/>
      <c r="I133" s="29">
        <v>1</v>
      </c>
    </row>
    <row r="134" spans="1:9">
      <c r="A134" s="62">
        <v>183</v>
      </c>
      <c r="B134" s="9" t="s">
        <v>221</v>
      </c>
      <c r="C134" s="27" t="s">
        <v>222</v>
      </c>
      <c r="D134" s="27">
        <v>1</v>
      </c>
      <c r="E134" s="27"/>
      <c r="F134" s="27"/>
      <c r="G134" s="27"/>
      <c r="H134" s="27"/>
      <c r="I134" s="29">
        <v>1</v>
      </c>
    </row>
    <row r="135" spans="1:9">
      <c r="A135" s="62">
        <v>184</v>
      </c>
      <c r="B135" s="9" t="s">
        <v>223</v>
      </c>
      <c r="C135" s="27" t="s">
        <v>222</v>
      </c>
      <c r="D135" s="27">
        <v>1</v>
      </c>
      <c r="E135" s="27"/>
      <c r="F135" s="27"/>
      <c r="G135" s="27"/>
      <c r="H135" s="27"/>
      <c r="I135" s="29"/>
    </row>
    <row r="136" spans="1:9">
      <c r="A136" s="62">
        <v>185</v>
      </c>
      <c r="B136" s="26" t="s">
        <v>224</v>
      </c>
      <c r="C136" s="27" t="s">
        <v>83</v>
      </c>
      <c r="D136" s="27">
        <v>1</v>
      </c>
      <c r="E136" s="27"/>
      <c r="F136" s="27"/>
      <c r="G136" s="27"/>
      <c r="H136" s="27"/>
      <c r="I136" s="29">
        <v>1</v>
      </c>
    </row>
    <row r="137" spans="1:9">
      <c r="A137" s="62">
        <v>186</v>
      </c>
      <c r="B137" s="26" t="s">
        <v>225</v>
      </c>
      <c r="C137" s="27" t="s">
        <v>157</v>
      </c>
      <c r="D137" s="27">
        <v>2</v>
      </c>
      <c r="E137" s="27"/>
      <c r="F137" s="27"/>
      <c r="G137" s="27"/>
      <c r="H137" s="27"/>
      <c r="I137" s="29">
        <v>2</v>
      </c>
    </row>
    <row r="138" spans="1:9">
      <c r="A138" s="62">
        <v>187</v>
      </c>
      <c r="B138" s="26" t="s">
        <v>226</v>
      </c>
      <c r="C138" s="27" t="s">
        <v>157</v>
      </c>
      <c r="D138" s="27">
        <v>2</v>
      </c>
      <c r="E138" s="27"/>
      <c r="F138" s="27"/>
      <c r="G138" s="27"/>
      <c r="H138" s="27"/>
      <c r="I138" s="29">
        <v>5</v>
      </c>
    </row>
    <row r="139" spans="1:9">
      <c r="A139" s="62">
        <v>188</v>
      </c>
      <c r="B139" s="26" t="s">
        <v>227</v>
      </c>
      <c r="C139" s="27" t="s">
        <v>157</v>
      </c>
      <c r="D139" s="27">
        <v>1</v>
      </c>
      <c r="E139" s="27"/>
      <c r="F139" s="27"/>
      <c r="G139" s="27"/>
      <c r="H139" s="27"/>
      <c r="I139" s="29">
        <v>1</v>
      </c>
    </row>
    <row r="140" spans="1:9">
      <c r="A140" s="62">
        <v>189</v>
      </c>
      <c r="B140" s="26" t="s">
        <v>228</v>
      </c>
      <c r="C140" s="27" t="s">
        <v>83</v>
      </c>
      <c r="D140" s="27">
        <v>1</v>
      </c>
      <c r="E140" s="27"/>
      <c r="F140" s="27"/>
      <c r="G140" s="27"/>
      <c r="H140" s="27"/>
      <c r="I140" s="29"/>
    </row>
    <row r="141" spans="1:9">
      <c r="A141" s="62">
        <v>190</v>
      </c>
      <c r="B141" s="26" t="s">
        <v>229</v>
      </c>
      <c r="C141" s="27" t="s">
        <v>83</v>
      </c>
      <c r="D141" s="27">
        <v>6</v>
      </c>
      <c r="E141" s="27"/>
      <c r="F141" s="27"/>
      <c r="G141" s="27"/>
      <c r="H141" s="27"/>
      <c r="I141" s="29"/>
    </row>
    <row r="142" spans="1:9">
      <c r="A142" s="62">
        <v>191</v>
      </c>
      <c r="B142" s="26" t="s">
        <v>230</v>
      </c>
      <c r="C142" s="27" t="s">
        <v>83</v>
      </c>
      <c r="D142" s="27">
        <v>2</v>
      </c>
      <c r="E142" s="27"/>
      <c r="F142" s="27"/>
      <c r="G142" s="27"/>
      <c r="H142" s="27"/>
      <c r="I142" s="29">
        <v>1</v>
      </c>
    </row>
    <row r="143" spans="1:9">
      <c r="A143" s="62">
        <v>192</v>
      </c>
      <c r="B143" s="26" t="s">
        <v>231</v>
      </c>
      <c r="C143" s="27" t="s">
        <v>83</v>
      </c>
      <c r="D143" s="27">
        <v>4</v>
      </c>
      <c r="E143" s="27"/>
      <c r="F143" s="27"/>
      <c r="G143" s="27"/>
      <c r="H143" s="27"/>
      <c r="I143" s="29">
        <v>4</v>
      </c>
    </row>
    <row r="144" spans="1:9">
      <c r="A144" s="62">
        <v>193</v>
      </c>
      <c r="B144" s="26" t="s">
        <v>232</v>
      </c>
      <c r="C144" s="27" t="s">
        <v>83</v>
      </c>
      <c r="D144" s="27">
        <v>1</v>
      </c>
      <c r="E144" s="27"/>
      <c r="F144" s="27"/>
      <c r="G144" s="27"/>
      <c r="H144" s="27"/>
      <c r="I144" s="29">
        <v>1</v>
      </c>
    </row>
    <row r="145" spans="1:9">
      <c r="A145" s="62">
        <v>194</v>
      </c>
      <c r="B145" s="26" t="s">
        <v>233</v>
      </c>
      <c r="C145" s="27" t="s">
        <v>83</v>
      </c>
      <c r="D145" s="27">
        <v>1</v>
      </c>
      <c r="E145" s="27"/>
      <c r="F145" s="27"/>
      <c r="G145" s="27"/>
      <c r="H145" s="27"/>
      <c r="I145" s="29">
        <v>2</v>
      </c>
    </row>
    <row r="146" spans="1:9" ht="28">
      <c r="A146" s="62">
        <v>195</v>
      </c>
      <c r="B146" s="26" t="s">
        <v>234</v>
      </c>
      <c r="C146" s="27" t="s">
        <v>83</v>
      </c>
      <c r="D146" s="27">
        <v>59</v>
      </c>
      <c r="E146" s="27"/>
      <c r="F146" s="27"/>
      <c r="G146" s="27"/>
      <c r="H146" s="27"/>
      <c r="I146" s="29">
        <v>13</v>
      </c>
    </row>
    <row r="147" spans="1:9" ht="56">
      <c r="A147" s="62">
        <v>196</v>
      </c>
      <c r="B147" s="26" t="s">
        <v>235</v>
      </c>
      <c r="C147" s="27" t="s">
        <v>83</v>
      </c>
      <c r="D147" s="27">
        <v>11</v>
      </c>
      <c r="E147" s="27"/>
      <c r="F147" s="27"/>
      <c r="G147" s="27"/>
      <c r="H147" s="27"/>
      <c r="I147" s="29">
        <v>5</v>
      </c>
    </row>
    <row r="148" spans="1:9" ht="28">
      <c r="A148" s="62">
        <v>197</v>
      </c>
      <c r="B148" s="26" t="s">
        <v>236</v>
      </c>
      <c r="C148" s="27" t="s">
        <v>83</v>
      </c>
      <c r="D148" s="27">
        <v>1</v>
      </c>
      <c r="E148" s="27"/>
      <c r="F148" s="27"/>
      <c r="G148" s="27"/>
      <c r="H148" s="27"/>
      <c r="I148" s="29">
        <v>3</v>
      </c>
    </row>
    <row r="149" spans="1:9">
      <c r="A149" s="61">
        <v>8</v>
      </c>
      <c r="B149" s="13" t="s">
        <v>11</v>
      </c>
      <c r="C149" s="12" t="s">
        <v>4</v>
      </c>
      <c r="D149" s="12">
        <v>1</v>
      </c>
      <c r="E149" s="12"/>
      <c r="F149" s="12"/>
      <c r="G149" s="12"/>
      <c r="H149" s="12"/>
      <c r="I149" s="12"/>
    </row>
    <row r="150" spans="1:9" ht="42">
      <c r="A150" s="62">
        <v>202</v>
      </c>
      <c r="B150" s="26" t="s">
        <v>241</v>
      </c>
      <c r="C150" s="27" t="s">
        <v>2</v>
      </c>
      <c r="D150" s="27" t="s">
        <v>2</v>
      </c>
      <c r="E150" s="27"/>
      <c r="F150" s="27"/>
      <c r="G150" s="27"/>
      <c r="H150" s="27"/>
      <c r="I150" s="27"/>
    </row>
    <row r="151" spans="1:9">
      <c r="A151" s="62">
        <v>203</v>
      </c>
      <c r="B151" s="26" t="s">
        <v>242</v>
      </c>
      <c r="C151" s="27" t="s">
        <v>243</v>
      </c>
      <c r="D151" s="27">
        <v>20</v>
      </c>
      <c r="E151" s="27"/>
      <c r="F151" s="27"/>
      <c r="G151" s="27"/>
      <c r="H151" s="27"/>
      <c r="I151" s="29">
        <v>13</v>
      </c>
    </row>
    <row r="152" spans="1:9">
      <c r="A152" s="62">
        <v>204</v>
      </c>
      <c r="B152" s="26" t="s">
        <v>244</v>
      </c>
      <c r="C152" s="27" t="s">
        <v>243</v>
      </c>
      <c r="D152" s="27">
        <v>10</v>
      </c>
      <c r="E152" s="27"/>
      <c r="F152" s="27"/>
      <c r="G152" s="27"/>
      <c r="H152" s="27"/>
      <c r="I152" s="29">
        <v>18</v>
      </c>
    </row>
    <row r="153" spans="1:9" ht="42">
      <c r="A153" s="62">
        <v>205</v>
      </c>
      <c r="B153" s="26" t="s">
        <v>245</v>
      </c>
      <c r="C153" s="27" t="s">
        <v>2</v>
      </c>
      <c r="D153" s="27" t="s">
        <v>2</v>
      </c>
      <c r="E153" s="27"/>
      <c r="F153" s="27"/>
      <c r="G153" s="27"/>
      <c r="H153" s="27"/>
      <c r="I153" s="27"/>
    </row>
    <row r="154" spans="1:9">
      <c r="A154" s="62">
        <v>206</v>
      </c>
      <c r="B154" s="26" t="s">
        <v>246</v>
      </c>
      <c r="C154" s="27" t="s">
        <v>22</v>
      </c>
      <c r="D154" s="27">
        <v>3</v>
      </c>
      <c r="E154" s="27"/>
      <c r="F154" s="27"/>
      <c r="G154" s="27"/>
      <c r="H154" s="27"/>
      <c r="I154" s="29"/>
    </row>
    <row r="155" spans="1:9">
      <c r="A155" s="62">
        <v>207</v>
      </c>
      <c r="B155" s="26" t="s">
        <v>247</v>
      </c>
      <c r="C155" s="27" t="s">
        <v>22</v>
      </c>
      <c r="D155" s="27">
        <v>2</v>
      </c>
      <c r="E155" s="27"/>
      <c r="F155" s="27"/>
      <c r="G155" s="27"/>
      <c r="H155" s="27"/>
      <c r="I155" s="27"/>
    </row>
    <row r="156" spans="1:9" ht="28">
      <c r="A156" s="62">
        <v>209</v>
      </c>
      <c r="B156" s="26" t="s">
        <v>250</v>
      </c>
      <c r="C156" s="27" t="s">
        <v>2</v>
      </c>
      <c r="D156" s="27" t="s">
        <v>2</v>
      </c>
      <c r="E156" s="27"/>
      <c r="F156" s="27"/>
      <c r="G156" s="27"/>
      <c r="H156" s="27"/>
      <c r="I156" s="27"/>
    </row>
    <row r="157" spans="1:9">
      <c r="A157" s="62">
        <v>212</v>
      </c>
      <c r="B157" s="26" t="s">
        <v>254</v>
      </c>
      <c r="C157" s="27" t="s">
        <v>252</v>
      </c>
      <c r="D157" s="27">
        <v>40</v>
      </c>
      <c r="E157" s="27"/>
      <c r="F157" s="27"/>
      <c r="G157" s="27"/>
      <c r="H157" s="27"/>
      <c r="I157" s="29"/>
    </row>
    <row r="158" spans="1:9">
      <c r="A158" s="62">
        <v>213</v>
      </c>
      <c r="B158" s="26" t="s">
        <v>255</v>
      </c>
      <c r="C158" s="27" t="s">
        <v>22</v>
      </c>
      <c r="D158" s="27">
        <v>4</v>
      </c>
      <c r="E158" s="27"/>
      <c r="F158" s="27"/>
      <c r="G158" s="27"/>
      <c r="H158" s="27"/>
      <c r="I158" s="29"/>
    </row>
    <row r="159" spans="1:9">
      <c r="A159" s="61">
        <v>9</v>
      </c>
      <c r="B159" s="13" t="s">
        <v>12</v>
      </c>
      <c r="C159" s="12"/>
      <c r="D159" s="12"/>
      <c r="E159" s="12"/>
      <c r="F159" s="12"/>
      <c r="G159" s="12"/>
      <c r="H159" s="12"/>
      <c r="I159" s="12"/>
    </row>
    <row r="160" spans="1:9" ht="28">
      <c r="A160" s="62">
        <v>218</v>
      </c>
      <c r="B160" s="26" t="s">
        <v>260</v>
      </c>
      <c r="C160" s="27" t="s">
        <v>2</v>
      </c>
      <c r="D160" s="27" t="s">
        <v>2</v>
      </c>
      <c r="E160" s="27"/>
      <c r="F160" s="27"/>
      <c r="G160" s="27"/>
      <c r="H160" s="27"/>
      <c r="I160" s="27"/>
    </row>
    <row r="161" spans="1:9">
      <c r="A161" s="62">
        <v>220</v>
      </c>
      <c r="B161" s="26" t="s">
        <v>262</v>
      </c>
      <c r="C161" s="27" t="s">
        <v>263</v>
      </c>
      <c r="D161" s="27">
        <v>15</v>
      </c>
      <c r="E161" s="27"/>
      <c r="F161" s="27"/>
      <c r="G161" s="27"/>
      <c r="H161" s="27"/>
      <c r="I161" s="27"/>
    </row>
    <row r="162" spans="1:9">
      <c r="A162" s="62">
        <v>221</v>
      </c>
      <c r="B162" s="26" t="s">
        <v>264</v>
      </c>
      <c r="C162" s="27" t="s">
        <v>263</v>
      </c>
      <c r="D162" s="27">
        <v>30</v>
      </c>
      <c r="E162" s="27"/>
      <c r="F162" s="27"/>
      <c r="G162" s="27"/>
      <c r="H162" s="27"/>
      <c r="I162" s="59">
        <f>SUM(I163:I166)</f>
        <v>8.5500000000000007</v>
      </c>
    </row>
    <row r="163" spans="1:9">
      <c r="A163" s="62"/>
      <c r="B163" s="26" t="s">
        <v>424</v>
      </c>
      <c r="C163" s="27"/>
      <c r="D163" s="27"/>
      <c r="E163" s="27">
        <v>1.2</v>
      </c>
      <c r="F163" s="27">
        <v>1.3</v>
      </c>
      <c r="G163" s="27"/>
      <c r="H163" s="27">
        <v>3</v>
      </c>
      <c r="I163" s="60">
        <f>H163*F163*E163</f>
        <v>4.6800000000000006</v>
      </c>
    </row>
    <row r="164" spans="1:9">
      <c r="A164" s="62"/>
      <c r="B164" s="26"/>
      <c r="C164" s="27"/>
      <c r="D164" s="27"/>
      <c r="E164" s="27">
        <v>1.6</v>
      </c>
      <c r="F164" s="27">
        <v>0.3</v>
      </c>
      <c r="G164" s="27"/>
      <c r="H164" s="27">
        <v>3</v>
      </c>
      <c r="I164" s="60">
        <f>H164*F164*E164</f>
        <v>1.44</v>
      </c>
    </row>
    <row r="165" spans="1:9">
      <c r="A165" s="62"/>
      <c r="B165" s="26" t="s">
        <v>425</v>
      </c>
      <c r="C165" s="27"/>
      <c r="D165" s="27"/>
      <c r="E165" s="27">
        <v>0.45</v>
      </c>
      <c r="F165" s="27">
        <v>0.45</v>
      </c>
      <c r="G165" s="27"/>
      <c r="H165" s="27">
        <v>6</v>
      </c>
      <c r="I165" s="60">
        <f>H165*F165*E165</f>
        <v>1.2150000000000001</v>
      </c>
    </row>
    <row r="166" spans="1:9">
      <c r="A166" s="62"/>
      <c r="B166" s="26"/>
      <c r="C166" s="27"/>
      <c r="D166" s="27"/>
      <c r="E166" s="27">
        <v>0.45</v>
      </c>
      <c r="F166" s="27">
        <v>0.45</v>
      </c>
      <c r="G166" s="27"/>
      <c r="H166" s="27">
        <v>6</v>
      </c>
      <c r="I166" s="60">
        <f>H166*F166*E166</f>
        <v>1.2150000000000001</v>
      </c>
    </row>
    <row r="167" spans="1:9" ht="112">
      <c r="A167" s="10">
        <v>223</v>
      </c>
      <c r="B167" s="9" t="s">
        <v>266</v>
      </c>
      <c r="C167" s="10" t="s">
        <v>263</v>
      </c>
      <c r="D167" s="10">
        <v>10</v>
      </c>
      <c r="E167" s="27"/>
      <c r="F167" s="27"/>
      <c r="G167" s="27"/>
      <c r="H167" s="27"/>
      <c r="I167" s="59">
        <f>SUM(I168:I171)</f>
        <v>8.5500000000000007</v>
      </c>
    </row>
    <row r="168" spans="1:9">
      <c r="A168" s="10"/>
      <c r="B168" s="26" t="s">
        <v>424</v>
      </c>
      <c r="C168" s="27"/>
      <c r="D168" s="27"/>
      <c r="E168" s="27">
        <v>1.2</v>
      </c>
      <c r="F168" s="27">
        <v>1.3</v>
      </c>
      <c r="G168" s="27"/>
      <c r="H168" s="27">
        <v>3</v>
      </c>
      <c r="I168" s="60">
        <f>H168*F168*E168</f>
        <v>4.6800000000000006</v>
      </c>
    </row>
    <row r="169" spans="1:9">
      <c r="A169" s="10"/>
      <c r="B169" s="26"/>
      <c r="C169" s="27"/>
      <c r="D169" s="27"/>
      <c r="E169" s="27">
        <v>1.6</v>
      </c>
      <c r="F169" s="27">
        <v>0.3</v>
      </c>
      <c r="G169" s="27"/>
      <c r="H169" s="27">
        <v>3</v>
      </c>
      <c r="I169" s="60">
        <f>H169*F169*E169</f>
        <v>1.44</v>
      </c>
    </row>
    <row r="170" spans="1:9">
      <c r="A170" s="62"/>
      <c r="B170" s="26" t="s">
        <v>425</v>
      </c>
      <c r="C170" s="27"/>
      <c r="D170" s="27"/>
      <c r="E170" s="27">
        <v>0.45</v>
      </c>
      <c r="F170" s="27">
        <v>0.45</v>
      </c>
      <c r="G170" s="27"/>
      <c r="H170" s="27">
        <v>6</v>
      </c>
      <c r="I170" s="60">
        <f>H170*F170*E170</f>
        <v>1.2150000000000001</v>
      </c>
    </row>
    <row r="171" spans="1:9">
      <c r="A171" s="62"/>
      <c r="B171" s="26"/>
      <c r="C171" s="27"/>
      <c r="D171" s="27"/>
      <c r="E171" s="27">
        <v>0.45</v>
      </c>
      <c r="F171" s="27">
        <v>0.45</v>
      </c>
      <c r="G171" s="27"/>
      <c r="H171" s="27">
        <v>6</v>
      </c>
      <c r="I171" s="60">
        <f>H171*F171*E171</f>
        <v>1.2150000000000001</v>
      </c>
    </row>
    <row r="172" spans="1:9" ht="56">
      <c r="A172" s="10">
        <v>225</v>
      </c>
      <c r="B172" s="9" t="s">
        <v>268</v>
      </c>
      <c r="C172" s="10" t="s">
        <v>71</v>
      </c>
      <c r="D172" s="10">
        <v>3</v>
      </c>
      <c r="E172" s="27"/>
      <c r="F172" s="27"/>
      <c r="G172" s="27"/>
      <c r="H172" s="27"/>
      <c r="I172" s="29">
        <v>3</v>
      </c>
    </row>
    <row r="173" spans="1:9">
      <c r="A173" s="63"/>
    </row>
    <row r="174" spans="1:9">
      <c r="A174" s="63"/>
    </row>
    <row r="175" spans="1:9">
      <c r="A175" s="63"/>
    </row>
    <row r="176" spans="1:9">
      <c r="A176" s="63"/>
    </row>
    <row r="177" spans="1:1">
      <c r="A177" s="63"/>
    </row>
    <row r="178" spans="1:1">
      <c r="A178" s="63"/>
    </row>
    <row r="179" spans="1:1">
      <c r="A179" s="63"/>
    </row>
    <row r="180" spans="1:1">
      <c r="A180" s="63"/>
    </row>
    <row r="181" spans="1:1">
      <c r="A181" s="63"/>
    </row>
    <row r="182" spans="1:1">
      <c r="A182" s="63"/>
    </row>
    <row r="183" spans="1:1">
      <c r="A183" s="63"/>
    </row>
    <row r="184" spans="1:1">
      <c r="A184" s="63"/>
    </row>
    <row r="185" spans="1:1">
      <c r="A185" s="63"/>
    </row>
    <row r="186" spans="1:1">
      <c r="A186" s="63"/>
    </row>
    <row r="187" spans="1:1">
      <c r="A187" s="63"/>
    </row>
    <row r="188" spans="1:1">
      <c r="A188" s="63"/>
    </row>
    <row r="189" spans="1:1">
      <c r="A189" s="63"/>
    </row>
    <row r="190" spans="1:1">
      <c r="A190" s="63"/>
    </row>
    <row r="191" spans="1:1">
      <c r="A191" s="63"/>
    </row>
    <row r="192" spans="1:1">
      <c r="A192" s="63"/>
    </row>
    <row r="193" spans="1:1">
      <c r="A193" s="63"/>
    </row>
    <row r="194" spans="1:1">
      <c r="A194" s="63"/>
    </row>
    <row r="195" spans="1:1">
      <c r="A195" s="63"/>
    </row>
    <row r="196" spans="1:1">
      <c r="A196" s="63"/>
    </row>
    <row r="197" spans="1:1">
      <c r="A197" s="63"/>
    </row>
    <row r="198" spans="1:1">
      <c r="A198" s="63"/>
    </row>
    <row r="199" spans="1:1">
      <c r="A199" s="63"/>
    </row>
    <row r="200" spans="1:1">
      <c r="A200" s="63"/>
    </row>
    <row r="201" spans="1:1">
      <c r="A201" s="63"/>
    </row>
    <row r="202" spans="1:1">
      <c r="A202" s="63"/>
    </row>
    <row r="203" spans="1:1">
      <c r="A203" s="63"/>
    </row>
    <row r="204" spans="1:1">
      <c r="A204" s="63"/>
    </row>
    <row r="205" spans="1:1">
      <c r="A205" s="63"/>
    </row>
    <row r="206" spans="1:1">
      <c r="A206" s="63"/>
    </row>
    <row r="207" spans="1:1">
      <c r="A207" s="63"/>
    </row>
    <row r="208" spans="1:1">
      <c r="A208" s="63"/>
    </row>
    <row r="209" spans="1:1">
      <c r="A209" s="63"/>
    </row>
    <row r="210" spans="1:1">
      <c r="A210" s="63"/>
    </row>
    <row r="211" spans="1:1">
      <c r="A211" s="63"/>
    </row>
    <row r="212" spans="1:1">
      <c r="A212" s="63"/>
    </row>
    <row r="213" spans="1:1">
      <c r="A213" s="63"/>
    </row>
    <row r="214" spans="1:1">
      <c r="A214" s="63"/>
    </row>
    <row r="215" spans="1:1">
      <c r="A215" s="63"/>
    </row>
    <row r="216" spans="1:1">
      <c r="A216" s="63"/>
    </row>
    <row r="217" spans="1:1">
      <c r="A217" s="63"/>
    </row>
    <row r="218" spans="1:1">
      <c r="A218" s="63"/>
    </row>
    <row r="219" spans="1:1">
      <c r="A219" s="63"/>
    </row>
    <row r="220" spans="1:1">
      <c r="A220" s="63"/>
    </row>
    <row r="221" spans="1:1">
      <c r="A221" s="63"/>
    </row>
    <row r="222" spans="1:1">
      <c r="A222" s="63"/>
    </row>
    <row r="223" spans="1:1">
      <c r="A223" s="63"/>
    </row>
    <row r="224" spans="1:1">
      <c r="A224" s="63"/>
    </row>
  </sheetData>
  <mergeCells count="2">
    <mergeCell ref="A1:D1"/>
    <mergeCell ref="E1:I1"/>
  </mergeCells>
  <pageMargins left="0.25" right="0.25" top="0.75" bottom="0.75" header="0.3" footer="0.3"/>
  <pageSetup paperSize="9" scale="6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F0A7093-52C6-445E-AEC2-F3512EDB3F58}"/>
</file>

<file path=customXml/itemProps2.xml><?xml version="1.0" encoding="utf-8"?>
<ds:datastoreItem xmlns:ds="http://schemas.openxmlformats.org/officeDocument/2006/customXml" ds:itemID="{6FA8B96C-F617-4D94-8359-77B909D4EFEE}">
  <ds:schemaRefs>
    <ds:schemaRef ds:uri="http://schemas.microsoft.com/sharepoint/v3/contenttype/forms"/>
  </ds:schemaRefs>
</ds:datastoreItem>
</file>

<file path=customXml/itemProps3.xml><?xml version="1.0" encoding="utf-8"?>
<ds:datastoreItem xmlns:ds="http://schemas.openxmlformats.org/officeDocument/2006/customXml" ds:itemID="{70B5632A-7BD8-4AB4-8D45-4E825730F375}">
  <ds:schemaRefs>
    <ds:schemaRef ds:uri="7326994b-23a0-4b5e-a973-7b87443abe0a"/>
    <ds:schemaRef ds:uri="http://schemas.microsoft.com/office/2006/documentManagement/types"/>
    <ds:schemaRef ds:uri="72b43016-16a7-42f7-bc1a-063c27e5d515"/>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Summay Sheet </vt:lpstr>
      <vt:lpstr>Abtract </vt:lpstr>
      <vt:lpstr>JMS RA-01 </vt:lpstr>
      <vt:lpstr>JMS - Final </vt:lpstr>
      <vt:lpstr>'JMS - Final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PRADEEP kumar</dc:creator>
  <cp:lastModifiedBy>Urmila Jadhav</cp:lastModifiedBy>
  <dcterms:created xsi:type="dcterms:W3CDTF">2024-03-12T08:01:10Z</dcterms:created>
  <dcterms:modified xsi:type="dcterms:W3CDTF">2024-09-23T10:19:40Z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